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omments3.xml" ContentType="application/vnd.openxmlformats-officedocument.spreadsheetml.comments+xml"/>
  <Override PartName="/xl/threadedComments/threadedComment1.xml" ContentType="application/vnd.ms-excel.threadedcomments+xml"/>
  <Override PartName="/xl/charts/chart1.xml" ContentType="application/vnd.openxmlformats-officedocument.drawingml.chart+xml"/>
  <Override PartName="/xl/drawings/drawing8.xml" ContentType="application/vnd.openxmlformats-officedocument.drawing+xml"/>
  <Override PartName="/xl/drawings/drawing9.xml" ContentType="application/vnd.openxmlformats-officedocument.drawing+xml"/>
  <Override PartName="/xl/charts/chart2.xml" ContentType="application/vnd.openxmlformats-officedocument.drawingml.chart+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comments4.xml" ContentType="application/vnd.openxmlformats-officedocument.spreadsheetml.comments+xml"/>
  <Override PartName="/xl/drawings/drawing19.xml" ContentType="application/vnd.openxmlformats-officedocument.drawing+xml"/>
  <Override PartName="/xl/comments5.xml" ContentType="application/vnd.openxmlformats-officedocument.spreadsheetml.comments+xml"/>
  <Override PartName="/xl/comments6.xml" ContentType="application/vnd.openxmlformats-officedocument.spreadsheetml.comments+xml"/>
  <Override PartName="/xl/drawings/drawing20.xml" ContentType="application/vnd.openxmlformats-officedocument.drawing+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drawings/drawing21.xml" ContentType="application/vnd.openxmlformats-officedocument.drawing+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drawings/drawing22.xml" ContentType="application/vnd.openxmlformats-officedocument.drawing+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drawings/drawing23.xml" ContentType="application/vnd.openxmlformats-officedocument.drawing+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drawings/drawing24.xml" ContentType="application/vnd.openxmlformats-officedocument.drawing+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drawings/drawing25.xml" ContentType="application/vnd.openxmlformats-officedocument.drawing+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drawings/drawing26.xml" ContentType="application/vnd.openxmlformats-officedocument.drawing+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drawings/drawing27.xml" ContentType="application/vnd.openxmlformats-officedocument.drawing+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drawings/drawing28.xml" ContentType="application/vnd.openxmlformats-officedocument.drawing+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omments7.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628" codeName="{60716B99-48EF-4627-542C-1B4CF24DBC83}"/>
  <workbookPr codeName="EstaPastaDeTrabalho"/>
  <mc:AlternateContent xmlns:mc="http://schemas.openxmlformats.org/markup-compatibility/2006">
    <mc:Choice Requires="x15">
      <x15ac:absPath xmlns:x15ac="http://schemas.microsoft.com/office/spreadsheetml/2010/11/ac" url="C:\Backup 10 Dez 2023\02 - UNIDO\GRANFPOLIS - SC - Novo 15 Jun\templates\"/>
    </mc:Choice>
  </mc:AlternateContent>
  <xr:revisionPtr revIDLastSave="0" documentId="13_ncr:1_{D594BF84-C451-457C-A88A-F6B230206A04}" xr6:coauthVersionLast="47" xr6:coauthVersionMax="47" xr10:uidLastSave="{00000000-0000-0000-0000-000000000000}"/>
  <bookViews>
    <workbookView xWindow="-120" yWindow="-120" windowWidth="29040" windowHeight="15720" tabRatio="882" firstSheet="2" activeTab="9" xr2:uid="{00000000-000D-0000-FFFF-FFFF00000000}"/>
  </bookViews>
  <sheets>
    <sheet name="Apresentação" sheetId="1" r:id="rId1"/>
    <sheet name="R-Entrada" sheetId="2" r:id="rId2"/>
    <sheet name="R-Definição" sheetId="3" r:id="rId3"/>
    <sheet name="R-Avançado" sheetId="4" r:id="rId4"/>
    <sheet name="R-Fluxo Massa" sheetId="5" r:id="rId5"/>
    <sheet name="R-Resumo Bal. Massa" sheetId="6" r:id="rId6"/>
    <sheet name="R&amp;C-Painel de Controle" sheetId="8" r:id="rId7"/>
    <sheet name="C-Calc Tarifa" sheetId="9" r:id="rId8"/>
    <sheet name="C-FCL Real" sheetId="11" r:id="rId9"/>
    <sheet name="C-Dados RT Simplif." sheetId="22" r:id="rId10"/>
    <sheet name="C-Triagem Man" sheetId="13" r:id="rId11"/>
    <sheet name="C-Triagem Mec" sheetId="14" r:id="rId12"/>
    <sheet name="C-Produção CDR-TM" sheetId="15" r:id="rId13"/>
    <sheet name="C-Produção CDR-TMB" sheetId="16" r:id="rId14"/>
    <sheet name="C-Compostagem" sheetId="17" r:id="rId15"/>
    <sheet name="C-Biodigestão" sheetId="18" r:id="rId16"/>
    <sheet name="C-Incineração" sheetId="19" r:id="rId17"/>
    <sheet name="C-Aterro Sanitário" sheetId="20" r:id="rId18"/>
    <sheet name="CO2 - Intro" sheetId="35" r:id="rId19"/>
    <sheet name="CO2 - Início" sheetId="36" r:id="rId20"/>
    <sheet name="CO2 - Reciclagem" sheetId="37" r:id="rId21"/>
    <sheet name="CO2 - Destinação" sheetId="38" r:id="rId22"/>
    <sheet name="CO2 - Cenário Base" sheetId="39" r:id="rId23"/>
    <sheet name="CO2 - Cenário RT 1A" sheetId="40" r:id="rId24"/>
    <sheet name="CO2 - Cenário RT 1B" sheetId="41" r:id="rId25"/>
    <sheet name="CO2 - Cenário RT 1C" sheetId="42" r:id="rId26"/>
    <sheet name="CO2 - Cenário RT 2" sheetId="43" r:id="rId27"/>
    <sheet name="CO2 - Cenário RT 3" sheetId="44" r:id="rId28"/>
    <sheet name="CO2 - Cenário RT 4" sheetId="45" r:id="rId29"/>
    <sheet name="CO2 - Cenário RT 5" sheetId="46" r:id="rId30"/>
    <sheet name="CO2 - Todos Resultados" sheetId="47" r:id="rId31"/>
    <sheet name="CO2 - Cálculos" sheetId="48" r:id="rId32"/>
  </sheets>
  <externalReferences>
    <externalReference r:id="rId33"/>
    <externalReference r:id="rId34"/>
    <externalReference r:id="rId35"/>
  </externalReferences>
  <definedNames>
    <definedName name="_xlnm.Print_Area" localSheetId="18">'CO2 - Intro'!$A$1:$W$54</definedName>
    <definedName name="langue" localSheetId="18">[1]Intro!#REF!</definedName>
    <definedName name="langue">#REF!</definedName>
    <definedName name="ListeA">'[2]Ne pas modifier - Do not modify'!$C$2:$C$638</definedName>
    <definedName name="ListeF">'[2]Ne pas modifier - Do not modify'!$B$2:$B$638</definedName>
    <definedName name="solver_opt" localSheetId="8">'C-FCL Real'!$F$11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7" i="19" l="1"/>
  <c r="P15" i="19" s="1"/>
  <c r="E40" i="36"/>
  <c r="E41" i="36"/>
  <c r="E42" i="36"/>
  <c r="E43" i="36"/>
  <c r="E44" i="36"/>
  <c r="C55" i="48" s="1"/>
  <c r="E45" i="36"/>
  <c r="E46" i="36"/>
  <c r="E47" i="36"/>
  <c r="C58" i="48" s="1"/>
  <c r="E39" i="36"/>
  <c r="C50" i="48"/>
  <c r="E38" i="36"/>
  <c r="E36" i="36"/>
  <c r="E37" i="36"/>
  <c r="E35" i="36"/>
  <c r="J118" i="48"/>
  <c r="X114" i="48"/>
  <c r="W114" i="48"/>
  <c r="V114" i="48"/>
  <c r="U114" i="48"/>
  <c r="T114" i="48"/>
  <c r="S114" i="48"/>
  <c r="R114" i="48"/>
  <c r="Q114" i="48"/>
  <c r="G101" i="48"/>
  <c r="F101" i="48"/>
  <c r="E101" i="48"/>
  <c r="AC92" i="48"/>
  <c r="AC91" i="48"/>
  <c r="AC90" i="48"/>
  <c r="W90" i="48"/>
  <c r="AC89" i="48"/>
  <c r="AC88" i="48"/>
  <c r="AC87" i="48"/>
  <c r="AC86" i="48"/>
  <c r="AC85" i="48"/>
  <c r="AC84" i="48"/>
  <c r="AK83" i="48"/>
  <c r="AJ83" i="48"/>
  <c r="AI83" i="48"/>
  <c r="AH83" i="48"/>
  <c r="AG83" i="48"/>
  <c r="AF83" i="48"/>
  <c r="AE83" i="48"/>
  <c r="AD83" i="48"/>
  <c r="AC83" i="48"/>
  <c r="G83" i="48"/>
  <c r="AC81" i="48"/>
  <c r="AC80" i="48"/>
  <c r="AC79" i="48"/>
  <c r="AC78" i="48"/>
  <c r="U78" i="48"/>
  <c r="T78" i="48"/>
  <c r="AC77" i="48"/>
  <c r="W77" i="48"/>
  <c r="V77" i="48"/>
  <c r="U77" i="48"/>
  <c r="T77" i="48"/>
  <c r="AC76" i="48"/>
  <c r="AC75" i="48"/>
  <c r="X75" i="48"/>
  <c r="W75" i="48"/>
  <c r="W78" i="48" s="1"/>
  <c r="V75" i="48"/>
  <c r="V78" i="48" s="1"/>
  <c r="U75" i="48"/>
  <c r="T75" i="48"/>
  <c r="S75" i="48"/>
  <c r="R75" i="48"/>
  <c r="Q75" i="48"/>
  <c r="AC74" i="48"/>
  <c r="AC73" i="48"/>
  <c r="AC72" i="48"/>
  <c r="K72" i="48"/>
  <c r="J72" i="48"/>
  <c r="I72" i="48"/>
  <c r="H72" i="48"/>
  <c r="G72" i="48"/>
  <c r="F72" i="48"/>
  <c r="E72" i="48"/>
  <c r="D72" i="48"/>
  <c r="AC70" i="48"/>
  <c r="AC69" i="48"/>
  <c r="AC68" i="48"/>
  <c r="X68" i="48"/>
  <c r="W68" i="48"/>
  <c r="V68" i="48"/>
  <c r="U68" i="48"/>
  <c r="T68" i="48"/>
  <c r="S68" i="48"/>
  <c r="R68" i="48"/>
  <c r="Q68" i="48"/>
  <c r="AC67" i="48"/>
  <c r="AC66" i="48"/>
  <c r="S66" i="48"/>
  <c r="Q66" i="48"/>
  <c r="AC65" i="48"/>
  <c r="T65" i="48"/>
  <c r="S65" i="48"/>
  <c r="R65" i="48"/>
  <c r="R66" i="48" s="1"/>
  <c r="Q65" i="48"/>
  <c r="AC64" i="48"/>
  <c r="AC63" i="48"/>
  <c r="X63" i="48"/>
  <c r="W63" i="48"/>
  <c r="V63" i="48"/>
  <c r="U63" i="48"/>
  <c r="T63" i="48"/>
  <c r="T66" i="48" s="1"/>
  <c r="S63" i="48"/>
  <c r="R63" i="48"/>
  <c r="Q63" i="48"/>
  <c r="AC62" i="48"/>
  <c r="AC61" i="48"/>
  <c r="C57" i="48"/>
  <c r="C56" i="48"/>
  <c r="C54" i="48"/>
  <c r="C53" i="48"/>
  <c r="C52" i="48"/>
  <c r="C51" i="48"/>
  <c r="C49" i="48"/>
  <c r="C48" i="48"/>
  <c r="C47" i="48"/>
  <c r="C46" i="48"/>
  <c r="AK45" i="48"/>
  <c r="AJ45" i="48"/>
  <c r="AI45" i="48"/>
  <c r="AH45" i="48"/>
  <c r="AG45" i="48"/>
  <c r="W45" i="48"/>
  <c r="V45" i="48"/>
  <c r="U45" i="48"/>
  <c r="T45" i="48"/>
  <c r="S45" i="48"/>
  <c r="Q45" i="48"/>
  <c r="O45" i="48"/>
  <c r="R45" i="48" s="1"/>
  <c r="U44" i="48"/>
  <c r="O44" i="48"/>
  <c r="X43" i="48"/>
  <c r="W43" i="48"/>
  <c r="R43" i="48"/>
  <c r="Q43" i="48"/>
  <c r="O43" i="48"/>
  <c r="AC41" i="48"/>
  <c r="AC40" i="48"/>
  <c r="AC39" i="48"/>
  <c r="AC38" i="48"/>
  <c r="AC37" i="48"/>
  <c r="AC36" i="48"/>
  <c r="AC35" i="48"/>
  <c r="AC34" i="48"/>
  <c r="AC32" i="48"/>
  <c r="AC31" i="48"/>
  <c r="AC30" i="48"/>
  <c r="AC29" i="48"/>
  <c r="AC28" i="48"/>
  <c r="AC27" i="48"/>
  <c r="AC26" i="48"/>
  <c r="AC25" i="48"/>
  <c r="AC23" i="48"/>
  <c r="B69" i="46" s="1"/>
  <c r="J23" i="48"/>
  <c r="AC22" i="48"/>
  <c r="J22" i="48"/>
  <c r="AC21" i="48"/>
  <c r="J21" i="48"/>
  <c r="AC20" i="48"/>
  <c r="J20" i="48"/>
  <c r="AC19" i="48"/>
  <c r="J19" i="48"/>
  <c r="AC18" i="48"/>
  <c r="J18" i="48"/>
  <c r="AC17" i="48"/>
  <c r="X17" i="48"/>
  <c r="W17" i="48"/>
  <c r="V17" i="48"/>
  <c r="U17" i="48"/>
  <c r="J17" i="48"/>
  <c r="AC16" i="48"/>
  <c r="J16" i="48"/>
  <c r="J15" i="48"/>
  <c r="R14" i="48"/>
  <c r="J14" i="48"/>
  <c r="R13" i="48"/>
  <c r="J13" i="48"/>
  <c r="J12" i="48"/>
  <c r="J11" i="48"/>
  <c r="V8" i="48"/>
  <c r="T8" i="48"/>
  <c r="S8" i="48"/>
  <c r="Q8" i="48"/>
  <c r="P8" i="48"/>
  <c r="O8" i="48"/>
  <c r="U7" i="48"/>
  <c r="U8" i="48" s="1"/>
  <c r="R6" i="48"/>
  <c r="R8" i="48" s="1"/>
  <c r="C6" i="48"/>
  <c r="AK3" i="48"/>
  <c r="AJ3" i="48"/>
  <c r="AI3" i="48"/>
  <c r="AH3" i="48"/>
  <c r="AG3" i="48"/>
  <c r="AF3" i="48"/>
  <c r="AE3" i="48"/>
  <c r="C3" i="48"/>
  <c r="R105" i="48" s="1"/>
  <c r="H31" i="47"/>
  <c r="G31" i="47"/>
  <c r="F31" i="47"/>
  <c r="J2" i="47"/>
  <c r="J31" i="47" s="1"/>
  <c r="I2" i="47"/>
  <c r="I31" i="47" s="1"/>
  <c r="H2" i="47"/>
  <c r="G2" i="47"/>
  <c r="F2" i="47"/>
  <c r="E2" i="47"/>
  <c r="E31" i="47" s="1"/>
  <c r="D2" i="47"/>
  <c r="D31" i="47" s="1"/>
  <c r="C2" i="47"/>
  <c r="C31" i="47" s="1"/>
  <c r="K82" i="46"/>
  <c r="K81" i="46"/>
  <c r="K80" i="46"/>
  <c r="K79" i="46"/>
  <c r="K78" i="46"/>
  <c r="B78" i="46"/>
  <c r="K77" i="46"/>
  <c r="B77" i="46"/>
  <c r="L76" i="46"/>
  <c r="K76" i="46"/>
  <c r="B76" i="46"/>
  <c r="L75" i="46"/>
  <c r="D47" i="46" s="1"/>
  <c r="B75" i="46"/>
  <c r="L74" i="46"/>
  <c r="K74" i="46"/>
  <c r="B74" i="46"/>
  <c r="L73" i="46"/>
  <c r="K73" i="46"/>
  <c r="B72" i="46"/>
  <c r="K71" i="46"/>
  <c r="B71" i="46"/>
  <c r="K70" i="46"/>
  <c r="K69" i="46"/>
  <c r="K68" i="46"/>
  <c r="B68" i="46"/>
  <c r="B67" i="46"/>
  <c r="K65" i="46"/>
  <c r="B65" i="46"/>
  <c r="K64" i="46"/>
  <c r="B64" i="46"/>
  <c r="K63" i="46"/>
  <c r="B63" i="46"/>
  <c r="L62" i="46"/>
  <c r="B62" i="46"/>
  <c r="B54" i="46"/>
  <c r="B53" i="46"/>
  <c r="B52" i="46"/>
  <c r="B51" i="46"/>
  <c r="B50" i="46"/>
  <c r="B49" i="46"/>
  <c r="D48" i="46"/>
  <c r="B48" i="46"/>
  <c r="B47" i="46"/>
  <c r="D46" i="46"/>
  <c r="B46" i="46"/>
  <c r="D45" i="46"/>
  <c r="B45" i="46"/>
  <c r="B41" i="46"/>
  <c r="B40" i="46"/>
  <c r="B39" i="46"/>
  <c r="B38" i="46"/>
  <c r="B37" i="46"/>
  <c r="B36" i="46"/>
  <c r="B35" i="46"/>
  <c r="B34" i="46"/>
  <c r="R20" i="46"/>
  <c r="R19" i="46"/>
  <c r="R18" i="46"/>
  <c r="M18" i="46"/>
  <c r="R17" i="46"/>
  <c r="M17" i="46"/>
  <c r="R16" i="46"/>
  <c r="M16" i="46"/>
  <c r="R15" i="46"/>
  <c r="M15" i="46"/>
  <c r="R14" i="46"/>
  <c r="M14" i="46"/>
  <c r="R13" i="46"/>
  <c r="M13" i="46"/>
  <c r="R12" i="46"/>
  <c r="M12" i="46"/>
  <c r="R11" i="46"/>
  <c r="M11" i="46"/>
  <c r="K82" i="45"/>
  <c r="K81" i="45"/>
  <c r="K80" i="45"/>
  <c r="K79" i="45"/>
  <c r="K78" i="45"/>
  <c r="B78" i="45"/>
  <c r="K77" i="45"/>
  <c r="B77" i="45"/>
  <c r="L76" i="45"/>
  <c r="K76" i="45"/>
  <c r="B76" i="45"/>
  <c r="L75" i="45"/>
  <c r="D47" i="45" s="1"/>
  <c r="B75" i="45"/>
  <c r="L74" i="45"/>
  <c r="B74" i="45"/>
  <c r="L73" i="45"/>
  <c r="D45" i="45" s="1"/>
  <c r="K73" i="45"/>
  <c r="K71" i="45"/>
  <c r="B71" i="45"/>
  <c r="K70" i="45"/>
  <c r="K69" i="45"/>
  <c r="K68" i="45"/>
  <c r="B68" i="45"/>
  <c r="B67" i="45"/>
  <c r="K66" i="45"/>
  <c r="K65" i="45"/>
  <c r="B65" i="45"/>
  <c r="K64" i="45"/>
  <c r="B64" i="45"/>
  <c r="K63" i="45"/>
  <c r="B63" i="45"/>
  <c r="L62" i="45"/>
  <c r="C45" i="45" s="1"/>
  <c r="K62" i="45"/>
  <c r="B62" i="45"/>
  <c r="B54" i="45"/>
  <c r="B53" i="45"/>
  <c r="B52" i="45"/>
  <c r="B51" i="45"/>
  <c r="B50" i="45"/>
  <c r="B49" i="45"/>
  <c r="D48" i="45"/>
  <c r="B48" i="45"/>
  <c r="B47" i="45"/>
  <c r="D46" i="45"/>
  <c r="B46" i="45"/>
  <c r="B45" i="45"/>
  <c r="B41" i="45"/>
  <c r="B40" i="45"/>
  <c r="B39" i="45"/>
  <c r="B38" i="45"/>
  <c r="B37" i="45"/>
  <c r="B36" i="45"/>
  <c r="B35" i="45"/>
  <c r="B34" i="45"/>
  <c r="R20" i="45"/>
  <c r="R19" i="45"/>
  <c r="R18" i="45"/>
  <c r="M18" i="45"/>
  <c r="R17" i="45"/>
  <c r="M17" i="45"/>
  <c r="R16" i="45"/>
  <c r="M16" i="45"/>
  <c r="R15" i="45"/>
  <c r="M15" i="45"/>
  <c r="R14" i="45"/>
  <c r="M14" i="45"/>
  <c r="R13" i="45"/>
  <c r="M13" i="45"/>
  <c r="R12" i="45"/>
  <c r="M12" i="45"/>
  <c r="R11" i="45"/>
  <c r="M11" i="45"/>
  <c r="K82" i="44"/>
  <c r="K81" i="44"/>
  <c r="K80" i="44"/>
  <c r="K79" i="44"/>
  <c r="K78" i="44"/>
  <c r="B78" i="44"/>
  <c r="K77" i="44"/>
  <c r="B77" i="44"/>
  <c r="L76" i="44"/>
  <c r="D48" i="44" s="1"/>
  <c r="K76" i="44"/>
  <c r="B76" i="44"/>
  <c r="L75" i="44"/>
  <c r="B75" i="44"/>
  <c r="L74" i="44"/>
  <c r="D46" i="44" s="1"/>
  <c r="B74" i="44"/>
  <c r="L73" i="44"/>
  <c r="K73" i="44"/>
  <c r="B73" i="44"/>
  <c r="K71" i="44"/>
  <c r="B71" i="44"/>
  <c r="K70" i="44"/>
  <c r="K69" i="44"/>
  <c r="K68" i="44"/>
  <c r="B68" i="44"/>
  <c r="B67" i="44"/>
  <c r="K66" i="44"/>
  <c r="B66" i="44"/>
  <c r="K65" i="44"/>
  <c r="B65" i="44"/>
  <c r="K64" i="44"/>
  <c r="B64" i="44"/>
  <c r="K63" i="44"/>
  <c r="B63" i="44"/>
  <c r="L62" i="44"/>
  <c r="K62" i="44"/>
  <c r="B62" i="44"/>
  <c r="B54" i="44"/>
  <c r="B53" i="44"/>
  <c r="B52" i="44"/>
  <c r="B51" i="44"/>
  <c r="B50" i="44"/>
  <c r="B49" i="44"/>
  <c r="B48" i="44"/>
  <c r="D47" i="44"/>
  <c r="B47" i="44"/>
  <c r="B46" i="44"/>
  <c r="E45" i="44"/>
  <c r="D45" i="44"/>
  <c r="C45" i="44"/>
  <c r="B45" i="44"/>
  <c r="B41" i="44"/>
  <c r="B40" i="44"/>
  <c r="B39" i="44"/>
  <c r="B38" i="44"/>
  <c r="B37" i="44"/>
  <c r="B36" i="44"/>
  <c r="B35" i="44"/>
  <c r="B34" i="44"/>
  <c r="R20" i="44"/>
  <c r="R19" i="44"/>
  <c r="R18" i="44"/>
  <c r="M18" i="44"/>
  <c r="R17" i="44"/>
  <c r="M17" i="44"/>
  <c r="R16" i="44"/>
  <c r="M16" i="44"/>
  <c r="R15" i="44"/>
  <c r="M15" i="44"/>
  <c r="R14" i="44"/>
  <c r="M14" i="44"/>
  <c r="R13" i="44"/>
  <c r="M13" i="44"/>
  <c r="R12" i="44"/>
  <c r="M12" i="44"/>
  <c r="R11" i="44"/>
  <c r="M11" i="44"/>
  <c r="K82" i="43"/>
  <c r="K81" i="43"/>
  <c r="K80" i="43"/>
  <c r="K79" i="43"/>
  <c r="K78" i="43"/>
  <c r="B78" i="43"/>
  <c r="K77" i="43"/>
  <c r="B77" i="43"/>
  <c r="L76" i="43"/>
  <c r="D48" i="43" s="1"/>
  <c r="K76" i="43"/>
  <c r="B76" i="43"/>
  <c r="L75" i="43"/>
  <c r="B75" i="43"/>
  <c r="L74" i="43"/>
  <c r="D46" i="43" s="1"/>
  <c r="K74" i="43"/>
  <c r="B74" i="43"/>
  <c r="L73" i="43"/>
  <c r="K73" i="43"/>
  <c r="B73" i="43"/>
  <c r="B72" i="43"/>
  <c r="K71" i="43"/>
  <c r="B71" i="43"/>
  <c r="K70" i="43"/>
  <c r="K69" i="43"/>
  <c r="K68" i="43"/>
  <c r="B68" i="43"/>
  <c r="B67" i="43"/>
  <c r="B66" i="43"/>
  <c r="K65" i="43"/>
  <c r="B65" i="43"/>
  <c r="K64" i="43"/>
  <c r="B64" i="43"/>
  <c r="K63" i="43"/>
  <c r="B63" i="43"/>
  <c r="L62" i="43"/>
  <c r="B62" i="43"/>
  <c r="B54" i="43"/>
  <c r="B53" i="43"/>
  <c r="B52" i="43"/>
  <c r="B51" i="43"/>
  <c r="B50" i="43"/>
  <c r="B49" i="43"/>
  <c r="B48" i="43"/>
  <c r="D47" i="43"/>
  <c r="B47" i="43"/>
  <c r="B46" i="43"/>
  <c r="E45" i="43"/>
  <c r="D45" i="43"/>
  <c r="C45" i="43"/>
  <c r="B45" i="43"/>
  <c r="B41" i="43"/>
  <c r="B40" i="43"/>
  <c r="B39" i="43"/>
  <c r="B38" i="43"/>
  <c r="B37" i="43"/>
  <c r="B36" i="43"/>
  <c r="B35" i="43"/>
  <c r="B34" i="43"/>
  <c r="R20" i="43"/>
  <c r="R19" i="43"/>
  <c r="R18" i="43"/>
  <c r="M18" i="43"/>
  <c r="R17" i="43"/>
  <c r="M17" i="43"/>
  <c r="R16" i="43"/>
  <c r="M16" i="43"/>
  <c r="R15" i="43"/>
  <c r="M15" i="43"/>
  <c r="R14" i="43"/>
  <c r="M14" i="43"/>
  <c r="R13" i="43"/>
  <c r="M13" i="43"/>
  <c r="R12" i="43"/>
  <c r="M12" i="43"/>
  <c r="R11" i="43"/>
  <c r="M11" i="43"/>
  <c r="K82" i="42"/>
  <c r="K81" i="42"/>
  <c r="K80" i="42"/>
  <c r="K79" i="42"/>
  <c r="K78" i="42"/>
  <c r="B78" i="42"/>
  <c r="K77" i="42"/>
  <c r="B77" i="42"/>
  <c r="L76" i="42"/>
  <c r="K76" i="42"/>
  <c r="B76" i="42"/>
  <c r="L75" i="42"/>
  <c r="D47" i="42" s="1"/>
  <c r="B75" i="42"/>
  <c r="L74" i="42"/>
  <c r="K74" i="42"/>
  <c r="B74" i="42"/>
  <c r="L73" i="42"/>
  <c r="D45" i="42" s="1"/>
  <c r="K73" i="42"/>
  <c r="B72" i="42"/>
  <c r="K71" i="42"/>
  <c r="B71" i="42"/>
  <c r="K70" i="42"/>
  <c r="K69" i="42"/>
  <c r="B69" i="42"/>
  <c r="K68" i="42"/>
  <c r="B68" i="42"/>
  <c r="B67" i="42"/>
  <c r="K65" i="42"/>
  <c r="B65" i="42"/>
  <c r="K64" i="42"/>
  <c r="B64" i="42"/>
  <c r="K63" i="42"/>
  <c r="B63" i="42"/>
  <c r="L62" i="42"/>
  <c r="B62" i="42"/>
  <c r="B54" i="42"/>
  <c r="B53" i="42"/>
  <c r="B52" i="42"/>
  <c r="B51" i="42"/>
  <c r="B50" i="42"/>
  <c r="B49" i="42"/>
  <c r="D48" i="42"/>
  <c r="B48" i="42"/>
  <c r="B47" i="42"/>
  <c r="D46" i="42"/>
  <c r="B46" i="42"/>
  <c r="B45" i="42"/>
  <c r="B41" i="42"/>
  <c r="B40" i="42"/>
  <c r="B39" i="42"/>
  <c r="B38" i="42"/>
  <c r="B37" i="42"/>
  <c r="B36" i="42"/>
  <c r="B35" i="42"/>
  <c r="B34" i="42"/>
  <c r="R20" i="42"/>
  <c r="R19" i="42"/>
  <c r="R18" i="42"/>
  <c r="M18" i="42"/>
  <c r="R17" i="42"/>
  <c r="M17" i="42"/>
  <c r="R16" i="42"/>
  <c r="M16" i="42"/>
  <c r="R15" i="42"/>
  <c r="M15" i="42"/>
  <c r="R14" i="42"/>
  <c r="M14" i="42"/>
  <c r="R13" i="42"/>
  <c r="M13" i="42"/>
  <c r="R12" i="42"/>
  <c r="M12" i="42"/>
  <c r="R11" i="42"/>
  <c r="M11" i="42"/>
  <c r="K82" i="41"/>
  <c r="K81" i="41"/>
  <c r="K80" i="41"/>
  <c r="K79" i="41"/>
  <c r="K78" i="41"/>
  <c r="B78" i="41"/>
  <c r="K77" i="41"/>
  <c r="B77" i="41"/>
  <c r="L76" i="41"/>
  <c r="K76" i="41"/>
  <c r="B76" i="41"/>
  <c r="L75" i="41"/>
  <c r="D47" i="41" s="1"/>
  <c r="B75" i="41"/>
  <c r="L74" i="41"/>
  <c r="K74" i="41"/>
  <c r="B74" i="41"/>
  <c r="L73" i="41"/>
  <c r="D45" i="41" s="1"/>
  <c r="K73" i="41"/>
  <c r="B73" i="41"/>
  <c r="K71" i="41"/>
  <c r="B71" i="41"/>
  <c r="K70" i="41"/>
  <c r="K69" i="41"/>
  <c r="K68" i="41"/>
  <c r="B68" i="41"/>
  <c r="B67" i="41"/>
  <c r="K66" i="41"/>
  <c r="B66" i="41"/>
  <c r="K65" i="41"/>
  <c r="B65" i="41"/>
  <c r="K64" i="41"/>
  <c r="B64" i="41"/>
  <c r="K63" i="41"/>
  <c r="B63" i="41"/>
  <c r="L62" i="41"/>
  <c r="K62" i="41"/>
  <c r="B62" i="41"/>
  <c r="B54" i="41"/>
  <c r="B53" i="41"/>
  <c r="B52" i="41"/>
  <c r="B51" i="41"/>
  <c r="B50" i="41"/>
  <c r="B49" i="41"/>
  <c r="D48" i="41"/>
  <c r="B48" i="41"/>
  <c r="B47" i="41"/>
  <c r="D46" i="41"/>
  <c r="B46" i="41"/>
  <c r="C45" i="41"/>
  <c r="B45" i="41"/>
  <c r="B41" i="41"/>
  <c r="B40" i="41"/>
  <c r="B39" i="41"/>
  <c r="B38" i="41"/>
  <c r="B37" i="41"/>
  <c r="B36" i="41"/>
  <c r="B35" i="41"/>
  <c r="B34" i="41"/>
  <c r="R20" i="41"/>
  <c r="R19" i="41"/>
  <c r="R18" i="41"/>
  <c r="M18" i="41"/>
  <c r="R17" i="41"/>
  <c r="M17" i="41"/>
  <c r="R16" i="41"/>
  <c r="M16" i="41"/>
  <c r="R15" i="41"/>
  <c r="M15" i="41"/>
  <c r="R14" i="41"/>
  <c r="M14" i="41"/>
  <c r="R13" i="41"/>
  <c r="M13" i="41"/>
  <c r="R12" i="41"/>
  <c r="M12" i="41"/>
  <c r="R11" i="41"/>
  <c r="M11" i="41"/>
  <c r="K82" i="40"/>
  <c r="K81" i="40"/>
  <c r="K80" i="40"/>
  <c r="K79" i="40"/>
  <c r="K78" i="40"/>
  <c r="B78" i="40"/>
  <c r="K77" i="40"/>
  <c r="B77" i="40"/>
  <c r="L76" i="40"/>
  <c r="K76" i="40"/>
  <c r="B76" i="40"/>
  <c r="L75" i="40"/>
  <c r="D47" i="40" s="1"/>
  <c r="K75" i="40"/>
  <c r="B75" i="40"/>
  <c r="L74" i="40"/>
  <c r="K74" i="40"/>
  <c r="B74" i="40"/>
  <c r="L73" i="40"/>
  <c r="D45" i="40" s="1"/>
  <c r="E45" i="40" s="1"/>
  <c r="K73" i="40"/>
  <c r="B73" i="40"/>
  <c r="K71" i="40"/>
  <c r="B71" i="40"/>
  <c r="K70" i="40"/>
  <c r="K69" i="40"/>
  <c r="K68" i="40"/>
  <c r="B68" i="40"/>
  <c r="B67" i="40"/>
  <c r="K66" i="40"/>
  <c r="B66" i="40"/>
  <c r="K65" i="40"/>
  <c r="B65" i="40"/>
  <c r="K64" i="40"/>
  <c r="B64" i="40"/>
  <c r="K63" i="40"/>
  <c r="B63" i="40"/>
  <c r="L62" i="40"/>
  <c r="C45" i="40" s="1"/>
  <c r="K62" i="40"/>
  <c r="B62" i="40"/>
  <c r="B54" i="40"/>
  <c r="B53" i="40"/>
  <c r="B52" i="40"/>
  <c r="B51" i="40"/>
  <c r="B50" i="40"/>
  <c r="B49" i="40"/>
  <c r="D48" i="40"/>
  <c r="B48" i="40"/>
  <c r="B47" i="40"/>
  <c r="D46" i="40"/>
  <c r="B46" i="40"/>
  <c r="B45" i="40"/>
  <c r="B41" i="40"/>
  <c r="B40" i="40"/>
  <c r="B39" i="40"/>
  <c r="B38" i="40"/>
  <c r="B37" i="40"/>
  <c r="B36" i="40"/>
  <c r="B35" i="40"/>
  <c r="B34" i="40"/>
  <c r="R20" i="40"/>
  <c r="R19" i="40"/>
  <c r="R18" i="40"/>
  <c r="M18" i="40"/>
  <c r="R17" i="40"/>
  <c r="M17" i="40"/>
  <c r="R16" i="40"/>
  <c r="M16" i="40"/>
  <c r="R15" i="40"/>
  <c r="M15" i="40"/>
  <c r="R14" i="40"/>
  <c r="M14" i="40"/>
  <c r="R13" i="40"/>
  <c r="M13" i="40"/>
  <c r="R12" i="40"/>
  <c r="M12" i="40"/>
  <c r="R11" i="40"/>
  <c r="M11" i="40"/>
  <c r="K82" i="39"/>
  <c r="K81" i="39"/>
  <c r="K80" i="39"/>
  <c r="K79" i="39"/>
  <c r="K78" i="39"/>
  <c r="B78" i="39"/>
  <c r="K77" i="39"/>
  <c r="B77" i="39"/>
  <c r="L76" i="39"/>
  <c r="D48" i="39" s="1"/>
  <c r="K76" i="39"/>
  <c r="B76" i="39"/>
  <c r="L75" i="39"/>
  <c r="B75" i="39"/>
  <c r="L74" i="39"/>
  <c r="K74" i="39"/>
  <c r="B74" i="39"/>
  <c r="L73" i="39"/>
  <c r="K73" i="39"/>
  <c r="B73" i="39"/>
  <c r="B72" i="39"/>
  <c r="K71" i="39"/>
  <c r="B71" i="39"/>
  <c r="K70" i="39"/>
  <c r="K69" i="39"/>
  <c r="K68" i="39"/>
  <c r="B68" i="39"/>
  <c r="K67" i="39"/>
  <c r="B67" i="39"/>
  <c r="K66" i="39"/>
  <c r="B66" i="39"/>
  <c r="K65" i="39"/>
  <c r="B65" i="39"/>
  <c r="K64" i="39"/>
  <c r="B64" i="39"/>
  <c r="K63" i="39"/>
  <c r="B63" i="39"/>
  <c r="L62" i="39"/>
  <c r="K62" i="39"/>
  <c r="B62" i="39"/>
  <c r="B54" i="39"/>
  <c r="B53" i="39"/>
  <c r="B52" i="39"/>
  <c r="B51" i="39"/>
  <c r="B50" i="39"/>
  <c r="B49" i="39"/>
  <c r="B48" i="39"/>
  <c r="D47" i="39"/>
  <c r="B47" i="39"/>
  <c r="D46" i="39"/>
  <c r="B46" i="39"/>
  <c r="E45" i="39"/>
  <c r="D45" i="39"/>
  <c r="C45" i="39"/>
  <c r="B45" i="39"/>
  <c r="B41" i="39"/>
  <c r="B40" i="39"/>
  <c r="B39" i="39"/>
  <c r="B38" i="39"/>
  <c r="B37" i="39"/>
  <c r="B36" i="39"/>
  <c r="B35" i="39"/>
  <c r="B34" i="39"/>
  <c r="R20" i="39"/>
  <c r="R19" i="39"/>
  <c r="R18" i="39"/>
  <c r="M18" i="39"/>
  <c r="R17" i="39"/>
  <c r="M17" i="39"/>
  <c r="R16" i="39"/>
  <c r="M16" i="39"/>
  <c r="R15" i="39"/>
  <c r="M15" i="39"/>
  <c r="R14" i="39"/>
  <c r="M14" i="39"/>
  <c r="R13" i="39"/>
  <c r="M13" i="39"/>
  <c r="R12" i="39"/>
  <c r="M12" i="39"/>
  <c r="R11" i="39"/>
  <c r="M11" i="39"/>
  <c r="M53" i="38"/>
  <c r="L53" i="38"/>
  <c r="K53" i="38"/>
  <c r="J53" i="38"/>
  <c r="I53" i="38"/>
  <c r="H53" i="38"/>
  <c r="G53" i="38"/>
  <c r="E53" i="38"/>
  <c r="M48" i="38"/>
  <c r="L48" i="38"/>
  <c r="K48" i="38"/>
  <c r="J48" i="38"/>
  <c r="I48" i="38"/>
  <c r="H48" i="38"/>
  <c r="G48" i="38"/>
  <c r="E48" i="38"/>
  <c r="M36" i="38"/>
  <c r="L36" i="38"/>
  <c r="K36" i="38"/>
  <c r="J36" i="38"/>
  <c r="I36" i="38"/>
  <c r="H36" i="38"/>
  <c r="G36" i="38"/>
  <c r="E36" i="38"/>
  <c r="M20" i="38"/>
  <c r="L20" i="38"/>
  <c r="K20" i="38"/>
  <c r="J20" i="38"/>
  <c r="I20" i="38"/>
  <c r="H20" i="38"/>
  <c r="G20" i="38"/>
  <c r="E20" i="38"/>
  <c r="M5" i="38"/>
  <c r="L5" i="38"/>
  <c r="K5" i="38"/>
  <c r="J5" i="38"/>
  <c r="I5" i="38"/>
  <c r="H5" i="38"/>
  <c r="G5" i="38"/>
  <c r="E5" i="38"/>
  <c r="M41" i="37"/>
  <c r="L41" i="37"/>
  <c r="K41" i="37"/>
  <c r="J41" i="37"/>
  <c r="I41" i="37"/>
  <c r="H41" i="37"/>
  <c r="G41" i="37"/>
  <c r="E41" i="37"/>
  <c r="S35" i="37"/>
  <c r="S34" i="37"/>
  <c r="S33" i="37"/>
  <c r="S32" i="37"/>
  <c r="M32" i="37"/>
  <c r="L32" i="37"/>
  <c r="K32" i="37"/>
  <c r="J32" i="37"/>
  <c r="I32" i="37"/>
  <c r="H32" i="37"/>
  <c r="G32" i="37"/>
  <c r="E32" i="37"/>
  <c r="S31" i="37"/>
  <c r="S30" i="37"/>
  <c r="S29" i="37"/>
  <c r="D48" i="36"/>
  <c r="C48" i="36"/>
  <c r="D19" i="36"/>
  <c r="H38" i="19"/>
  <c r="L38" i="19" s="1"/>
  <c r="F38" i="19"/>
  <c r="E38" i="19" s="1"/>
  <c r="F28" i="4"/>
  <c r="V32" i="20"/>
  <c r="R32" i="20"/>
  <c r="N32" i="20"/>
  <c r="J32" i="20"/>
  <c r="F32" i="20"/>
  <c r="D32" i="20"/>
  <c r="T15" i="19"/>
  <c r="D15" i="19"/>
  <c r="T15" i="14"/>
  <c r="P15" i="14"/>
  <c r="L15" i="14"/>
  <c r="H15" i="14"/>
  <c r="D15" i="14"/>
  <c r="D88" i="8"/>
  <c r="D84" i="8"/>
  <c r="E10" i="2"/>
  <c r="C6" i="22"/>
  <c r="U43" i="19"/>
  <c r="U41" i="19"/>
  <c r="U32" i="19"/>
  <c r="U31" i="19"/>
  <c r="Q43" i="19"/>
  <c r="Q41" i="19"/>
  <c r="Q32" i="19"/>
  <c r="Q31" i="19"/>
  <c r="M43" i="19"/>
  <c r="M41" i="19"/>
  <c r="M32" i="19"/>
  <c r="M31" i="19"/>
  <c r="I43" i="19"/>
  <c r="I41" i="19"/>
  <c r="I32" i="19"/>
  <c r="I31" i="19"/>
  <c r="J44" i="19"/>
  <c r="N44" i="19" s="1"/>
  <c r="R44" i="19" s="1"/>
  <c r="V44" i="19" s="1"/>
  <c r="H49" i="19"/>
  <c r="L49" i="19" s="1"/>
  <c r="F49" i="19"/>
  <c r="E49" i="19" s="1"/>
  <c r="H15" i="19" l="1"/>
  <c r="L15" i="19"/>
  <c r="E48" i="36"/>
  <c r="E45" i="41"/>
  <c r="K75" i="46"/>
  <c r="K75" i="42"/>
  <c r="K75" i="43"/>
  <c r="K75" i="45"/>
  <c r="K75" i="44"/>
  <c r="K75" i="39"/>
  <c r="K75" i="41"/>
  <c r="D83" i="48"/>
  <c r="D123" i="48"/>
  <c r="AD3" i="48"/>
  <c r="AD45" i="48"/>
  <c r="Q17" i="48"/>
  <c r="D118" i="48"/>
  <c r="D101" i="48"/>
  <c r="B69" i="41"/>
  <c r="T44" i="48"/>
  <c r="S44" i="48"/>
  <c r="R44" i="48"/>
  <c r="T80" i="48" s="1"/>
  <c r="Q44" i="48"/>
  <c r="Q130" i="48" s="1"/>
  <c r="X44" i="48"/>
  <c r="W44" i="48"/>
  <c r="V44" i="48"/>
  <c r="E130" i="48"/>
  <c r="E147" i="48"/>
  <c r="E152" i="48"/>
  <c r="C45" i="42"/>
  <c r="F152" i="48"/>
  <c r="F147" i="48"/>
  <c r="F130" i="48"/>
  <c r="B69" i="43"/>
  <c r="B69" i="44"/>
  <c r="B69" i="39"/>
  <c r="B69" i="40"/>
  <c r="E45" i="45"/>
  <c r="K67" i="44"/>
  <c r="K67" i="45"/>
  <c r="K67" i="46"/>
  <c r="K67" i="40"/>
  <c r="K67" i="43"/>
  <c r="K67" i="42"/>
  <c r="K67" i="41"/>
  <c r="G152" i="48"/>
  <c r="G147" i="48"/>
  <c r="G130" i="48"/>
  <c r="B69" i="45"/>
  <c r="C45" i="46"/>
  <c r="E45" i="46" s="1"/>
  <c r="B72" i="44"/>
  <c r="B72" i="45"/>
  <c r="B72" i="40"/>
  <c r="B72" i="41"/>
  <c r="B66" i="45"/>
  <c r="B66" i="46"/>
  <c r="B66" i="42"/>
  <c r="K66" i="46"/>
  <c r="K66" i="42"/>
  <c r="K66" i="43"/>
  <c r="K62" i="46"/>
  <c r="K62" i="42"/>
  <c r="K62" i="43"/>
  <c r="B73" i="45"/>
  <c r="B73" i="46"/>
  <c r="B73" i="42"/>
  <c r="C67" i="48"/>
  <c r="C62" i="48"/>
  <c r="K74" i="44"/>
  <c r="K74" i="45"/>
  <c r="C59" i="48"/>
  <c r="W66" i="48"/>
  <c r="V43" i="48"/>
  <c r="U43" i="48"/>
  <c r="T43" i="48"/>
  <c r="S43" i="48"/>
  <c r="E83" i="48"/>
  <c r="E123" i="48"/>
  <c r="AE45" i="48"/>
  <c r="R17" i="48"/>
  <c r="F123" i="48"/>
  <c r="F118" i="48"/>
  <c r="AF45" i="48"/>
  <c r="S17" i="48"/>
  <c r="E118" i="48"/>
  <c r="R130" i="48"/>
  <c r="U66" i="48"/>
  <c r="G123" i="48"/>
  <c r="G118" i="48"/>
  <c r="T17" i="48"/>
  <c r="V66" i="48"/>
  <c r="Q80" i="48"/>
  <c r="F83" i="48"/>
  <c r="X45" i="48"/>
  <c r="C63" i="48"/>
  <c r="K64" i="36" s="1"/>
  <c r="U65" i="48"/>
  <c r="C68" i="48"/>
  <c r="H123" i="48"/>
  <c r="H118" i="48"/>
  <c r="H101" i="48"/>
  <c r="X77" i="48"/>
  <c r="X78" i="48" s="1"/>
  <c r="H83" i="48"/>
  <c r="Q105" i="48"/>
  <c r="V65" i="48"/>
  <c r="I123" i="48"/>
  <c r="I118" i="48"/>
  <c r="I101" i="48"/>
  <c r="Q77" i="48"/>
  <c r="Q78" i="48" s="1"/>
  <c r="I83" i="48"/>
  <c r="T90" i="48"/>
  <c r="X138" i="48"/>
  <c r="V138" i="48"/>
  <c r="U138" i="48"/>
  <c r="T138" i="48"/>
  <c r="S138" i="48"/>
  <c r="X105" i="48"/>
  <c r="S90" i="48"/>
  <c r="W138" i="48"/>
  <c r="W105" i="48"/>
  <c r="R90" i="48"/>
  <c r="R138" i="48"/>
  <c r="V105" i="48"/>
  <c r="Q90" i="48"/>
  <c r="Q138" i="48"/>
  <c r="U105" i="48"/>
  <c r="X90" i="48"/>
  <c r="W65" i="48"/>
  <c r="J101" i="48"/>
  <c r="J123" i="48"/>
  <c r="J83" i="48"/>
  <c r="R77" i="48"/>
  <c r="R78" i="48" s="1"/>
  <c r="U90" i="48"/>
  <c r="S105" i="48"/>
  <c r="X65" i="48"/>
  <c r="X66" i="48" s="1"/>
  <c r="K123" i="48"/>
  <c r="K118" i="48"/>
  <c r="K101" i="48"/>
  <c r="K83" i="48"/>
  <c r="S77" i="48"/>
  <c r="S78" i="48" s="1"/>
  <c r="V90" i="48"/>
  <c r="T105" i="48"/>
  <c r="P38" i="19"/>
  <c r="N38" i="19"/>
  <c r="M38" i="19" s="1"/>
  <c r="J38" i="19"/>
  <c r="I38" i="19" s="1"/>
  <c r="P49" i="19"/>
  <c r="N49" i="19"/>
  <c r="M49" i="19" s="1"/>
  <c r="J49" i="19"/>
  <c r="I49" i="19" s="1"/>
  <c r="H152" i="48" l="1"/>
  <c r="H147" i="48"/>
  <c r="H130" i="48"/>
  <c r="K152" i="48"/>
  <c r="K147" i="48"/>
  <c r="K130" i="48"/>
  <c r="E159" i="48"/>
  <c r="E181" i="48"/>
  <c r="E176" i="48"/>
  <c r="J152" i="48"/>
  <c r="J147" i="48"/>
  <c r="J130" i="48"/>
  <c r="C64" i="48"/>
  <c r="K65" i="36" s="1"/>
  <c r="K63" i="36"/>
  <c r="D130" i="48"/>
  <c r="D147" i="48"/>
  <c r="D152" i="48"/>
  <c r="I152" i="48"/>
  <c r="I147" i="48"/>
  <c r="I130" i="48"/>
  <c r="S80" i="48"/>
  <c r="R80" i="48"/>
  <c r="S130" i="48"/>
  <c r="U130" i="48"/>
  <c r="U80" i="48"/>
  <c r="K62" i="36"/>
  <c r="G181" i="48"/>
  <c r="G176" i="48"/>
  <c r="G159" i="48"/>
  <c r="E45" i="42"/>
  <c r="F181" i="48"/>
  <c r="F176" i="48"/>
  <c r="F159" i="48"/>
  <c r="T130" i="48"/>
  <c r="X130" i="48"/>
  <c r="V130" i="48"/>
  <c r="W130" i="48"/>
  <c r="X80" i="48"/>
  <c r="W80" i="48"/>
  <c r="V80" i="48"/>
  <c r="R38" i="19"/>
  <c r="Q38" i="19" s="1"/>
  <c r="T38" i="19"/>
  <c r="V38" i="19" s="1"/>
  <c r="U38" i="19" s="1"/>
  <c r="T49" i="19"/>
  <c r="V49" i="19" s="1"/>
  <c r="U49" i="19" s="1"/>
  <c r="R49" i="19"/>
  <c r="Q49" i="19" s="1"/>
  <c r="I181" i="48" l="1"/>
  <c r="I176" i="48"/>
  <c r="I159" i="48"/>
  <c r="H181" i="48"/>
  <c r="H176" i="48"/>
  <c r="H159" i="48"/>
  <c r="K181" i="48"/>
  <c r="K176" i="48"/>
  <c r="K159" i="48"/>
  <c r="J181" i="48"/>
  <c r="J176" i="48"/>
  <c r="J159" i="48"/>
  <c r="D159" i="48"/>
  <c r="D181" i="48"/>
  <c r="D176" i="48"/>
  <c r="E43" i="19"/>
  <c r="F35" i="19"/>
  <c r="E31" i="19"/>
  <c r="F50" i="19"/>
  <c r="E50" i="19" s="1"/>
  <c r="F48" i="19"/>
  <c r="E48" i="19" s="1"/>
  <c r="F47" i="19"/>
  <c r="E47" i="19" s="1"/>
  <c r="F46" i="19"/>
  <c r="E46" i="19" s="1"/>
  <c r="F45" i="19"/>
  <c r="E45" i="19" s="1"/>
  <c r="F39" i="19"/>
  <c r="E39" i="19" s="1"/>
  <c r="U24" i="19"/>
  <c r="U21" i="19"/>
  <c r="Q24" i="19"/>
  <c r="Q21" i="19"/>
  <c r="M24" i="19"/>
  <c r="M21" i="19"/>
  <c r="I24" i="19"/>
  <c r="I21" i="19"/>
  <c r="E21" i="19"/>
  <c r="E24" i="19"/>
  <c r="H52" i="9" l="1"/>
  <c r="H78" i="9"/>
  <c r="H80" i="9"/>
  <c r="H55" i="9"/>
  <c r="H54" i="9"/>
  <c r="H81" i="9"/>
  <c r="H44" i="9"/>
  <c r="H83" i="9"/>
  <c r="H57" i="9"/>
  <c r="D7" i="9"/>
  <c r="F31" i="8" l="1"/>
  <c r="H29" i="11" l="1"/>
  <c r="D26" i="11"/>
  <c r="D25" i="11"/>
  <c r="D18" i="11"/>
  <c r="D11" i="11"/>
  <c r="D10" i="11"/>
  <c r="D9" i="11"/>
  <c r="G9" i="2" l="1"/>
  <c r="E9" i="2" l="1"/>
  <c r="F9" i="2"/>
  <c r="L15" i="17" l="1"/>
  <c r="I14" i="17"/>
  <c r="Q14" i="17" s="1"/>
  <c r="U14" i="17" s="1"/>
  <c r="T15" i="17" s="1"/>
  <c r="D15" i="18"/>
  <c r="I14" i="18"/>
  <c r="H15" i="18" s="1"/>
  <c r="M14" i="18" l="1"/>
  <c r="P15" i="17"/>
  <c r="Q14" i="18" l="1"/>
  <c r="L15" i="18"/>
  <c r="U14" i="18" l="1"/>
  <c r="T15" i="18" s="1"/>
  <c r="P15" i="18"/>
  <c r="D4" i="22" l="1"/>
  <c r="B4" i="22"/>
  <c r="C109" i="22"/>
  <c r="C7" i="22"/>
  <c r="C5" i="22"/>
  <c r="C83" i="22"/>
  <c r="C43" i="22"/>
  <c r="BE15" i="22" l="1"/>
  <c r="BF15" i="22"/>
  <c r="BG15" i="22"/>
  <c r="BH15" i="22"/>
  <c r="BE14" i="22"/>
  <c r="BF14" i="22"/>
  <c r="BG14" i="22"/>
  <c r="J65" i="3" l="1"/>
  <c r="C70" i="22" l="1"/>
  <c r="B70" i="22"/>
  <c r="C90" i="22"/>
  <c r="B90" i="22"/>
  <c r="C89" i="22"/>
  <c r="D14" i="22"/>
  <c r="C86" i="22"/>
  <c r="C84" i="22"/>
  <c r="C96" i="22" s="1"/>
  <c r="C68" i="22"/>
  <c r="C69" i="22"/>
  <c r="B68" i="22"/>
  <c r="B69" i="22"/>
  <c r="C72" i="22"/>
  <c r="C73" i="22"/>
  <c r="C74" i="22"/>
  <c r="C75" i="22"/>
  <c r="C76" i="22"/>
  <c r="C71" i="22"/>
  <c r="B72" i="22"/>
  <c r="B73" i="22"/>
  <c r="B74" i="22"/>
  <c r="B75" i="22"/>
  <c r="B76" i="22"/>
  <c r="B71" i="22"/>
  <c r="B63" i="22"/>
  <c r="B64" i="22"/>
  <c r="B65" i="22"/>
  <c r="B66" i="22"/>
  <c r="B67" i="22"/>
  <c r="B62" i="22"/>
  <c r="B89" i="8" l="1"/>
  <c r="H27" i="11" l="1"/>
  <c r="H26" i="11"/>
  <c r="BH33" i="22" l="1"/>
  <c r="BH36" i="22" s="1"/>
  <c r="BH39" i="22"/>
  <c r="BH42" i="22"/>
  <c r="BH24" i="22"/>
  <c r="BH30" i="22"/>
  <c r="BH27" i="22" s="1"/>
  <c r="BH14" i="22"/>
  <c r="B14" i="22"/>
  <c r="BH16" i="22"/>
  <c r="BH18" i="22"/>
  <c r="BH21" i="22"/>
  <c r="B30" i="22"/>
  <c r="B27" i="22"/>
  <c r="B21" i="22"/>
  <c r="B18" i="22"/>
  <c r="B16" i="22"/>
  <c r="D85" i="8" l="1"/>
  <c r="C85" i="8"/>
  <c r="C121" i="11"/>
  <c r="D26" i="2"/>
  <c r="D24" i="22" l="1"/>
  <c r="D39" i="2" l="1"/>
  <c r="E11" i="4" l="1"/>
  <c r="E97" i="3" l="1"/>
  <c r="D97" i="3"/>
  <c r="H35" i="19" l="1"/>
  <c r="L35" i="19" s="1"/>
  <c r="P35" i="19" s="1"/>
  <c r="T35" i="19" s="1"/>
  <c r="D16" i="19"/>
  <c r="C33" i="11" l="1"/>
  <c r="D15" i="22" l="1"/>
  <c r="Y10" i="9"/>
  <c r="F10" i="8" l="1"/>
  <c r="F13" i="8"/>
  <c r="F12" i="8"/>
  <c r="B85" i="8" l="1"/>
  <c r="I3" i="11" l="1"/>
  <c r="D3" i="3" l="1"/>
  <c r="G3" i="8" l="1"/>
  <c r="D2" i="3"/>
  <c r="G2" i="8" s="1"/>
  <c r="C2" i="22" s="1"/>
  <c r="D3" i="4"/>
  <c r="D2" i="4"/>
  <c r="AG1" i="5"/>
  <c r="V1" i="5"/>
  <c r="C3" i="6"/>
  <c r="C2" i="6"/>
  <c r="J6" i="6" l="1"/>
  <c r="AB7" i="5"/>
  <c r="N6" i="4"/>
  <c r="F29" i="8" l="1"/>
  <c r="F28" i="8"/>
  <c r="F27" i="8"/>
  <c r="F26" i="8"/>
  <c r="B74" i="11" l="1"/>
  <c r="H50" i="19" l="1"/>
  <c r="H46" i="19"/>
  <c r="H47" i="19"/>
  <c r="H48" i="19"/>
  <c r="H45" i="19"/>
  <c r="L46" i="19" l="1"/>
  <c r="J47" i="19"/>
  <c r="I47" i="19" s="1"/>
  <c r="J45" i="19"/>
  <c r="I45" i="19" s="1"/>
  <c r="L50" i="19"/>
  <c r="L48" i="19"/>
  <c r="J46" i="19"/>
  <c r="I46" i="19" s="1"/>
  <c r="J48" i="19"/>
  <c r="I48" i="19" s="1"/>
  <c r="P48" i="19"/>
  <c r="N46" i="19"/>
  <c r="M46" i="19" s="1"/>
  <c r="P46" i="19"/>
  <c r="J50" i="19"/>
  <c r="I50" i="19" s="1"/>
  <c r="L45" i="19"/>
  <c r="L47" i="19"/>
  <c r="P50" i="19" l="1"/>
  <c r="Q50" i="19" s="1"/>
  <c r="N50" i="19"/>
  <c r="M50" i="19" s="1"/>
  <c r="N48" i="19"/>
  <c r="M48" i="19" s="1"/>
  <c r="T46" i="19"/>
  <c r="P45" i="19"/>
  <c r="N45" i="19"/>
  <c r="M45" i="19" s="1"/>
  <c r="R48" i="19"/>
  <c r="Q48" i="19" s="1"/>
  <c r="T48" i="19"/>
  <c r="P47" i="19"/>
  <c r="N47" i="19"/>
  <c r="M47" i="19" s="1"/>
  <c r="T50" i="19" l="1"/>
  <c r="U50" i="19" s="1"/>
  <c r="V48" i="19"/>
  <c r="U48" i="19" s="1"/>
  <c r="T47" i="19"/>
  <c r="T45" i="19"/>
  <c r="Y89" i="9"/>
  <c r="Y76" i="9"/>
  <c r="Y63" i="9"/>
  <c r="Y50" i="9"/>
  <c r="Y37" i="9"/>
  <c r="H84" i="9"/>
  <c r="H82" i="9"/>
  <c r="F19" i="8" l="1"/>
  <c r="V43" i="20" l="1"/>
  <c r="R43" i="20"/>
  <c r="T43" i="20" s="1"/>
  <c r="N43" i="20"/>
  <c r="P43" i="20" s="1"/>
  <c r="J43" i="20"/>
  <c r="L43" i="20" s="1"/>
  <c r="F43" i="20"/>
  <c r="H43" i="20" s="1"/>
  <c r="D43" i="20"/>
  <c r="V44" i="20"/>
  <c r="R44" i="20"/>
  <c r="T44" i="20" s="1"/>
  <c r="N44" i="20"/>
  <c r="P44" i="20" s="1"/>
  <c r="J44" i="20"/>
  <c r="L44" i="20" s="1"/>
  <c r="F44" i="20"/>
  <c r="H44" i="20" s="1"/>
  <c r="D44" i="20"/>
  <c r="V40" i="20"/>
  <c r="R40" i="20"/>
  <c r="T40" i="20" s="1"/>
  <c r="N40" i="20"/>
  <c r="P40" i="20" s="1"/>
  <c r="J40" i="20"/>
  <c r="L40" i="20" s="1"/>
  <c r="F40" i="20"/>
  <c r="H40" i="20" s="1"/>
  <c r="D40" i="20"/>
  <c r="V39" i="20"/>
  <c r="R39" i="20"/>
  <c r="T39" i="20" s="1"/>
  <c r="N39" i="20"/>
  <c r="P39" i="20" s="1"/>
  <c r="J39" i="20"/>
  <c r="L39" i="20" s="1"/>
  <c r="F39" i="20"/>
  <c r="H39" i="20" s="1"/>
  <c r="D39" i="20"/>
  <c r="V30" i="20"/>
  <c r="R30" i="20"/>
  <c r="T30" i="20" s="1"/>
  <c r="N30" i="20"/>
  <c r="P30" i="20" s="1"/>
  <c r="J30" i="20"/>
  <c r="L30" i="20" s="1"/>
  <c r="F30" i="20"/>
  <c r="H30" i="20" s="1"/>
  <c r="D30" i="20"/>
  <c r="V35" i="20"/>
  <c r="R35" i="20"/>
  <c r="T35" i="20" s="1"/>
  <c r="N35" i="20"/>
  <c r="P35" i="20" s="1"/>
  <c r="J35" i="20"/>
  <c r="L35" i="20" s="1"/>
  <c r="F35" i="20"/>
  <c r="H35" i="20" s="1"/>
  <c r="D35" i="20"/>
  <c r="V34" i="20"/>
  <c r="R34" i="20"/>
  <c r="T34" i="20" s="1"/>
  <c r="N34" i="20"/>
  <c r="P34" i="20" s="1"/>
  <c r="J34" i="20"/>
  <c r="L34" i="20" s="1"/>
  <c r="F34" i="20"/>
  <c r="H34" i="20" s="1"/>
  <c r="D34" i="20"/>
  <c r="V42" i="20"/>
  <c r="R42" i="20"/>
  <c r="T42" i="20" s="1"/>
  <c r="N42" i="20"/>
  <c r="P42" i="20" s="1"/>
  <c r="J42" i="20"/>
  <c r="L42" i="20" s="1"/>
  <c r="F42" i="20"/>
  <c r="H42" i="20" s="1"/>
  <c r="D42" i="20"/>
  <c r="V33" i="20"/>
  <c r="R33" i="20"/>
  <c r="T33" i="20" s="1"/>
  <c r="N33" i="20"/>
  <c r="P33" i="20" s="1"/>
  <c r="J33" i="20"/>
  <c r="L33" i="20" s="1"/>
  <c r="F33" i="20"/>
  <c r="H33" i="20" s="1"/>
  <c r="D33" i="20"/>
  <c r="T32" i="20"/>
  <c r="P32" i="20"/>
  <c r="L32" i="20"/>
  <c r="H32" i="20"/>
  <c r="V38" i="20"/>
  <c r="R38" i="20"/>
  <c r="T38" i="20" s="1"/>
  <c r="N38" i="20"/>
  <c r="P38" i="20" s="1"/>
  <c r="J38" i="20"/>
  <c r="L38" i="20" s="1"/>
  <c r="F38" i="20"/>
  <c r="H38" i="20" s="1"/>
  <c r="D38" i="20"/>
  <c r="V28" i="20"/>
  <c r="R28" i="20"/>
  <c r="T28" i="20" s="1"/>
  <c r="N28" i="20"/>
  <c r="P28" i="20" s="1"/>
  <c r="J28" i="20"/>
  <c r="L28" i="20" s="1"/>
  <c r="F28" i="20"/>
  <c r="H28" i="20" s="1"/>
  <c r="D28" i="20"/>
  <c r="V27" i="20"/>
  <c r="R27" i="20"/>
  <c r="T27" i="20" s="1"/>
  <c r="N27" i="20"/>
  <c r="P27" i="20" s="1"/>
  <c r="J27" i="20"/>
  <c r="L27" i="20" s="1"/>
  <c r="F27" i="20"/>
  <c r="H27" i="20" s="1"/>
  <c r="D27" i="20"/>
  <c r="V37" i="20"/>
  <c r="R37" i="20"/>
  <c r="T37" i="20" s="1"/>
  <c r="N37" i="20"/>
  <c r="P37" i="20" s="1"/>
  <c r="J37" i="20"/>
  <c r="L37" i="20" s="1"/>
  <c r="F37" i="20"/>
  <c r="H37" i="20" s="1"/>
  <c r="D37" i="20"/>
  <c r="V22" i="20"/>
  <c r="R22" i="20"/>
  <c r="T22" i="20" s="1"/>
  <c r="N22" i="20"/>
  <c r="P22" i="20" s="1"/>
  <c r="J22" i="20"/>
  <c r="L22" i="20" s="1"/>
  <c r="F22" i="20"/>
  <c r="H22" i="20" s="1"/>
  <c r="D22" i="20"/>
  <c r="V21" i="20"/>
  <c r="R21" i="20"/>
  <c r="T21" i="20" s="1"/>
  <c r="N21" i="20"/>
  <c r="P21" i="20" s="1"/>
  <c r="J21" i="20"/>
  <c r="L21" i="20" s="1"/>
  <c r="F21" i="20"/>
  <c r="H21" i="20" s="1"/>
  <c r="D21" i="20"/>
  <c r="AA20" i="20"/>
  <c r="Z20" i="20"/>
  <c r="Y20" i="20"/>
  <c r="X20" i="20"/>
  <c r="V17" i="20"/>
  <c r="T17" i="20"/>
  <c r="R17" i="20" s="1"/>
  <c r="P17" i="20"/>
  <c r="N17" i="20" s="1"/>
  <c r="L17" i="20"/>
  <c r="J17" i="20" s="1"/>
  <c r="H17" i="20"/>
  <c r="F17" i="20" s="1"/>
  <c r="D17" i="20"/>
  <c r="V16" i="20"/>
  <c r="R16" i="20"/>
  <c r="T16" i="20" s="1"/>
  <c r="N16" i="20"/>
  <c r="P16" i="20" s="1"/>
  <c r="J16" i="20"/>
  <c r="L16" i="20" s="1"/>
  <c r="F16" i="20"/>
  <c r="H16" i="20" s="1"/>
  <c r="D16" i="20"/>
  <c r="V15" i="20"/>
  <c r="R15" i="20"/>
  <c r="T15" i="20" s="1"/>
  <c r="N15" i="20"/>
  <c r="P15" i="20" s="1"/>
  <c r="J15" i="20"/>
  <c r="L15" i="20" s="1"/>
  <c r="F15" i="20"/>
  <c r="H15" i="20" s="1"/>
  <c r="D15" i="20"/>
  <c r="T11" i="20"/>
  <c r="P11" i="20"/>
  <c r="L11" i="20"/>
  <c r="H11" i="20"/>
  <c r="V47" i="19"/>
  <c r="U47" i="19" s="1"/>
  <c r="R47" i="19"/>
  <c r="Q47" i="19" s="1"/>
  <c r="V46" i="19"/>
  <c r="U46" i="19" s="1"/>
  <c r="R46" i="19"/>
  <c r="Q46" i="19" s="1"/>
  <c r="V45" i="19"/>
  <c r="U45" i="19" s="1"/>
  <c r="R45" i="19"/>
  <c r="Q45" i="19" s="1"/>
  <c r="E41" i="19"/>
  <c r="AA39" i="19"/>
  <c r="Z39" i="19"/>
  <c r="Y39" i="19"/>
  <c r="X39" i="19"/>
  <c r="V39" i="19"/>
  <c r="U39" i="19" s="1"/>
  <c r="R39" i="19"/>
  <c r="Q39" i="19" s="1"/>
  <c r="N39" i="19"/>
  <c r="M39" i="19" s="1"/>
  <c r="J39" i="19"/>
  <c r="I39" i="19" s="1"/>
  <c r="V35" i="19"/>
  <c r="R35" i="19"/>
  <c r="N35" i="19"/>
  <c r="J35" i="19"/>
  <c r="E32" i="19"/>
  <c r="AA27" i="19"/>
  <c r="Z27" i="19"/>
  <c r="Y27" i="19"/>
  <c r="X27" i="19"/>
  <c r="W27" i="19"/>
  <c r="AA25" i="19"/>
  <c r="Z25" i="19"/>
  <c r="Y25" i="19"/>
  <c r="X25" i="19"/>
  <c r="W25" i="19"/>
  <c r="AA24" i="19"/>
  <c r="Z24" i="19"/>
  <c r="Y24" i="19"/>
  <c r="X24" i="19"/>
  <c r="W24" i="19"/>
  <c r="AA21" i="19"/>
  <c r="Z21" i="19"/>
  <c r="Y21" i="19"/>
  <c r="X21" i="19"/>
  <c r="N17" i="19"/>
  <c r="J17" i="19"/>
  <c r="H17" i="19" s="1"/>
  <c r="F17" i="19"/>
  <c r="F20" i="19" s="1"/>
  <c r="T11" i="19"/>
  <c r="P11" i="19"/>
  <c r="L11" i="19"/>
  <c r="H11" i="19"/>
  <c r="J1" i="19"/>
  <c r="U42" i="18"/>
  <c r="Q42" i="18"/>
  <c r="M42" i="18"/>
  <c r="I42" i="18"/>
  <c r="E42" i="18"/>
  <c r="U34" i="18"/>
  <c r="Q34" i="18"/>
  <c r="M34" i="18"/>
  <c r="I34" i="18"/>
  <c r="E34" i="18"/>
  <c r="E25" i="18"/>
  <c r="U24" i="18"/>
  <c r="Q24" i="18"/>
  <c r="M24" i="18"/>
  <c r="I24" i="18"/>
  <c r="E24" i="18"/>
  <c r="AA21" i="18"/>
  <c r="Z21" i="18"/>
  <c r="Y21" i="18"/>
  <c r="X21" i="18"/>
  <c r="U21" i="18"/>
  <c r="Q21" i="18"/>
  <c r="M21" i="18"/>
  <c r="I21" i="18"/>
  <c r="E21" i="18"/>
  <c r="T11" i="18"/>
  <c r="P11" i="18"/>
  <c r="L11" i="18"/>
  <c r="H11" i="18"/>
  <c r="U39" i="17"/>
  <c r="Q39" i="17"/>
  <c r="M39" i="17"/>
  <c r="I39" i="17"/>
  <c r="E39" i="17"/>
  <c r="U34" i="17"/>
  <c r="Q34" i="17"/>
  <c r="M34" i="17"/>
  <c r="I34" i="17"/>
  <c r="E34" i="17"/>
  <c r="AA21" i="17"/>
  <c r="Z21" i="17"/>
  <c r="Y21" i="17"/>
  <c r="X21" i="17"/>
  <c r="U21" i="17"/>
  <c r="Q21" i="17"/>
  <c r="M21" i="17"/>
  <c r="I21" i="17"/>
  <c r="E21" i="17"/>
  <c r="H16" i="17"/>
  <c r="D16" i="17"/>
  <c r="H15" i="17"/>
  <c r="D15" i="17"/>
  <c r="T11" i="17"/>
  <c r="P11" i="17"/>
  <c r="L11" i="17"/>
  <c r="H11" i="17"/>
  <c r="H38" i="16"/>
  <c r="L38" i="16" s="1"/>
  <c r="P38" i="16" s="1"/>
  <c r="T38" i="16" s="1"/>
  <c r="U39" i="16"/>
  <c r="Q39" i="16"/>
  <c r="M39" i="16"/>
  <c r="I39" i="16"/>
  <c r="E39" i="16"/>
  <c r="U33" i="16"/>
  <c r="U34" i="16" s="1"/>
  <c r="Q33" i="16"/>
  <c r="Q34" i="16" s="1"/>
  <c r="M33" i="16"/>
  <c r="M34" i="16" s="1"/>
  <c r="I33" i="16"/>
  <c r="I34" i="16" s="1"/>
  <c r="E33" i="16"/>
  <c r="E34" i="16" s="1"/>
  <c r="U31" i="16"/>
  <c r="Q31" i="16"/>
  <c r="M31" i="16"/>
  <c r="I31" i="16"/>
  <c r="E31" i="16"/>
  <c r="AA21" i="16"/>
  <c r="Z21" i="16"/>
  <c r="Y21" i="16"/>
  <c r="X21" i="16"/>
  <c r="U21" i="16"/>
  <c r="Q21" i="16"/>
  <c r="M21" i="16"/>
  <c r="I21" i="16"/>
  <c r="E21" i="16"/>
  <c r="V17" i="16"/>
  <c r="T17" i="16" s="1"/>
  <c r="R17" i="16"/>
  <c r="P17" i="16" s="1"/>
  <c r="N17" i="16"/>
  <c r="L17" i="16" s="1"/>
  <c r="J17" i="16"/>
  <c r="H17" i="16" s="1"/>
  <c r="F17" i="16"/>
  <c r="D17" i="16" s="1"/>
  <c r="P16" i="16"/>
  <c r="T16" i="16" s="1"/>
  <c r="P15" i="16"/>
  <c r="T15" i="16" s="1"/>
  <c r="T11" i="16"/>
  <c r="P11" i="16"/>
  <c r="L11" i="16"/>
  <c r="H11" i="16"/>
  <c r="H38" i="15"/>
  <c r="L38" i="15" s="1"/>
  <c r="P38" i="15" s="1"/>
  <c r="T38" i="15" s="1"/>
  <c r="U39" i="15"/>
  <c r="Q39" i="15"/>
  <c r="M39" i="15"/>
  <c r="I39" i="15"/>
  <c r="E39" i="15"/>
  <c r="U33" i="15"/>
  <c r="U34" i="15" s="1"/>
  <c r="Q33" i="15"/>
  <c r="Q34" i="15" s="1"/>
  <c r="M33" i="15"/>
  <c r="M34" i="15" s="1"/>
  <c r="I33" i="15"/>
  <c r="I34" i="15" s="1"/>
  <c r="E33" i="15"/>
  <c r="E34" i="15" s="1"/>
  <c r="U31" i="15"/>
  <c r="Q31" i="15"/>
  <c r="M31" i="15"/>
  <c r="I31" i="15"/>
  <c r="E31" i="15"/>
  <c r="AA21" i="15"/>
  <c r="Z21" i="15"/>
  <c r="Y21" i="15"/>
  <c r="X21" i="15"/>
  <c r="U21" i="15"/>
  <c r="Q21" i="15"/>
  <c r="M21" i="15"/>
  <c r="I21" i="15"/>
  <c r="E21" i="15"/>
  <c r="V17" i="15"/>
  <c r="T17" i="15" s="1"/>
  <c r="R17" i="15"/>
  <c r="P17" i="15" s="1"/>
  <c r="N17" i="15"/>
  <c r="L17" i="15" s="1"/>
  <c r="J17" i="15"/>
  <c r="H17" i="15" s="1"/>
  <c r="F17" i="15"/>
  <c r="D17" i="15" s="1"/>
  <c r="T15" i="15"/>
  <c r="P15" i="15"/>
  <c r="L15" i="15"/>
  <c r="H15" i="15"/>
  <c r="D15" i="15"/>
  <c r="T11" i="15"/>
  <c r="P11" i="15"/>
  <c r="L11" i="15"/>
  <c r="H11" i="15"/>
  <c r="H38" i="14"/>
  <c r="L38" i="14" s="1"/>
  <c r="P38" i="14" s="1"/>
  <c r="T38" i="14" s="1"/>
  <c r="U39" i="14"/>
  <c r="Q39" i="14"/>
  <c r="M39" i="14"/>
  <c r="I39" i="14"/>
  <c r="E39" i="14"/>
  <c r="U33" i="14"/>
  <c r="U34" i="14" s="1"/>
  <c r="Q33" i="14"/>
  <c r="Q34" i="14" s="1"/>
  <c r="M33" i="14"/>
  <c r="M31" i="14"/>
  <c r="I31" i="14"/>
  <c r="E31" i="14"/>
  <c r="U30" i="14"/>
  <c r="U31" i="14" s="1"/>
  <c r="Q30" i="14"/>
  <c r="Q31" i="14" s="1"/>
  <c r="I22" i="14"/>
  <c r="AA21" i="14"/>
  <c r="Z21" i="14"/>
  <c r="Y21" i="14"/>
  <c r="X21" i="14"/>
  <c r="U21" i="14"/>
  <c r="Q21" i="14"/>
  <c r="M21" i="14"/>
  <c r="I21" i="14"/>
  <c r="E21" i="14"/>
  <c r="V17" i="14"/>
  <c r="R17" i="14"/>
  <c r="P17" i="14" s="1"/>
  <c r="N17" i="14"/>
  <c r="L17" i="14" s="1"/>
  <c r="J17" i="14"/>
  <c r="H17" i="14" s="1"/>
  <c r="F17" i="14"/>
  <c r="D17" i="14" s="1"/>
  <c r="T11" i="14"/>
  <c r="P11" i="14"/>
  <c r="L11" i="14"/>
  <c r="H11" i="14"/>
  <c r="U39" i="13"/>
  <c r="Q39" i="13"/>
  <c r="M39" i="13"/>
  <c r="I39" i="13"/>
  <c r="E39" i="13"/>
  <c r="U34" i="13"/>
  <c r="Q34" i="13"/>
  <c r="M34" i="13"/>
  <c r="I34" i="13"/>
  <c r="E34" i="13"/>
  <c r="V28" i="13"/>
  <c r="U28" i="13"/>
  <c r="R28" i="13"/>
  <c r="Q28" i="13"/>
  <c r="N28" i="13"/>
  <c r="M28" i="13"/>
  <c r="J28" i="13"/>
  <c r="I28" i="13"/>
  <c r="D28" i="13"/>
  <c r="E28" i="13" s="1"/>
  <c r="V22" i="13"/>
  <c r="T22" i="13"/>
  <c r="R22" i="13"/>
  <c r="P22" i="13"/>
  <c r="N22" i="13"/>
  <c r="L22" i="13"/>
  <c r="J22" i="13"/>
  <c r="H22" i="13"/>
  <c r="E22" i="13"/>
  <c r="AA21" i="13"/>
  <c r="Z21" i="13"/>
  <c r="Y21" i="13"/>
  <c r="X21" i="13"/>
  <c r="U21" i="13"/>
  <c r="Q21" i="13"/>
  <c r="M21" i="13"/>
  <c r="I21" i="13"/>
  <c r="E21" i="13"/>
  <c r="T11" i="13"/>
  <c r="P11" i="13"/>
  <c r="L11" i="13"/>
  <c r="H11" i="13"/>
  <c r="C183" i="11"/>
  <c r="C164" i="11"/>
  <c r="B86" i="11"/>
  <c r="B113" i="11" s="1"/>
  <c r="B144" i="11" s="1"/>
  <c r="B83" i="11"/>
  <c r="B110" i="11" s="1"/>
  <c r="B141" i="11" s="1"/>
  <c r="B80" i="11"/>
  <c r="B107" i="11" s="1"/>
  <c r="B138" i="11" s="1"/>
  <c r="B77" i="11"/>
  <c r="B104" i="11" s="1"/>
  <c r="B135" i="11" s="1"/>
  <c r="B101" i="11"/>
  <c r="B132" i="11" s="1"/>
  <c r="B71" i="11"/>
  <c r="B98" i="11" s="1"/>
  <c r="B129" i="11" s="1"/>
  <c r="B68" i="11"/>
  <c r="B95" i="11" s="1"/>
  <c r="B126" i="11" s="1"/>
  <c r="B65" i="11"/>
  <c r="B92" i="11" s="1"/>
  <c r="B123" i="11" s="1"/>
  <c r="Q59" i="11"/>
  <c r="P59" i="11"/>
  <c r="O59" i="11"/>
  <c r="N59" i="11"/>
  <c r="M59" i="11"/>
  <c r="L59" i="11"/>
  <c r="K59" i="11"/>
  <c r="J59" i="11"/>
  <c r="I59" i="11"/>
  <c r="H59" i="11"/>
  <c r="G59" i="11"/>
  <c r="F59" i="11"/>
  <c r="D59" i="11"/>
  <c r="C59" i="11"/>
  <c r="Q56" i="11"/>
  <c r="P56" i="11"/>
  <c r="O56" i="11"/>
  <c r="N56" i="11"/>
  <c r="M56" i="11"/>
  <c r="L56" i="11"/>
  <c r="K56" i="11"/>
  <c r="J56" i="11"/>
  <c r="I56" i="11"/>
  <c r="H56" i="11"/>
  <c r="G56" i="11"/>
  <c r="F56" i="11"/>
  <c r="D56" i="11"/>
  <c r="C56" i="11"/>
  <c r="Q53" i="11"/>
  <c r="P53" i="11"/>
  <c r="O53" i="11"/>
  <c r="N53" i="11"/>
  <c r="M53" i="11"/>
  <c r="L53" i="11"/>
  <c r="K53" i="11"/>
  <c r="J53" i="11"/>
  <c r="I53" i="11"/>
  <c r="H53" i="11"/>
  <c r="G53" i="11"/>
  <c r="F53" i="11"/>
  <c r="D53" i="11"/>
  <c r="C53" i="11"/>
  <c r="Q50" i="11"/>
  <c r="P50" i="11"/>
  <c r="O50" i="11"/>
  <c r="N50" i="11"/>
  <c r="M50" i="11"/>
  <c r="L50" i="11"/>
  <c r="K50" i="11"/>
  <c r="J50" i="11"/>
  <c r="I50" i="11"/>
  <c r="H50" i="11"/>
  <c r="G50" i="11"/>
  <c r="F50" i="11"/>
  <c r="D50" i="11"/>
  <c r="C50" i="11"/>
  <c r="Q47" i="11"/>
  <c r="P47" i="11"/>
  <c r="O47" i="11"/>
  <c r="N47" i="11"/>
  <c r="M47" i="11"/>
  <c r="L47" i="11"/>
  <c r="K47" i="11"/>
  <c r="J47" i="11"/>
  <c r="I47" i="11"/>
  <c r="H47" i="11"/>
  <c r="G47" i="11"/>
  <c r="F47" i="11"/>
  <c r="D47" i="11"/>
  <c r="C47" i="11"/>
  <c r="Q44" i="11"/>
  <c r="P44" i="11"/>
  <c r="O44" i="11"/>
  <c r="N44" i="11"/>
  <c r="M44" i="11"/>
  <c r="L44" i="11"/>
  <c r="K44" i="11"/>
  <c r="J44" i="11"/>
  <c r="I44" i="11"/>
  <c r="H44" i="11"/>
  <c r="G44" i="11"/>
  <c r="F44" i="11"/>
  <c r="D44" i="11"/>
  <c r="C44" i="11"/>
  <c r="Q41" i="11"/>
  <c r="P41" i="11"/>
  <c r="O41" i="11"/>
  <c r="N41" i="11"/>
  <c r="M41" i="11"/>
  <c r="L41" i="11"/>
  <c r="K41" i="11"/>
  <c r="J41" i="11"/>
  <c r="I41" i="11"/>
  <c r="H41" i="11"/>
  <c r="G41" i="11"/>
  <c r="F41" i="11"/>
  <c r="D41" i="11"/>
  <c r="C41" i="11"/>
  <c r="Q38" i="11"/>
  <c r="P38" i="11"/>
  <c r="O38" i="11"/>
  <c r="N38" i="11"/>
  <c r="M38" i="11"/>
  <c r="L38" i="11"/>
  <c r="K38" i="11"/>
  <c r="J38" i="11"/>
  <c r="I38" i="11"/>
  <c r="H38" i="11"/>
  <c r="G38" i="11"/>
  <c r="F38" i="11"/>
  <c r="D38" i="11"/>
  <c r="C38" i="11"/>
  <c r="D32" i="11"/>
  <c r="C18" i="11"/>
  <c r="C8" i="11"/>
  <c r="D8" i="11" s="1"/>
  <c r="F96" i="9"/>
  <c r="F95" i="9"/>
  <c r="F94" i="9"/>
  <c r="Y93" i="9"/>
  <c r="AA93" i="9" s="1"/>
  <c r="W93" i="9"/>
  <c r="F93" i="9"/>
  <c r="Y91" i="9"/>
  <c r="AA91" i="9" s="1"/>
  <c r="W91" i="9"/>
  <c r="O88" i="9"/>
  <c r="O87" i="9"/>
  <c r="F84" i="9"/>
  <c r="F83" i="9"/>
  <c r="F82" i="9"/>
  <c r="F81" i="9"/>
  <c r="F80" i="9"/>
  <c r="O75" i="9"/>
  <c r="H71" i="9"/>
  <c r="G71" i="9"/>
  <c r="G70" i="9"/>
  <c r="F71" i="9" s="1"/>
  <c r="H69" i="9"/>
  <c r="G69" i="9"/>
  <c r="F70" i="9" s="1"/>
  <c r="G68" i="9"/>
  <c r="F69" i="9" s="1"/>
  <c r="G67" i="9"/>
  <c r="F68" i="9" s="1"/>
  <c r="O62" i="9"/>
  <c r="H65" i="9"/>
  <c r="G65" i="9"/>
  <c r="F67" i="9" s="1"/>
  <c r="D64" i="9"/>
  <c r="C64" i="9"/>
  <c r="B64" i="9"/>
  <c r="F58" i="9"/>
  <c r="H70" i="9"/>
  <c r="F57" i="9"/>
  <c r="F56" i="9"/>
  <c r="H68" i="9"/>
  <c r="F55" i="9"/>
  <c r="H67" i="9"/>
  <c r="F54" i="9"/>
  <c r="O49" i="9"/>
  <c r="Y45" i="9"/>
  <c r="AA45" i="9" s="1"/>
  <c r="W45" i="9"/>
  <c r="F45" i="9"/>
  <c r="F44" i="9"/>
  <c r="Y43" i="9"/>
  <c r="AA43" i="9" s="1"/>
  <c r="W43" i="9"/>
  <c r="F43" i="9"/>
  <c r="Y42" i="9"/>
  <c r="AA42" i="9" s="1"/>
  <c r="W42" i="9"/>
  <c r="F42" i="9"/>
  <c r="F41" i="9"/>
  <c r="O36" i="9"/>
  <c r="O35" i="9"/>
  <c r="D36" i="8"/>
  <c r="D6" i="8" s="1"/>
  <c r="C3" i="8"/>
  <c r="G130" i="6"/>
  <c r="F130" i="6"/>
  <c r="E130" i="6"/>
  <c r="D130" i="6"/>
  <c r="H11" i="4"/>
  <c r="G11" i="4"/>
  <c r="F11" i="4"/>
  <c r="A137" i="3"/>
  <c r="F128" i="3"/>
  <c r="J124" i="3"/>
  <c r="D123" i="3"/>
  <c r="J119" i="3"/>
  <c r="K112" i="3"/>
  <c r="J111" i="3"/>
  <c r="J109" i="3"/>
  <c r="L99" i="3"/>
  <c r="L98" i="3"/>
  <c r="M86" i="3"/>
  <c r="K86" i="3"/>
  <c r="J86" i="3"/>
  <c r="I86" i="3"/>
  <c r="F71" i="3"/>
  <c r="F69" i="3"/>
  <c r="F66" i="3"/>
  <c r="F65" i="3"/>
  <c r="F63" i="3"/>
  <c r="M60" i="3"/>
  <c r="K60" i="3"/>
  <c r="M59" i="3"/>
  <c r="K59" i="3"/>
  <c r="L50" i="3"/>
  <c r="N6" i="3"/>
  <c r="D46" i="2"/>
  <c r="D47" i="2" s="1"/>
  <c r="D41" i="2"/>
  <c r="F40" i="2"/>
  <c r="D40" i="2"/>
  <c r="G21" i="2"/>
  <c r="E14" i="2"/>
  <c r="C3" i="5" s="1"/>
  <c r="L5" i="2"/>
  <c r="C102" i="22" l="1"/>
  <c r="E26" i="36"/>
  <c r="J26" i="36" s="1"/>
  <c r="D28" i="11"/>
  <c r="E36" i="18"/>
  <c r="U36" i="18"/>
  <c r="U37" i="18" s="1"/>
  <c r="I36" i="18"/>
  <c r="I37" i="18" s="1"/>
  <c r="Q36" i="18"/>
  <c r="Q37" i="18" s="1"/>
  <c r="M36" i="18"/>
  <c r="M37" i="18"/>
  <c r="E37" i="18"/>
  <c r="E14" i="22"/>
  <c r="D33" i="11"/>
  <c r="E15" i="22" s="1"/>
  <c r="H16" i="19"/>
  <c r="D10" i="9"/>
  <c r="W10" i="9" s="1"/>
  <c r="J7" i="9"/>
  <c r="G7" i="9" s="1"/>
  <c r="I25" i="18"/>
  <c r="H16" i="18" s="1"/>
  <c r="D16" i="18"/>
  <c r="K22" i="2"/>
  <c r="K21" i="2"/>
  <c r="E33" i="2"/>
  <c r="I122" i="3"/>
  <c r="E26" i="2"/>
  <c r="E29" i="2"/>
  <c r="G29" i="2" s="1"/>
  <c r="I22" i="13"/>
  <c r="Q22" i="13"/>
  <c r="B37" i="11"/>
  <c r="B46" i="11"/>
  <c r="B55" i="11"/>
  <c r="B49" i="11"/>
  <c r="B40" i="11"/>
  <c r="U22" i="13"/>
  <c r="E37" i="2"/>
  <c r="J120" i="3"/>
  <c r="C28" i="11"/>
  <c r="D170" i="11"/>
  <c r="D17" i="19"/>
  <c r="O33" i="9"/>
  <c r="O12" i="9" s="1"/>
  <c r="B43" i="11"/>
  <c r="B58" i="11"/>
  <c r="B52" i="11"/>
  <c r="T17" i="14"/>
  <c r="D127" i="3"/>
  <c r="E34" i="2"/>
  <c r="G34" i="2" s="1"/>
  <c r="E38" i="2"/>
  <c r="E36" i="2"/>
  <c r="E27" i="2"/>
  <c r="K20" i="2"/>
  <c r="E39" i="2"/>
  <c r="E32" i="2"/>
  <c r="E30" i="2"/>
  <c r="G30" i="2" s="1"/>
  <c r="E31" i="2"/>
  <c r="D38" i="8"/>
  <c r="E46" i="2"/>
  <c r="C9" i="5" s="1"/>
  <c r="E44" i="2"/>
  <c r="E45" i="2"/>
  <c r="E28" i="2"/>
  <c r="E35" i="2"/>
  <c r="Q2" i="20"/>
  <c r="Q2" i="18"/>
  <c r="Q2" i="19"/>
  <c r="Q2" i="15"/>
  <c r="Q2" i="13"/>
  <c r="Q2" i="17"/>
  <c r="Q2" i="14"/>
  <c r="Q2" i="16"/>
  <c r="U2" i="20"/>
  <c r="U2" i="19"/>
  <c r="U2" i="17"/>
  <c r="U2" i="16"/>
  <c r="U2" i="18"/>
  <c r="U2" i="14"/>
  <c r="U2" i="15"/>
  <c r="U2" i="13"/>
  <c r="D183" i="11"/>
  <c r="D164" i="11"/>
  <c r="E32" i="11"/>
  <c r="M22" i="13"/>
  <c r="M34" i="14"/>
  <c r="I33" i="14"/>
  <c r="R17" i="19"/>
  <c r="V17" i="19"/>
  <c r="L17" i="19"/>
  <c r="N20" i="19"/>
  <c r="J20" i="19"/>
  <c r="C107" i="22" l="1"/>
  <c r="M25" i="18"/>
  <c r="L16" i="18" s="1"/>
  <c r="F14" i="22"/>
  <c r="E33" i="11"/>
  <c r="F15" i="22" s="1"/>
  <c r="C8" i="22"/>
  <c r="C122" i="11"/>
  <c r="S12" i="8"/>
  <c r="D37" i="8"/>
  <c r="D40" i="8"/>
  <c r="U10" i="9"/>
  <c r="L16" i="19"/>
  <c r="G8" i="9"/>
  <c r="O74" i="9" s="1"/>
  <c r="G6" i="9"/>
  <c r="O48" i="9" s="1"/>
  <c r="G33" i="2"/>
  <c r="H26" i="2"/>
  <c r="F45" i="2" s="1"/>
  <c r="G26" i="2"/>
  <c r="G37" i="2"/>
  <c r="G31" i="2"/>
  <c r="G32" i="2"/>
  <c r="G39" i="2"/>
  <c r="H25" i="8"/>
  <c r="F170" i="11"/>
  <c r="E170" i="11"/>
  <c r="E171" i="11" s="1"/>
  <c r="G170" i="11"/>
  <c r="AZ170" i="11"/>
  <c r="AZ171" i="11" s="1"/>
  <c r="C170" i="11"/>
  <c r="I170" i="11"/>
  <c r="AC170" i="11"/>
  <c r="AC172" i="11" s="1"/>
  <c r="AE170" i="11"/>
  <c r="AE172" i="11" s="1"/>
  <c r="BB170" i="11"/>
  <c r="BB172" i="11" s="1"/>
  <c r="AK170" i="11"/>
  <c r="AK172" i="11" s="1"/>
  <c r="BC170" i="11"/>
  <c r="BC172" i="11" s="1"/>
  <c r="M170" i="11"/>
  <c r="V170" i="11"/>
  <c r="N170" i="11"/>
  <c r="Q170" i="11"/>
  <c r="AD170" i="11"/>
  <c r="AD172" i="11" s="1"/>
  <c r="W170" i="11"/>
  <c r="AN170" i="11"/>
  <c r="AN172" i="11" s="1"/>
  <c r="J170" i="11"/>
  <c r="U170" i="11"/>
  <c r="AS170" i="11"/>
  <c r="AS172" i="11" s="1"/>
  <c r="AL170" i="11"/>
  <c r="AL172" i="11" s="1"/>
  <c r="AM170" i="11"/>
  <c r="AM171" i="11" s="1"/>
  <c r="H170" i="11"/>
  <c r="Y170" i="11"/>
  <c r="BA170" i="11"/>
  <c r="BA171" i="11" s="1"/>
  <c r="AT170" i="11"/>
  <c r="AT172" i="11" s="1"/>
  <c r="O170" i="11"/>
  <c r="AU170" i="11"/>
  <c r="AU172" i="11" s="1"/>
  <c r="X170" i="11"/>
  <c r="G35" i="2"/>
  <c r="AG170" i="11"/>
  <c r="AW170" i="11"/>
  <c r="Z170" i="11"/>
  <c r="AP170" i="11"/>
  <c r="S170" i="11"/>
  <c r="AI170" i="11"/>
  <c r="AY170" i="11"/>
  <c r="L170" i="11"/>
  <c r="AB170" i="11"/>
  <c r="AR170" i="11"/>
  <c r="C5" i="5"/>
  <c r="E47" i="2"/>
  <c r="C11" i="5" s="1"/>
  <c r="H38" i="2"/>
  <c r="P170" i="11"/>
  <c r="AF170" i="11"/>
  <c r="AV170" i="11"/>
  <c r="H28" i="2"/>
  <c r="F44" i="2" s="1"/>
  <c r="G28" i="2"/>
  <c r="G38" i="2"/>
  <c r="H34" i="2"/>
  <c r="V20" i="19"/>
  <c r="T17" i="19"/>
  <c r="R20" i="19"/>
  <c r="P17" i="19"/>
  <c r="I34" i="14"/>
  <c r="E33" i="14"/>
  <c r="E34" i="14" s="1"/>
  <c r="AO170" i="11"/>
  <c r="R170" i="11"/>
  <c r="AH170" i="11"/>
  <c r="AX170" i="11"/>
  <c r="K170" i="11"/>
  <c r="AA170" i="11"/>
  <c r="AQ170" i="11"/>
  <c r="D171" i="11"/>
  <c r="T170" i="11"/>
  <c r="AJ170" i="11"/>
  <c r="C31" i="11"/>
  <c r="O61" i="9"/>
  <c r="C7" i="5"/>
  <c r="L33" i="3"/>
  <c r="E58" i="3" s="1"/>
  <c r="D7" i="8"/>
  <c r="E55" i="2"/>
  <c r="E183" i="11"/>
  <c r="E164" i="11"/>
  <c r="F32" i="11"/>
  <c r="G27" i="2"/>
  <c r="G36" i="2"/>
  <c r="E40" i="2"/>
  <c r="D55" i="2"/>
  <c r="Q25" i="18" l="1"/>
  <c r="P16" i="18" s="1"/>
  <c r="D25" i="22"/>
  <c r="S7" i="8"/>
  <c r="G14" i="22"/>
  <c r="F33" i="11"/>
  <c r="G15" i="22" s="1"/>
  <c r="T16" i="19"/>
  <c r="P16" i="19"/>
  <c r="G11" i="9"/>
  <c r="H7" i="9" s="1"/>
  <c r="M56" i="2"/>
  <c r="M15" i="3" s="1"/>
  <c r="L56" i="2"/>
  <c r="L15" i="3" s="1"/>
  <c r="AC171" i="11"/>
  <c r="AM172" i="11"/>
  <c r="AN171" i="11"/>
  <c r="BC171" i="11"/>
  <c r="AZ172" i="11"/>
  <c r="BB171" i="11"/>
  <c r="BA172" i="11"/>
  <c r="AS171" i="11"/>
  <c r="AE171" i="11"/>
  <c r="AT171" i="11"/>
  <c r="AD171" i="11"/>
  <c r="AK171" i="11"/>
  <c r="AU171" i="11"/>
  <c r="AL171" i="11"/>
  <c r="E56" i="2"/>
  <c r="E15" i="3" s="1"/>
  <c r="H20" i="2"/>
  <c r="H21" i="2"/>
  <c r="N55" i="2"/>
  <c r="D14" i="3"/>
  <c r="E14" i="3"/>
  <c r="H28" i="11"/>
  <c r="AO172" i="11"/>
  <c r="AO171" i="11"/>
  <c r="J54" i="2"/>
  <c r="K54" i="2"/>
  <c r="G54" i="2"/>
  <c r="F54" i="2"/>
  <c r="F56" i="2" s="1"/>
  <c r="F15" i="3" s="1"/>
  <c r="I54" i="2"/>
  <c r="H54" i="2"/>
  <c r="G40" i="2"/>
  <c r="AP172" i="11"/>
  <c r="AP171" i="11"/>
  <c r="F183" i="11"/>
  <c r="F164" i="11"/>
  <c r="G32" i="11"/>
  <c r="C184" i="11"/>
  <c r="C165" i="11"/>
  <c r="AX172" i="11"/>
  <c r="AX171" i="11"/>
  <c r="AY172" i="11"/>
  <c r="AY171" i="11"/>
  <c r="AJ172" i="11"/>
  <c r="AJ171" i="11"/>
  <c r="AQ172" i="11"/>
  <c r="AQ171" i="11"/>
  <c r="AH172" i="11"/>
  <c r="AH171" i="11"/>
  <c r="AV172" i="11"/>
  <c r="AV171" i="11"/>
  <c r="U25" i="18"/>
  <c r="T16" i="18" s="1"/>
  <c r="AR172" i="11"/>
  <c r="AR171" i="11"/>
  <c r="AI172" i="11"/>
  <c r="AI171" i="11"/>
  <c r="AW172" i="11"/>
  <c r="AW171" i="11"/>
  <c r="D39" i="8"/>
  <c r="D8" i="8"/>
  <c r="E9" i="36" s="1"/>
  <c r="J24" i="36" s="1"/>
  <c r="D31" i="11"/>
  <c r="AF172" i="11"/>
  <c r="AF171" i="11"/>
  <c r="D56" i="2"/>
  <c r="D57" i="2" s="1"/>
  <c r="AB172" i="11"/>
  <c r="AB171" i="11"/>
  <c r="AG172" i="11"/>
  <c r="AG171" i="11"/>
  <c r="H40" i="2"/>
  <c r="T35" i="37" l="1"/>
  <c r="U31" i="37"/>
  <c r="U34" i="37"/>
  <c r="U32" i="37"/>
  <c r="D44" i="48"/>
  <c r="U30" i="37"/>
  <c r="T29" i="37"/>
  <c r="U29" i="37"/>
  <c r="U33" i="37"/>
  <c r="T33" i="37"/>
  <c r="T34" i="37"/>
  <c r="T32" i="37"/>
  <c r="T31" i="37"/>
  <c r="T30" i="37"/>
  <c r="U35" i="37"/>
  <c r="C103" i="22"/>
  <c r="C82" i="22"/>
  <c r="C94" i="22" s="1"/>
  <c r="E31" i="11"/>
  <c r="E184" i="11" s="1"/>
  <c r="H14" i="22"/>
  <c r="G33" i="11"/>
  <c r="H15" i="22" s="1"/>
  <c r="O10" i="9"/>
  <c r="O8" i="9" s="1"/>
  <c r="H9" i="9"/>
  <c r="M57" i="2"/>
  <c r="H6" i="9"/>
  <c r="H10" i="9"/>
  <c r="H8" i="9"/>
  <c r="E57" i="2"/>
  <c r="L57" i="2"/>
  <c r="C35" i="11"/>
  <c r="D8" i="9"/>
  <c r="G13" i="3"/>
  <c r="G56" i="2"/>
  <c r="G15" i="3" s="1"/>
  <c r="M16" i="3"/>
  <c r="H32" i="11"/>
  <c r="I13" i="3"/>
  <c r="I56" i="2"/>
  <c r="I15" i="3" s="1"/>
  <c r="K13" i="3"/>
  <c r="K56" i="2"/>
  <c r="K15" i="3" s="1"/>
  <c r="F57" i="2"/>
  <c r="F13" i="3"/>
  <c r="N54" i="2"/>
  <c r="J13" i="3"/>
  <c r="J56" i="2"/>
  <c r="J15" i="3" s="1"/>
  <c r="D15" i="3"/>
  <c r="D16" i="3" s="1"/>
  <c r="D184" i="11"/>
  <c r="D165" i="11"/>
  <c r="N14" i="3"/>
  <c r="D14" i="6" s="1"/>
  <c r="D42" i="8" s="1"/>
  <c r="H13" i="3"/>
  <c r="H56" i="2"/>
  <c r="H15" i="3" s="1"/>
  <c r="E16" i="3"/>
  <c r="L16" i="3"/>
  <c r="C104" i="22" l="1"/>
  <c r="C4" i="22" s="1"/>
  <c r="C110" i="22"/>
  <c r="V30" i="37"/>
  <c r="V35" i="37"/>
  <c r="D46" i="48"/>
  <c r="D53" i="48"/>
  <c r="D49" i="48"/>
  <c r="D56" i="48"/>
  <c r="D55" i="48"/>
  <c r="D51" i="48"/>
  <c r="D54" i="48"/>
  <c r="D50" i="48"/>
  <c r="D48" i="48"/>
  <c r="D47" i="48"/>
  <c r="D58" i="48"/>
  <c r="D57" i="48"/>
  <c r="D52" i="48"/>
  <c r="D35" i="11"/>
  <c r="E165" i="11"/>
  <c r="D16" i="22"/>
  <c r="F31" i="11"/>
  <c r="F165" i="11" s="1"/>
  <c r="I14" i="22"/>
  <c r="H33" i="11"/>
  <c r="I15" i="22" s="1"/>
  <c r="H11" i="9"/>
  <c r="G16" i="3"/>
  <c r="I16" i="3"/>
  <c r="G57" i="2"/>
  <c r="J57" i="2"/>
  <c r="H57" i="2"/>
  <c r="J16" i="3"/>
  <c r="S10" i="9"/>
  <c r="D6" i="9"/>
  <c r="D11" i="9"/>
  <c r="D12" i="9" s="1"/>
  <c r="D20" i="9" s="1"/>
  <c r="L83" i="8"/>
  <c r="F33" i="5"/>
  <c r="N56" i="2"/>
  <c r="N57" i="2" s="1"/>
  <c r="H16" i="3"/>
  <c r="N15" i="3"/>
  <c r="K57" i="2"/>
  <c r="I57" i="2"/>
  <c r="C61" i="11"/>
  <c r="E16" i="22"/>
  <c r="N13" i="3"/>
  <c r="F16" i="3"/>
  <c r="K16" i="3"/>
  <c r="I32" i="11"/>
  <c r="G95" i="48" l="1"/>
  <c r="F95" i="48"/>
  <c r="H95" i="48"/>
  <c r="E95" i="48"/>
  <c r="D95" i="48"/>
  <c r="I95" i="48"/>
  <c r="K95" i="48"/>
  <c r="J95" i="48"/>
  <c r="D94" i="48"/>
  <c r="K94" i="48"/>
  <c r="J94" i="48"/>
  <c r="I94" i="48"/>
  <c r="F94" i="48"/>
  <c r="E94" i="48"/>
  <c r="H94" i="48"/>
  <c r="G94" i="48"/>
  <c r="H96" i="48"/>
  <c r="F96" i="48"/>
  <c r="I96" i="48"/>
  <c r="D96" i="48"/>
  <c r="J96" i="48"/>
  <c r="G96" i="48"/>
  <c r="E96" i="48"/>
  <c r="K96" i="48"/>
  <c r="H76" i="48"/>
  <c r="AH8" i="48" s="1"/>
  <c r="I76" i="48"/>
  <c r="AI8" i="48" s="1"/>
  <c r="K76" i="48"/>
  <c r="AK8" i="48" s="1"/>
  <c r="J76" i="48"/>
  <c r="AJ8" i="48" s="1"/>
  <c r="D76" i="48"/>
  <c r="AD8" i="48" s="1"/>
  <c r="G76" i="48"/>
  <c r="AG8" i="48" s="1"/>
  <c r="F76" i="48"/>
  <c r="AF8" i="48" s="1"/>
  <c r="E76" i="48"/>
  <c r="AE8" i="48" s="1"/>
  <c r="I87" i="48"/>
  <c r="K87" i="48"/>
  <c r="J87" i="48"/>
  <c r="G87" i="48"/>
  <c r="H87" i="48"/>
  <c r="F74" i="48"/>
  <c r="AF6" i="48" s="1"/>
  <c r="K74" i="48"/>
  <c r="AK6" i="48" s="1"/>
  <c r="G74" i="48"/>
  <c r="AG6" i="48" s="1"/>
  <c r="D74" i="48"/>
  <c r="AD6" i="48" s="1"/>
  <c r="J74" i="48"/>
  <c r="AJ6" i="48" s="1"/>
  <c r="E74" i="48"/>
  <c r="AE6" i="48" s="1"/>
  <c r="I74" i="48"/>
  <c r="AI6" i="48" s="1"/>
  <c r="H74" i="48"/>
  <c r="AH6" i="48" s="1"/>
  <c r="F85" i="48"/>
  <c r="G85" i="48"/>
  <c r="J85" i="48"/>
  <c r="K85" i="48"/>
  <c r="D85" i="48"/>
  <c r="H85" i="48"/>
  <c r="G80" i="48"/>
  <c r="AG12" i="48" s="1"/>
  <c r="F80" i="48"/>
  <c r="AF12" i="48" s="1"/>
  <c r="E80" i="48"/>
  <c r="AE12" i="48" s="1"/>
  <c r="D80" i="48"/>
  <c r="AD12" i="48" s="1"/>
  <c r="H80" i="48"/>
  <c r="AH12" i="48" s="1"/>
  <c r="K80" i="48"/>
  <c r="AK12" i="48" s="1"/>
  <c r="J80" i="48"/>
  <c r="AJ12" i="48" s="1"/>
  <c r="I80" i="48"/>
  <c r="AI12" i="48" s="1"/>
  <c r="F91" i="48"/>
  <c r="G91" i="48"/>
  <c r="E91" i="48"/>
  <c r="H91" i="48"/>
  <c r="J91" i="48"/>
  <c r="E92" i="48"/>
  <c r="G92" i="48"/>
  <c r="D92" i="48"/>
  <c r="F92" i="48"/>
  <c r="K92" i="48"/>
  <c r="J92" i="48"/>
  <c r="I92" i="48"/>
  <c r="H92" i="48"/>
  <c r="I75" i="48"/>
  <c r="AI7" i="48" s="1"/>
  <c r="H75" i="48"/>
  <c r="AH7" i="48" s="1"/>
  <c r="D75" i="48"/>
  <c r="AD7" i="48" s="1"/>
  <c r="K86" i="48"/>
  <c r="G75" i="48"/>
  <c r="AG7" i="48" s="1"/>
  <c r="F75" i="48"/>
  <c r="AF7" i="48" s="1"/>
  <c r="E75" i="48"/>
  <c r="AE7" i="48" s="1"/>
  <c r="K75" i="48"/>
  <c r="AK7" i="48" s="1"/>
  <c r="J75" i="48"/>
  <c r="AJ7" i="48" s="1"/>
  <c r="D86" i="48"/>
  <c r="G86" i="48"/>
  <c r="H86" i="48"/>
  <c r="I86" i="48"/>
  <c r="F86" i="48"/>
  <c r="J77" i="48"/>
  <c r="AJ9" i="48" s="1"/>
  <c r="K77" i="48"/>
  <c r="AK9" i="48" s="1"/>
  <c r="I77" i="48"/>
  <c r="AI9" i="48" s="1"/>
  <c r="H77" i="48"/>
  <c r="AH9" i="48" s="1"/>
  <c r="G77" i="48"/>
  <c r="AG9" i="48" s="1"/>
  <c r="D77" i="48"/>
  <c r="AD9" i="48" s="1"/>
  <c r="F77" i="48"/>
  <c r="AF9" i="48" s="1"/>
  <c r="E77" i="48"/>
  <c r="AE9" i="48" s="1"/>
  <c r="J88" i="48"/>
  <c r="H88" i="48"/>
  <c r="K88" i="48"/>
  <c r="D88" i="48"/>
  <c r="I88" i="48"/>
  <c r="J78" i="48"/>
  <c r="AJ10" i="48" s="1"/>
  <c r="D78" i="48"/>
  <c r="AD10" i="48" s="1"/>
  <c r="H78" i="48"/>
  <c r="AH10" i="48" s="1"/>
  <c r="G78" i="48"/>
  <c r="AG10" i="48" s="1"/>
  <c r="F78" i="48"/>
  <c r="AF10" i="48" s="1"/>
  <c r="K78" i="48"/>
  <c r="AK10" i="48" s="1"/>
  <c r="I78" i="48"/>
  <c r="AI10" i="48" s="1"/>
  <c r="E78" i="48"/>
  <c r="AE10" i="48" s="1"/>
  <c r="D89" i="48"/>
  <c r="K89" i="48"/>
  <c r="J89" i="48"/>
  <c r="I89" i="48"/>
  <c r="G89" i="48"/>
  <c r="D59" i="48"/>
  <c r="H73" i="48"/>
  <c r="K73" i="48"/>
  <c r="F73" i="48"/>
  <c r="E73" i="48"/>
  <c r="E84" i="48" s="1"/>
  <c r="G73" i="48"/>
  <c r="J73" i="48"/>
  <c r="D73" i="48"/>
  <c r="I73" i="48"/>
  <c r="I84" i="48"/>
  <c r="K84" i="48"/>
  <c r="G79" i="48"/>
  <c r="AG11" i="48" s="1"/>
  <c r="F79" i="48"/>
  <c r="AF11" i="48" s="1"/>
  <c r="E79" i="48"/>
  <c r="AE11" i="48" s="1"/>
  <c r="D79" i="48"/>
  <c r="AD11" i="48" s="1"/>
  <c r="H79" i="48"/>
  <c r="AH11" i="48" s="1"/>
  <c r="K79" i="48"/>
  <c r="AK11" i="48" s="1"/>
  <c r="J79" i="48"/>
  <c r="AJ11" i="48" s="1"/>
  <c r="I79" i="48"/>
  <c r="AI11" i="48" s="1"/>
  <c r="I90" i="48"/>
  <c r="E90" i="48"/>
  <c r="D90" i="48"/>
  <c r="G93" i="48"/>
  <c r="H93" i="48"/>
  <c r="F93" i="48"/>
  <c r="E93" i="48"/>
  <c r="D93" i="48"/>
  <c r="I93" i="48"/>
  <c r="K93" i="48"/>
  <c r="J93" i="48"/>
  <c r="F184" i="11"/>
  <c r="G31" i="11"/>
  <c r="G165" i="11" s="1"/>
  <c r="J14" i="22"/>
  <c r="I33" i="11"/>
  <c r="J15" i="22" s="1"/>
  <c r="D13" i="6"/>
  <c r="D41" i="8" s="1"/>
  <c r="L82" i="8" s="1"/>
  <c r="E26" i="3"/>
  <c r="D25" i="9"/>
  <c r="D26" i="9" s="1"/>
  <c r="D21" i="9"/>
  <c r="D16" i="9"/>
  <c r="J32" i="11"/>
  <c r="K14" i="22" s="1"/>
  <c r="E24" i="3"/>
  <c r="N16" i="3"/>
  <c r="D61" i="11"/>
  <c r="E35" i="11"/>
  <c r="J18" i="3"/>
  <c r="D15" i="6"/>
  <c r="D43" i="8" s="1"/>
  <c r="I25" i="3"/>
  <c r="I18" i="3"/>
  <c r="D84" i="48" l="1"/>
  <c r="D81" i="48"/>
  <c r="D97" i="48" s="1"/>
  <c r="AD5" i="48"/>
  <c r="AE29" i="48"/>
  <c r="C75" i="40" s="1"/>
  <c r="D38" i="40" s="1"/>
  <c r="AE20" i="48"/>
  <c r="C11" i="40"/>
  <c r="N15" i="40" s="1"/>
  <c r="D11" i="47"/>
  <c r="AE18" i="48"/>
  <c r="D9" i="47"/>
  <c r="C9" i="40"/>
  <c r="N13" i="40" s="1"/>
  <c r="AE27" i="48"/>
  <c r="C73" i="40" s="1"/>
  <c r="D36" i="40" s="1"/>
  <c r="AI32" i="48"/>
  <c r="C78" i="44" s="1"/>
  <c r="D41" i="44" s="1"/>
  <c r="AI23" i="48"/>
  <c r="C14" i="44"/>
  <c r="N18" i="44" s="1"/>
  <c r="H14" i="47"/>
  <c r="G8" i="47"/>
  <c r="C8" i="43"/>
  <c r="N12" i="43" s="1"/>
  <c r="AH26" i="48"/>
  <c r="C72" i="43" s="1"/>
  <c r="D35" i="43" s="1"/>
  <c r="AH17" i="48"/>
  <c r="AE28" i="48"/>
  <c r="C74" i="40" s="1"/>
  <c r="D37" i="40" s="1"/>
  <c r="AE19" i="48"/>
  <c r="D10" i="47"/>
  <c r="C10" i="40"/>
  <c r="N14" i="40" s="1"/>
  <c r="D106" i="48"/>
  <c r="D164" i="48" s="1"/>
  <c r="AF20" i="48"/>
  <c r="AF29" i="48"/>
  <c r="C75" i="41" s="1"/>
  <c r="D38" i="41" s="1"/>
  <c r="E11" i="47"/>
  <c r="AF27" i="48"/>
  <c r="C73" i="41" s="1"/>
  <c r="D36" i="41" s="1"/>
  <c r="AF18" i="48"/>
  <c r="E9" i="47"/>
  <c r="AJ32" i="48"/>
  <c r="C78" i="45" s="1"/>
  <c r="D41" i="45" s="1"/>
  <c r="AJ23" i="48"/>
  <c r="I14" i="47"/>
  <c r="C14" i="45"/>
  <c r="N18" i="45" s="1"/>
  <c r="C14" i="46"/>
  <c r="N18" i="46" s="1"/>
  <c r="H8" i="47"/>
  <c r="AI17" i="48"/>
  <c r="C8" i="44"/>
  <c r="N12" i="44" s="1"/>
  <c r="AI26" i="48"/>
  <c r="C72" i="44" s="1"/>
  <c r="D35" i="44" s="1"/>
  <c r="E87" i="48"/>
  <c r="E105" i="48" s="1"/>
  <c r="E134" i="48" s="1"/>
  <c r="E163" i="48" s="1"/>
  <c r="AF28" i="48"/>
  <c r="C74" i="41" s="1"/>
  <c r="D37" i="41" s="1"/>
  <c r="E10" i="47"/>
  <c r="AF19" i="48"/>
  <c r="E114" i="48"/>
  <c r="E143" i="48" s="1"/>
  <c r="E172" i="48" s="1"/>
  <c r="J111" i="48"/>
  <c r="J140" i="48" s="1"/>
  <c r="J169" i="48" s="1"/>
  <c r="K90" i="48"/>
  <c r="K108" i="48" s="1"/>
  <c r="K166" i="48" s="1"/>
  <c r="AJ31" i="48"/>
  <c r="C77" i="45" s="1"/>
  <c r="D40" i="45" s="1"/>
  <c r="AJ22" i="48"/>
  <c r="I13" i="47"/>
  <c r="C13" i="45"/>
  <c r="N17" i="45" s="1"/>
  <c r="C13" i="46"/>
  <c r="N17" i="46" s="1"/>
  <c r="G84" i="48"/>
  <c r="G81" i="48"/>
  <c r="G97" i="48" s="1"/>
  <c r="AG5" i="48"/>
  <c r="J12" i="47"/>
  <c r="AK21" i="48"/>
  <c r="AK30" i="48"/>
  <c r="C76" i="46" s="1"/>
  <c r="D39" i="46" s="1"/>
  <c r="K106" i="48"/>
  <c r="K164" i="48" s="1"/>
  <c r="C11" i="39"/>
  <c r="N15" i="39" s="1"/>
  <c r="C11" i="47"/>
  <c r="AD20" i="48"/>
  <c r="AD29" i="48"/>
  <c r="C75" i="39" s="1"/>
  <c r="D38" i="39" s="1"/>
  <c r="AG18" i="48"/>
  <c r="F9" i="47"/>
  <c r="AG27" i="48"/>
  <c r="C73" i="42" s="1"/>
  <c r="D36" i="42" s="1"/>
  <c r="C9" i="42"/>
  <c r="N13" i="42" s="1"/>
  <c r="C9" i="41"/>
  <c r="N13" i="41" s="1"/>
  <c r="J110" i="48"/>
  <c r="J139" i="48" s="1"/>
  <c r="J168" i="48" s="1"/>
  <c r="AK23" i="48"/>
  <c r="J14" i="47"/>
  <c r="AK32" i="48"/>
  <c r="C78" i="46" s="1"/>
  <c r="D41" i="46" s="1"/>
  <c r="K103" i="48"/>
  <c r="K161" i="48" s="1"/>
  <c r="D8" i="47"/>
  <c r="AE26" i="48"/>
  <c r="C72" i="40" s="1"/>
  <c r="D35" i="40" s="1"/>
  <c r="C8" i="40"/>
  <c r="N12" i="40" s="1"/>
  <c r="AE17" i="48"/>
  <c r="AG28" i="48"/>
  <c r="C74" i="42" s="1"/>
  <c r="D37" i="42" s="1"/>
  <c r="AG19" i="48"/>
  <c r="C10" i="42"/>
  <c r="N14" i="42" s="1"/>
  <c r="C10" i="41"/>
  <c r="N14" i="41" s="1"/>
  <c r="F10" i="47"/>
  <c r="G114" i="48"/>
  <c r="G143" i="48" s="1"/>
  <c r="G172" i="48" s="1"/>
  <c r="I113" i="48"/>
  <c r="I171" i="48" s="1"/>
  <c r="AE21" i="48"/>
  <c r="C12" i="40"/>
  <c r="N16" i="40" s="1"/>
  <c r="D12" i="47"/>
  <c r="AE30" i="48"/>
  <c r="C76" i="40" s="1"/>
  <c r="D39" i="40" s="1"/>
  <c r="G112" i="48"/>
  <c r="G141" i="48" s="1"/>
  <c r="G170" i="48" s="1"/>
  <c r="J81" i="48"/>
  <c r="J97" i="48" s="1"/>
  <c r="J109" i="48" s="1"/>
  <c r="J138" i="48" s="1"/>
  <c r="J167" i="48" s="1"/>
  <c r="AJ5" i="48"/>
  <c r="K102" i="48"/>
  <c r="F89" i="48"/>
  <c r="E88" i="48"/>
  <c r="K104" i="48"/>
  <c r="K133" i="48" s="1"/>
  <c r="G14" i="47"/>
  <c r="AH32" i="48"/>
  <c r="C78" i="43" s="1"/>
  <c r="D41" i="43" s="1"/>
  <c r="AH23" i="48"/>
  <c r="C14" i="43"/>
  <c r="N18" i="43" s="1"/>
  <c r="F112" i="48"/>
  <c r="F141" i="48" s="1"/>
  <c r="F170" i="48" s="1"/>
  <c r="H90" i="48"/>
  <c r="F81" i="48"/>
  <c r="F97" i="48" s="1"/>
  <c r="AF5" i="48"/>
  <c r="C14" i="47"/>
  <c r="AD23" i="48"/>
  <c r="C14" i="39"/>
  <c r="N18" i="39" s="1"/>
  <c r="AD32" i="48"/>
  <c r="C78" i="39" s="1"/>
  <c r="D41" i="39" s="1"/>
  <c r="D114" i="48"/>
  <c r="D143" i="48" s="1"/>
  <c r="D172" i="48" s="1"/>
  <c r="C13" i="47"/>
  <c r="C13" i="39"/>
  <c r="N17" i="39" s="1"/>
  <c r="AD31" i="48"/>
  <c r="C77" i="39" s="1"/>
  <c r="D40" i="39" s="1"/>
  <c r="AD22" i="48"/>
  <c r="I102" i="48"/>
  <c r="K81" i="48"/>
  <c r="K97" i="48" s="1"/>
  <c r="AK5" i="48"/>
  <c r="E89" i="48"/>
  <c r="E107" i="48" s="1"/>
  <c r="E165" i="48" s="1"/>
  <c r="C12" i="43"/>
  <c r="N16" i="43" s="1"/>
  <c r="AH21" i="48"/>
  <c r="AH30" i="48"/>
  <c r="C76" i="43" s="1"/>
  <c r="D39" i="43" s="1"/>
  <c r="G12" i="47"/>
  <c r="G88" i="48"/>
  <c r="G106" i="48" s="1"/>
  <c r="G164" i="48" s="1"/>
  <c r="AI29" i="48"/>
  <c r="C75" i="44" s="1"/>
  <c r="D38" i="44" s="1"/>
  <c r="H11" i="47"/>
  <c r="C11" i="44"/>
  <c r="N15" i="44" s="1"/>
  <c r="AI20" i="48"/>
  <c r="J86" i="48"/>
  <c r="J104" i="48" s="1"/>
  <c r="J133" i="48" s="1"/>
  <c r="AD18" i="48"/>
  <c r="AD27" i="48"/>
  <c r="C73" i="39" s="1"/>
  <c r="D36" i="39" s="1"/>
  <c r="C9" i="47"/>
  <c r="C9" i="39"/>
  <c r="N13" i="39" s="1"/>
  <c r="D110" i="48"/>
  <c r="D139" i="48" s="1"/>
  <c r="D168" i="48" s="1"/>
  <c r="F109" i="48"/>
  <c r="F138" i="48" s="1"/>
  <c r="F167" i="48" s="1"/>
  <c r="C14" i="40"/>
  <c r="N18" i="40" s="1"/>
  <c r="AE23" i="48"/>
  <c r="D14" i="47"/>
  <c r="AE32" i="48"/>
  <c r="C78" i="40" s="1"/>
  <c r="D41" i="40" s="1"/>
  <c r="I85" i="48"/>
  <c r="I103" i="48" s="1"/>
  <c r="I161" i="48" s="1"/>
  <c r="AG26" i="48"/>
  <c r="C72" i="42" s="1"/>
  <c r="D35" i="42" s="1"/>
  <c r="C8" i="41"/>
  <c r="N12" i="41" s="1"/>
  <c r="AG17" i="48"/>
  <c r="F8" i="47"/>
  <c r="C8" i="42"/>
  <c r="N12" i="42" s="1"/>
  <c r="AK19" i="48"/>
  <c r="AK28" i="48"/>
  <c r="C74" i="46" s="1"/>
  <c r="D37" i="46" s="1"/>
  <c r="J10" i="47"/>
  <c r="J112" i="48"/>
  <c r="J141" i="48" s="1"/>
  <c r="J170" i="48" s="1"/>
  <c r="E13" i="47"/>
  <c r="AF31" i="48"/>
  <c r="C77" i="41" s="1"/>
  <c r="D40" i="41" s="1"/>
  <c r="AF22" i="48"/>
  <c r="I106" i="48"/>
  <c r="I164" i="48" s="1"/>
  <c r="AG22" i="48"/>
  <c r="F13" i="47"/>
  <c r="AG31" i="48"/>
  <c r="C77" i="42" s="1"/>
  <c r="D40" i="42" s="1"/>
  <c r="C13" i="41"/>
  <c r="N17" i="41" s="1"/>
  <c r="C13" i="42"/>
  <c r="N17" i="42" s="1"/>
  <c r="D108" i="48"/>
  <c r="D166" i="48" s="1"/>
  <c r="AE5" i="48"/>
  <c r="E81" i="48"/>
  <c r="E97" i="48" s="1"/>
  <c r="E112" i="48" s="1"/>
  <c r="E141" i="48" s="1"/>
  <c r="E170" i="48" s="1"/>
  <c r="AG20" i="48"/>
  <c r="C11" i="42"/>
  <c r="N15" i="42" s="1"/>
  <c r="AG29" i="48"/>
  <c r="C75" i="42" s="1"/>
  <c r="D38" i="42" s="1"/>
  <c r="F11" i="47"/>
  <c r="C11" i="41"/>
  <c r="N15" i="41" s="1"/>
  <c r="K110" i="48"/>
  <c r="K139" i="48" s="1"/>
  <c r="K168" i="48" s="1"/>
  <c r="J103" i="48"/>
  <c r="J161" i="48" s="1"/>
  <c r="J114" i="48"/>
  <c r="J143" i="48" s="1"/>
  <c r="J172" i="48" s="1"/>
  <c r="J84" i="48"/>
  <c r="AG30" i="48"/>
  <c r="C76" i="42" s="1"/>
  <c r="D39" i="42" s="1"/>
  <c r="C12" i="42"/>
  <c r="N16" i="42" s="1"/>
  <c r="C12" i="41"/>
  <c r="N16" i="41" s="1"/>
  <c r="F12" i="47"/>
  <c r="AG21" i="48"/>
  <c r="D104" i="48"/>
  <c r="D133" i="48" s="1"/>
  <c r="F110" i="48"/>
  <c r="F139" i="48" s="1"/>
  <c r="F168" i="48" s="1"/>
  <c r="G103" i="48"/>
  <c r="G161" i="48" s="1"/>
  <c r="D87" i="48"/>
  <c r="D105" i="48" s="1"/>
  <c r="J90" i="48"/>
  <c r="J108" i="48" s="1"/>
  <c r="J166" i="48" s="1"/>
  <c r="G90" i="48"/>
  <c r="G108" i="48" s="1"/>
  <c r="G166" i="48" s="1"/>
  <c r="F84" i="48"/>
  <c r="H84" i="48"/>
  <c r="H81" i="48"/>
  <c r="H97" i="48" s="1"/>
  <c r="AH5" i="48"/>
  <c r="D107" i="48"/>
  <c r="D165" i="48" s="1"/>
  <c r="AD30" i="48"/>
  <c r="C76" i="39" s="1"/>
  <c r="D39" i="39" s="1"/>
  <c r="AD21" i="48"/>
  <c r="C12" i="47"/>
  <c r="C12" i="39"/>
  <c r="N16" i="39" s="1"/>
  <c r="J106" i="48"/>
  <c r="J164" i="48" s="1"/>
  <c r="AK29" i="48"/>
  <c r="C75" i="46" s="1"/>
  <c r="D38" i="46" s="1"/>
  <c r="J11" i="47"/>
  <c r="AK20" i="48"/>
  <c r="AJ18" i="48"/>
  <c r="C9" i="46"/>
  <c r="N13" i="46" s="1"/>
  <c r="AJ27" i="48"/>
  <c r="C73" i="45" s="1"/>
  <c r="D36" i="45" s="1"/>
  <c r="I9" i="47"/>
  <c r="C9" i="45"/>
  <c r="N13" i="45" s="1"/>
  <c r="G9" i="47"/>
  <c r="AH18" i="48"/>
  <c r="AH27" i="48"/>
  <c r="C73" i="43" s="1"/>
  <c r="D36" i="43" s="1"/>
  <c r="C9" i="43"/>
  <c r="N13" i="43" s="1"/>
  <c r="G110" i="48"/>
  <c r="G139" i="48" s="1"/>
  <c r="G168" i="48" s="1"/>
  <c r="K91" i="48"/>
  <c r="K109" i="48" s="1"/>
  <c r="K138" i="48" s="1"/>
  <c r="K167" i="48" s="1"/>
  <c r="AF23" i="48"/>
  <c r="E14" i="47"/>
  <c r="AF32" i="48"/>
  <c r="C78" i="41" s="1"/>
  <c r="D41" i="41" s="1"/>
  <c r="F103" i="48"/>
  <c r="F161" i="48" s="1"/>
  <c r="J8" i="47"/>
  <c r="AK26" i="48"/>
  <c r="C72" i="46" s="1"/>
  <c r="D35" i="46" s="1"/>
  <c r="AK17" i="48"/>
  <c r="I105" i="48"/>
  <c r="I134" i="48" s="1"/>
  <c r="I163" i="48" s="1"/>
  <c r="H10" i="47"/>
  <c r="C10" i="44"/>
  <c r="N14" i="44" s="1"/>
  <c r="AI28" i="48"/>
  <c r="C74" i="44" s="1"/>
  <c r="D37" i="44" s="1"/>
  <c r="AI19" i="48"/>
  <c r="F114" i="48"/>
  <c r="F143" i="48" s="1"/>
  <c r="F172" i="48" s="1"/>
  <c r="K112" i="48"/>
  <c r="K141" i="48" s="1"/>
  <c r="K170" i="48" s="1"/>
  <c r="F113" i="48"/>
  <c r="F171" i="48" s="1"/>
  <c r="G107" i="48"/>
  <c r="G165" i="48" s="1"/>
  <c r="C13" i="44"/>
  <c r="N17" i="44" s="1"/>
  <c r="AI31" i="48"/>
  <c r="C77" i="44" s="1"/>
  <c r="D40" i="44" s="1"/>
  <c r="AI22" i="48"/>
  <c r="H13" i="47"/>
  <c r="H12" i="47"/>
  <c r="AI21" i="48"/>
  <c r="AI30" i="48"/>
  <c r="C76" i="44" s="1"/>
  <c r="D39" i="44" s="1"/>
  <c r="C12" i="44"/>
  <c r="N16" i="44" s="1"/>
  <c r="AK31" i="48"/>
  <c r="C77" i="46" s="1"/>
  <c r="D40" i="46" s="1"/>
  <c r="AK22" i="48"/>
  <c r="J13" i="47"/>
  <c r="E12" i="47"/>
  <c r="AF30" i="48"/>
  <c r="C76" i="41" s="1"/>
  <c r="D39" i="41" s="1"/>
  <c r="AF21" i="48"/>
  <c r="G104" i="48"/>
  <c r="G133" i="48" s="1"/>
  <c r="G109" i="48"/>
  <c r="G138" i="48" s="1"/>
  <c r="G167" i="48" s="1"/>
  <c r="AJ26" i="48"/>
  <c r="C72" i="45" s="1"/>
  <c r="D35" i="45" s="1"/>
  <c r="AJ17" i="48"/>
  <c r="C8" i="45"/>
  <c r="N12" i="45" s="1"/>
  <c r="I8" i="47"/>
  <c r="C8" i="46"/>
  <c r="N12" i="46" s="1"/>
  <c r="J105" i="48"/>
  <c r="J134" i="48" s="1"/>
  <c r="J163" i="48" s="1"/>
  <c r="C10" i="39"/>
  <c r="N14" i="39" s="1"/>
  <c r="C10" i="47"/>
  <c r="AD19" i="48"/>
  <c r="AD28" i="48"/>
  <c r="C74" i="39" s="1"/>
  <c r="D37" i="39" s="1"/>
  <c r="D113" i="48"/>
  <c r="D171" i="48" s="1"/>
  <c r="AH31" i="48"/>
  <c r="C77" i="43" s="1"/>
  <c r="D40" i="43" s="1"/>
  <c r="C13" i="43"/>
  <c r="N17" i="43" s="1"/>
  <c r="G13" i="47"/>
  <c r="AH22" i="48"/>
  <c r="K107" i="48"/>
  <c r="K165" i="48" s="1"/>
  <c r="AH20" i="48"/>
  <c r="G11" i="47"/>
  <c r="AH29" i="48"/>
  <c r="C75" i="43" s="1"/>
  <c r="D38" i="43" s="1"/>
  <c r="C11" i="43"/>
  <c r="N15" i="43" s="1"/>
  <c r="E86" i="48"/>
  <c r="E104" i="48" s="1"/>
  <c r="I91" i="48"/>
  <c r="I109" i="48" s="1"/>
  <c r="I138" i="48" s="1"/>
  <c r="I167" i="48" s="1"/>
  <c r="AD26" i="48"/>
  <c r="C72" i="39" s="1"/>
  <c r="D35" i="39" s="1"/>
  <c r="AD17" i="48"/>
  <c r="C8" i="39"/>
  <c r="N12" i="39" s="1"/>
  <c r="C8" i="47"/>
  <c r="AJ28" i="48"/>
  <c r="C74" i="45" s="1"/>
  <c r="D37" i="45" s="1"/>
  <c r="C10" i="46"/>
  <c r="N14" i="46" s="1"/>
  <c r="C10" i="45"/>
  <c r="N14" i="45" s="1"/>
  <c r="AJ19" i="48"/>
  <c r="I10" i="47"/>
  <c r="E113" i="48"/>
  <c r="E171" i="48" s="1"/>
  <c r="F111" i="48"/>
  <c r="F140" i="48" s="1"/>
  <c r="F169" i="48" s="1"/>
  <c r="F90" i="48"/>
  <c r="F108" i="48" s="1"/>
  <c r="F166" i="48" s="1"/>
  <c r="AE22" i="48"/>
  <c r="AE31" i="48"/>
  <c r="C77" i="40" s="1"/>
  <c r="D40" i="40" s="1"/>
  <c r="C13" i="40"/>
  <c r="N17" i="40" s="1"/>
  <c r="D13" i="47"/>
  <c r="I81" i="48"/>
  <c r="I97" i="48" s="1"/>
  <c r="I114" i="48" s="1"/>
  <c r="I143" i="48" s="1"/>
  <c r="I172" i="48" s="1"/>
  <c r="AI5" i="48"/>
  <c r="H89" i="48"/>
  <c r="H107" i="48" s="1"/>
  <c r="H165" i="48" s="1"/>
  <c r="AJ21" i="48"/>
  <c r="AJ30" i="48"/>
  <c r="C76" i="45" s="1"/>
  <c r="D39" i="45" s="1"/>
  <c r="I12" i="47"/>
  <c r="C12" i="46"/>
  <c r="N16" i="46" s="1"/>
  <c r="C12" i="45"/>
  <c r="N16" i="45" s="1"/>
  <c r="F88" i="48"/>
  <c r="F106" i="48" s="1"/>
  <c r="F164" i="48" s="1"/>
  <c r="AJ29" i="48"/>
  <c r="C75" i="45" s="1"/>
  <c r="D38" i="45" s="1"/>
  <c r="I11" i="47"/>
  <c r="C11" i="45"/>
  <c r="N15" i="45" s="1"/>
  <c r="C11" i="46"/>
  <c r="N15" i="46" s="1"/>
  <c r="AJ20" i="48"/>
  <c r="AK18" i="48"/>
  <c r="AK27" i="48"/>
  <c r="C73" i="46" s="1"/>
  <c r="D36" i="46" s="1"/>
  <c r="J9" i="47"/>
  <c r="C9" i="44"/>
  <c r="N13" i="44" s="1"/>
  <c r="H9" i="47"/>
  <c r="AI18" i="48"/>
  <c r="AI27" i="48"/>
  <c r="C73" i="44" s="1"/>
  <c r="D36" i="44" s="1"/>
  <c r="E110" i="48"/>
  <c r="E139" i="48" s="1"/>
  <c r="E168" i="48" s="1"/>
  <c r="D91" i="48"/>
  <c r="D109" i="48" s="1"/>
  <c r="D138" i="48" s="1"/>
  <c r="D167" i="48" s="1"/>
  <c r="AG23" i="48"/>
  <c r="C14" i="41"/>
  <c r="N18" i="41" s="1"/>
  <c r="C14" i="42"/>
  <c r="N18" i="42" s="1"/>
  <c r="F14" i="47"/>
  <c r="AG32" i="48"/>
  <c r="C78" i="42" s="1"/>
  <c r="D41" i="42" s="1"/>
  <c r="E85" i="48"/>
  <c r="E103" i="48" s="1"/>
  <c r="E161" i="48" s="1"/>
  <c r="AF17" i="48"/>
  <c r="AF26" i="48"/>
  <c r="C72" i="41" s="1"/>
  <c r="D35" i="41" s="1"/>
  <c r="E8" i="47"/>
  <c r="F87" i="48"/>
  <c r="F105" i="48" s="1"/>
  <c r="F134" i="48" s="1"/>
  <c r="F163" i="48" s="1"/>
  <c r="G10" i="47"/>
  <c r="AH19" i="48"/>
  <c r="AH28" i="48"/>
  <c r="C74" i="43" s="1"/>
  <c r="D37" i="43" s="1"/>
  <c r="C10" i="43"/>
  <c r="N14" i="43" s="1"/>
  <c r="D112" i="48"/>
  <c r="D141" i="48" s="1"/>
  <c r="D170" i="48" s="1"/>
  <c r="G113" i="48"/>
  <c r="G171" i="48" s="1"/>
  <c r="F16" i="22"/>
  <c r="H31" i="11"/>
  <c r="H165" i="11" s="1"/>
  <c r="G184" i="11"/>
  <c r="J33" i="11"/>
  <c r="K15" i="22" s="1"/>
  <c r="F35" i="11"/>
  <c r="E29" i="3"/>
  <c r="F28" i="3" s="1"/>
  <c r="E33" i="3"/>
  <c r="F32" i="3" s="1"/>
  <c r="E32" i="3"/>
  <c r="E28" i="3"/>
  <c r="K32" i="11"/>
  <c r="L14" i="22" s="1"/>
  <c r="Q10" i="9"/>
  <c r="I27" i="3"/>
  <c r="D16" i="6"/>
  <c r="H78" i="8" s="1"/>
  <c r="L85" i="8"/>
  <c r="L84" i="8"/>
  <c r="H111" i="48" l="1"/>
  <c r="H140" i="48" s="1"/>
  <c r="H169" i="48" s="1"/>
  <c r="AH48" i="48"/>
  <c r="AH55" i="48"/>
  <c r="AH51" i="48"/>
  <c r="AH54" i="48"/>
  <c r="AH47" i="48"/>
  <c r="AH53" i="48"/>
  <c r="AH49" i="48"/>
  <c r="AH56" i="48"/>
  <c r="AH50" i="48"/>
  <c r="AH52" i="48"/>
  <c r="J102" i="48"/>
  <c r="J98" i="48"/>
  <c r="AG35" i="48"/>
  <c r="C63" i="42"/>
  <c r="C35" i="42" s="1"/>
  <c r="E35" i="42" s="1"/>
  <c r="AF13" i="48"/>
  <c r="E5" i="47" s="1"/>
  <c r="E7" i="47"/>
  <c r="AF16" i="48"/>
  <c r="AF25" i="48"/>
  <c r="C71" i="41" s="1"/>
  <c r="D34" i="41" s="1"/>
  <c r="K162" i="48"/>
  <c r="K149" i="48"/>
  <c r="AE35" i="48"/>
  <c r="C63" i="40"/>
  <c r="C35" i="40" s="1"/>
  <c r="E35" i="40" s="1"/>
  <c r="AD38" i="48"/>
  <c r="C66" i="39"/>
  <c r="C38" i="39" s="1"/>
  <c r="E38" i="39" s="1"/>
  <c r="AG25" i="48"/>
  <c r="C71" i="42" s="1"/>
  <c r="D34" i="42" s="1"/>
  <c r="AG13" i="48"/>
  <c r="F5" i="47" s="1"/>
  <c r="F7" i="47"/>
  <c r="C7" i="41"/>
  <c r="N11" i="41" s="1"/>
  <c r="C7" i="42"/>
  <c r="N11" i="42" s="1"/>
  <c r="AG16" i="48"/>
  <c r="AE37" i="48"/>
  <c r="C65" i="40"/>
  <c r="C37" i="40" s="1"/>
  <c r="E37" i="40" s="1"/>
  <c r="AI41" i="48"/>
  <c r="C69" i="44"/>
  <c r="C41" i="44" s="1"/>
  <c r="E41" i="44" s="1"/>
  <c r="C7" i="44"/>
  <c r="N11" i="44" s="1"/>
  <c r="AI25" i="48"/>
  <c r="C71" i="44" s="1"/>
  <c r="D34" i="44" s="1"/>
  <c r="AI16" i="48"/>
  <c r="AI13" i="48"/>
  <c r="H7" i="47"/>
  <c r="AD35" i="48"/>
  <c r="C63" i="39"/>
  <c r="C35" i="39" s="1"/>
  <c r="E35" i="39" s="1"/>
  <c r="I104" i="48"/>
  <c r="I119" i="48" s="1"/>
  <c r="H98" i="48"/>
  <c r="H102" i="48"/>
  <c r="I111" i="48"/>
  <c r="I140" i="48" s="1"/>
  <c r="I169" i="48" s="1"/>
  <c r="AG38" i="48"/>
  <c r="C66" i="42"/>
  <c r="C38" i="42" s="1"/>
  <c r="E38" i="42" s="1"/>
  <c r="AG40" i="48"/>
  <c r="C68" i="42"/>
  <c r="C40" i="42" s="1"/>
  <c r="E40" i="42" s="1"/>
  <c r="AK13" i="48"/>
  <c r="J5" i="47" s="1"/>
  <c r="AK25" i="48"/>
  <c r="C71" i="46" s="1"/>
  <c r="D34" i="46" s="1"/>
  <c r="J7" i="47"/>
  <c r="AK16" i="48"/>
  <c r="E108" i="48"/>
  <c r="E166" i="48" s="1"/>
  <c r="AF48" i="48"/>
  <c r="E19" i="47" s="1"/>
  <c r="AF50" i="48"/>
  <c r="AF54" i="48"/>
  <c r="E25" i="47" s="1"/>
  <c r="AF47" i="48"/>
  <c r="AF53" i="48"/>
  <c r="E24" i="47" s="1"/>
  <c r="AF51" i="48"/>
  <c r="E22" i="47" s="1"/>
  <c r="AF49" i="48"/>
  <c r="AF55" i="48"/>
  <c r="E26" i="47" s="1"/>
  <c r="AF52" i="48"/>
  <c r="E23" i="47" s="1"/>
  <c r="AF56" i="48"/>
  <c r="E27" i="47" s="1"/>
  <c r="E106" i="48"/>
  <c r="E164" i="48" s="1"/>
  <c r="H110" i="48"/>
  <c r="H139" i="48" s="1"/>
  <c r="H168" i="48" s="1"/>
  <c r="G105" i="48"/>
  <c r="G134" i="48" s="1"/>
  <c r="G163" i="48" s="1"/>
  <c r="AG48" i="48"/>
  <c r="AG55" i="48"/>
  <c r="AG54" i="48"/>
  <c r="AG51" i="48"/>
  <c r="AG47" i="48"/>
  <c r="AG53" i="48"/>
  <c r="AG49" i="48"/>
  <c r="AG56" i="48"/>
  <c r="AG50" i="48"/>
  <c r="AG52" i="48"/>
  <c r="AJ41" i="48"/>
  <c r="C69" i="45"/>
  <c r="C41" i="45" s="1"/>
  <c r="E41" i="45" s="1"/>
  <c r="AE38" i="48"/>
  <c r="C66" i="40"/>
  <c r="C38" i="40" s="1"/>
  <c r="E38" i="40" s="1"/>
  <c r="C65" i="43"/>
  <c r="C37" i="43" s="1"/>
  <c r="E37" i="43" s="1"/>
  <c r="AH37" i="48"/>
  <c r="C66" i="43"/>
  <c r="C38" i="43" s="1"/>
  <c r="E38" i="43" s="1"/>
  <c r="AH38" i="48"/>
  <c r="AD37" i="48"/>
  <c r="C65" i="39"/>
  <c r="C37" i="39" s="1"/>
  <c r="E37" i="39" s="1"/>
  <c r="AI56" i="48"/>
  <c r="AI49" i="48"/>
  <c r="AI55" i="48"/>
  <c r="AI52" i="48"/>
  <c r="AI51" i="48"/>
  <c r="AI47" i="48"/>
  <c r="AI54" i="48"/>
  <c r="AI50" i="48"/>
  <c r="AI53" i="48"/>
  <c r="AI48" i="48"/>
  <c r="AH40" i="48"/>
  <c r="C68" i="43"/>
  <c r="C40" i="43" s="1"/>
  <c r="E40" i="43" s="1"/>
  <c r="G162" i="48"/>
  <c r="H105" i="48"/>
  <c r="H134" i="48" s="1"/>
  <c r="H163" i="48" s="1"/>
  <c r="AF41" i="48"/>
  <c r="C69" i="41"/>
  <c r="C41" i="41" s="1"/>
  <c r="E41" i="41" s="1"/>
  <c r="F98" i="48"/>
  <c r="F102" i="48"/>
  <c r="D162" i="48"/>
  <c r="D149" i="48"/>
  <c r="D148" i="48"/>
  <c r="D150" i="48" s="1"/>
  <c r="E109" i="48"/>
  <c r="E138" i="48" s="1"/>
  <c r="E167" i="48" s="1"/>
  <c r="AE49" i="48"/>
  <c r="AE51" i="48"/>
  <c r="AE52" i="48"/>
  <c r="AE56" i="48"/>
  <c r="AE48" i="48"/>
  <c r="AE50" i="48"/>
  <c r="AE55" i="48"/>
  <c r="AE47" i="48"/>
  <c r="AE54" i="48"/>
  <c r="AE53" i="48"/>
  <c r="H103" i="48"/>
  <c r="H161" i="48" s="1"/>
  <c r="K114" i="48"/>
  <c r="K143" i="48" s="1"/>
  <c r="K172" i="48" s="1"/>
  <c r="AK48" i="48"/>
  <c r="J19" i="47" s="1"/>
  <c r="AK52" i="48"/>
  <c r="J23" i="47" s="1"/>
  <c r="AK51" i="48"/>
  <c r="J22" i="47" s="1"/>
  <c r="AK56" i="48"/>
  <c r="J27" i="47" s="1"/>
  <c r="AK47" i="48"/>
  <c r="AK54" i="48"/>
  <c r="J25" i="47" s="1"/>
  <c r="AK50" i="48"/>
  <c r="AK55" i="48"/>
  <c r="J26" i="47" s="1"/>
  <c r="AK53" i="48"/>
  <c r="J24" i="47" s="1"/>
  <c r="AK49" i="48"/>
  <c r="J20" i="47" s="1"/>
  <c r="H108" i="48"/>
  <c r="H166" i="48" s="1"/>
  <c r="F107" i="48"/>
  <c r="F165" i="48" s="1"/>
  <c r="F104" i="48"/>
  <c r="F133" i="48" s="1"/>
  <c r="G102" i="48"/>
  <c r="G98" i="48"/>
  <c r="K113" i="48"/>
  <c r="K171" i="48" s="1"/>
  <c r="C66" i="41"/>
  <c r="C38" i="41" s="1"/>
  <c r="E38" i="41" s="1"/>
  <c r="AF38" i="48"/>
  <c r="C63" i="43"/>
  <c r="C35" i="43" s="1"/>
  <c r="E35" i="43" s="1"/>
  <c r="AH35" i="48"/>
  <c r="I110" i="48"/>
  <c r="I139" i="48" s="1"/>
  <c r="I168" i="48" s="1"/>
  <c r="I107" i="48"/>
  <c r="I165" i="48" s="1"/>
  <c r="D111" i="48"/>
  <c r="D140" i="48" s="1"/>
  <c r="D169" i="48" s="1"/>
  <c r="AD53" i="48"/>
  <c r="AD49" i="48"/>
  <c r="AD55" i="48"/>
  <c r="AD48" i="48"/>
  <c r="AD47" i="48"/>
  <c r="AD56" i="48"/>
  <c r="AD52" i="48"/>
  <c r="AD54" i="48"/>
  <c r="AD51" i="48"/>
  <c r="AD50" i="48"/>
  <c r="C65" i="45"/>
  <c r="C37" i="45" s="1"/>
  <c r="E37" i="45" s="1"/>
  <c r="AJ37" i="48"/>
  <c r="AF39" i="48"/>
  <c r="C67" i="41"/>
  <c r="C39" i="41" s="1"/>
  <c r="E39" i="41" s="1"/>
  <c r="H112" i="48"/>
  <c r="H141" i="48" s="1"/>
  <c r="H170" i="48" s="1"/>
  <c r="H109" i="48"/>
  <c r="H138" i="48" s="1"/>
  <c r="H167" i="48" s="1"/>
  <c r="C64" i="46"/>
  <c r="C36" i="46" s="1"/>
  <c r="E36" i="46" s="1"/>
  <c r="AK36" i="48"/>
  <c r="C63" i="46"/>
  <c r="C35" i="46" s="1"/>
  <c r="E35" i="46" s="1"/>
  <c r="AK35" i="48"/>
  <c r="AD39" i="48"/>
  <c r="C67" i="39"/>
  <c r="C39" i="39" s="1"/>
  <c r="E39" i="39" s="1"/>
  <c r="I98" i="48"/>
  <c r="K160" i="48"/>
  <c r="K119" i="48"/>
  <c r="K115" i="48"/>
  <c r="H114" i="48"/>
  <c r="H143" i="48" s="1"/>
  <c r="H172" i="48" s="1"/>
  <c r="AF35" i="48"/>
  <c r="C63" i="41"/>
  <c r="C35" i="41" s="1"/>
  <c r="E35" i="41" s="1"/>
  <c r="C66" i="45"/>
  <c r="C38" i="45" s="1"/>
  <c r="E38" i="45" s="1"/>
  <c r="AJ38" i="48"/>
  <c r="AJ36" i="48"/>
  <c r="C64" i="45"/>
  <c r="C36" i="45" s="1"/>
  <c r="E36" i="45" s="1"/>
  <c r="E111" i="48"/>
  <c r="E140" i="48" s="1"/>
  <c r="E169" i="48" s="1"/>
  <c r="K105" i="48"/>
  <c r="K134" i="48" s="1"/>
  <c r="K163" i="48" s="1"/>
  <c r="AD36" i="48"/>
  <c r="C64" i="39"/>
  <c r="C36" i="39" s="1"/>
  <c r="E36" i="39" s="1"/>
  <c r="C68" i="39"/>
  <c r="C40" i="39" s="1"/>
  <c r="E40" i="39" s="1"/>
  <c r="AD40" i="48"/>
  <c r="AD41" i="48"/>
  <c r="C69" i="39"/>
  <c r="C41" i="39" s="1"/>
  <c r="E41" i="39" s="1"/>
  <c r="AH41" i="48"/>
  <c r="C69" i="43"/>
  <c r="C41" i="43" s="1"/>
  <c r="E41" i="43" s="1"/>
  <c r="K111" i="48"/>
  <c r="K140" i="48" s="1"/>
  <c r="K169" i="48" s="1"/>
  <c r="AG36" i="48"/>
  <c r="C64" i="42"/>
  <c r="C36" i="42" s="1"/>
  <c r="E36" i="42" s="1"/>
  <c r="AK39" i="48"/>
  <c r="C67" i="46"/>
  <c r="C39" i="46" s="1"/>
  <c r="E39" i="46" s="1"/>
  <c r="AF37" i="48"/>
  <c r="C65" i="41"/>
  <c r="C37" i="41" s="1"/>
  <c r="E37" i="41" s="1"/>
  <c r="D103" i="48"/>
  <c r="D161" i="48" s="1"/>
  <c r="G111" i="48"/>
  <c r="G140" i="48" s="1"/>
  <c r="G169" i="48" s="1"/>
  <c r="D98" i="48"/>
  <c r="D102" i="48"/>
  <c r="C69" i="42"/>
  <c r="C41" i="42" s="1"/>
  <c r="E41" i="42" s="1"/>
  <c r="AG41" i="48"/>
  <c r="C63" i="44"/>
  <c r="C35" i="44" s="1"/>
  <c r="E35" i="44" s="1"/>
  <c r="AI35" i="48"/>
  <c r="AD13" i="48"/>
  <c r="C7" i="47"/>
  <c r="AD16" i="48"/>
  <c r="AD25" i="48"/>
  <c r="C71" i="39" s="1"/>
  <c r="D34" i="39" s="1"/>
  <c r="C7" i="39"/>
  <c r="N11" i="39" s="1"/>
  <c r="E133" i="48"/>
  <c r="E162" i="48" s="1"/>
  <c r="AI39" i="48"/>
  <c r="C67" i="44"/>
  <c r="C39" i="44" s="1"/>
  <c r="E39" i="44" s="1"/>
  <c r="AF40" i="48"/>
  <c r="C68" i="41"/>
  <c r="C40" i="41" s="1"/>
  <c r="E40" i="41" s="1"/>
  <c r="AE40" i="48"/>
  <c r="C68" i="40"/>
  <c r="C40" i="40" s="1"/>
  <c r="E40" i="40" s="1"/>
  <c r="AK38" i="48"/>
  <c r="C66" i="46"/>
  <c r="C38" i="46" s="1"/>
  <c r="E38" i="46" s="1"/>
  <c r="I112" i="48"/>
  <c r="I141" i="48" s="1"/>
  <c r="I170" i="48" s="1"/>
  <c r="C69" i="40"/>
  <c r="C41" i="40" s="1"/>
  <c r="E41" i="40" s="1"/>
  <c r="AE41" i="48"/>
  <c r="J162" i="48"/>
  <c r="J149" i="48"/>
  <c r="J148" i="48"/>
  <c r="J144" i="48"/>
  <c r="J153" i="48" s="1"/>
  <c r="J154" i="48"/>
  <c r="C67" i="43"/>
  <c r="C39" i="43" s="1"/>
  <c r="E39" i="43" s="1"/>
  <c r="AH39" i="48"/>
  <c r="AJ13" i="48"/>
  <c r="I5" i="47" s="1"/>
  <c r="AJ25" i="48"/>
  <c r="C71" i="45" s="1"/>
  <c r="D34" i="45" s="1"/>
  <c r="C7" i="45"/>
  <c r="N11" i="45" s="1"/>
  <c r="I7" i="47"/>
  <c r="C7" i="46"/>
  <c r="N11" i="46" s="1"/>
  <c r="AJ16" i="48"/>
  <c r="AE39" i="48"/>
  <c r="C67" i="40"/>
  <c r="C39" i="40" s="1"/>
  <c r="E39" i="40" s="1"/>
  <c r="AG37" i="48"/>
  <c r="C65" i="42"/>
  <c r="C37" i="42" s="1"/>
  <c r="E37" i="42" s="1"/>
  <c r="H104" i="48"/>
  <c r="AJ40" i="48"/>
  <c r="C68" i="45"/>
  <c r="C40" i="45" s="1"/>
  <c r="AF36" i="48"/>
  <c r="C64" i="41"/>
  <c r="C36" i="41" s="1"/>
  <c r="E36" i="41" s="1"/>
  <c r="AE36" i="48"/>
  <c r="C64" i="40"/>
  <c r="C36" i="40" s="1"/>
  <c r="E36" i="40" s="1"/>
  <c r="E98" i="48"/>
  <c r="AG39" i="48"/>
  <c r="C67" i="42"/>
  <c r="C39" i="42" s="1"/>
  <c r="E39" i="42" s="1"/>
  <c r="AE16" i="48"/>
  <c r="AE25" i="48"/>
  <c r="C71" i="40" s="1"/>
  <c r="D34" i="40" s="1"/>
  <c r="C7" i="40"/>
  <c r="N11" i="40" s="1"/>
  <c r="D7" i="47"/>
  <c r="AE13" i="48"/>
  <c r="I160" i="48"/>
  <c r="K98" i="48"/>
  <c r="C65" i="46"/>
  <c r="C37" i="46" s="1"/>
  <c r="E37" i="46" s="1"/>
  <c r="AK37" i="48"/>
  <c r="AI36" i="48"/>
  <c r="C64" i="44"/>
  <c r="C36" i="44" s="1"/>
  <c r="E36" i="44" s="1"/>
  <c r="AJ39" i="48"/>
  <c r="C67" i="45"/>
  <c r="C39" i="45" s="1"/>
  <c r="E39" i="45" s="1"/>
  <c r="AJ35" i="48"/>
  <c r="C63" i="45"/>
  <c r="C35" i="45" s="1"/>
  <c r="E35" i="45" s="1"/>
  <c r="AK40" i="48"/>
  <c r="C68" i="46"/>
  <c r="C40" i="46" s="1"/>
  <c r="E40" i="46" s="1"/>
  <c r="AI40" i="48"/>
  <c r="C68" i="44"/>
  <c r="C40" i="44" s="1"/>
  <c r="E40" i="44" s="1"/>
  <c r="C65" i="44"/>
  <c r="C37" i="44" s="1"/>
  <c r="E37" i="44" s="1"/>
  <c r="AI37" i="48"/>
  <c r="AH36" i="48"/>
  <c r="C64" i="43"/>
  <c r="C36" i="43" s="1"/>
  <c r="E36" i="43" s="1"/>
  <c r="AH25" i="48"/>
  <c r="C71" i="43" s="1"/>
  <c r="D34" i="43" s="1"/>
  <c r="AH13" i="48"/>
  <c r="G7" i="47"/>
  <c r="C7" i="43"/>
  <c r="N11" i="43" s="1"/>
  <c r="AH16" i="48"/>
  <c r="D134" i="48"/>
  <c r="D163" i="48" s="1"/>
  <c r="H113" i="48"/>
  <c r="H171" i="48" s="1"/>
  <c r="AI38" i="48"/>
  <c r="C66" i="44"/>
  <c r="C38" i="44" s="1"/>
  <c r="E38" i="44" s="1"/>
  <c r="H106" i="48"/>
  <c r="H164" i="48" s="1"/>
  <c r="J113" i="48"/>
  <c r="J171" i="48" s="1"/>
  <c r="AJ53" i="48"/>
  <c r="AJ52" i="48"/>
  <c r="AJ55" i="48"/>
  <c r="AJ48" i="48"/>
  <c r="AJ49" i="48"/>
  <c r="AJ51" i="48"/>
  <c r="AJ56" i="48"/>
  <c r="AJ47" i="48"/>
  <c r="AJ50" i="48"/>
  <c r="AJ54" i="48"/>
  <c r="I108" i="48"/>
  <c r="I166" i="48" s="1"/>
  <c r="C69" i="46"/>
  <c r="C41" i="46" s="1"/>
  <c r="E41" i="46" s="1"/>
  <c r="AK41" i="48"/>
  <c r="J107" i="48"/>
  <c r="J165" i="48" s="1"/>
  <c r="E40" i="45"/>
  <c r="E102" i="48"/>
  <c r="G16" i="22"/>
  <c r="H184" i="11"/>
  <c r="I31" i="11"/>
  <c r="I184" i="11" s="1"/>
  <c r="K33" i="11"/>
  <c r="L15" i="22" s="1"/>
  <c r="O33" i="3"/>
  <c r="E107" i="3"/>
  <c r="AS49" i="5" s="1"/>
  <c r="O32" i="3"/>
  <c r="D42" i="3" s="1"/>
  <c r="L91" i="8"/>
  <c r="H6" i="8" s="1"/>
  <c r="L41" i="3"/>
  <c r="L43" i="3" s="1"/>
  <c r="E41" i="3"/>
  <c r="E44" i="3" s="1"/>
  <c r="E81" i="3" s="1"/>
  <c r="M41" i="3"/>
  <c r="M43" i="3" s="1"/>
  <c r="M96" i="3" s="1"/>
  <c r="D41" i="3"/>
  <c r="D44" i="3" s="1"/>
  <c r="I41" i="3"/>
  <c r="I44" i="3" s="1"/>
  <c r="I81" i="3" s="1"/>
  <c r="O24" i="3"/>
  <c r="G58" i="6" s="1"/>
  <c r="O25" i="3"/>
  <c r="G42" i="3" s="1"/>
  <c r="O28" i="3"/>
  <c r="G62" i="6" s="1"/>
  <c r="O27" i="3"/>
  <c r="I42" i="3" s="1"/>
  <c r="K41" i="3"/>
  <c r="K44" i="3" s="1"/>
  <c r="K81" i="3" s="1"/>
  <c r="O29" i="3"/>
  <c r="G63" i="6" s="1"/>
  <c r="F41" i="3"/>
  <c r="F44" i="3" s="1"/>
  <c r="F81" i="3" s="1"/>
  <c r="H41" i="3"/>
  <c r="G41" i="3"/>
  <c r="G35" i="11"/>
  <c r="D19" i="6"/>
  <c r="M25" i="3"/>
  <c r="M35" i="3"/>
  <c r="M34" i="3"/>
  <c r="M28" i="3"/>
  <c r="M27" i="3"/>
  <c r="M24" i="3"/>
  <c r="M26" i="3"/>
  <c r="M29" i="3"/>
  <c r="L32" i="11"/>
  <c r="D21" i="6"/>
  <c r="J26" i="3"/>
  <c r="O26" i="3"/>
  <c r="J41" i="3"/>
  <c r="H24" i="9"/>
  <c r="D20" i="6"/>
  <c r="N27" i="3"/>
  <c r="F61" i="6" s="1"/>
  <c r="N24" i="3"/>
  <c r="N25" i="3"/>
  <c r="F59" i="6" s="1"/>
  <c r="N35" i="3"/>
  <c r="N28" i="3"/>
  <c r="F62" i="6" s="1"/>
  <c r="N34" i="3"/>
  <c r="N29" i="3"/>
  <c r="F63" i="6" s="1"/>
  <c r="N26" i="3"/>
  <c r="F60" i="6" s="1"/>
  <c r="K43" i="37" l="1"/>
  <c r="L43" i="37"/>
  <c r="E177" i="48"/>
  <c r="C5" i="43"/>
  <c r="N9" i="43" s="1"/>
  <c r="G5" i="47"/>
  <c r="D5" i="47"/>
  <c r="C5" i="40"/>
  <c r="N9" i="40" s="1"/>
  <c r="C5" i="42"/>
  <c r="N9" i="42" s="1"/>
  <c r="C5" i="41"/>
  <c r="N9" i="41" s="1"/>
  <c r="I125" i="48"/>
  <c r="C27" i="39"/>
  <c r="Q20" i="39" s="1"/>
  <c r="C27" i="47"/>
  <c r="D26" i="47"/>
  <c r="C26" i="40"/>
  <c r="Q19" i="40" s="1"/>
  <c r="E18" i="47"/>
  <c r="AF57" i="48"/>
  <c r="H54" i="42"/>
  <c r="F33" i="47" s="1"/>
  <c r="G24" i="47"/>
  <c r="C24" i="43"/>
  <c r="Q17" i="43" s="1"/>
  <c r="C20" i="45"/>
  <c r="Q13" i="45" s="1"/>
  <c r="C20" i="46"/>
  <c r="Q13" i="46" s="1"/>
  <c r="I20" i="47"/>
  <c r="C5" i="47"/>
  <c r="C5" i="39"/>
  <c r="N9" i="39" s="1"/>
  <c r="D160" i="48"/>
  <c r="D119" i="48"/>
  <c r="D120" i="48"/>
  <c r="D124" i="48"/>
  <c r="D115" i="48"/>
  <c r="D125" i="48"/>
  <c r="K124" i="48"/>
  <c r="C18" i="47"/>
  <c r="C18" i="39"/>
  <c r="Q11" i="39" s="1"/>
  <c r="AD57" i="48"/>
  <c r="D21" i="47"/>
  <c r="C21" i="40"/>
  <c r="Q14" i="40" s="1"/>
  <c r="D153" i="48"/>
  <c r="C18" i="44"/>
  <c r="Q11" i="44" s="1"/>
  <c r="H18" i="47"/>
  <c r="AI57" i="48"/>
  <c r="F22" i="47"/>
  <c r="C22" i="42"/>
  <c r="Q15" i="42" s="1"/>
  <c r="C22" i="41"/>
  <c r="Q15" i="41" s="1"/>
  <c r="C62" i="44"/>
  <c r="AI34" i="48"/>
  <c r="C18" i="43"/>
  <c r="Q11" i="43" s="1"/>
  <c r="AH57" i="48"/>
  <c r="G18" i="47"/>
  <c r="H133" i="48"/>
  <c r="H162" i="48"/>
  <c r="C22" i="45"/>
  <c r="Q15" i="45" s="1"/>
  <c r="I22" i="47"/>
  <c r="C22" i="46"/>
  <c r="Q15" i="46" s="1"/>
  <c r="AH34" i="48"/>
  <c r="C62" i="43"/>
  <c r="AJ34" i="48"/>
  <c r="C62" i="45"/>
  <c r="G149" i="48"/>
  <c r="H25" i="47"/>
  <c r="C25" i="44"/>
  <c r="Q18" i="44" s="1"/>
  <c r="C18" i="41"/>
  <c r="Q11" i="41" s="1"/>
  <c r="F18" i="47"/>
  <c r="AG57" i="48"/>
  <c r="C18" i="42"/>
  <c r="Q11" i="42" s="1"/>
  <c r="C5" i="44"/>
  <c r="N9" i="44" s="1"/>
  <c r="H5" i="47"/>
  <c r="C5" i="45"/>
  <c r="N9" i="45" s="1"/>
  <c r="C5" i="46"/>
  <c r="N9" i="46" s="1"/>
  <c r="I19" i="47"/>
  <c r="C19" i="45"/>
  <c r="Q12" i="45" s="1"/>
  <c r="C19" i="46"/>
  <c r="Q12" i="46" s="1"/>
  <c r="I173" i="48"/>
  <c r="I183" i="48"/>
  <c r="J150" i="48"/>
  <c r="K125" i="48"/>
  <c r="C19" i="47"/>
  <c r="C19" i="39"/>
  <c r="Q12" i="39" s="1"/>
  <c r="G160" i="48"/>
  <c r="G120" i="48"/>
  <c r="G115" i="48"/>
  <c r="G119" i="48"/>
  <c r="G124" i="48"/>
  <c r="G125" i="48"/>
  <c r="D19" i="47"/>
  <c r="C19" i="40"/>
  <c r="Q12" i="40" s="1"/>
  <c r="D144" i="48"/>
  <c r="C22" i="44"/>
  <c r="Q15" i="44" s="1"/>
  <c r="H22" i="47"/>
  <c r="C25" i="42"/>
  <c r="Q18" i="42" s="1"/>
  <c r="F25" i="47"/>
  <c r="C25" i="41"/>
  <c r="Q18" i="41" s="1"/>
  <c r="E21" i="47"/>
  <c r="H54" i="44"/>
  <c r="H33" i="47" s="1"/>
  <c r="H54" i="41"/>
  <c r="E33" i="47" s="1"/>
  <c r="G25" i="47"/>
  <c r="C25" i="43"/>
  <c r="Q18" i="43" s="1"/>
  <c r="J21" i="47"/>
  <c r="C27" i="40"/>
  <c r="Q20" i="40" s="1"/>
  <c r="D27" i="47"/>
  <c r="C23" i="42"/>
  <c r="Q16" i="42" s="1"/>
  <c r="F23" i="47"/>
  <c r="C23" i="41"/>
  <c r="Q16" i="41" s="1"/>
  <c r="AG34" i="48"/>
  <c r="C62" i="42"/>
  <c r="J125" i="48"/>
  <c r="J115" i="48"/>
  <c r="J160" i="48"/>
  <c r="J119" i="48"/>
  <c r="J124" i="48"/>
  <c r="J120" i="48"/>
  <c r="H54" i="43"/>
  <c r="G33" i="47" s="1"/>
  <c r="K177" i="48"/>
  <c r="K173" i="48"/>
  <c r="K183" i="48" s="1"/>
  <c r="K178" i="48"/>
  <c r="X142" i="48" s="1"/>
  <c r="K182" i="48"/>
  <c r="D23" i="47"/>
  <c r="C23" i="40"/>
  <c r="Q16" i="40" s="1"/>
  <c r="H26" i="47"/>
  <c r="C26" i="44"/>
  <c r="Q19" i="44" s="1"/>
  <c r="C21" i="42"/>
  <c r="Q14" i="42" s="1"/>
  <c r="C21" i="41"/>
  <c r="Q14" i="41" s="1"/>
  <c r="F21" i="47"/>
  <c r="C19" i="42"/>
  <c r="Q12" i="42" s="1"/>
  <c r="C19" i="41"/>
  <c r="Q12" i="41" s="1"/>
  <c r="F19" i="47"/>
  <c r="I133" i="48"/>
  <c r="I162" i="48"/>
  <c r="I178" i="48" s="1"/>
  <c r="V142" i="48" s="1"/>
  <c r="C23" i="43"/>
  <c r="Q16" i="43" s="1"/>
  <c r="G23" i="47"/>
  <c r="C26" i="43"/>
  <c r="Q19" i="43" s="1"/>
  <c r="G26" i="47"/>
  <c r="I21" i="47"/>
  <c r="C21" i="45"/>
  <c r="Q14" i="45" s="1"/>
  <c r="C21" i="46"/>
  <c r="Q14" i="46" s="1"/>
  <c r="I24" i="47"/>
  <c r="C24" i="46"/>
  <c r="Q17" i="46" s="1"/>
  <c r="C24" i="45"/>
  <c r="Q17" i="45" s="1"/>
  <c r="I120" i="48"/>
  <c r="K120" i="48"/>
  <c r="C22" i="47"/>
  <c r="C22" i="39"/>
  <c r="Q15" i="39" s="1"/>
  <c r="C24" i="39"/>
  <c r="Q17" i="39" s="1"/>
  <c r="C24" i="47"/>
  <c r="F162" i="48"/>
  <c r="F149" i="48"/>
  <c r="F148" i="48"/>
  <c r="F150" i="48" s="1"/>
  <c r="F144" i="48"/>
  <c r="F153" i="48" s="1"/>
  <c r="F154" i="48"/>
  <c r="AK57" i="48"/>
  <c r="J18" i="47"/>
  <c r="C24" i="40"/>
  <c r="Q17" i="40" s="1"/>
  <c r="D24" i="47"/>
  <c r="C22" i="40"/>
  <c r="Q15" i="40" s="1"/>
  <c r="D22" i="47"/>
  <c r="H19" i="47"/>
  <c r="C19" i="44"/>
  <c r="Q12" i="44" s="1"/>
  <c r="C20" i="44"/>
  <c r="Q13" i="44" s="1"/>
  <c r="H20" i="47"/>
  <c r="F27" i="47"/>
  <c r="C27" i="42"/>
  <c r="Q20" i="42" s="1"/>
  <c r="C27" i="41"/>
  <c r="Q20" i="41" s="1"/>
  <c r="E20" i="47"/>
  <c r="C62" i="46"/>
  <c r="AK34" i="48"/>
  <c r="C21" i="43"/>
  <c r="Q14" i="43" s="1"/>
  <c r="G21" i="47"/>
  <c r="G19" i="47"/>
  <c r="C19" i="43"/>
  <c r="Q12" i="43" s="1"/>
  <c r="C26" i="45"/>
  <c r="Q19" i="45" s="1"/>
  <c r="I26" i="47"/>
  <c r="C26" i="46"/>
  <c r="Q19" i="46" s="1"/>
  <c r="K121" i="48"/>
  <c r="X24" i="48" s="1"/>
  <c r="X27" i="48" s="1"/>
  <c r="C26" i="47"/>
  <c r="C26" i="39"/>
  <c r="Q19" i="39" s="1"/>
  <c r="H23" i="47"/>
  <c r="C23" i="44"/>
  <c r="Q16" i="44" s="1"/>
  <c r="C26" i="42"/>
  <c r="Q19" i="42" s="1"/>
  <c r="F26" i="47"/>
  <c r="C26" i="41"/>
  <c r="Q19" i="41" s="1"/>
  <c r="C22" i="43"/>
  <c r="Q15" i="43" s="1"/>
  <c r="G22" i="47"/>
  <c r="E115" i="48"/>
  <c r="E119" i="48"/>
  <c r="E124" i="48"/>
  <c r="E120" i="48"/>
  <c r="E160" i="48"/>
  <c r="E125" i="48"/>
  <c r="C23" i="45"/>
  <c r="Q16" i="45" s="1"/>
  <c r="C23" i="46"/>
  <c r="Q16" i="46" s="1"/>
  <c r="I23" i="47"/>
  <c r="C20" i="47"/>
  <c r="C20" i="39"/>
  <c r="Q13" i="39" s="1"/>
  <c r="I18" i="47"/>
  <c r="C18" i="45"/>
  <c r="Q11" i="45" s="1"/>
  <c r="AJ57" i="48"/>
  <c r="C18" i="46"/>
  <c r="Q11" i="46" s="1"/>
  <c r="I115" i="48"/>
  <c r="H54" i="40"/>
  <c r="D33" i="47" s="1"/>
  <c r="H54" i="39"/>
  <c r="C33" i="47" s="1"/>
  <c r="C25" i="47"/>
  <c r="C25" i="39"/>
  <c r="Q18" i="39" s="1"/>
  <c r="C25" i="40"/>
  <c r="Q18" i="40" s="1"/>
  <c r="D25" i="47"/>
  <c r="C20" i="40"/>
  <c r="Q13" i="40" s="1"/>
  <c r="D20" i="47"/>
  <c r="F115" i="48"/>
  <c r="F124" i="48"/>
  <c r="S53" i="48" s="1"/>
  <c r="F120" i="48"/>
  <c r="F160" i="48"/>
  <c r="F125" i="48"/>
  <c r="F119" i="48"/>
  <c r="G144" i="48"/>
  <c r="H24" i="47"/>
  <c r="C24" i="44"/>
  <c r="Q17" i="44" s="1"/>
  <c r="C27" i="44"/>
  <c r="Q20" i="44" s="1"/>
  <c r="H27" i="47"/>
  <c r="C20" i="41"/>
  <c r="Q13" i="41" s="1"/>
  <c r="F20" i="47"/>
  <c r="C20" i="42"/>
  <c r="Q13" i="42" s="1"/>
  <c r="K144" i="48"/>
  <c r="K153" i="48" s="1"/>
  <c r="C27" i="43"/>
  <c r="Q20" i="43" s="1"/>
  <c r="G27" i="47"/>
  <c r="E144" i="48"/>
  <c r="E148" i="48"/>
  <c r="E149" i="48"/>
  <c r="E153" i="48"/>
  <c r="AF34" i="48"/>
  <c r="C62" i="41"/>
  <c r="I25" i="47"/>
  <c r="C25" i="46"/>
  <c r="Q18" i="46" s="1"/>
  <c r="C25" i="45"/>
  <c r="Q18" i="45" s="1"/>
  <c r="H54" i="45"/>
  <c r="I33" i="47" s="1"/>
  <c r="C21" i="39"/>
  <c r="Q14" i="39" s="1"/>
  <c r="C21" i="47"/>
  <c r="I27" i="47"/>
  <c r="C27" i="45"/>
  <c r="Q20" i="45" s="1"/>
  <c r="C27" i="46"/>
  <c r="Q20" i="46" s="1"/>
  <c r="I124" i="48"/>
  <c r="C62" i="40"/>
  <c r="AE34" i="48"/>
  <c r="AD34" i="48"/>
  <c r="C62" i="39"/>
  <c r="C23" i="39"/>
  <c r="Q16" i="39" s="1"/>
  <c r="C23" i="47"/>
  <c r="C18" i="40"/>
  <c r="Q11" i="40" s="1"/>
  <c r="D18" i="47"/>
  <c r="AE57" i="48"/>
  <c r="G148" i="48"/>
  <c r="G150" i="48" s="1"/>
  <c r="H21" i="47"/>
  <c r="C21" i="44"/>
  <c r="Q14" i="44" s="1"/>
  <c r="F24" i="47"/>
  <c r="C24" i="41"/>
  <c r="Q17" i="41" s="1"/>
  <c r="C24" i="42"/>
  <c r="Q17" i="42" s="1"/>
  <c r="H54" i="46"/>
  <c r="J33" i="47" s="1"/>
  <c r="H115" i="48"/>
  <c r="H124" i="48"/>
  <c r="H160" i="48"/>
  <c r="H125" i="48"/>
  <c r="H119" i="48"/>
  <c r="H120" i="48"/>
  <c r="K148" i="48"/>
  <c r="K150" i="48" s="1"/>
  <c r="C20" i="43"/>
  <c r="Q13" i="43" s="1"/>
  <c r="G20" i="47"/>
  <c r="I43" i="3"/>
  <c r="I82" i="3" s="1"/>
  <c r="I80" i="3" s="1"/>
  <c r="I90" i="3" s="1"/>
  <c r="H16" i="22"/>
  <c r="I165" i="11"/>
  <c r="J31" i="11"/>
  <c r="J165" i="11" s="1"/>
  <c r="M14" i="22"/>
  <c r="L33" i="11"/>
  <c r="M15" i="22" s="1"/>
  <c r="D11" i="8"/>
  <c r="D46" i="8"/>
  <c r="F107" i="3"/>
  <c r="F108" i="3"/>
  <c r="D39" i="6"/>
  <c r="E109" i="3"/>
  <c r="D41" i="6" s="1"/>
  <c r="T42" i="3"/>
  <c r="T40" i="3"/>
  <c r="E108" i="3"/>
  <c r="D40" i="6" s="1"/>
  <c r="L82" i="3"/>
  <c r="L96" i="3"/>
  <c r="L44" i="3"/>
  <c r="L81" i="3" s="1"/>
  <c r="L95" i="3" s="1"/>
  <c r="L32" i="3"/>
  <c r="F42" i="3"/>
  <c r="F43" i="3" s="1"/>
  <c r="F82" i="3" s="1"/>
  <c r="F80" i="3" s="1"/>
  <c r="M44" i="3"/>
  <c r="M81" i="3" s="1"/>
  <c r="M95" i="3" s="1"/>
  <c r="E42" i="3"/>
  <c r="E43" i="3" s="1"/>
  <c r="E82" i="3" s="1"/>
  <c r="E80" i="3" s="1"/>
  <c r="G59" i="6"/>
  <c r="D43" i="3"/>
  <c r="D82" i="3" s="1"/>
  <c r="J42" i="3"/>
  <c r="J43" i="3" s="1"/>
  <c r="J82" i="3" s="1"/>
  <c r="K42" i="3"/>
  <c r="K43" i="3" s="1"/>
  <c r="K82" i="3" s="1"/>
  <c r="K80" i="3" s="1"/>
  <c r="K90" i="3" s="1"/>
  <c r="L32" i="9"/>
  <c r="J69" i="9" s="1"/>
  <c r="L69" i="9" s="1"/>
  <c r="H25" i="9"/>
  <c r="M32" i="9" s="1"/>
  <c r="H32" i="8" s="1"/>
  <c r="O30" i="3"/>
  <c r="E21" i="6" s="1"/>
  <c r="G61" i="6"/>
  <c r="L92" i="8"/>
  <c r="I95" i="3"/>
  <c r="E60" i="6"/>
  <c r="L26" i="3"/>
  <c r="E49" i="3"/>
  <c r="T39" i="3"/>
  <c r="L84" i="3"/>
  <c r="G19" i="6"/>
  <c r="F95" i="3"/>
  <c r="H35" i="11"/>
  <c r="I16" i="22" s="1"/>
  <c r="B20" i="6"/>
  <c r="F19" i="5"/>
  <c r="F58" i="6"/>
  <c r="N30" i="3"/>
  <c r="E20" i="6" s="1"/>
  <c r="M99" i="3"/>
  <c r="N99" i="3" s="1"/>
  <c r="AS17" i="5" s="1"/>
  <c r="M84" i="3"/>
  <c r="M82" i="3"/>
  <c r="E95" i="3"/>
  <c r="G20" i="6"/>
  <c r="T41" i="3"/>
  <c r="L83" i="3"/>
  <c r="E50" i="3"/>
  <c r="E58" i="6"/>
  <c r="M30" i="3"/>
  <c r="E19" i="6" s="1"/>
  <c r="L24" i="3"/>
  <c r="J44" i="3"/>
  <c r="J81" i="3" s="1"/>
  <c r="F23" i="5"/>
  <c r="B21" i="6"/>
  <c r="E61" i="6"/>
  <c r="L27" i="3"/>
  <c r="E59" i="6"/>
  <c r="L25" i="3"/>
  <c r="G43" i="3"/>
  <c r="G82" i="3" s="1"/>
  <c r="G44" i="3"/>
  <c r="G81" i="3" s="1"/>
  <c r="D81" i="3"/>
  <c r="M98" i="3"/>
  <c r="N98" i="3" s="1"/>
  <c r="M83" i="3"/>
  <c r="G60" i="6"/>
  <c r="H42" i="3"/>
  <c r="H43" i="3" s="1"/>
  <c r="H82" i="3" s="1"/>
  <c r="M32" i="11"/>
  <c r="K95" i="3"/>
  <c r="E63" i="6"/>
  <c r="L29" i="3"/>
  <c r="L28" i="3"/>
  <c r="E62" i="6"/>
  <c r="D22" i="6"/>
  <c r="B19" i="6"/>
  <c r="D2" i="13" s="1"/>
  <c r="F15" i="5"/>
  <c r="H44" i="3"/>
  <c r="H81" i="3" s="1"/>
  <c r="N41" i="3"/>
  <c r="H7" i="8"/>
  <c r="S51" i="48" l="1"/>
  <c r="S52" i="48" s="1"/>
  <c r="S19" i="48"/>
  <c r="S20" i="48" s="1"/>
  <c r="C34" i="42"/>
  <c r="D80" i="42"/>
  <c r="C16" i="46"/>
  <c r="Q9" i="46" s="1"/>
  <c r="H16" i="47"/>
  <c r="C16" i="44"/>
  <c r="Q9" i="44" s="1"/>
  <c r="C16" i="45"/>
  <c r="Q9" i="45" s="1"/>
  <c r="P16" i="45" s="1"/>
  <c r="AI58" i="48"/>
  <c r="D177" i="48"/>
  <c r="D179" i="48" s="1"/>
  <c r="D178" i="48"/>
  <c r="Q142" i="48" s="1"/>
  <c r="U51" i="48"/>
  <c r="U52" i="48" s="1"/>
  <c r="U19" i="48"/>
  <c r="U20" i="48" s="1"/>
  <c r="I44" i="37"/>
  <c r="J44" i="37"/>
  <c r="D80" i="41"/>
  <c r="C34" i="41"/>
  <c r="S54" i="48"/>
  <c r="S55" i="48" s="1"/>
  <c r="S56" i="48"/>
  <c r="S57" i="48" s="1"/>
  <c r="P11" i="46"/>
  <c r="P16" i="46"/>
  <c r="P13" i="44"/>
  <c r="P15" i="46"/>
  <c r="O11" i="39"/>
  <c r="O12" i="39"/>
  <c r="O13" i="39"/>
  <c r="O15" i="39"/>
  <c r="O18" i="39"/>
  <c r="O14" i="39"/>
  <c r="O16" i="39"/>
  <c r="O17" i="39"/>
  <c r="P14" i="44"/>
  <c r="H121" i="48"/>
  <c r="J43" i="37"/>
  <c r="I43" i="37"/>
  <c r="P17" i="44"/>
  <c r="I16" i="47"/>
  <c r="AJ58" i="48"/>
  <c r="P12" i="44"/>
  <c r="AK58" i="48"/>
  <c r="J16" i="47"/>
  <c r="M44" i="37"/>
  <c r="W51" i="48"/>
  <c r="W52" i="48" s="1"/>
  <c r="AJ70" i="48" s="1"/>
  <c r="W19" i="48"/>
  <c r="W20" i="48" s="1"/>
  <c r="AJ62" i="48" s="1"/>
  <c r="T53" i="48"/>
  <c r="H42" i="37"/>
  <c r="O11" i="46"/>
  <c r="O16" i="46"/>
  <c r="O13" i="46"/>
  <c r="O15" i="46"/>
  <c r="O17" i="46"/>
  <c r="O12" i="46"/>
  <c r="O18" i="46"/>
  <c r="O14" i="46"/>
  <c r="P18" i="44"/>
  <c r="D80" i="44"/>
  <c r="C34" i="44"/>
  <c r="P11" i="44"/>
  <c r="X53" i="48"/>
  <c r="P20" i="39"/>
  <c r="O11" i="43"/>
  <c r="O15" i="43"/>
  <c r="O18" i="43"/>
  <c r="O14" i="43"/>
  <c r="O13" i="43"/>
  <c r="O17" i="43"/>
  <c r="O16" i="43"/>
  <c r="O12" i="43"/>
  <c r="W53" i="48"/>
  <c r="M42" i="37"/>
  <c r="O17" i="45"/>
  <c r="O16" i="45"/>
  <c r="O12" i="45"/>
  <c r="O18" i="45"/>
  <c r="O14" i="45"/>
  <c r="O13" i="45"/>
  <c r="O15" i="45"/>
  <c r="H177" i="48"/>
  <c r="H173" i="48"/>
  <c r="H183" i="48"/>
  <c r="G153" i="48"/>
  <c r="S134" i="48" s="1"/>
  <c r="T91" i="48"/>
  <c r="S91" i="48"/>
  <c r="S106" i="48"/>
  <c r="T139" i="48"/>
  <c r="S139" i="48"/>
  <c r="T106" i="48"/>
  <c r="S152" i="48"/>
  <c r="E178" i="48"/>
  <c r="R142" i="48" s="1"/>
  <c r="E173" i="48"/>
  <c r="P19" i="46"/>
  <c r="P14" i="43"/>
  <c r="G154" i="48"/>
  <c r="X19" i="48"/>
  <c r="X20" i="48" s="1"/>
  <c r="AK62" i="48" s="1"/>
  <c r="X51" i="48"/>
  <c r="X52" i="48" s="1"/>
  <c r="AK70" i="48" s="1"/>
  <c r="M43" i="37"/>
  <c r="J121" i="48"/>
  <c r="P16" i="41"/>
  <c r="I182" i="48"/>
  <c r="X121" i="48"/>
  <c r="X124" i="48" s="1"/>
  <c r="V121" i="48"/>
  <c r="V124" i="48" s="1"/>
  <c r="W94" i="48"/>
  <c r="X110" i="48"/>
  <c r="X111" i="48" s="1"/>
  <c r="V110" i="48"/>
  <c r="V111" i="48" s="1"/>
  <c r="V94" i="48"/>
  <c r="V150" i="48"/>
  <c r="X146" i="48"/>
  <c r="W110" i="48"/>
  <c r="W111" i="48" s="1"/>
  <c r="X122" i="48"/>
  <c r="X123" i="48" s="1"/>
  <c r="V122" i="48"/>
  <c r="V123" i="48" s="1"/>
  <c r="X94" i="48"/>
  <c r="X109" i="48"/>
  <c r="X112" i="48" s="1"/>
  <c r="V109" i="48"/>
  <c r="V112" i="48" s="1"/>
  <c r="W121" i="48"/>
  <c r="X150" i="48"/>
  <c r="W122" i="48"/>
  <c r="W123" i="48" s="1"/>
  <c r="V146" i="48"/>
  <c r="W146" i="48"/>
  <c r="W109" i="48"/>
  <c r="W115" i="48"/>
  <c r="V115" i="48"/>
  <c r="W92" i="48"/>
  <c r="W93" i="48" s="1"/>
  <c r="V92" i="48"/>
  <c r="V93" i="48" s="1"/>
  <c r="H178" i="48"/>
  <c r="U142" i="48" s="1"/>
  <c r="O11" i="45"/>
  <c r="D173" i="48"/>
  <c r="C34" i="39"/>
  <c r="D80" i="39"/>
  <c r="C34" i="40"/>
  <c r="D80" i="40"/>
  <c r="P18" i="42"/>
  <c r="U53" i="48"/>
  <c r="J42" i="37"/>
  <c r="I42" i="37"/>
  <c r="P17" i="41"/>
  <c r="P20" i="46"/>
  <c r="E150" i="48"/>
  <c r="F121" i="48"/>
  <c r="S24" i="48" s="1"/>
  <c r="S27" i="48" s="1"/>
  <c r="R51" i="48"/>
  <c r="R52" i="48" s="1"/>
  <c r="AE70" i="48" s="1"/>
  <c r="G44" i="37"/>
  <c r="R19" i="48"/>
  <c r="R20" i="48" s="1"/>
  <c r="AE62" i="48" s="1"/>
  <c r="K154" i="48"/>
  <c r="P20" i="42"/>
  <c r="V51" i="48"/>
  <c r="V52" i="48" s="1"/>
  <c r="AI70" i="48" s="1"/>
  <c r="V19" i="48"/>
  <c r="V20" i="48" s="1"/>
  <c r="AI62" i="48" s="1"/>
  <c r="L44" i="37"/>
  <c r="K44" i="37"/>
  <c r="J178" i="48"/>
  <c r="W142" i="48" s="1"/>
  <c r="W150" i="48" s="1"/>
  <c r="J177" i="48"/>
  <c r="J173" i="48"/>
  <c r="J182" i="48" s="1"/>
  <c r="J183" i="48"/>
  <c r="P15" i="44"/>
  <c r="T19" i="48"/>
  <c r="T20" i="48" s="1"/>
  <c r="AF62" i="48" s="1"/>
  <c r="T51" i="48"/>
  <c r="T52" i="48" s="1"/>
  <c r="AF70" i="48" s="1"/>
  <c r="H44" i="37"/>
  <c r="I177" i="48"/>
  <c r="I179" i="48" s="1"/>
  <c r="O11" i="44"/>
  <c r="O12" i="44"/>
  <c r="O17" i="44"/>
  <c r="O15" i="44"/>
  <c r="O18" i="44"/>
  <c r="O13" i="44"/>
  <c r="O16" i="44"/>
  <c r="O14" i="44"/>
  <c r="C34" i="45"/>
  <c r="D80" i="45"/>
  <c r="H144" i="48"/>
  <c r="H148" i="48"/>
  <c r="H149" i="48"/>
  <c r="H153" i="48"/>
  <c r="H154" i="48"/>
  <c r="Q53" i="48"/>
  <c r="E42" i="37"/>
  <c r="P13" i="46"/>
  <c r="E16" i="47"/>
  <c r="AF58" i="48"/>
  <c r="O11" i="41"/>
  <c r="O18" i="41"/>
  <c r="O13" i="41"/>
  <c r="O14" i="41"/>
  <c r="O15" i="41"/>
  <c r="O12" i="41"/>
  <c r="O16" i="41"/>
  <c r="O17" i="41"/>
  <c r="I121" i="48"/>
  <c r="X32" i="48"/>
  <c r="X29" i="48"/>
  <c r="X30" i="48" s="1"/>
  <c r="X34" i="48"/>
  <c r="X35" i="48" s="1"/>
  <c r="H43" i="37"/>
  <c r="G121" i="48"/>
  <c r="E179" i="48"/>
  <c r="K42" i="37"/>
  <c r="V53" i="48"/>
  <c r="L42" i="37"/>
  <c r="E154" i="48"/>
  <c r="R101" i="48" s="1"/>
  <c r="R106" i="48"/>
  <c r="R139" i="48"/>
  <c r="R91" i="48"/>
  <c r="T101" i="48"/>
  <c r="R53" i="48"/>
  <c r="G42" i="37"/>
  <c r="P19" i="42"/>
  <c r="I149" i="48"/>
  <c r="I148" i="48"/>
  <c r="I150" i="48" s="1"/>
  <c r="I144" i="48"/>
  <c r="I153" i="48" s="1"/>
  <c r="K179" i="48"/>
  <c r="P16" i="42"/>
  <c r="Q106" i="48"/>
  <c r="Q91" i="48"/>
  <c r="Q139" i="48"/>
  <c r="D154" i="48"/>
  <c r="Q152" i="48" s="1"/>
  <c r="G173" i="48"/>
  <c r="G178" i="48"/>
  <c r="T142" i="48" s="1"/>
  <c r="G177" i="48"/>
  <c r="G182" i="48"/>
  <c r="Q19" i="48"/>
  <c r="Q20" i="48" s="1"/>
  <c r="AD62" i="48" s="1"/>
  <c r="Q51" i="48"/>
  <c r="Q52" i="48" s="1"/>
  <c r="AD70" i="48" s="1"/>
  <c r="E44" i="37"/>
  <c r="O11" i="42"/>
  <c r="O17" i="42"/>
  <c r="O12" i="42"/>
  <c r="O18" i="42"/>
  <c r="O13" i="42"/>
  <c r="O15" i="42"/>
  <c r="O16" i="42"/>
  <c r="O14" i="42"/>
  <c r="C16" i="40"/>
  <c r="Q9" i="40" s="1"/>
  <c r="P11" i="40" s="1"/>
  <c r="C16" i="41"/>
  <c r="Q9" i="41" s="1"/>
  <c r="P11" i="41" s="1"/>
  <c r="AE58" i="48"/>
  <c r="C16" i="42"/>
  <c r="Q9" i="42" s="1"/>
  <c r="D16" i="47"/>
  <c r="P15" i="43"/>
  <c r="P16" i="39"/>
  <c r="P18" i="46"/>
  <c r="F177" i="48"/>
  <c r="F178" i="48"/>
  <c r="S142" i="48" s="1"/>
  <c r="F173" i="48"/>
  <c r="F182" i="48" s="1"/>
  <c r="E121" i="48"/>
  <c r="G43" i="37"/>
  <c r="P16" i="44"/>
  <c r="C34" i="46"/>
  <c r="D80" i="46"/>
  <c r="P17" i="46"/>
  <c r="P19" i="44"/>
  <c r="P12" i="39"/>
  <c r="P12" i="46"/>
  <c r="F16" i="47"/>
  <c r="AG58" i="48"/>
  <c r="D80" i="43"/>
  <c r="C34" i="43"/>
  <c r="AH58" i="48"/>
  <c r="C16" i="43"/>
  <c r="Q9" i="43" s="1"/>
  <c r="G16" i="47"/>
  <c r="C16" i="47"/>
  <c r="AD58" i="48"/>
  <c r="C16" i="39"/>
  <c r="Q9" i="39" s="1"/>
  <c r="P17" i="39" s="1"/>
  <c r="D121" i="48"/>
  <c r="E43" i="37"/>
  <c r="O11" i="40"/>
  <c r="O12" i="40"/>
  <c r="O13" i="40"/>
  <c r="O16" i="40"/>
  <c r="O17" i="40"/>
  <c r="O18" i="40"/>
  <c r="O15" i="40"/>
  <c r="O14" i="40"/>
  <c r="J184" i="11"/>
  <c r="K31" i="11"/>
  <c r="K165" i="11" s="1"/>
  <c r="N14" i="22"/>
  <c r="M33" i="11"/>
  <c r="N15" i="22" s="1"/>
  <c r="E111" i="3"/>
  <c r="D43" i="6" s="1"/>
  <c r="T41" i="5" s="1"/>
  <c r="E59" i="3"/>
  <c r="E60" i="3" s="1"/>
  <c r="J61" i="3" s="1"/>
  <c r="F43" i="5"/>
  <c r="N97" i="3"/>
  <c r="D49" i="6" s="1"/>
  <c r="L94" i="3"/>
  <c r="E61" i="11"/>
  <c r="F61" i="11" s="1"/>
  <c r="G61" i="11" s="1"/>
  <c r="H61" i="11" s="1"/>
  <c r="I61" i="11" s="1"/>
  <c r="J61" i="11" s="1"/>
  <c r="K61" i="11" s="1"/>
  <c r="L61" i="11" s="1"/>
  <c r="M61" i="11" s="1"/>
  <c r="N61" i="11" s="1"/>
  <c r="O61" i="11" s="1"/>
  <c r="P61" i="11" s="1"/>
  <c r="Q61" i="11" s="1"/>
  <c r="R61" i="11" s="1"/>
  <c r="S61" i="11" s="1"/>
  <c r="T61" i="11" s="1"/>
  <c r="U61" i="11" s="1"/>
  <c r="V61" i="11" s="1"/>
  <c r="W61" i="11" s="1"/>
  <c r="X61" i="11" s="1"/>
  <c r="Y61" i="11" s="1"/>
  <c r="Z61" i="11" s="1"/>
  <c r="AA61" i="11" s="1"/>
  <c r="AB61" i="11" s="1"/>
  <c r="AC61" i="11" s="1"/>
  <c r="AD61" i="11" s="1"/>
  <c r="AE61" i="11" s="1"/>
  <c r="AF61" i="11" s="1"/>
  <c r="AG61" i="11" s="1"/>
  <c r="AH61" i="11" s="1"/>
  <c r="AI61" i="11" s="1"/>
  <c r="AJ61" i="11" s="1"/>
  <c r="AK61" i="11" s="1"/>
  <c r="AL61" i="11" s="1"/>
  <c r="AM61" i="11" s="1"/>
  <c r="AN61" i="11" s="1"/>
  <c r="AO61" i="11" s="1"/>
  <c r="AP61" i="11" s="1"/>
  <c r="AQ61" i="11" s="1"/>
  <c r="AR61" i="11" s="1"/>
  <c r="AS61" i="11" s="1"/>
  <c r="AT61" i="11" s="1"/>
  <c r="AU61" i="11" s="1"/>
  <c r="AV61" i="11" s="1"/>
  <c r="AW61" i="11" s="1"/>
  <c r="AX61" i="11" s="1"/>
  <c r="AY61" i="11" s="1"/>
  <c r="AZ61" i="11" s="1"/>
  <c r="BA61" i="11" s="1"/>
  <c r="BB61" i="11" s="1"/>
  <c r="BC61" i="11" s="1"/>
  <c r="L93" i="8"/>
  <c r="S9" i="8"/>
  <c r="E52" i="3"/>
  <c r="D28" i="6" s="1"/>
  <c r="F21" i="6"/>
  <c r="F22" i="6" s="1"/>
  <c r="S25" i="5" s="1"/>
  <c r="L80" i="3"/>
  <c r="G64" i="6"/>
  <c r="AO23" i="5" s="1"/>
  <c r="E22" i="6"/>
  <c r="J95" i="9"/>
  <c r="L95" i="9" s="1"/>
  <c r="J93" i="9"/>
  <c r="L93" i="9" s="1"/>
  <c r="J68" i="9"/>
  <c r="L68" i="9" s="1"/>
  <c r="J41" i="9"/>
  <c r="L41" i="9" s="1"/>
  <c r="J44" i="9"/>
  <c r="L44" i="9" s="1"/>
  <c r="J82" i="9"/>
  <c r="L82" i="9" s="1"/>
  <c r="J67" i="9"/>
  <c r="L67" i="9" s="1"/>
  <c r="J57" i="9"/>
  <c r="L57" i="9" s="1"/>
  <c r="J39" i="9"/>
  <c r="L39" i="9" s="1"/>
  <c r="J43" i="9"/>
  <c r="L43" i="9" s="1"/>
  <c r="J81" i="9"/>
  <c r="L81" i="9" s="1"/>
  <c r="J56" i="9"/>
  <c r="L56" i="9" s="1"/>
  <c r="J70" i="9"/>
  <c r="L70" i="9" s="1"/>
  <c r="J58" i="9"/>
  <c r="L58" i="9" s="1"/>
  <c r="J91" i="9"/>
  <c r="L91" i="9" s="1"/>
  <c r="J96" i="9"/>
  <c r="L96" i="9" s="1"/>
  <c r="J54" i="9"/>
  <c r="L54" i="9" s="1"/>
  <c r="J94" i="9"/>
  <c r="L94" i="9" s="1"/>
  <c r="J71" i="9"/>
  <c r="L71" i="9" s="1"/>
  <c r="J78" i="9"/>
  <c r="L78" i="9" s="1"/>
  <c r="J83" i="9"/>
  <c r="L83" i="9" s="1"/>
  <c r="J45" i="9"/>
  <c r="L45" i="9" s="1"/>
  <c r="J65" i="9"/>
  <c r="L65" i="9" s="1"/>
  <c r="J55" i="9"/>
  <c r="L55" i="9" s="1"/>
  <c r="J42" i="9"/>
  <c r="L42" i="9" s="1"/>
  <c r="J80" i="9"/>
  <c r="L80" i="9" s="1"/>
  <c r="J84" i="9"/>
  <c r="L84" i="9" s="1"/>
  <c r="J52" i="9"/>
  <c r="L52" i="9" s="1"/>
  <c r="N42" i="3"/>
  <c r="M80" i="3"/>
  <c r="M90" i="3" s="1"/>
  <c r="D80" i="3"/>
  <c r="N81" i="3"/>
  <c r="D95" i="3"/>
  <c r="D61" i="6"/>
  <c r="Q30" i="13"/>
  <c r="R17" i="13" s="1"/>
  <c r="P17" i="13" s="1"/>
  <c r="I30" i="13"/>
  <c r="J17" i="13" s="1"/>
  <c r="H17" i="13" s="1"/>
  <c r="H2" i="13"/>
  <c r="H52" i="8" s="1"/>
  <c r="T12" i="8" s="1"/>
  <c r="T11" i="8" s="1"/>
  <c r="M30" i="13"/>
  <c r="N17" i="13" s="1"/>
  <c r="L17" i="13" s="1"/>
  <c r="E30" i="13"/>
  <c r="F17" i="13" s="1"/>
  <c r="D17" i="13" s="1"/>
  <c r="U30" i="13"/>
  <c r="V17" i="13" s="1"/>
  <c r="T17" i="13" s="1"/>
  <c r="L2" i="13"/>
  <c r="G80" i="3"/>
  <c r="G95" i="3"/>
  <c r="E64" i="6"/>
  <c r="D58" i="6"/>
  <c r="D26" i="6"/>
  <c r="L88" i="3"/>
  <c r="D2" i="14"/>
  <c r="N84" i="3"/>
  <c r="D59" i="6"/>
  <c r="K95" i="9"/>
  <c r="M95" i="9" s="1"/>
  <c r="Q95" i="9" s="1"/>
  <c r="K96" i="9"/>
  <c r="M96" i="9" s="1"/>
  <c r="Q96" i="9" s="1"/>
  <c r="K94" i="9"/>
  <c r="M94" i="9" s="1"/>
  <c r="Q94" i="9" s="1"/>
  <c r="K91" i="9"/>
  <c r="M91" i="9" s="1"/>
  <c r="Q91" i="9" s="1"/>
  <c r="S91" i="9" s="1"/>
  <c r="K84" i="9"/>
  <c r="M84" i="9" s="1"/>
  <c r="Q84" i="9" s="1"/>
  <c r="K83" i="9"/>
  <c r="M83" i="9" s="1"/>
  <c r="Q83" i="9" s="1"/>
  <c r="K82" i="9"/>
  <c r="M82" i="9" s="1"/>
  <c r="Q82" i="9" s="1"/>
  <c r="K81" i="9"/>
  <c r="M81" i="9" s="1"/>
  <c r="Q81" i="9" s="1"/>
  <c r="K80" i="9"/>
  <c r="M80" i="9" s="1"/>
  <c r="Q80" i="9" s="1"/>
  <c r="K78" i="9"/>
  <c r="M78" i="9" s="1"/>
  <c r="Q78" i="9" s="1"/>
  <c r="S78" i="9" s="1"/>
  <c r="K68" i="9"/>
  <c r="M68" i="9" s="1"/>
  <c r="Q68" i="9" s="1"/>
  <c r="S68" i="9" s="1"/>
  <c r="K58" i="9"/>
  <c r="M58" i="9" s="1"/>
  <c r="Q58" i="9" s="1"/>
  <c r="K42" i="9"/>
  <c r="M42" i="9" s="1"/>
  <c r="Q42" i="9" s="1"/>
  <c r="K71" i="9"/>
  <c r="M71" i="9" s="1"/>
  <c r="Q71" i="9" s="1"/>
  <c r="S71" i="9" s="1"/>
  <c r="K67" i="9"/>
  <c r="M67" i="9" s="1"/>
  <c r="Q67" i="9" s="1"/>
  <c r="S67" i="9" s="1"/>
  <c r="K43" i="9"/>
  <c r="M43" i="9" s="1"/>
  <c r="Q43" i="9" s="1"/>
  <c r="K93" i="9"/>
  <c r="M93" i="9" s="1"/>
  <c r="Q93" i="9" s="1"/>
  <c r="K70" i="9"/>
  <c r="M70" i="9" s="1"/>
  <c r="Q70" i="9" s="1"/>
  <c r="S70" i="9" s="1"/>
  <c r="K55" i="9"/>
  <c r="M55" i="9" s="1"/>
  <c r="Q55" i="9" s="1"/>
  <c r="K54" i="9"/>
  <c r="M54" i="9" s="1"/>
  <c r="Q54" i="9" s="1"/>
  <c r="K44" i="9"/>
  <c r="M44" i="9" s="1"/>
  <c r="Q44" i="9" s="1"/>
  <c r="K39" i="9"/>
  <c r="M39" i="9" s="1"/>
  <c r="Q39" i="9" s="1"/>
  <c r="S39" i="9" s="1"/>
  <c r="K69" i="9"/>
  <c r="M69" i="9" s="1"/>
  <c r="Q69" i="9" s="1"/>
  <c r="S69" i="9" s="1"/>
  <c r="K65" i="9"/>
  <c r="M65" i="9" s="1"/>
  <c r="Q65" i="9" s="1"/>
  <c r="S65" i="9" s="1"/>
  <c r="K57" i="9"/>
  <c r="M57" i="9" s="1"/>
  <c r="Q57" i="9" s="1"/>
  <c r="K56" i="9"/>
  <c r="M56" i="9" s="1"/>
  <c r="Q56" i="9" s="1"/>
  <c r="K52" i="9"/>
  <c r="M52" i="9" s="1"/>
  <c r="Q52" i="9" s="1"/>
  <c r="S52" i="9" s="1"/>
  <c r="K45" i="9"/>
  <c r="M45" i="9" s="1"/>
  <c r="Q45" i="9" s="1"/>
  <c r="K41" i="9"/>
  <c r="M41" i="9" s="1"/>
  <c r="Q41" i="9" s="1"/>
  <c r="N83" i="3"/>
  <c r="D60" i="6"/>
  <c r="O34" i="3"/>
  <c r="H80" i="3"/>
  <c r="H95" i="3"/>
  <c r="N32" i="11"/>
  <c r="AS21" i="5"/>
  <c r="N44" i="3"/>
  <c r="J95" i="3"/>
  <c r="J80" i="3"/>
  <c r="J90" i="3" s="1"/>
  <c r="L30" i="3"/>
  <c r="O35" i="3"/>
  <c r="L35" i="3" s="1"/>
  <c r="F64" i="6"/>
  <c r="AO19" i="5" s="1"/>
  <c r="N43" i="3"/>
  <c r="E110" i="3" s="1"/>
  <c r="I35" i="11"/>
  <c r="J16" i="22" s="1"/>
  <c r="L89" i="3"/>
  <c r="N89" i="3" s="1"/>
  <c r="D25" i="6"/>
  <c r="N82" i="3"/>
  <c r="V99" i="48" l="1"/>
  <c r="V97" i="48"/>
  <c r="V95" i="48"/>
  <c r="V98" i="48"/>
  <c r="V100" i="48" s="1"/>
  <c r="L63" i="46"/>
  <c r="AK84" i="48"/>
  <c r="J3" i="47"/>
  <c r="J15" i="47" s="1"/>
  <c r="AK59" i="48"/>
  <c r="P16" i="40"/>
  <c r="H53" i="41"/>
  <c r="E34" i="41"/>
  <c r="P12" i="45"/>
  <c r="P19" i="43"/>
  <c r="P12" i="40"/>
  <c r="P18" i="40"/>
  <c r="P13" i="43"/>
  <c r="P18" i="39"/>
  <c r="G179" i="48"/>
  <c r="S101" i="48"/>
  <c r="P18" i="45"/>
  <c r="Q54" i="48"/>
  <c r="Q55" i="48" s="1"/>
  <c r="Q56" i="48"/>
  <c r="Q57" i="48" s="1"/>
  <c r="H53" i="45"/>
  <c r="E34" i="45"/>
  <c r="W99" i="48"/>
  <c r="W95" i="48"/>
  <c r="W98" i="48"/>
  <c r="W100" i="48" s="1"/>
  <c r="W102" i="48" s="1"/>
  <c r="AJ78" i="48" s="1"/>
  <c r="L79" i="45" s="1"/>
  <c r="D51" i="45" s="1"/>
  <c r="W97" i="48"/>
  <c r="T152" i="48"/>
  <c r="W54" i="48"/>
  <c r="W55" i="48" s="1"/>
  <c r="W56" i="48"/>
  <c r="W57" i="48" s="1"/>
  <c r="P12" i="41"/>
  <c r="P11" i="39"/>
  <c r="P20" i="40"/>
  <c r="S146" i="48"/>
  <c r="R110" i="48"/>
  <c r="R111" i="48" s="1"/>
  <c r="T146" i="48"/>
  <c r="R109" i="48"/>
  <c r="R112" i="48" s="1"/>
  <c r="R146" i="48"/>
  <c r="R151" i="48" s="1"/>
  <c r="AE69" i="48" s="1"/>
  <c r="S94" i="48"/>
  <c r="R150" i="48"/>
  <c r="T94" i="48"/>
  <c r="T150" i="48"/>
  <c r="R122" i="48"/>
  <c r="R123" i="48" s="1"/>
  <c r="R121" i="48"/>
  <c r="R124" i="48" s="1"/>
  <c r="S150" i="48"/>
  <c r="R94" i="48"/>
  <c r="R115" i="48"/>
  <c r="R92" i="48"/>
  <c r="R93" i="48" s="1"/>
  <c r="Q126" i="48"/>
  <c r="Q127" i="48" s="1"/>
  <c r="Q128" i="48" s="1"/>
  <c r="Q141" i="48"/>
  <c r="P19" i="40"/>
  <c r="AH59" i="48"/>
  <c r="C3" i="43"/>
  <c r="O6" i="43" s="1"/>
  <c r="O9" i="43" s="1"/>
  <c r="G3" i="47"/>
  <c r="G15" i="47" s="1"/>
  <c r="F183" i="48"/>
  <c r="P14" i="45"/>
  <c r="P13" i="45"/>
  <c r="P17" i="45"/>
  <c r="R152" i="48"/>
  <c r="P20" i="45"/>
  <c r="AK63" i="48"/>
  <c r="AK64" i="48"/>
  <c r="P15" i="41"/>
  <c r="X92" i="48"/>
  <c r="X93" i="48" s="1"/>
  <c r="W126" i="48"/>
  <c r="W127" i="48" s="1"/>
  <c r="W128" i="48" s="1"/>
  <c r="W141" i="48"/>
  <c r="V126" i="48"/>
  <c r="V127" i="48" s="1"/>
  <c r="V128" i="48" s="1"/>
  <c r="X126" i="48"/>
  <c r="X127" i="48" s="1"/>
  <c r="X128" i="48" s="1"/>
  <c r="X141" i="48"/>
  <c r="V141" i="48"/>
  <c r="J179" i="48"/>
  <c r="AE84" i="48"/>
  <c r="L63" i="40"/>
  <c r="H53" i="40"/>
  <c r="E34" i="40"/>
  <c r="X115" i="48"/>
  <c r="W124" i="48"/>
  <c r="V149" i="48"/>
  <c r="V153" i="48" s="1"/>
  <c r="W149" i="48"/>
  <c r="W153" i="48" s="1"/>
  <c r="P20" i="41"/>
  <c r="T134" i="48"/>
  <c r="P11" i="45"/>
  <c r="T56" i="48"/>
  <c r="T57" i="48" s="1"/>
  <c r="T54" i="48"/>
  <c r="T55" i="48" s="1"/>
  <c r="T58" i="48" s="1"/>
  <c r="AF81" i="48" s="1"/>
  <c r="L82" i="41" s="1"/>
  <c r="D54" i="41" s="1"/>
  <c r="E54" i="41" s="1"/>
  <c r="U24" i="48"/>
  <c r="J45" i="37"/>
  <c r="I45" i="37"/>
  <c r="AI59" i="48"/>
  <c r="H3" i="47"/>
  <c r="H15" i="47" s="1"/>
  <c r="C3" i="44"/>
  <c r="O6" i="44" s="1"/>
  <c r="O9" i="44" s="1"/>
  <c r="C3" i="45"/>
  <c r="O6" i="45" s="1"/>
  <c r="O9" i="45" s="1"/>
  <c r="C3" i="46"/>
  <c r="O6" i="46" s="1"/>
  <c r="O9" i="46" s="1"/>
  <c r="P14" i="40"/>
  <c r="R134" i="48"/>
  <c r="V118" i="48"/>
  <c r="V120" i="48" s="1"/>
  <c r="V117" i="48"/>
  <c r="L63" i="45"/>
  <c r="AJ84" i="48"/>
  <c r="P19" i="45"/>
  <c r="P9" i="45"/>
  <c r="Q24" i="48"/>
  <c r="E45" i="37"/>
  <c r="L71" i="39"/>
  <c r="C54" i="39" s="1"/>
  <c r="V54" i="48"/>
  <c r="V55" i="48" s="1"/>
  <c r="V56" i="48"/>
  <c r="V57" i="48" s="1"/>
  <c r="L45" i="37"/>
  <c r="K45" i="37"/>
  <c r="V24" i="48"/>
  <c r="L71" i="41"/>
  <c r="C54" i="41" s="1"/>
  <c r="L71" i="40"/>
  <c r="C54" i="40" s="1"/>
  <c r="H53" i="39"/>
  <c r="E34" i="39"/>
  <c r="W118" i="48"/>
  <c r="W120" i="48" s="1"/>
  <c r="W117" i="48"/>
  <c r="W24" i="48"/>
  <c r="W27" i="48" s="1"/>
  <c r="M45" i="37"/>
  <c r="X54" i="48"/>
  <c r="X55" i="48" s="1"/>
  <c r="X56" i="48"/>
  <c r="X57" i="48" s="1"/>
  <c r="L71" i="45"/>
  <c r="C54" i="45" s="1"/>
  <c r="P17" i="43"/>
  <c r="AG62" i="48"/>
  <c r="AH62" i="48"/>
  <c r="P20" i="44"/>
  <c r="P9" i="44"/>
  <c r="P17" i="40"/>
  <c r="R24" i="48"/>
  <c r="G45" i="37"/>
  <c r="H53" i="43"/>
  <c r="E34" i="43"/>
  <c r="I3" i="47"/>
  <c r="I15" i="47" s="1"/>
  <c r="AJ59" i="48"/>
  <c r="P19" i="39"/>
  <c r="AG59" i="48"/>
  <c r="F3" i="47"/>
  <c r="F15" i="47" s="1"/>
  <c r="H53" i="46"/>
  <c r="E34" i="46"/>
  <c r="F179" i="48"/>
  <c r="P12" i="42"/>
  <c r="AD84" i="48"/>
  <c r="L63" i="39"/>
  <c r="Q134" i="48"/>
  <c r="P14" i="42"/>
  <c r="AF59" i="48"/>
  <c r="E3" i="47"/>
  <c r="E15" i="47" s="1"/>
  <c r="AF84" i="48"/>
  <c r="L63" i="41"/>
  <c r="P13" i="40"/>
  <c r="D182" i="48"/>
  <c r="Q94" i="48"/>
  <c r="Q121" i="48"/>
  <c r="Q110" i="48"/>
  <c r="Q111" i="48" s="1"/>
  <c r="Q122" i="48"/>
  <c r="Q123" i="48" s="1"/>
  <c r="Q109" i="48"/>
  <c r="Q146" i="48"/>
  <c r="Q151" i="48" s="1"/>
  <c r="AD69" i="48" s="1"/>
  <c r="Q115" i="48"/>
  <c r="Q92" i="48"/>
  <c r="Q93" i="48" s="1"/>
  <c r="W112" i="48"/>
  <c r="P19" i="41"/>
  <c r="H182" i="48"/>
  <c r="U149" i="48" s="1"/>
  <c r="U153" i="48" s="1"/>
  <c r="U115" i="48"/>
  <c r="U110" i="48"/>
  <c r="U111" i="48" s="1"/>
  <c r="U109" i="48"/>
  <c r="U112" i="48" s="1"/>
  <c r="U92" i="48"/>
  <c r="U93" i="48" s="1"/>
  <c r="U150" i="48"/>
  <c r="U94" i="48"/>
  <c r="U122" i="48"/>
  <c r="U123" i="48" s="1"/>
  <c r="U146" i="48"/>
  <c r="U121" i="48"/>
  <c r="U124" i="48" s="1"/>
  <c r="AG70" i="48"/>
  <c r="AH70" i="48"/>
  <c r="P12" i="43"/>
  <c r="G183" i="48"/>
  <c r="S149" i="48" s="1"/>
  <c r="S153" i="48" s="1"/>
  <c r="S154" i="48" s="1"/>
  <c r="T122" i="48"/>
  <c r="T123" i="48" s="1"/>
  <c r="T110" i="48"/>
  <c r="T111" i="48" s="1"/>
  <c r="T121" i="48"/>
  <c r="S92" i="48"/>
  <c r="S93" i="48" s="1"/>
  <c r="T115" i="48"/>
  <c r="T92" i="48"/>
  <c r="T93" i="48" s="1"/>
  <c r="S121" i="48"/>
  <c r="S124" i="48" s="1"/>
  <c r="S109" i="48"/>
  <c r="S110" i="48"/>
  <c r="S111" i="48" s="1"/>
  <c r="T109" i="48"/>
  <c r="T112" i="48" s="1"/>
  <c r="S122" i="48"/>
  <c r="S123" i="48" s="1"/>
  <c r="S115" i="48"/>
  <c r="P15" i="40"/>
  <c r="X39" i="48"/>
  <c r="X42" i="48" s="1"/>
  <c r="X38" i="48"/>
  <c r="X33" i="48"/>
  <c r="X40" i="48"/>
  <c r="H53" i="42"/>
  <c r="E34" i="42"/>
  <c r="C3" i="47"/>
  <c r="C15" i="47" s="1"/>
  <c r="AD59" i="48"/>
  <c r="C3" i="39"/>
  <c r="O6" i="39" s="1"/>
  <c r="O9" i="39" s="1"/>
  <c r="P13" i="41"/>
  <c r="C3" i="42"/>
  <c r="O6" i="42" s="1"/>
  <c r="O9" i="42" s="1"/>
  <c r="C3" i="40"/>
  <c r="O6" i="40" s="1"/>
  <c r="O9" i="40" s="1"/>
  <c r="AE59" i="48"/>
  <c r="D3" i="47"/>
  <c r="D15" i="47" s="1"/>
  <c r="C3" i="41"/>
  <c r="O6" i="41" s="1"/>
  <c r="O9" i="41" s="1"/>
  <c r="P15" i="42"/>
  <c r="Q101" i="48"/>
  <c r="R54" i="48"/>
  <c r="R55" i="48" s="1"/>
  <c r="R56" i="48"/>
  <c r="R57" i="48" s="1"/>
  <c r="R126" i="48"/>
  <c r="R127" i="48" s="1"/>
  <c r="R128" i="48" s="1"/>
  <c r="R141" i="48"/>
  <c r="H150" i="48"/>
  <c r="L63" i="44"/>
  <c r="AI84" i="48"/>
  <c r="S29" i="48"/>
  <c r="S30" i="48" s="1"/>
  <c r="S32" i="48"/>
  <c r="S34" i="48"/>
  <c r="S35" i="48" s="1"/>
  <c r="U56" i="48"/>
  <c r="U57" i="48" s="1"/>
  <c r="U54" i="48"/>
  <c r="U55" i="48" s="1"/>
  <c r="P16" i="43"/>
  <c r="E182" i="48"/>
  <c r="R149" i="48" s="1"/>
  <c r="R153" i="48" s="1"/>
  <c r="R154" i="48" s="1"/>
  <c r="AE80" i="48" s="1"/>
  <c r="L81" i="40" s="1"/>
  <c r="D53" i="40" s="1"/>
  <c r="H179" i="48"/>
  <c r="H53" i="44"/>
  <c r="E34" i="44"/>
  <c r="P15" i="39"/>
  <c r="P20" i="43"/>
  <c r="S58" i="48"/>
  <c r="D183" i="48"/>
  <c r="Q149" i="48" s="1"/>
  <c r="Q153" i="48" s="1"/>
  <c r="Q154" i="48" s="1"/>
  <c r="AD80" i="48" s="1"/>
  <c r="L81" i="39" s="1"/>
  <c r="D53" i="39" s="1"/>
  <c r="P14" i="46"/>
  <c r="P14" i="41"/>
  <c r="P9" i="41"/>
  <c r="P11" i="42"/>
  <c r="I154" i="48"/>
  <c r="V152" i="48" s="1"/>
  <c r="V106" i="48"/>
  <c r="X91" i="48"/>
  <c r="X139" i="48"/>
  <c r="X151" i="48" s="1"/>
  <c r="AK69" i="48" s="1"/>
  <c r="W91" i="48"/>
  <c r="W152" i="48"/>
  <c r="V91" i="48"/>
  <c r="W139" i="48"/>
  <c r="W151" i="48" s="1"/>
  <c r="AJ69" i="48" s="1"/>
  <c r="V139" i="48"/>
  <c r="V151" i="48" s="1"/>
  <c r="AI69" i="48" s="1"/>
  <c r="X106" i="48"/>
  <c r="W106" i="48"/>
  <c r="V134" i="48"/>
  <c r="W134" i="48"/>
  <c r="X101" i="48"/>
  <c r="V101" i="48"/>
  <c r="W101" i="48"/>
  <c r="X134" i="48"/>
  <c r="X152" i="48"/>
  <c r="X154" i="48" s="1"/>
  <c r="AK80" i="48" s="1"/>
  <c r="L81" i="46" s="1"/>
  <c r="D53" i="46" s="1"/>
  <c r="P13" i="39"/>
  <c r="H45" i="37"/>
  <c r="T24" i="48"/>
  <c r="T27" i="48" s="1"/>
  <c r="U91" i="48"/>
  <c r="U106" i="48"/>
  <c r="U139" i="48"/>
  <c r="U134" i="48"/>
  <c r="U152" i="48"/>
  <c r="U101" i="48"/>
  <c r="P18" i="43"/>
  <c r="L71" i="44"/>
  <c r="C54" i="44" s="1"/>
  <c r="P13" i="42"/>
  <c r="P17" i="42"/>
  <c r="L71" i="46"/>
  <c r="C54" i="46" s="1"/>
  <c r="E183" i="48"/>
  <c r="P15" i="45"/>
  <c r="X149" i="48"/>
  <c r="X153" i="48" s="1"/>
  <c r="P14" i="39"/>
  <c r="P18" i="41"/>
  <c r="Q150" i="48"/>
  <c r="P11" i="43"/>
  <c r="S93" i="9"/>
  <c r="U93" i="9" s="1"/>
  <c r="S94" i="9"/>
  <c r="U94" i="9" s="1"/>
  <c r="W94" i="9" s="1"/>
  <c r="S96" i="9"/>
  <c r="U96" i="9" s="1"/>
  <c r="W96" i="9" s="1"/>
  <c r="Y96" i="9" s="1"/>
  <c r="AA96" i="9" s="1"/>
  <c r="S95" i="9"/>
  <c r="U95" i="9" s="1"/>
  <c r="W95" i="9" s="1"/>
  <c r="Y95" i="9" s="1"/>
  <c r="AA95" i="9" s="1"/>
  <c r="S83" i="9"/>
  <c r="U83" i="9" s="1"/>
  <c r="W83" i="9" s="1"/>
  <c r="Y83" i="9" s="1"/>
  <c r="AA83" i="9" s="1"/>
  <c r="S80" i="9"/>
  <c r="U80" i="9" s="1"/>
  <c r="W80" i="9" s="1"/>
  <c r="Y80" i="9" s="1"/>
  <c r="AA80" i="9" s="1"/>
  <c r="S84" i="9"/>
  <c r="U84" i="9" s="1"/>
  <c r="W84" i="9" s="1"/>
  <c r="Y84" i="9" s="1"/>
  <c r="AA84" i="9" s="1"/>
  <c r="S82" i="9"/>
  <c r="U82" i="9" s="1"/>
  <c r="W82" i="9" s="1"/>
  <c r="Y82" i="9" s="1"/>
  <c r="AA82" i="9" s="1"/>
  <c r="S81" i="9"/>
  <c r="U81" i="9" s="1"/>
  <c r="W81" i="9" s="1"/>
  <c r="Y81" i="9" s="1"/>
  <c r="AA81" i="9" s="1"/>
  <c r="S55" i="9"/>
  <c r="U55" i="9" s="1"/>
  <c r="W55" i="9" s="1"/>
  <c r="Y55" i="9" s="1"/>
  <c r="AA55" i="9" s="1"/>
  <c r="S56" i="9"/>
  <c r="U56" i="9" s="1"/>
  <c r="W56" i="9" s="1"/>
  <c r="Y56" i="9" s="1"/>
  <c r="AA56" i="9" s="1"/>
  <c r="S57" i="9"/>
  <c r="U57" i="9" s="1"/>
  <c r="W57" i="9" s="1"/>
  <c r="Y57" i="9" s="1"/>
  <c r="AA57" i="9" s="1"/>
  <c r="S54" i="9"/>
  <c r="U54" i="9" s="1"/>
  <c r="W54" i="9" s="1"/>
  <c r="Y54" i="9" s="1"/>
  <c r="AA54" i="9" s="1"/>
  <c r="S58" i="9"/>
  <c r="U58" i="9" s="1"/>
  <c r="W58" i="9" s="1"/>
  <c r="Y58" i="9" s="1"/>
  <c r="AA58" i="9" s="1"/>
  <c r="S41" i="9"/>
  <c r="U41" i="9" s="1"/>
  <c r="W41" i="9" s="1"/>
  <c r="Y41" i="9" s="1"/>
  <c r="AA41" i="9" s="1"/>
  <c r="S45" i="9"/>
  <c r="U45" i="9" s="1"/>
  <c r="S42" i="9"/>
  <c r="U42" i="9" s="1"/>
  <c r="S44" i="9"/>
  <c r="U44" i="9" s="1"/>
  <c r="W44" i="9" s="1"/>
  <c r="Y44" i="9" s="1"/>
  <c r="AA44" i="9" s="1"/>
  <c r="S43" i="9"/>
  <c r="U43" i="9" s="1"/>
  <c r="U67" i="9"/>
  <c r="W67" i="9" s="1"/>
  <c r="U68" i="9"/>
  <c r="W68" i="9" s="1"/>
  <c r="U69" i="9"/>
  <c r="W69" i="9" s="1"/>
  <c r="U70" i="9"/>
  <c r="W70" i="9" s="1"/>
  <c r="U71" i="9"/>
  <c r="W71" i="9" s="1"/>
  <c r="K184" i="11"/>
  <c r="O14" i="22"/>
  <c r="N33" i="11"/>
  <c r="O15" i="22" s="1"/>
  <c r="T43" i="3"/>
  <c r="E51" i="3"/>
  <c r="S29" i="5"/>
  <c r="F59" i="3"/>
  <c r="D42" i="6"/>
  <c r="J96" i="3"/>
  <c r="J94" i="3" s="1"/>
  <c r="J92" i="3" s="1"/>
  <c r="K96" i="3"/>
  <c r="K94" i="3" s="1"/>
  <c r="K92" i="3" s="1"/>
  <c r="I96" i="3"/>
  <c r="I94" i="3" s="1"/>
  <c r="I92" i="3" s="1"/>
  <c r="E112" i="3"/>
  <c r="Q62" i="9"/>
  <c r="S62" i="9" s="1"/>
  <c r="U65" i="9"/>
  <c r="U91" i="9"/>
  <c r="Q88" i="9"/>
  <c r="S88" i="9" s="1"/>
  <c r="N88" i="3"/>
  <c r="AO15" i="5"/>
  <c r="D37" i="11"/>
  <c r="O53" i="8"/>
  <c r="N80" i="3"/>
  <c r="J35" i="11"/>
  <c r="K16" i="22" s="1"/>
  <c r="L31" i="11"/>
  <c r="G21" i="6"/>
  <c r="G22" i="6" s="1"/>
  <c r="T44" i="3"/>
  <c r="L34" i="3"/>
  <c r="Q49" i="9"/>
  <c r="S49" i="9" s="1"/>
  <c r="U52" i="9"/>
  <c r="L2" i="14"/>
  <c r="H2" i="14"/>
  <c r="H55" i="8" s="1"/>
  <c r="M7" i="13"/>
  <c r="U7" i="13"/>
  <c r="E7" i="13"/>
  <c r="Q7" i="13"/>
  <c r="I7" i="13"/>
  <c r="G52" i="8"/>
  <c r="C65" i="11" s="1"/>
  <c r="C37" i="11" s="1"/>
  <c r="C92" i="11" s="1"/>
  <c r="C123" i="11" s="1"/>
  <c r="O32" i="11"/>
  <c r="P14" i="22" s="1"/>
  <c r="U39" i="9"/>
  <c r="Q36" i="9"/>
  <c r="S36" i="9" s="1"/>
  <c r="U78" i="9"/>
  <c r="Q75" i="9"/>
  <c r="S75" i="9" s="1"/>
  <c r="J62" i="3"/>
  <c r="J68" i="3"/>
  <c r="AD35" i="5" s="1"/>
  <c r="O62" i="3"/>
  <c r="C133" i="22" s="1"/>
  <c r="L60" i="3"/>
  <c r="Y33" i="5"/>
  <c r="L59" i="3"/>
  <c r="F60" i="3"/>
  <c r="F58" i="3"/>
  <c r="N95" i="3"/>
  <c r="AE91" i="48" l="1"/>
  <c r="L70" i="40"/>
  <c r="C53" i="40" s="1"/>
  <c r="AD91" i="48"/>
  <c r="L70" i="39"/>
  <c r="C53" i="39" s="1"/>
  <c r="E53" i="39" s="1"/>
  <c r="H55" i="42"/>
  <c r="F32" i="47"/>
  <c r="U118" i="48"/>
  <c r="U120" i="48" s="1"/>
  <c r="U117" i="48"/>
  <c r="U154" i="48"/>
  <c r="E53" i="40"/>
  <c r="Q118" i="48"/>
  <c r="Q120" i="48" s="1"/>
  <c r="Q117" i="48"/>
  <c r="C46" i="39"/>
  <c r="AG84" i="48"/>
  <c r="L63" i="42"/>
  <c r="L70" i="44"/>
  <c r="C53" i="44" s="1"/>
  <c r="S118" i="48"/>
  <c r="S120" i="48" s="1"/>
  <c r="S117" i="48"/>
  <c r="S99" i="48"/>
  <c r="S97" i="48"/>
  <c r="S95" i="48"/>
  <c r="S96" i="48" s="1"/>
  <c r="S98" i="48"/>
  <c r="S100" i="48" s="1"/>
  <c r="S102" i="48" s="1"/>
  <c r="L71" i="43"/>
  <c r="C54" i="43" s="1"/>
  <c r="C46" i="41"/>
  <c r="W131" i="48"/>
  <c r="AJ68" i="48" s="1"/>
  <c r="W119" i="48"/>
  <c r="W135" i="48"/>
  <c r="AJ79" i="48" s="1"/>
  <c r="L80" i="45" s="1"/>
  <c r="D52" i="45" s="1"/>
  <c r="C46" i="40"/>
  <c r="W129" i="48"/>
  <c r="W132" i="48"/>
  <c r="W133" i="48" s="1"/>
  <c r="Q129" i="48"/>
  <c r="Q132" i="48"/>
  <c r="Q133" i="48" s="1"/>
  <c r="W96" i="48"/>
  <c r="AJ67" i="48" s="1"/>
  <c r="C46" i="46"/>
  <c r="V96" i="48"/>
  <c r="AI67" i="48" s="1"/>
  <c r="C46" i="44"/>
  <c r="T117" i="48"/>
  <c r="T118" i="48"/>
  <c r="T120" i="48" s="1"/>
  <c r="U95" i="48"/>
  <c r="U96" i="48" s="1"/>
  <c r="U99" i="48"/>
  <c r="U98" i="48"/>
  <c r="U97" i="48"/>
  <c r="G32" i="47"/>
  <c r="H55" i="43"/>
  <c r="W34" i="48"/>
  <c r="W35" i="48" s="1"/>
  <c r="W32" i="48"/>
  <c r="W29" i="48"/>
  <c r="W30" i="48" s="1"/>
  <c r="AF92" i="48"/>
  <c r="D32" i="47"/>
  <c r="H55" i="40"/>
  <c r="U151" i="48"/>
  <c r="L70" i="45"/>
  <c r="C53" i="45" s="1"/>
  <c r="AJ91" i="48"/>
  <c r="U58" i="48"/>
  <c r="T124" i="48"/>
  <c r="L71" i="42"/>
  <c r="C54" i="42" s="1"/>
  <c r="Q112" i="48"/>
  <c r="P9" i="42"/>
  <c r="P9" i="39"/>
  <c r="W69" i="48"/>
  <c r="V27" i="48"/>
  <c r="V69" i="48"/>
  <c r="V81" i="48"/>
  <c r="V83" i="48" s="1"/>
  <c r="W81" i="48"/>
  <c r="W83" i="48" s="1"/>
  <c r="X81" i="48"/>
  <c r="X83" i="48" s="1"/>
  <c r="X69" i="48"/>
  <c r="Q81" i="48"/>
  <c r="Q83" i="48" s="1"/>
  <c r="Q69" i="48"/>
  <c r="Q27" i="48"/>
  <c r="P9" i="40"/>
  <c r="W154" i="48"/>
  <c r="AJ80" i="48" s="1"/>
  <c r="L81" i="45" s="1"/>
  <c r="D53" i="45" s="1"/>
  <c r="X99" i="48"/>
  <c r="X97" i="48"/>
  <c r="X98" i="48"/>
  <c r="X100" i="48" s="1"/>
  <c r="X102" i="48" s="1"/>
  <c r="AK78" i="48" s="1"/>
  <c r="L79" i="46" s="1"/>
  <c r="D51" i="46" s="1"/>
  <c r="X95" i="48"/>
  <c r="X96" i="48" s="1"/>
  <c r="AK67" i="48" s="1"/>
  <c r="R99" i="48"/>
  <c r="R97" i="48"/>
  <c r="R95" i="48"/>
  <c r="R96" i="48" s="1"/>
  <c r="AE67" i="48" s="1"/>
  <c r="R98" i="48"/>
  <c r="R100" i="48" s="1"/>
  <c r="R102" i="48" s="1"/>
  <c r="AE78" i="48" s="1"/>
  <c r="L79" i="40" s="1"/>
  <c r="D51" i="40" s="1"/>
  <c r="T141" i="48"/>
  <c r="T126" i="48"/>
  <c r="T127" i="48" s="1"/>
  <c r="T128" i="48" s="1"/>
  <c r="S141" i="48"/>
  <c r="S126" i="48"/>
  <c r="S127" i="48" s="1"/>
  <c r="S128" i="48" s="1"/>
  <c r="V102" i="48"/>
  <c r="AI78" i="48" s="1"/>
  <c r="L79" i="44" s="1"/>
  <c r="D51" i="44" s="1"/>
  <c r="U69" i="48"/>
  <c r="U81" i="48"/>
  <c r="U83" i="48" s="1"/>
  <c r="U27" i="48"/>
  <c r="AK86" i="48"/>
  <c r="L65" i="46"/>
  <c r="C48" i="46" s="1"/>
  <c r="E48" i="46" s="1"/>
  <c r="E32" i="47"/>
  <c r="H55" i="41"/>
  <c r="X41" i="48"/>
  <c r="X36" i="48"/>
  <c r="X37" i="48" s="1"/>
  <c r="X46" i="48" s="1"/>
  <c r="AK65" i="48" s="1"/>
  <c r="S112" i="48"/>
  <c r="Q124" i="48"/>
  <c r="X58" i="48"/>
  <c r="AK81" i="48" s="1"/>
  <c r="C32" i="47"/>
  <c r="H55" i="39"/>
  <c r="X118" i="48"/>
  <c r="X120" i="48" s="1"/>
  <c r="X117" i="48"/>
  <c r="AK85" i="48"/>
  <c r="L64" i="46"/>
  <c r="C47" i="46" s="1"/>
  <c r="E47" i="46" s="1"/>
  <c r="S151" i="48"/>
  <c r="W58" i="48"/>
  <c r="AJ81" i="48" s="1"/>
  <c r="I32" i="47"/>
  <c r="H55" i="45"/>
  <c r="R27" i="48"/>
  <c r="T69" i="48"/>
  <c r="R69" i="48"/>
  <c r="S69" i="48"/>
  <c r="T81" i="48"/>
  <c r="T83" i="48" s="1"/>
  <c r="R81" i="48"/>
  <c r="R83" i="48" s="1"/>
  <c r="S81" i="48"/>
  <c r="S83" i="48" s="1"/>
  <c r="V154" i="48"/>
  <c r="AI80" i="48" s="1"/>
  <c r="L81" i="44" s="1"/>
  <c r="D53" i="44" s="1"/>
  <c r="E53" i="44" s="1"/>
  <c r="R117" i="48"/>
  <c r="R118" i="48"/>
  <c r="R120" i="48" s="1"/>
  <c r="R58" i="48"/>
  <c r="AE81" i="48" s="1"/>
  <c r="L70" i="46"/>
  <c r="C53" i="46" s="1"/>
  <c r="E53" i="46" s="1"/>
  <c r="AK91" i="48"/>
  <c r="P9" i="46"/>
  <c r="H55" i="44"/>
  <c r="H32" i="47"/>
  <c r="T149" i="48"/>
  <c r="T153" i="48" s="1"/>
  <c r="T154" i="48" s="1"/>
  <c r="AF80" i="48" s="1"/>
  <c r="L81" i="41" s="1"/>
  <c r="D53" i="41" s="1"/>
  <c r="V58" i="48"/>
  <c r="AI81" i="48" s="1"/>
  <c r="C46" i="45"/>
  <c r="X132" i="48"/>
  <c r="X133" i="48" s="1"/>
  <c r="X129" i="48"/>
  <c r="T151" i="48"/>
  <c r="AF69" i="48" s="1"/>
  <c r="R129" i="48"/>
  <c r="R132" i="48"/>
  <c r="R133" i="48" s="1"/>
  <c r="T34" i="48"/>
  <c r="T35" i="48" s="1"/>
  <c r="T32" i="48"/>
  <c r="T29" i="48"/>
  <c r="T30" i="48" s="1"/>
  <c r="S40" i="48"/>
  <c r="S33" i="48"/>
  <c r="S39" i="48"/>
  <c r="S42" i="48" s="1"/>
  <c r="S38" i="48"/>
  <c r="U141" i="48"/>
  <c r="U126" i="48"/>
  <c r="U127" i="48" s="1"/>
  <c r="U128" i="48" s="1"/>
  <c r="X47" i="48"/>
  <c r="AK76" i="48" s="1"/>
  <c r="L77" i="46" s="1"/>
  <c r="D49" i="46" s="1"/>
  <c r="T98" i="48"/>
  <c r="T100" i="48" s="1"/>
  <c r="T102" i="48" s="1"/>
  <c r="AF78" i="48" s="1"/>
  <c r="L79" i="41" s="1"/>
  <c r="D51" i="41" s="1"/>
  <c r="T97" i="48"/>
  <c r="T99" i="48"/>
  <c r="T95" i="48"/>
  <c r="T96" i="48" s="1"/>
  <c r="AF67" i="48" s="1"/>
  <c r="Q99" i="48"/>
  <c r="Q98" i="48"/>
  <c r="Q100" i="48" s="1"/>
  <c r="Q102" i="48" s="1"/>
  <c r="AD78" i="48" s="1"/>
  <c r="L79" i="39" s="1"/>
  <c r="D51" i="39" s="1"/>
  <c r="Q97" i="48"/>
  <c r="Q95" i="48"/>
  <c r="Q96" i="48" s="1"/>
  <c r="AD67" i="48" s="1"/>
  <c r="H55" i="46"/>
  <c r="J32" i="47"/>
  <c r="AH84" i="48"/>
  <c r="L63" i="43"/>
  <c r="V119" i="48"/>
  <c r="V131" i="48"/>
  <c r="AI68" i="48" s="1"/>
  <c r="V135" i="48"/>
  <c r="AI79" i="48" s="1"/>
  <c r="L80" i="44" s="1"/>
  <c r="D52" i="44" s="1"/>
  <c r="V129" i="48"/>
  <c r="V132" i="48"/>
  <c r="V133" i="48" s="1"/>
  <c r="Q58" i="48"/>
  <c r="AD81" i="48" s="1"/>
  <c r="P9" i="43"/>
  <c r="Y94" i="9"/>
  <c r="AA94" i="9" s="1"/>
  <c r="W88" i="9"/>
  <c r="U88" i="9"/>
  <c r="Y68" i="9"/>
  <c r="AA68" i="9" s="1"/>
  <c r="Z68" i="9"/>
  <c r="Y67" i="9"/>
  <c r="AA67" i="9" s="1"/>
  <c r="Z67" i="9"/>
  <c r="Y71" i="9"/>
  <c r="AA71" i="9" s="1"/>
  <c r="Z71" i="9"/>
  <c r="Y70" i="9"/>
  <c r="AA70" i="9" s="1"/>
  <c r="Z70" i="9"/>
  <c r="Y69" i="9"/>
  <c r="AA69" i="9" s="1"/>
  <c r="Z69" i="9"/>
  <c r="O70" i="3"/>
  <c r="I75" i="6" s="1"/>
  <c r="O69" i="3"/>
  <c r="U12" i="8"/>
  <c r="O33" i="11"/>
  <c r="P15" i="22" s="1"/>
  <c r="J31" i="5"/>
  <c r="J43" i="5"/>
  <c r="D44" i="6"/>
  <c r="T43" i="5" s="1"/>
  <c r="L87" i="3"/>
  <c r="L86" i="3" s="1"/>
  <c r="L90" i="3" s="1"/>
  <c r="L92" i="3" s="1"/>
  <c r="H87" i="3"/>
  <c r="H86" i="3" s="1"/>
  <c r="E87" i="3"/>
  <c r="E86" i="3" s="1"/>
  <c r="F87" i="3"/>
  <c r="F86" i="3" s="1"/>
  <c r="D27" i="6"/>
  <c r="D29" i="6" s="1"/>
  <c r="N27" i="5" s="1"/>
  <c r="G87" i="3"/>
  <c r="G86" i="3" s="1"/>
  <c r="D87" i="3"/>
  <c r="I49" i="3"/>
  <c r="O63" i="3"/>
  <c r="D35" i="6"/>
  <c r="S37" i="5" s="1"/>
  <c r="D40" i="11"/>
  <c r="U49" i="9"/>
  <c r="W52" i="9"/>
  <c r="K61" i="3"/>
  <c r="M61" i="3"/>
  <c r="L61" i="3"/>
  <c r="W39" i="9"/>
  <c r="U36" i="9"/>
  <c r="E44" i="13"/>
  <c r="E38" i="13"/>
  <c r="D18" i="13"/>
  <c r="E16" i="13"/>
  <c r="E42" i="13"/>
  <c r="E35" i="13"/>
  <c r="E31" i="13"/>
  <c r="E23" i="13"/>
  <c r="E19" i="13"/>
  <c r="E17" i="13"/>
  <c r="E41" i="13"/>
  <c r="E32" i="13"/>
  <c r="E27" i="13"/>
  <c r="E45" i="13"/>
  <c r="E18" i="13"/>
  <c r="E43" i="13"/>
  <c r="E20" i="13"/>
  <c r="E15" i="13"/>
  <c r="G54" i="8"/>
  <c r="L184" i="11"/>
  <c r="L165" i="11"/>
  <c r="U62" i="9"/>
  <c r="W65" i="9"/>
  <c r="N59" i="3"/>
  <c r="N60" i="3"/>
  <c r="U38" i="13"/>
  <c r="U16" i="13"/>
  <c r="U31" i="13"/>
  <c r="U27" i="13" s="1"/>
  <c r="U44" i="13" s="1"/>
  <c r="U17" i="13"/>
  <c r="U15" i="13"/>
  <c r="U41" i="13"/>
  <c r="U32" i="13"/>
  <c r="K35" i="11"/>
  <c r="L16" i="22" s="1"/>
  <c r="D47" i="6"/>
  <c r="D92" i="11"/>
  <c r="D123" i="11" s="1"/>
  <c r="N39" i="11"/>
  <c r="J39" i="11"/>
  <c r="F39" i="11"/>
  <c r="E39" i="11"/>
  <c r="P39" i="11"/>
  <c r="L39" i="11"/>
  <c r="H39" i="11"/>
  <c r="Q39" i="11"/>
  <c r="G39" i="11"/>
  <c r="D39" i="11"/>
  <c r="D94" i="11" s="1"/>
  <c r="K39" i="11"/>
  <c r="I39" i="11"/>
  <c r="O39" i="11"/>
  <c r="C39" i="11"/>
  <c r="C94" i="11" s="1"/>
  <c r="M39" i="11"/>
  <c r="AQ33" i="5"/>
  <c r="D34" i="6"/>
  <c r="B34" i="6"/>
  <c r="D2" i="18" s="1"/>
  <c r="O64" i="3"/>
  <c r="U75" i="9"/>
  <c r="W78" i="9"/>
  <c r="P32" i="11"/>
  <c r="Q14" i="22" s="1"/>
  <c r="I15" i="13"/>
  <c r="I41" i="13"/>
  <c r="I32" i="13"/>
  <c r="I17" i="13"/>
  <c r="I16" i="13"/>
  <c r="I38" i="13"/>
  <c r="I31" i="13"/>
  <c r="I27" i="13" s="1"/>
  <c r="M31" i="13"/>
  <c r="M27" i="13" s="1"/>
  <c r="M17" i="13"/>
  <c r="M38" i="13"/>
  <c r="M16" i="13"/>
  <c r="M15" i="13"/>
  <c r="M35" i="13" s="1"/>
  <c r="M41" i="13"/>
  <c r="M32" i="13"/>
  <c r="I7" i="14"/>
  <c r="Q7" i="14"/>
  <c r="M7" i="14"/>
  <c r="E7" i="14"/>
  <c r="U7" i="14"/>
  <c r="G55" i="8"/>
  <c r="C68" i="11" s="1"/>
  <c r="C40" i="11" s="1"/>
  <c r="C95" i="11" s="1"/>
  <c r="C126" i="11" s="1"/>
  <c r="O107" i="3"/>
  <c r="B39" i="6"/>
  <c r="D2" i="19" s="1"/>
  <c r="O110" i="3"/>
  <c r="F109" i="3"/>
  <c r="O109" i="3"/>
  <c r="J76" i="6" s="1"/>
  <c r="D76" i="6" s="1"/>
  <c r="O108" i="3"/>
  <c r="J63" i="6" s="1"/>
  <c r="Q33" i="9"/>
  <c r="Q12" i="9" s="1"/>
  <c r="Q8" i="9" s="1"/>
  <c r="S34" i="9"/>
  <c r="S33" i="9" s="1"/>
  <c r="Q41" i="13"/>
  <c r="Q32" i="13"/>
  <c r="Q27" i="13"/>
  <c r="Q44" i="13" s="1"/>
  <c r="Q15" i="13"/>
  <c r="P18" i="13" s="1"/>
  <c r="Q18" i="13" s="1"/>
  <c r="Q35" i="13"/>
  <c r="Q38" i="13"/>
  <c r="Q31" i="13"/>
  <c r="Q17" i="13"/>
  <c r="Q16" i="13"/>
  <c r="Q23" i="13" s="1"/>
  <c r="M31" i="11"/>
  <c r="AF64" i="48" l="1"/>
  <c r="AF63" i="48"/>
  <c r="E46" i="40"/>
  <c r="L68" i="39"/>
  <c r="C51" i="39" s="1"/>
  <c r="AD89" i="48"/>
  <c r="T39" i="48"/>
  <c r="T42" i="48" s="1"/>
  <c r="T47" i="48" s="1"/>
  <c r="AF76" i="48" s="1"/>
  <c r="L77" i="41" s="1"/>
  <c r="D49" i="41" s="1"/>
  <c r="T38" i="48"/>
  <c r="T33" i="48"/>
  <c r="T40" i="48"/>
  <c r="E46" i="45"/>
  <c r="L82" i="40"/>
  <c r="D54" i="40" s="1"/>
  <c r="E54" i="40" s="1"/>
  <c r="AE92" i="48"/>
  <c r="R72" i="48"/>
  <c r="R74" i="48" s="1"/>
  <c r="R71" i="48"/>
  <c r="AK87" i="48"/>
  <c r="L66" i="46"/>
  <c r="C49" i="46" s="1"/>
  <c r="E49" i="46" s="1"/>
  <c r="U72" i="48"/>
  <c r="U74" i="48" s="1"/>
  <c r="U71" i="48"/>
  <c r="Q34" i="48"/>
  <c r="Q35" i="48" s="1"/>
  <c r="Q29" i="48"/>
  <c r="Q30" i="48" s="1"/>
  <c r="Q32" i="48"/>
  <c r="V34" i="48"/>
  <c r="V35" i="48" s="1"/>
  <c r="V32" i="48"/>
  <c r="V29" i="48"/>
  <c r="V30" i="48" s="1"/>
  <c r="AH81" i="48"/>
  <c r="AG81" i="48"/>
  <c r="AJ63" i="48"/>
  <c r="AJ64" i="48"/>
  <c r="AG67" i="48"/>
  <c r="AH67" i="48"/>
  <c r="E46" i="46"/>
  <c r="U132" i="48"/>
  <c r="U133" i="48" s="1"/>
  <c r="U129" i="48"/>
  <c r="L82" i="44"/>
  <c r="D54" i="44" s="1"/>
  <c r="E54" i="44" s="1"/>
  <c r="AI92" i="48"/>
  <c r="T71" i="48"/>
  <c r="T72" i="48"/>
  <c r="T74" i="48" s="1"/>
  <c r="X119" i="48"/>
  <c r="X135" i="48"/>
  <c r="AK79" i="48" s="1"/>
  <c r="L80" i="46" s="1"/>
  <c r="D52" i="46" s="1"/>
  <c r="X131" i="48"/>
  <c r="AK68" i="48" s="1"/>
  <c r="Q71" i="48"/>
  <c r="Q72" i="48"/>
  <c r="Q74" i="48" s="1"/>
  <c r="W72" i="48"/>
  <c r="W74" i="48" s="1"/>
  <c r="W71" i="48"/>
  <c r="W40" i="48"/>
  <c r="W38" i="48"/>
  <c r="W33" i="48"/>
  <c r="W39" i="48"/>
  <c r="W42" i="48" s="1"/>
  <c r="W47" i="48" s="1"/>
  <c r="AJ76" i="48" s="1"/>
  <c r="L77" i="45" s="1"/>
  <c r="D49" i="45" s="1"/>
  <c r="L68" i="45"/>
  <c r="C51" i="45" s="1"/>
  <c r="E51" i="45" s="1"/>
  <c r="AJ89" i="48"/>
  <c r="R34" i="48"/>
  <c r="R35" i="48" s="1"/>
  <c r="R29" i="48"/>
  <c r="R30" i="48" s="1"/>
  <c r="R32" i="48"/>
  <c r="Q85" i="48"/>
  <c r="Q84" i="48"/>
  <c r="X71" i="48"/>
  <c r="X72" i="48"/>
  <c r="X74" i="48" s="1"/>
  <c r="AG69" i="48"/>
  <c r="AH69" i="48"/>
  <c r="S119" i="48"/>
  <c r="S135" i="48" s="1"/>
  <c r="S131" i="48"/>
  <c r="Q135" i="48"/>
  <c r="AD79" i="48" s="1"/>
  <c r="L80" i="39" s="1"/>
  <c r="D52" i="39" s="1"/>
  <c r="Q119" i="48"/>
  <c r="Q131" i="48"/>
  <c r="AD68" i="48" s="1"/>
  <c r="U135" i="48"/>
  <c r="U131" i="48"/>
  <c r="U119" i="48"/>
  <c r="L69" i="44"/>
  <c r="C52" i="44" s="1"/>
  <c r="E52" i="44" s="1"/>
  <c r="AI90" i="48"/>
  <c r="R131" i="48"/>
  <c r="AE68" i="48" s="1"/>
  <c r="R119" i="48"/>
  <c r="R135" i="48" s="1"/>
  <c r="AE79" i="48" s="1"/>
  <c r="L80" i="40" s="1"/>
  <c r="D52" i="40" s="1"/>
  <c r="S129" i="48"/>
  <c r="S132" i="48"/>
  <c r="S133" i="48" s="1"/>
  <c r="T131" i="48"/>
  <c r="AF68" i="48" s="1"/>
  <c r="T119" i="48"/>
  <c r="T135" i="48" s="1"/>
  <c r="AF79" i="48" s="1"/>
  <c r="L80" i="41" s="1"/>
  <c r="D52" i="41" s="1"/>
  <c r="C46" i="43"/>
  <c r="L68" i="41"/>
  <c r="C51" i="41" s="1"/>
  <c r="AF89" i="48"/>
  <c r="S47" i="48"/>
  <c r="AF91" i="48"/>
  <c r="L70" i="41"/>
  <c r="C53" i="41" s="1"/>
  <c r="E53" i="41" s="1"/>
  <c r="S84" i="48"/>
  <c r="S85" i="48"/>
  <c r="T132" i="48"/>
  <c r="T133" i="48" s="1"/>
  <c r="T129" i="48"/>
  <c r="X85" i="48"/>
  <c r="X84" i="48"/>
  <c r="E46" i="44"/>
  <c r="E46" i="41"/>
  <c r="E51" i="41"/>
  <c r="L68" i="40"/>
  <c r="C51" i="40" s="1"/>
  <c r="AE89" i="48"/>
  <c r="L69" i="45"/>
  <c r="C52" i="45" s="1"/>
  <c r="E52" i="45" s="1"/>
  <c r="AJ90" i="48"/>
  <c r="S36" i="48"/>
  <c r="S37" i="48" s="1"/>
  <c r="S46" i="48" s="1"/>
  <c r="S41" i="48"/>
  <c r="R84" i="48"/>
  <c r="R85" i="48"/>
  <c r="L82" i="45"/>
  <c r="D54" i="45" s="1"/>
  <c r="E54" i="45" s="1"/>
  <c r="AJ92" i="48"/>
  <c r="L82" i="46"/>
  <c r="D54" i="46" s="1"/>
  <c r="E54" i="46" s="1"/>
  <c r="AK92" i="48"/>
  <c r="W84" i="48"/>
  <c r="W85" i="48"/>
  <c r="AI91" i="48"/>
  <c r="S72" i="48"/>
  <c r="S74" i="48" s="1"/>
  <c r="S71" i="48"/>
  <c r="U85" i="48"/>
  <c r="U84" i="48"/>
  <c r="V71" i="48"/>
  <c r="V72" i="48"/>
  <c r="V74" i="48" s="1"/>
  <c r="C46" i="42"/>
  <c r="E51" i="39"/>
  <c r="L68" i="46"/>
  <c r="C51" i="46" s="1"/>
  <c r="E51" i="46" s="1"/>
  <c r="AK89" i="48"/>
  <c r="E46" i="39"/>
  <c r="L82" i="39"/>
  <c r="D54" i="39" s="1"/>
  <c r="E54" i="39" s="1"/>
  <c r="AD92" i="48"/>
  <c r="T84" i="48"/>
  <c r="T85" i="48"/>
  <c r="U32" i="48"/>
  <c r="U29" i="48"/>
  <c r="U30" i="48" s="1"/>
  <c r="U34" i="48"/>
  <c r="U35" i="48" s="1"/>
  <c r="E51" i="40"/>
  <c r="E53" i="45"/>
  <c r="V85" i="48"/>
  <c r="V84" i="48"/>
  <c r="U100" i="48"/>
  <c r="U102" i="48" s="1"/>
  <c r="L68" i="44"/>
  <c r="C51" i="44" s="1"/>
  <c r="E51" i="44" s="1"/>
  <c r="AI89" i="48"/>
  <c r="AG80" i="48"/>
  <c r="L81" i="42" s="1"/>
  <c r="D53" i="42" s="1"/>
  <c r="AH80" i="48"/>
  <c r="L81" i="43" s="1"/>
  <c r="D53" i="43" s="1"/>
  <c r="M16" i="14"/>
  <c r="M42" i="14"/>
  <c r="Q16" i="14"/>
  <c r="Q42" i="14"/>
  <c r="I16" i="14"/>
  <c r="I42" i="14"/>
  <c r="U42" i="14"/>
  <c r="U16" i="14"/>
  <c r="E16" i="14"/>
  <c r="S12" i="9"/>
  <c r="S8" i="9" s="1"/>
  <c r="Z65" i="9"/>
  <c r="Y65" i="9"/>
  <c r="AA65" i="9" s="1"/>
  <c r="C136" i="22"/>
  <c r="I74" i="6"/>
  <c r="N31" i="11"/>
  <c r="N165" i="11" s="1"/>
  <c r="P33" i="11"/>
  <c r="Q15" i="22" s="1"/>
  <c r="I23" i="13"/>
  <c r="I44" i="13"/>
  <c r="H18" i="13"/>
  <c r="I18" i="13" s="1"/>
  <c r="I19" i="13" s="1"/>
  <c r="I20" i="13" s="1"/>
  <c r="I35" i="13"/>
  <c r="I42" i="13" s="1"/>
  <c r="I43" i="13" s="1"/>
  <c r="I45" i="13" s="1"/>
  <c r="B25" i="6"/>
  <c r="V27" i="5" s="1"/>
  <c r="I52" i="3"/>
  <c r="I51" i="3"/>
  <c r="F90" i="3"/>
  <c r="F96" i="3"/>
  <c r="F94" i="3" s="1"/>
  <c r="D86" i="3"/>
  <c r="N87" i="3"/>
  <c r="E90" i="3"/>
  <c r="E96" i="3"/>
  <c r="E94" i="3" s="1"/>
  <c r="G90" i="3"/>
  <c r="G96" i="3"/>
  <c r="G94" i="3" s="1"/>
  <c r="H90" i="3"/>
  <c r="H96" i="3"/>
  <c r="H94" i="3" s="1"/>
  <c r="Q42" i="13"/>
  <c r="Q43" i="13" s="1"/>
  <c r="Q45" i="13" s="1"/>
  <c r="Q19" i="13"/>
  <c r="Q20" i="13" s="1"/>
  <c r="M42" i="13"/>
  <c r="M43" i="13" s="1"/>
  <c r="M44" i="13"/>
  <c r="M23" i="13"/>
  <c r="L18" i="13"/>
  <c r="M18" i="13" s="1"/>
  <c r="M19" i="13" s="1"/>
  <c r="M20" i="13" s="1"/>
  <c r="O67" i="3"/>
  <c r="I66" i="6" s="1"/>
  <c r="O68" i="3"/>
  <c r="I67" i="6" s="1"/>
  <c r="D36" i="6"/>
  <c r="S33" i="5" s="1"/>
  <c r="U23" i="13"/>
  <c r="O113" i="3"/>
  <c r="H39" i="6" s="1"/>
  <c r="H44" i="6" s="1"/>
  <c r="AQ45" i="5" s="1"/>
  <c r="L2" i="19"/>
  <c r="H2" i="19"/>
  <c r="H70" i="8" s="1"/>
  <c r="Z12" i="8" s="1"/>
  <c r="U27" i="14"/>
  <c r="U44" i="14" s="1"/>
  <c r="U17" i="14"/>
  <c r="U38" i="14"/>
  <c r="U41" i="14"/>
  <c r="U15" i="14"/>
  <c r="U32" i="14"/>
  <c r="I41" i="14"/>
  <c r="I38" i="14"/>
  <c r="I32" i="14"/>
  <c r="I27" i="14"/>
  <c r="I44" i="14" s="1"/>
  <c r="I17" i="14"/>
  <c r="I15" i="14"/>
  <c r="I35" i="14" s="1"/>
  <c r="O74" i="3"/>
  <c r="H34" i="6" s="1"/>
  <c r="H36" i="6" s="1"/>
  <c r="R39" i="11"/>
  <c r="S39" i="11" s="1"/>
  <c r="T39" i="11" s="1"/>
  <c r="U39" i="11" s="1"/>
  <c r="V39" i="11" s="1"/>
  <c r="W39" i="11" s="1"/>
  <c r="X39" i="11" s="1"/>
  <c r="Y39" i="11" s="1"/>
  <c r="Z39" i="11" s="1"/>
  <c r="AA39" i="11" s="1"/>
  <c r="AB39" i="11" s="1"/>
  <c r="AC39" i="11" s="1"/>
  <c r="AD39" i="11" s="1"/>
  <c r="AE39" i="11" s="1"/>
  <c r="AF39" i="11" s="1"/>
  <c r="AG39" i="11" s="1"/>
  <c r="AH39" i="11" s="1"/>
  <c r="AI39" i="11" s="1"/>
  <c r="AJ39" i="11" s="1"/>
  <c r="AK39" i="11" s="1"/>
  <c r="AL39" i="11" s="1"/>
  <c r="AM39" i="11" s="1"/>
  <c r="AN39" i="11" s="1"/>
  <c r="AO39" i="11" s="1"/>
  <c r="AP39" i="11" s="1"/>
  <c r="AQ39" i="11" s="1"/>
  <c r="AR39" i="11" s="1"/>
  <c r="AS39" i="11" s="1"/>
  <c r="AT39" i="11" s="1"/>
  <c r="AU39" i="11" s="1"/>
  <c r="AV39" i="11" s="1"/>
  <c r="AW39" i="11" s="1"/>
  <c r="AX39" i="11" s="1"/>
  <c r="AY39" i="11" s="1"/>
  <c r="AZ39" i="11" s="1"/>
  <c r="BA39" i="11" s="1"/>
  <c r="BB39" i="11" s="1"/>
  <c r="BC39" i="11" s="1"/>
  <c r="T18" i="13"/>
  <c r="U18" i="13" s="1"/>
  <c r="U19" i="13" s="1"/>
  <c r="W62" i="9"/>
  <c r="W36" i="9"/>
  <c r="Y39" i="9"/>
  <c r="AA39" i="9" s="1"/>
  <c r="E39" i="6"/>
  <c r="E44" i="6" s="1"/>
  <c r="J62" i="6"/>
  <c r="E27" i="14"/>
  <c r="E44" i="14" s="1"/>
  <c r="E17" i="14"/>
  <c r="E38" i="14"/>
  <c r="E41" i="14"/>
  <c r="E15" i="14"/>
  <c r="E32" i="14"/>
  <c r="G57" i="8"/>
  <c r="Q32" i="11"/>
  <c r="R14" i="22" s="1"/>
  <c r="Y78" i="9"/>
  <c r="AA78" i="9" s="1"/>
  <c r="W75" i="9"/>
  <c r="L2" i="18"/>
  <c r="H2" i="18"/>
  <c r="H64" i="8" s="1"/>
  <c r="X12" i="8" s="1"/>
  <c r="AQ39" i="5"/>
  <c r="U35" i="13"/>
  <c r="U42" i="13" s="1"/>
  <c r="M184" i="11"/>
  <c r="M165" i="11"/>
  <c r="D63" i="6"/>
  <c r="G39" i="6"/>
  <c r="G44" i="6" s="1"/>
  <c r="AS47" i="5" s="1"/>
  <c r="M101" i="3"/>
  <c r="N101" i="3" s="1"/>
  <c r="D52" i="6"/>
  <c r="M38" i="14"/>
  <c r="M27" i="14"/>
  <c r="M44" i="14" s="1"/>
  <c r="M17" i="14"/>
  <c r="M41" i="14"/>
  <c r="M32" i="14"/>
  <c r="M15" i="14"/>
  <c r="M35" i="14" s="1"/>
  <c r="O73" i="3"/>
  <c r="W49" i="9"/>
  <c r="Y52" i="9"/>
  <c r="AA52" i="9" s="1"/>
  <c r="Q38" i="14"/>
  <c r="Q41" i="14"/>
  <c r="Q32" i="14"/>
  <c r="Q27" i="14"/>
  <c r="Q17" i="14"/>
  <c r="Q15" i="14"/>
  <c r="B35" i="6"/>
  <c r="D2" i="17" s="1"/>
  <c r="L2" i="17" s="1"/>
  <c r="G67" i="8" s="1"/>
  <c r="C80" i="11" s="1"/>
  <c r="C52" i="11" s="1"/>
  <c r="C107" i="11" s="1"/>
  <c r="C138" i="11" s="1"/>
  <c r="L35" i="11"/>
  <c r="M16" i="22" s="1"/>
  <c r="U34" i="9"/>
  <c r="U33" i="9" s="1"/>
  <c r="D95" i="11"/>
  <c r="D126" i="11" s="1"/>
  <c r="P42" i="11"/>
  <c r="L42" i="11"/>
  <c r="H42" i="11"/>
  <c r="N42" i="11"/>
  <c r="J42" i="11"/>
  <c r="F42" i="11"/>
  <c r="E42" i="11"/>
  <c r="E128" i="11" s="1"/>
  <c r="D42" i="11"/>
  <c r="D128" i="11" s="1"/>
  <c r="K42" i="11"/>
  <c r="I42" i="11"/>
  <c r="O42" i="11"/>
  <c r="M42" i="11"/>
  <c r="Q42" i="11"/>
  <c r="G42" i="11"/>
  <c r="C42" i="11"/>
  <c r="C97" i="11" s="1"/>
  <c r="E46" i="42" l="1"/>
  <c r="R40" i="48"/>
  <c r="R38" i="48"/>
  <c r="R39" i="48"/>
  <c r="R42" i="48" s="1"/>
  <c r="R33" i="48"/>
  <c r="Q86" i="48"/>
  <c r="AD66" i="48" s="1"/>
  <c r="Q87" i="48"/>
  <c r="AD77" i="48" s="1"/>
  <c r="L78" i="39" s="1"/>
  <c r="D50" i="39" s="1"/>
  <c r="Q73" i="48"/>
  <c r="AJ86" i="48"/>
  <c r="L65" i="45"/>
  <c r="C48" i="45" s="1"/>
  <c r="E48" i="45" s="1"/>
  <c r="AD63" i="48"/>
  <c r="AD64" i="48"/>
  <c r="E46" i="43"/>
  <c r="AE63" i="48"/>
  <c r="AE64" i="48"/>
  <c r="D56" i="45"/>
  <c r="L64" i="45"/>
  <c r="AJ85" i="48"/>
  <c r="U40" i="48"/>
  <c r="U33" i="48"/>
  <c r="U39" i="48"/>
  <c r="U42" i="48" s="1"/>
  <c r="U47" i="48" s="1"/>
  <c r="U38" i="48"/>
  <c r="V87" i="48"/>
  <c r="AI77" i="48" s="1"/>
  <c r="L78" i="44" s="1"/>
  <c r="D50" i="44" s="1"/>
  <c r="V86" i="48"/>
  <c r="AI66" i="48" s="1"/>
  <c r="V73" i="48"/>
  <c r="L70" i="43"/>
  <c r="C53" i="43" s="1"/>
  <c r="E53" i="43" s="1"/>
  <c r="AH91" i="48"/>
  <c r="W41" i="48"/>
  <c r="W36" i="48"/>
  <c r="W37" i="48" s="1"/>
  <c r="W46" i="48" s="1"/>
  <c r="AJ65" i="48" s="1"/>
  <c r="AK90" i="48"/>
  <c r="L69" i="46"/>
  <c r="C52" i="46" s="1"/>
  <c r="E52" i="46" s="1"/>
  <c r="L82" i="42"/>
  <c r="D54" i="42" s="1"/>
  <c r="E54" i="42" s="1"/>
  <c r="AG92" i="48"/>
  <c r="U86" i="48"/>
  <c r="U73" i="48"/>
  <c r="U87" i="48"/>
  <c r="AG64" i="48"/>
  <c r="AH63" i="48"/>
  <c r="AG63" i="48"/>
  <c r="AH64" i="48"/>
  <c r="AF90" i="48"/>
  <c r="L69" i="41"/>
  <c r="C52" i="41" s="1"/>
  <c r="E52" i="41" s="1"/>
  <c r="AH68" i="48"/>
  <c r="AG68" i="48"/>
  <c r="L70" i="42"/>
  <c r="C53" i="42" s="1"/>
  <c r="E53" i="42" s="1"/>
  <c r="AG91" i="48"/>
  <c r="L82" i="43"/>
  <c r="D54" i="43" s="1"/>
  <c r="E54" i="43" s="1"/>
  <c r="AH92" i="48"/>
  <c r="AG79" i="48"/>
  <c r="L80" i="42" s="1"/>
  <c r="D52" i="42" s="1"/>
  <c r="AH79" i="48"/>
  <c r="L80" i="43" s="1"/>
  <c r="D52" i="43" s="1"/>
  <c r="AI63" i="48"/>
  <c r="AI64" i="48"/>
  <c r="S87" i="48"/>
  <c r="S73" i="48"/>
  <c r="S86" i="48"/>
  <c r="AD90" i="48"/>
  <c r="L69" i="39"/>
  <c r="C52" i="39" s="1"/>
  <c r="E52" i="39" s="1"/>
  <c r="X73" i="48"/>
  <c r="X86" i="48"/>
  <c r="AK66" i="48" s="1"/>
  <c r="X87" i="48"/>
  <c r="AK77" i="48" s="1"/>
  <c r="L78" i="46" s="1"/>
  <c r="D50" i="46" s="1"/>
  <c r="W87" i="48"/>
  <c r="AJ77" i="48" s="1"/>
  <c r="L78" i="45" s="1"/>
  <c r="D50" i="45" s="1"/>
  <c r="I54" i="45" s="1"/>
  <c r="W86" i="48"/>
  <c r="AJ66" i="48" s="1"/>
  <c r="W73" i="48"/>
  <c r="V39" i="48"/>
  <c r="V42" i="48" s="1"/>
  <c r="V47" i="48" s="1"/>
  <c r="AI76" i="48" s="1"/>
  <c r="L77" i="44" s="1"/>
  <c r="D49" i="44" s="1"/>
  <c r="V40" i="48"/>
  <c r="V38" i="48"/>
  <c r="V33" i="48"/>
  <c r="AH78" i="48"/>
  <c r="L79" i="43" s="1"/>
  <c r="D51" i="43" s="1"/>
  <c r="E51" i="43" s="1"/>
  <c r="AG78" i="48"/>
  <c r="L79" i="42" s="1"/>
  <c r="D51" i="42" s="1"/>
  <c r="E51" i="42" s="1"/>
  <c r="T73" i="48"/>
  <c r="T87" i="48"/>
  <c r="AF77" i="48" s="1"/>
  <c r="L78" i="41" s="1"/>
  <c r="D50" i="41" s="1"/>
  <c r="I54" i="41" s="1"/>
  <c r="T86" i="48"/>
  <c r="AF66" i="48" s="1"/>
  <c r="L68" i="43"/>
  <c r="C51" i="43" s="1"/>
  <c r="R87" i="48"/>
  <c r="AE77" i="48" s="1"/>
  <c r="L78" i="40" s="1"/>
  <c r="D50" i="40" s="1"/>
  <c r="R73" i="48"/>
  <c r="R86" i="48"/>
  <c r="AE66" i="48" s="1"/>
  <c r="T41" i="48"/>
  <c r="T36" i="48"/>
  <c r="T37" i="48" s="1"/>
  <c r="T46" i="48" s="1"/>
  <c r="AF65" i="48" s="1"/>
  <c r="L64" i="41"/>
  <c r="AF85" i="48"/>
  <c r="L69" i="40"/>
  <c r="C52" i="40" s="1"/>
  <c r="E52" i="40" s="1"/>
  <c r="AE90" i="48"/>
  <c r="I54" i="39"/>
  <c r="L68" i="42"/>
  <c r="C51" i="42" s="1"/>
  <c r="Q38" i="48"/>
  <c r="Q33" i="48"/>
  <c r="Q39" i="48"/>
  <c r="Q42" i="48" s="1"/>
  <c r="Q47" i="48" s="1"/>
  <c r="AD76" i="48" s="1"/>
  <c r="L77" i="39" s="1"/>
  <c r="D49" i="39" s="1"/>
  <c r="D56" i="39" s="1"/>
  <c r="Q40" i="48"/>
  <c r="L65" i="41"/>
  <c r="C48" i="41" s="1"/>
  <c r="E48" i="41" s="1"/>
  <c r="AF86" i="48"/>
  <c r="U12" i="9"/>
  <c r="U8" i="9" s="1"/>
  <c r="N184" i="11"/>
  <c r="O31" i="11"/>
  <c r="Q33" i="11"/>
  <c r="R15" i="22" s="1"/>
  <c r="D67" i="6"/>
  <c r="E23" i="14"/>
  <c r="E92" i="3"/>
  <c r="E35" i="14"/>
  <c r="D18" i="14"/>
  <c r="E18" i="14" s="1"/>
  <c r="E19" i="14" s="1"/>
  <c r="E20" i="14" s="1"/>
  <c r="O54" i="8"/>
  <c r="K54" i="8"/>
  <c r="H92" i="3"/>
  <c r="F92" i="3"/>
  <c r="G92" i="3"/>
  <c r="O53" i="3"/>
  <c r="L52" i="3"/>
  <c r="J51" i="3"/>
  <c r="B30" i="6"/>
  <c r="D2" i="15" s="1"/>
  <c r="D96" i="3"/>
  <c r="D90" i="3"/>
  <c r="N86" i="3"/>
  <c r="J54" i="3"/>
  <c r="J52" i="3"/>
  <c r="B31" i="6"/>
  <c r="D2" i="16" s="1"/>
  <c r="J53" i="3"/>
  <c r="J55" i="3"/>
  <c r="O55" i="3"/>
  <c r="H25" i="6" s="1"/>
  <c r="H29" i="6" s="1"/>
  <c r="AQ29" i="5" s="1"/>
  <c r="AQ51" i="5" s="1"/>
  <c r="M45" i="13"/>
  <c r="M43" i="14"/>
  <c r="M45" i="14" s="1"/>
  <c r="M23" i="14"/>
  <c r="L18" i="14"/>
  <c r="M18" i="14" s="1"/>
  <c r="M19" i="14" s="1"/>
  <c r="M20" i="14" s="1"/>
  <c r="P18" i="14"/>
  <c r="Q18" i="14" s="1"/>
  <c r="Q19" i="14" s="1"/>
  <c r="Q20" i="14" s="1"/>
  <c r="I23" i="14"/>
  <c r="H18" i="14"/>
  <c r="I18" i="14" s="1"/>
  <c r="I19" i="14" s="1"/>
  <c r="I43" i="14"/>
  <c r="I45" i="14" s="1"/>
  <c r="I68" i="6"/>
  <c r="D68" i="6" s="1"/>
  <c r="F34" i="6"/>
  <c r="F36" i="6" s="1"/>
  <c r="AO37" i="5" s="1"/>
  <c r="Q44" i="14"/>
  <c r="O57" i="8" s="1"/>
  <c r="Q35" i="14"/>
  <c r="Q43" i="14" s="1"/>
  <c r="Q45" i="14" s="1"/>
  <c r="Q23" i="14"/>
  <c r="U23" i="14"/>
  <c r="D55" i="11"/>
  <c r="K52" i="8"/>
  <c r="U20" i="13"/>
  <c r="L52" i="8" s="1"/>
  <c r="T8" i="8" s="1"/>
  <c r="AO43" i="5"/>
  <c r="D66" i="6"/>
  <c r="U35" i="14"/>
  <c r="Y12" i="9"/>
  <c r="D97" i="11"/>
  <c r="M35" i="11"/>
  <c r="D49" i="11"/>
  <c r="D51" i="6"/>
  <c r="G34" i="6"/>
  <c r="G36" i="6" s="1"/>
  <c r="AS41" i="5" s="1"/>
  <c r="T22" i="18"/>
  <c r="L22" i="18"/>
  <c r="D22" i="18"/>
  <c r="Q22" i="18"/>
  <c r="I22" i="18"/>
  <c r="P22" i="18"/>
  <c r="H22" i="18"/>
  <c r="U22" i="18"/>
  <c r="M22" i="18"/>
  <c r="E22" i="18"/>
  <c r="R32" i="11"/>
  <c r="S14" i="22" s="1"/>
  <c r="W34" i="9"/>
  <c r="W33" i="9" s="1"/>
  <c r="W12" i="9" s="1"/>
  <c r="W8" i="9" s="1"/>
  <c r="T18" i="14"/>
  <c r="U18" i="14" s="1"/>
  <c r="U19" i="14" s="1"/>
  <c r="U7" i="19"/>
  <c r="U16" i="19" s="1"/>
  <c r="E7" i="19"/>
  <c r="D34" i="8" s="1"/>
  <c r="C140" i="22" s="1"/>
  <c r="Q7" i="19"/>
  <c r="Q16" i="19" s="1"/>
  <c r="M7" i="19"/>
  <c r="M16" i="19" s="1"/>
  <c r="I7" i="19"/>
  <c r="I16" i="19" s="1"/>
  <c r="G70" i="8"/>
  <c r="C83" i="11" s="1"/>
  <c r="C55" i="11" s="1"/>
  <c r="C110" i="11" s="1"/>
  <c r="C141" i="11" s="1"/>
  <c r="R42" i="11"/>
  <c r="U7" i="17"/>
  <c r="M7" i="17"/>
  <c r="H2" i="17"/>
  <c r="H67" i="8" s="1"/>
  <c r="Y12" i="8" s="1"/>
  <c r="E7" i="17"/>
  <c r="I7" i="17"/>
  <c r="Q7" i="17"/>
  <c r="U43" i="13"/>
  <c r="P52" i="8"/>
  <c r="T10" i="8" s="1"/>
  <c r="M7" i="18"/>
  <c r="I7" i="18"/>
  <c r="U7" i="18"/>
  <c r="E7" i="18"/>
  <c r="Q7" i="18"/>
  <c r="G64" i="8"/>
  <c r="C77" i="11" s="1"/>
  <c r="C49" i="11" s="1"/>
  <c r="C104" i="11" s="1"/>
  <c r="C135" i="11" s="1"/>
  <c r="J64" i="6"/>
  <c r="D64" i="6" s="1"/>
  <c r="C122" i="22" s="1"/>
  <c r="D62" i="6"/>
  <c r="J54" i="41" l="1"/>
  <c r="E35" i="47"/>
  <c r="E37" i="47" s="1"/>
  <c r="J54" i="45"/>
  <c r="I35" i="47"/>
  <c r="I37" i="47" s="1"/>
  <c r="I54" i="44"/>
  <c r="D56" i="44"/>
  <c r="AI88" i="48"/>
  <c r="L67" i="44"/>
  <c r="C50" i="44" s="1"/>
  <c r="E50" i="44" s="1"/>
  <c r="D56" i="41"/>
  <c r="AG89" i="48"/>
  <c r="AG85" i="48"/>
  <c r="L64" i="42"/>
  <c r="R36" i="48"/>
  <c r="R37" i="48" s="1"/>
  <c r="R46" i="48" s="1"/>
  <c r="AE65" i="48" s="1"/>
  <c r="R41" i="48"/>
  <c r="AD88" i="48"/>
  <c r="L67" i="39"/>
  <c r="C50" i="39" s="1"/>
  <c r="E50" i="39" s="1"/>
  <c r="AE88" i="48"/>
  <c r="L67" i="40"/>
  <c r="C50" i="40" s="1"/>
  <c r="E50" i="40" s="1"/>
  <c r="L67" i="45"/>
  <c r="C50" i="45" s="1"/>
  <c r="E50" i="45" s="1"/>
  <c r="AJ88" i="48"/>
  <c r="AH85" i="48"/>
  <c r="L64" i="43"/>
  <c r="L65" i="40"/>
  <c r="C48" i="40" s="1"/>
  <c r="E48" i="40" s="1"/>
  <c r="AE86" i="48"/>
  <c r="AD86" i="48"/>
  <c r="L65" i="39"/>
  <c r="C48" i="39" s="1"/>
  <c r="E48" i="39" s="1"/>
  <c r="R47" i="48"/>
  <c r="AE76" i="48" s="1"/>
  <c r="L77" i="40" s="1"/>
  <c r="D49" i="40" s="1"/>
  <c r="AF87" i="48"/>
  <c r="L66" i="41"/>
  <c r="C49" i="41" s="1"/>
  <c r="E49" i="41" s="1"/>
  <c r="C35" i="47"/>
  <c r="C37" i="47" s="1"/>
  <c r="J54" i="39"/>
  <c r="AH76" i="48"/>
  <c r="L77" i="43" s="1"/>
  <c r="D49" i="43" s="1"/>
  <c r="AG76" i="48"/>
  <c r="L77" i="42" s="1"/>
  <c r="D49" i="42" s="1"/>
  <c r="AD85" i="48"/>
  <c r="L64" i="39"/>
  <c r="I54" i="46"/>
  <c r="D56" i="46"/>
  <c r="AI86" i="48"/>
  <c r="L65" i="44"/>
  <c r="C48" i="44" s="1"/>
  <c r="E48" i="44" s="1"/>
  <c r="AG90" i="48"/>
  <c r="L69" i="42"/>
  <c r="C52" i="42" s="1"/>
  <c r="E52" i="42" s="1"/>
  <c r="AG77" i="48"/>
  <c r="L78" i="42" s="1"/>
  <c r="D50" i="42" s="1"/>
  <c r="AH77" i="48"/>
  <c r="L78" i="43" s="1"/>
  <c r="D50" i="43" s="1"/>
  <c r="U36" i="48"/>
  <c r="U37" i="48" s="1"/>
  <c r="U46" i="48" s="1"/>
  <c r="U41" i="48"/>
  <c r="L65" i="43"/>
  <c r="C48" i="43" s="1"/>
  <c r="E48" i="43" s="1"/>
  <c r="AH86" i="48"/>
  <c r="L65" i="42"/>
  <c r="C48" i="42" s="1"/>
  <c r="E48" i="42" s="1"/>
  <c r="AG86" i="48"/>
  <c r="AH89" i="48"/>
  <c r="V36" i="48"/>
  <c r="V37" i="48" s="1"/>
  <c r="V46" i="48" s="1"/>
  <c r="AI65" i="48" s="1"/>
  <c r="V41" i="48"/>
  <c r="AK88" i="48"/>
  <c r="L67" i="46"/>
  <c r="L64" i="44"/>
  <c r="AI85" i="48"/>
  <c r="L69" i="43"/>
  <c r="C52" i="43" s="1"/>
  <c r="E52" i="43" s="1"/>
  <c r="AH90" i="48"/>
  <c r="AE85" i="48"/>
  <c r="L64" i="40"/>
  <c r="AG66" i="48"/>
  <c r="AH66" i="48"/>
  <c r="AJ87" i="48"/>
  <c r="L66" i="45"/>
  <c r="C49" i="45" s="1"/>
  <c r="E49" i="45" s="1"/>
  <c r="Q41" i="48"/>
  <c r="Q36" i="48"/>
  <c r="Q37" i="48" s="1"/>
  <c r="Q46" i="48" s="1"/>
  <c r="AD65" i="48" s="1"/>
  <c r="C47" i="41"/>
  <c r="M84" i="41"/>
  <c r="L67" i="41"/>
  <c r="C50" i="41" s="1"/>
  <c r="E50" i="41" s="1"/>
  <c r="AF88" i="48"/>
  <c r="C47" i="45"/>
  <c r="E44" i="19"/>
  <c r="E16" i="19"/>
  <c r="E42" i="14"/>
  <c r="E43" i="14" s="1"/>
  <c r="E45" i="14" s="1"/>
  <c r="U44" i="19"/>
  <c r="U34" i="19"/>
  <c r="U40" i="19"/>
  <c r="Q44" i="19"/>
  <c r="Q34" i="19"/>
  <c r="Q40" i="19"/>
  <c r="M44" i="19"/>
  <c r="M34" i="19"/>
  <c r="M40" i="19"/>
  <c r="I44" i="19"/>
  <c r="I34" i="19"/>
  <c r="I40" i="19"/>
  <c r="U22" i="19"/>
  <c r="U33" i="19" s="1"/>
  <c r="U29" i="19" s="1"/>
  <c r="U17" i="19"/>
  <c r="U15" i="19"/>
  <c r="U37" i="19" s="1"/>
  <c r="M17" i="19"/>
  <c r="M22" i="19"/>
  <c r="M33" i="19" s="1"/>
  <c r="M29" i="19" s="1"/>
  <c r="M15" i="19"/>
  <c r="M37" i="19" s="1"/>
  <c r="Q17" i="19"/>
  <c r="Q22" i="19"/>
  <c r="Q33" i="19" s="1"/>
  <c r="Q29" i="19" s="1"/>
  <c r="Q15" i="19"/>
  <c r="Q37" i="19" s="1"/>
  <c r="I22" i="19"/>
  <c r="I33" i="19" s="1"/>
  <c r="I29" i="19" s="1"/>
  <c r="I17" i="19"/>
  <c r="I15" i="19"/>
  <c r="I37" i="19" s="1"/>
  <c r="E22" i="19"/>
  <c r="E33" i="19" s="1"/>
  <c r="E29" i="19" s="1"/>
  <c r="E15" i="19"/>
  <c r="U45" i="18"/>
  <c r="U19" i="18"/>
  <c r="M44" i="18"/>
  <c r="E45" i="18"/>
  <c r="E19" i="18"/>
  <c r="D69" i="6"/>
  <c r="C128" i="22" s="1"/>
  <c r="E44" i="18"/>
  <c r="I20" i="14"/>
  <c r="K55" i="8"/>
  <c r="N16" i="22"/>
  <c r="P31" i="11"/>
  <c r="P165" i="11" s="1"/>
  <c r="R33" i="11"/>
  <c r="S15" i="22" s="1"/>
  <c r="I35" i="18"/>
  <c r="G51" i="6"/>
  <c r="C112" i="22" s="1"/>
  <c r="M100" i="3"/>
  <c r="M94" i="3" s="1"/>
  <c r="H2" i="16"/>
  <c r="J23" i="16" s="1"/>
  <c r="J22" i="16"/>
  <c r="H22" i="16"/>
  <c r="L2" i="16"/>
  <c r="N90" i="3"/>
  <c r="D94" i="3"/>
  <c r="D92" i="3" s="1"/>
  <c r="N96" i="3"/>
  <c r="G25" i="6"/>
  <c r="G29" i="6" s="1"/>
  <c r="AS31" i="5" s="1"/>
  <c r="D50" i="6"/>
  <c r="O49" i="3"/>
  <c r="O50" i="3"/>
  <c r="H72" i="6" s="1"/>
  <c r="D72" i="6" s="1"/>
  <c r="H2" i="15"/>
  <c r="H58" i="8" s="1"/>
  <c r="V12" i="8" s="1"/>
  <c r="L2" i="15"/>
  <c r="E17" i="19"/>
  <c r="U17" i="18"/>
  <c r="T18" i="18"/>
  <c r="T17" i="18"/>
  <c r="U15" i="18"/>
  <c r="V17" i="18"/>
  <c r="U18" i="18"/>
  <c r="V19" i="18"/>
  <c r="U16" i="18"/>
  <c r="E15" i="18"/>
  <c r="F17" i="18"/>
  <c r="D17" i="18" s="1"/>
  <c r="I15" i="18"/>
  <c r="J17" i="18"/>
  <c r="H17" i="18" s="1"/>
  <c r="I17" i="18" s="1"/>
  <c r="Q15" i="18"/>
  <c r="R17" i="18"/>
  <c r="P17" i="18" s="1"/>
  <c r="N17" i="18"/>
  <c r="L17" i="18" s="1"/>
  <c r="M16" i="18" s="1"/>
  <c r="M15" i="18"/>
  <c r="M38" i="18" s="1"/>
  <c r="K57" i="8"/>
  <c r="I69" i="6"/>
  <c r="U20" i="14"/>
  <c r="U41" i="17"/>
  <c r="U32" i="17"/>
  <c r="U38" i="17"/>
  <c r="U22" i="17"/>
  <c r="V17" i="17" s="1"/>
  <c r="T17" i="17" s="1"/>
  <c r="E40" i="19"/>
  <c r="G72" i="8"/>
  <c r="U47" i="18"/>
  <c r="U41" i="18"/>
  <c r="U26" i="18"/>
  <c r="U46" i="18"/>
  <c r="U38" i="18"/>
  <c r="U30" i="18"/>
  <c r="U20" i="18"/>
  <c r="U48" i="18"/>
  <c r="U44" i="18"/>
  <c r="U35" i="18"/>
  <c r="O52" i="8"/>
  <c r="U45" i="13"/>
  <c r="P54" i="8" s="1"/>
  <c r="E41" i="17"/>
  <c r="E32" i="17"/>
  <c r="E30" i="17"/>
  <c r="E38" i="17"/>
  <c r="E22" i="17"/>
  <c r="F17" i="17" s="1"/>
  <c r="E31" i="17"/>
  <c r="E27" i="17" s="1"/>
  <c r="E15" i="17"/>
  <c r="S42" i="11"/>
  <c r="S32" i="11"/>
  <c r="T14" i="22" s="1"/>
  <c r="D104" i="11"/>
  <c r="D135" i="11" s="1"/>
  <c r="N51" i="11"/>
  <c r="J51" i="11"/>
  <c r="F51" i="11"/>
  <c r="E51" i="11"/>
  <c r="E137" i="11" s="1"/>
  <c r="P51" i="11"/>
  <c r="L51" i="11"/>
  <c r="H51" i="11"/>
  <c r="D51" i="11"/>
  <c r="D137" i="11" s="1"/>
  <c r="G51" i="11"/>
  <c r="I51" i="11"/>
  <c r="K51" i="11"/>
  <c r="M51" i="11"/>
  <c r="O51" i="11"/>
  <c r="C51" i="11"/>
  <c r="C106" i="11" s="1"/>
  <c r="Q51" i="11"/>
  <c r="I30" i="18"/>
  <c r="I47" i="18" s="1"/>
  <c r="I44" i="18"/>
  <c r="I41" i="18"/>
  <c r="Q41" i="17"/>
  <c r="Q32" i="17"/>
  <c r="Q38" i="17"/>
  <c r="Q22" i="17"/>
  <c r="R17" i="17" s="1"/>
  <c r="P17" i="17" s="1"/>
  <c r="Q44" i="18"/>
  <c r="Q35" i="18"/>
  <c r="Q41" i="18"/>
  <c r="Q30" i="18"/>
  <c r="Q47" i="18" s="1"/>
  <c r="M30" i="18"/>
  <c r="M47" i="18" s="1"/>
  <c r="M35" i="18"/>
  <c r="M41" i="18"/>
  <c r="I38" i="17"/>
  <c r="I22" i="17"/>
  <c r="J17" i="17" s="1"/>
  <c r="I41" i="17"/>
  <c r="I15" i="17"/>
  <c r="I32" i="17"/>
  <c r="I30" i="17"/>
  <c r="I31" i="17" s="1"/>
  <c r="I27" i="17" s="1"/>
  <c r="M22" i="17"/>
  <c r="M30" i="17" s="1"/>
  <c r="M31" i="17" s="1"/>
  <c r="M27" i="17" s="1"/>
  <c r="M41" i="17"/>
  <c r="M32" i="17"/>
  <c r="M38" i="17"/>
  <c r="U43" i="14"/>
  <c r="P55" i="8"/>
  <c r="U10" i="8" s="1"/>
  <c r="D110" i="11"/>
  <c r="D141" i="11" s="1"/>
  <c r="Q57" i="11"/>
  <c r="M57" i="11"/>
  <c r="I57" i="11"/>
  <c r="E57" i="11"/>
  <c r="E143" i="11" s="1"/>
  <c r="P57" i="11"/>
  <c r="L57" i="11"/>
  <c r="H57" i="11"/>
  <c r="D57" i="11"/>
  <c r="D143" i="11" s="1"/>
  <c r="F57" i="11"/>
  <c r="G57" i="11"/>
  <c r="J57" i="11"/>
  <c r="K57" i="11"/>
  <c r="N57" i="11"/>
  <c r="O57" i="11"/>
  <c r="C57" i="11"/>
  <c r="C112" i="11" s="1"/>
  <c r="E41" i="18"/>
  <c r="E38" i="18"/>
  <c r="E30" i="18"/>
  <c r="E47" i="18" s="1"/>
  <c r="E35" i="18"/>
  <c r="D52" i="11"/>
  <c r="N35" i="11"/>
  <c r="D65" i="11"/>
  <c r="L53" i="8"/>
  <c r="T7" i="8" s="1"/>
  <c r="I54" i="43" l="1"/>
  <c r="D56" i="43"/>
  <c r="C50" i="46"/>
  <c r="M84" i="46"/>
  <c r="L67" i="42"/>
  <c r="C50" i="42" s="1"/>
  <c r="E50" i="42" s="1"/>
  <c r="AG88" i="48"/>
  <c r="C47" i="43"/>
  <c r="C47" i="40"/>
  <c r="AG65" i="48"/>
  <c r="AH65" i="48"/>
  <c r="J54" i="46"/>
  <c r="J35" i="47"/>
  <c r="J37" i="47" s="1"/>
  <c r="AE87" i="48"/>
  <c r="L66" i="40"/>
  <c r="C49" i="40" s="1"/>
  <c r="E49" i="40" s="1"/>
  <c r="J54" i="44"/>
  <c r="H35" i="47"/>
  <c r="H37" i="47" s="1"/>
  <c r="C47" i="44"/>
  <c r="M84" i="44"/>
  <c r="E47" i="41"/>
  <c r="C56" i="41"/>
  <c r="E56" i="41" s="1"/>
  <c r="I53" i="41"/>
  <c r="L66" i="44"/>
  <c r="C49" i="44" s="1"/>
  <c r="E49" i="44" s="1"/>
  <c r="AI87" i="48"/>
  <c r="C47" i="42"/>
  <c r="E47" i="45"/>
  <c r="I53" i="45"/>
  <c r="C56" i="45"/>
  <c r="E56" i="45" s="1"/>
  <c r="AD87" i="48"/>
  <c r="L66" i="39"/>
  <c r="C49" i="39" s="1"/>
  <c r="E49" i="39" s="1"/>
  <c r="C47" i="39"/>
  <c r="I54" i="40"/>
  <c r="D56" i="40"/>
  <c r="AH88" i="48"/>
  <c r="L67" i="43"/>
  <c r="C50" i="43" s="1"/>
  <c r="E50" i="43" s="1"/>
  <c r="M84" i="45"/>
  <c r="D56" i="42"/>
  <c r="I54" i="42"/>
  <c r="H23" i="16"/>
  <c r="M25" i="19"/>
  <c r="U53" i="19"/>
  <c r="U51" i="19"/>
  <c r="U52" i="19" s="1"/>
  <c r="U54" i="19" s="1"/>
  <c r="Q51" i="19"/>
  <c r="Q52" i="19" s="1"/>
  <c r="Q54" i="19" s="1"/>
  <c r="Q53" i="19"/>
  <c r="M53" i="19"/>
  <c r="M51" i="19"/>
  <c r="M52" i="19" s="1"/>
  <c r="M54" i="19" s="1"/>
  <c r="I53" i="19"/>
  <c r="I51" i="19"/>
  <c r="I52" i="19" s="1"/>
  <c r="I25" i="19"/>
  <c r="E25" i="19"/>
  <c r="U25" i="19"/>
  <c r="Q25" i="19"/>
  <c r="I16" i="17"/>
  <c r="I23" i="17" s="1"/>
  <c r="H17" i="17"/>
  <c r="I17" i="17" s="1"/>
  <c r="M45" i="18"/>
  <c r="L55" i="8"/>
  <c r="U8" i="8" s="1"/>
  <c r="O16" i="22"/>
  <c r="P184" i="11"/>
  <c r="Q31" i="11"/>
  <c r="S33" i="11"/>
  <c r="T15" i="22" s="1"/>
  <c r="M46" i="18"/>
  <c r="M48" i="18" s="1"/>
  <c r="N100" i="3"/>
  <c r="H61" i="8"/>
  <c r="L18" i="18"/>
  <c r="M18" i="18" s="1"/>
  <c r="M17" i="18"/>
  <c r="M19" i="18" s="1"/>
  <c r="G58" i="8"/>
  <c r="C71" i="11" s="1"/>
  <c r="C43" i="11" s="1"/>
  <c r="C98" i="11" s="1"/>
  <c r="C129" i="11" s="1"/>
  <c r="E7" i="15"/>
  <c r="Q7" i="15"/>
  <c r="M7" i="15"/>
  <c r="I7" i="15"/>
  <c r="U7" i="15"/>
  <c r="H71" i="6"/>
  <c r="D71" i="6" s="1"/>
  <c r="D73" i="6" s="1"/>
  <c r="C125" i="22" s="1"/>
  <c r="E25" i="6"/>
  <c r="E29" i="6" s="1"/>
  <c r="D48" i="6"/>
  <c r="D53" i="6" s="1"/>
  <c r="AS25" i="5"/>
  <c r="J25" i="5" s="1"/>
  <c r="D43" i="11"/>
  <c r="I7" i="16"/>
  <c r="J20" i="16" s="1"/>
  <c r="E7" i="16"/>
  <c r="U7" i="16"/>
  <c r="M7" i="16"/>
  <c r="G61" i="8"/>
  <c r="C74" i="11" s="1"/>
  <c r="C46" i="11" s="1"/>
  <c r="C101" i="11" s="1"/>
  <c r="C132" i="11" s="1"/>
  <c r="Q7" i="16"/>
  <c r="E17" i="18"/>
  <c r="E16" i="18"/>
  <c r="D18" i="18" s="1"/>
  <c r="E18" i="18" s="1"/>
  <c r="I16" i="18"/>
  <c r="Q17" i="18"/>
  <c r="Q16" i="18"/>
  <c r="P18" i="18" s="1"/>
  <c r="Q18" i="18" s="1"/>
  <c r="Q38" i="18"/>
  <c r="Q45" i="18" s="1"/>
  <c r="I44" i="17"/>
  <c r="H18" i="17"/>
  <c r="I18" i="17" s="1"/>
  <c r="I19" i="17" s="1"/>
  <c r="I20" i="17" s="1"/>
  <c r="I35" i="17"/>
  <c r="I42" i="17" s="1"/>
  <c r="I43" i="17" s="1"/>
  <c r="E44" i="17"/>
  <c r="E42" i="17"/>
  <c r="E43" i="17" s="1"/>
  <c r="E45" i="17" s="1"/>
  <c r="E16" i="17"/>
  <c r="D17" i="17"/>
  <c r="E17" i="17" s="1"/>
  <c r="E19" i="17"/>
  <c r="E20" i="17" s="1"/>
  <c r="E23" i="17"/>
  <c r="E35" i="17"/>
  <c r="D18" i="17"/>
  <c r="E18" i="17" s="1"/>
  <c r="L18" i="19"/>
  <c r="M18" i="19" s="1"/>
  <c r="M19" i="19" s="1"/>
  <c r="M20" i="19" s="1"/>
  <c r="Q15" i="17"/>
  <c r="Q35" i="17" s="1"/>
  <c r="Q17" i="17"/>
  <c r="Q16" i="17"/>
  <c r="Q30" i="17"/>
  <c r="Q31" i="17" s="1"/>
  <c r="Q27" i="17" s="1"/>
  <c r="E46" i="18"/>
  <c r="E48" i="18" s="1"/>
  <c r="I38" i="18"/>
  <c r="I45" i="18" s="1"/>
  <c r="N17" i="17"/>
  <c r="L17" i="17" s="1"/>
  <c r="M17" i="17" s="1"/>
  <c r="M44" i="17"/>
  <c r="O66" i="8"/>
  <c r="M15" i="17"/>
  <c r="T18" i="19"/>
  <c r="U18" i="19" s="1"/>
  <c r="U19" i="19" s="1"/>
  <c r="U20" i="19" s="1"/>
  <c r="P18" i="19"/>
  <c r="Q18" i="19" s="1"/>
  <c r="Q19" i="19" s="1"/>
  <c r="Q20" i="19" s="1"/>
  <c r="H18" i="19"/>
  <c r="I18" i="19" s="1"/>
  <c r="I19" i="19" s="1"/>
  <c r="I20" i="19" s="1"/>
  <c r="D18" i="19"/>
  <c r="G66" i="8"/>
  <c r="U16" i="17"/>
  <c r="U17" i="17"/>
  <c r="D107" i="11"/>
  <c r="D138" i="11" s="1"/>
  <c r="P54" i="11"/>
  <c r="L54" i="11"/>
  <c r="H54" i="11"/>
  <c r="N54" i="11"/>
  <c r="J54" i="11"/>
  <c r="F54" i="11"/>
  <c r="E54" i="11"/>
  <c r="E140" i="11" s="1"/>
  <c r="D54" i="11"/>
  <c r="D140" i="11" s="1"/>
  <c r="K54" i="11"/>
  <c r="I54" i="11"/>
  <c r="O54" i="11"/>
  <c r="M54" i="11"/>
  <c r="Q54" i="11"/>
  <c r="G54" i="11"/>
  <c r="C54" i="11"/>
  <c r="C109" i="11" s="1"/>
  <c r="D112" i="11"/>
  <c r="D106" i="11"/>
  <c r="U15" i="17"/>
  <c r="U45" i="14"/>
  <c r="P57" i="8" s="1"/>
  <c r="O55" i="8"/>
  <c r="R51" i="11"/>
  <c r="T32" i="11"/>
  <c r="U14" i="22" s="1"/>
  <c r="T42" i="11"/>
  <c r="U30" i="17"/>
  <c r="U31" i="17" s="1"/>
  <c r="U27" i="17" s="1"/>
  <c r="D68" i="11"/>
  <c r="L56" i="8"/>
  <c r="U7" i="8" s="1"/>
  <c r="R57" i="11"/>
  <c r="M92" i="3"/>
  <c r="E125" i="3"/>
  <c r="E129" i="3" s="1"/>
  <c r="N94" i="3"/>
  <c r="E119" i="3" s="1"/>
  <c r="E126" i="3"/>
  <c r="I51" i="5" s="1"/>
  <c r="I94" i="11"/>
  <c r="M94" i="11"/>
  <c r="L94" i="11"/>
  <c r="N94" i="11"/>
  <c r="Q94" i="11"/>
  <c r="K94" i="11"/>
  <c r="J94" i="11"/>
  <c r="O94" i="11"/>
  <c r="H94" i="11"/>
  <c r="P94" i="11"/>
  <c r="G94" i="11"/>
  <c r="E94" i="11"/>
  <c r="F94" i="11"/>
  <c r="E37" i="19"/>
  <c r="BB70" i="11"/>
  <c r="AX70" i="11"/>
  <c r="AT70" i="11"/>
  <c r="AP70" i="11"/>
  <c r="AL70" i="11"/>
  <c r="AH70" i="11"/>
  <c r="AD70" i="11"/>
  <c r="Z70" i="11"/>
  <c r="V70" i="11"/>
  <c r="R70" i="11"/>
  <c r="N70" i="11"/>
  <c r="J70" i="11"/>
  <c r="F70" i="11"/>
  <c r="BB67" i="11"/>
  <c r="AX67" i="11"/>
  <c r="AT67" i="11"/>
  <c r="AP67" i="11"/>
  <c r="AL67" i="11"/>
  <c r="AH67" i="11"/>
  <c r="AD67" i="11"/>
  <c r="Z67" i="11"/>
  <c r="V67" i="11"/>
  <c r="R67" i="11"/>
  <c r="N67" i="11"/>
  <c r="J67" i="11"/>
  <c r="F67" i="11"/>
  <c r="BA70" i="11"/>
  <c r="AW70" i="11"/>
  <c r="AS70" i="11"/>
  <c r="AO70" i="11"/>
  <c r="AK70" i="11"/>
  <c r="AG70" i="11"/>
  <c r="AC70" i="11"/>
  <c r="Y70" i="11"/>
  <c r="U70" i="11"/>
  <c r="Q70" i="11"/>
  <c r="M70" i="11"/>
  <c r="I70" i="11"/>
  <c r="BA67" i="11"/>
  <c r="AW67" i="11"/>
  <c r="AS67" i="11"/>
  <c r="AO67" i="11"/>
  <c r="AK67" i="11"/>
  <c r="AG67" i="11"/>
  <c r="AC67" i="11"/>
  <c r="Y67" i="11"/>
  <c r="U67" i="11"/>
  <c r="Q67" i="11"/>
  <c r="M67" i="11"/>
  <c r="I67" i="11"/>
  <c r="E67" i="11"/>
  <c r="AZ70" i="11"/>
  <c r="AV70" i="11"/>
  <c r="AR70" i="11"/>
  <c r="AN70" i="11"/>
  <c r="AJ70" i="11"/>
  <c r="AF70" i="11"/>
  <c r="AB70" i="11"/>
  <c r="X70" i="11"/>
  <c r="T70" i="11"/>
  <c r="P70" i="11"/>
  <c r="L70" i="11"/>
  <c r="H70" i="11"/>
  <c r="AZ67" i="11"/>
  <c r="AV67" i="11"/>
  <c r="AR67" i="11"/>
  <c r="AN67" i="11"/>
  <c r="AJ67" i="11"/>
  <c r="AF67" i="11"/>
  <c r="AB67" i="11"/>
  <c r="X67" i="11"/>
  <c r="T67" i="11"/>
  <c r="P67" i="11"/>
  <c r="L67" i="11"/>
  <c r="H67" i="11"/>
  <c r="D67" i="11"/>
  <c r="BC70" i="11"/>
  <c r="AY70" i="11"/>
  <c r="AU70" i="11"/>
  <c r="AQ70" i="11"/>
  <c r="AM70" i="11"/>
  <c r="AI70" i="11"/>
  <c r="AE70" i="11"/>
  <c r="AA70" i="11"/>
  <c r="W70" i="11"/>
  <c r="S70" i="11"/>
  <c r="O70" i="11"/>
  <c r="K70" i="11"/>
  <c r="G70" i="11"/>
  <c r="BC67" i="11"/>
  <c r="AY67" i="11"/>
  <c r="AU67" i="11"/>
  <c r="AQ67" i="11"/>
  <c r="AM67" i="11"/>
  <c r="AI67" i="11"/>
  <c r="AE67" i="11"/>
  <c r="AA67" i="11"/>
  <c r="W67" i="11"/>
  <c r="S67" i="11"/>
  <c r="O67" i="11"/>
  <c r="K67" i="11"/>
  <c r="G67" i="11"/>
  <c r="C67" i="11"/>
  <c r="O35" i="11"/>
  <c r="P16" i="22" s="1"/>
  <c r="P53" i="8"/>
  <c r="T9" i="8" s="1"/>
  <c r="P84" i="8"/>
  <c r="E47" i="43" l="1"/>
  <c r="J53" i="41"/>
  <c r="I55" i="41"/>
  <c r="J55" i="41" s="1"/>
  <c r="E34" i="47"/>
  <c r="E36" i="47" s="1"/>
  <c r="E38" i="47" s="1"/>
  <c r="J53" i="45"/>
  <c r="I55" i="45"/>
  <c r="J55" i="45" s="1"/>
  <c r="I34" i="47"/>
  <c r="I36" i="47" s="1"/>
  <c r="I38" i="47" s="1"/>
  <c r="D35" i="47"/>
  <c r="D37" i="47" s="1"/>
  <c r="J54" i="40"/>
  <c r="E47" i="44"/>
  <c r="I53" i="44"/>
  <c r="C56" i="44"/>
  <c r="E56" i="44" s="1"/>
  <c r="AG87" i="48"/>
  <c r="L66" i="42"/>
  <c r="I53" i="46"/>
  <c r="C56" i="46"/>
  <c r="E56" i="46" s="1"/>
  <c r="E50" i="46"/>
  <c r="AH87" i="48"/>
  <c r="L66" i="43"/>
  <c r="M84" i="39"/>
  <c r="E47" i="42"/>
  <c r="M84" i="40"/>
  <c r="F35" i="47"/>
  <c r="F37" i="47" s="1"/>
  <c r="J54" i="42"/>
  <c r="E47" i="39"/>
  <c r="I53" i="39"/>
  <c r="C56" i="39"/>
  <c r="E56" i="39" s="1"/>
  <c r="E47" i="40"/>
  <c r="I53" i="40"/>
  <c r="C56" i="40"/>
  <c r="E56" i="40" s="1"/>
  <c r="J54" i="43"/>
  <c r="G35" i="47"/>
  <c r="G37" i="47" s="1"/>
  <c r="I54" i="19"/>
  <c r="I45" i="17"/>
  <c r="Q19" i="18"/>
  <c r="H18" i="18"/>
  <c r="I18" i="18" s="1"/>
  <c r="I19" i="18" s="1"/>
  <c r="F19" i="16"/>
  <c r="K61" i="8"/>
  <c r="S16" i="22"/>
  <c r="R31" i="11"/>
  <c r="T33" i="11"/>
  <c r="U15" i="22" s="1"/>
  <c r="N19" i="18"/>
  <c r="D46" i="11"/>
  <c r="D48" i="11" s="1"/>
  <c r="D134" i="11" s="1"/>
  <c r="W12" i="8"/>
  <c r="W11" i="8" s="1"/>
  <c r="I46" i="18"/>
  <c r="I48" i="18" s="1"/>
  <c r="O62" i="8"/>
  <c r="J128" i="3"/>
  <c r="K75" i="6" s="1"/>
  <c r="J127" i="3"/>
  <c r="K74" i="6" s="1"/>
  <c r="K72" i="8"/>
  <c r="I20" i="16"/>
  <c r="J19" i="16"/>
  <c r="F20" i="16"/>
  <c r="H18" i="16"/>
  <c r="I18" i="16" s="1"/>
  <c r="I15" i="16"/>
  <c r="I23" i="16" s="1"/>
  <c r="I38" i="16"/>
  <c r="I27" i="16"/>
  <c r="I17" i="16"/>
  <c r="I32" i="16"/>
  <c r="I41" i="16"/>
  <c r="I16" i="16"/>
  <c r="I44" i="16"/>
  <c r="I19" i="16"/>
  <c r="I35" i="16"/>
  <c r="I42" i="16" s="1"/>
  <c r="I43" i="16" s="1"/>
  <c r="I45" i="16" s="1"/>
  <c r="AS51" i="5"/>
  <c r="G49" i="6"/>
  <c r="C115" i="22" s="1"/>
  <c r="U15" i="15"/>
  <c r="U32" i="15"/>
  <c r="U27" i="15"/>
  <c r="U38" i="15"/>
  <c r="U35" i="15"/>
  <c r="U41" i="15"/>
  <c r="U16" i="15"/>
  <c r="U17" i="15"/>
  <c r="E15" i="15"/>
  <c r="E35" i="15" s="1"/>
  <c r="E17" i="15"/>
  <c r="E16" i="15"/>
  <c r="E38" i="15"/>
  <c r="E41" i="15"/>
  <c r="G60" i="8"/>
  <c r="E27" i="15"/>
  <c r="E44" i="15" s="1"/>
  <c r="E32" i="15"/>
  <c r="M38" i="16"/>
  <c r="M17" i="16"/>
  <c r="M41" i="16"/>
  <c r="M27" i="16"/>
  <c r="M44" i="16" s="1"/>
  <c r="O63" i="8" s="1"/>
  <c r="M32" i="16"/>
  <c r="M15" i="16"/>
  <c r="M35" i="16" s="1"/>
  <c r="M16" i="16"/>
  <c r="F45" i="11"/>
  <c r="H45" i="11"/>
  <c r="K45" i="11"/>
  <c r="Q45" i="11"/>
  <c r="R45" i="11" s="1"/>
  <c r="S45" i="11" s="1"/>
  <c r="G45" i="11"/>
  <c r="D98" i="11"/>
  <c r="D129" i="11" s="1"/>
  <c r="E45" i="11"/>
  <c r="E131" i="11" s="1"/>
  <c r="D45" i="11"/>
  <c r="D131" i="11" s="1"/>
  <c r="C45" i="11"/>
  <c r="C100" i="11" s="1"/>
  <c r="N45" i="11"/>
  <c r="P45" i="11"/>
  <c r="M45" i="11"/>
  <c r="J45" i="11"/>
  <c r="L45" i="11"/>
  <c r="I45" i="11"/>
  <c r="O45" i="11"/>
  <c r="I41" i="15"/>
  <c r="I16" i="15"/>
  <c r="I32" i="15"/>
  <c r="I38" i="15"/>
  <c r="I15" i="15"/>
  <c r="I27" i="15"/>
  <c r="I17" i="15"/>
  <c r="U27" i="16"/>
  <c r="U44" i="16" s="1"/>
  <c r="U32" i="16"/>
  <c r="U41" i="16"/>
  <c r="U17" i="16"/>
  <c r="U15" i="16"/>
  <c r="U35" i="16" s="1"/>
  <c r="U38" i="16"/>
  <c r="U16" i="16"/>
  <c r="U19" i="16"/>
  <c r="U20" i="16" s="1"/>
  <c r="V20" i="16"/>
  <c r="U42" i="16"/>
  <c r="U43" i="16" s="1"/>
  <c r="U45" i="16" s="1"/>
  <c r="V19" i="16"/>
  <c r="T18" i="16"/>
  <c r="U18" i="16" s="1"/>
  <c r="U23" i="16"/>
  <c r="AO27" i="5"/>
  <c r="AO51" i="5" s="1"/>
  <c r="G50" i="6"/>
  <c r="C118" i="22" s="1"/>
  <c r="M32" i="15"/>
  <c r="M38" i="15"/>
  <c r="M16" i="15"/>
  <c r="M15" i="15"/>
  <c r="M27" i="15"/>
  <c r="M44" i="15" s="1"/>
  <c r="M41" i="15"/>
  <c r="M17" i="15"/>
  <c r="Q23" i="16"/>
  <c r="Q16" i="16"/>
  <c r="Q32" i="16"/>
  <c r="Q42" i="16" s="1"/>
  <c r="Q43" i="16" s="1"/>
  <c r="Q45" i="16" s="1"/>
  <c r="Q41" i="16"/>
  <c r="Q15" i="16"/>
  <c r="Q38" i="16"/>
  <c r="Q17" i="16"/>
  <c r="Q35" i="16"/>
  <c r="Q27" i="16"/>
  <c r="Q44" i="16" s="1"/>
  <c r="P18" i="16"/>
  <c r="Q18" i="16" s="1"/>
  <c r="Q19" i="16" s="1"/>
  <c r="Q20" i="16"/>
  <c r="R19" i="16"/>
  <c r="R20" i="16"/>
  <c r="G63" i="8"/>
  <c r="E27" i="16"/>
  <c r="E44" i="16" s="1"/>
  <c r="E32" i="16"/>
  <c r="E38" i="16"/>
  <c r="E17" i="16"/>
  <c r="E16" i="16"/>
  <c r="E41" i="16"/>
  <c r="E15" i="16"/>
  <c r="E35" i="16"/>
  <c r="E42" i="16" s="1"/>
  <c r="E43" i="16" s="1"/>
  <c r="E45" i="16" s="1"/>
  <c r="D18" i="16"/>
  <c r="E18" i="16" s="1"/>
  <c r="E19" i="16" s="1"/>
  <c r="E20" i="16" s="1"/>
  <c r="E23" i="16"/>
  <c r="Q41" i="15"/>
  <c r="Q32" i="15"/>
  <c r="Q15" i="15"/>
  <c r="Q23" i="15" s="1"/>
  <c r="Q17" i="15"/>
  <c r="Q16" i="15"/>
  <c r="Q27" i="15"/>
  <c r="Q44" i="15" s="1"/>
  <c r="Q38" i="15"/>
  <c r="I26" i="18"/>
  <c r="F19" i="18"/>
  <c r="R19" i="18"/>
  <c r="E18" i="19"/>
  <c r="E19" i="19" s="1"/>
  <c r="P18" i="17"/>
  <c r="Q18" i="17" s="1"/>
  <c r="Q19" i="17" s="1"/>
  <c r="Q23" i="17"/>
  <c r="Q42" i="17"/>
  <c r="Q43" i="17" s="1"/>
  <c r="Q44" i="17"/>
  <c r="M26" i="18"/>
  <c r="G69" i="8"/>
  <c r="M16" i="17"/>
  <c r="L18" i="17" s="1"/>
  <c r="M18" i="17" s="1"/>
  <c r="M19" i="17" s="1"/>
  <c r="M20" i="17" s="1"/>
  <c r="M35" i="17"/>
  <c r="M42" i="17" s="1"/>
  <c r="M43" i="17" s="1"/>
  <c r="M45" i="17" s="1"/>
  <c r="E26" i="18"/>
  <c r="V19" i="19"/>
  <c r="R19" i="19"/>
  <c r="N19" i="19"/>
  <c r="J19" i="19"/>
  <c r="Q26" i="18"/>
  <c r="P35" i="11"/>
  <c r="Q16" i="22" s="1"/>
  <c r="N92" i="3"/>
  <c r="E114" i="3" s="1"/>
  <c r="Q46" i="18"/>
  <c r="R54" i="11"/>
  <c r="S57" i="11"/>
  <c r="E70" i="11"/>
  <c r="D70" i="11"/>
  <c r="C70" i="11"/>
  <c r="U32" i="11"/>
  <c r="V14" i="22" s="1"/>
  <c r="P56" i="8"/>
  <c r="U9" i="8" s="1"/>
  <c r="T18" i="17"/>
  <c r="U18" i="17" s="1"/>
  <c r="U19" i="17" s="1"/>
  <c r="U23" i="17"/>
  <c r="U35" i="17"/>
  <c r="U42" i="17" s="1"/>
  <c r="D109" i="11"/>
  <c r="R94" i="11"/>
  <c r="B47" i="6"/>
  <c r="D2" i="20" s="1"/>
  <c r="O124" i="3"/>
  <c r="I53" i="5" s="1"/>
  <c r="K53" i="5" s="1"/>
  <c r="U44" i="17"/>
  <c r="I97" i="11"/>
  <c r="L97" i="11"/>
  <c r="K97" i="11"/>
  <c r="P97" i="11"/>
  <c r="E97" i="11"/>
  <c r="O97" i="11"/>
  <c r="Q97" i="11"/>
  <c r="R97" i="11" s="1"/>
  <c r="S97" i="11" s="1"/>
  <c r="T97" i="11" s="1"/>
  <c r="U97" i="11" s="1"/>
  <c r="V97" i="11" s="1"/>
  <c r="W97" i="11" s="1"/>
  <c r="X97" i="11" s="1"/>
  <c r="Y97" i="11" s="1"/>
  <c r="Z97" i="11" s="1"/>
  <c r="AA97" i="11" s="1"/>
  <c r="AB97" i="11" s="1"/>
  <c r="AC97" i="11" s="1"/>
  <c r="AD97" i="11" s="1"/>
  <c r="AE97" i="11" s="1"/>
  <c r="AF97" i="11" s="1"/>
  <c r="AG97" i="11" s="1"/>
  <c r="AH97" i="11" s="1"/>
  <c r="AI97" i="11" s="1"/>
  <c r="AJ97" i="11" s="1"/>
  <c r="AK97" i="11" s="1"/>
  <c r="AL97" i="11" s="1"/>
  <c r="AM97" i="11" s="1"/>
  <c r="AN97" i="11" s="1"/>
  <c r="AO97" i="11" s="1"/>
  <c r="AP97" i="11" s="1"/>
  <c r="AQ97" i="11" s="1"/>
  <c r="AR97" i="11" s="1"/>
  <c r="AS97" i="11" s="1"/>
  <c r="AT97" i="11" s="1"/>
  <c r="AU97" i="11" s="1"/>
  <c r="AV97" i="11" s="1"/>
  <c r="AW97" i="11" s="1"/>
  <c r="AX97" i="11" s="1"/>
  <c r="AY97" i="11" s="1"/>
  <c r="AZ97" i="11" s="1"/>
  <c r="BA97" i="11" s="1"/>
  <c r="BB97" i="11" s="1"/>
  <c r="BC97" i="11" s="1"/>
  <c r="M97" i="11"/>
  <c r="N97" i="11"/>
  <c r="G97" i="11"/>
  <c r="F97" i="11"/>
  <c r="J97" i="11"/>
  <c r="H97" i="11"/>
  <c r="U42" i="11"/>
  <c r="S51" i="11"/>
  <c r="C49" i="42" l="1"/>
  <c r="M84" i="42"/>
  <c r="C34" i="47"/>
  <c r="C36" i="47" s="1"/>
  <c r="C38" i="47" s="1"/>
  <c r="C141" i="22" s="1"/>
  <c r="J53" i="39"/>
  <c r="I55" i="39"/>
  <c r="J55" i="39" s="1"/>
  <c r="C49" i="43"/>
  <c r="M84" i="43"/>
  <c r="H34" i="47"/>
  <c r="H36" i="47" s="1"/>
  <c r="H38" i="47" s="1"/>
  <c r="I55" i="44"/>
  <c r="J55" i="44" s="1"/>
  <c r="J53" i="44"/>
  <c r="I55" i="40"/>
  <c r="J55" i="40" s="1"/>
  <c r="D34" i="47"/>
  <c r="D36" i="47" s="1"/>
  <c r="D38" i="47" s="1"/>
  <c r="J53" i="40"/>
  <c r="J34" i="47"/>
  <c r="J36" i="47" s="1"/>
  <c r="J38" i="47" s="1"/>
  <c r="C142" i="22" s="1"/>
  <c r="J53" i="46"/>
  <c r="I55" i="46"/>
  <c r="J55" i="46" s="1"/>
  <c r="E35" i="19"/>
  <c r="E36" i="19" s="1"/>
  <c r="E34" i="19" s="1"/>
  <c r="E51" i="19" s="1"/>
  <c r="I35" i="19"/>
  <c r="I36" i="19" s="1"/>
  <c r="M35" i="19"/>
  <c r="M36" i="19" s="1"/>
  <c r="Q35" i="19"/>
  <c r="Q36" i="19" s="1"/>
  <c r="U35" i="19"/>
  <c r="U36" i="19" s="1"/>
  <c r="E20" i="19"/>
  <c r="K70" i="8"/>
  <c r="D83" i="11" s="1"/>
  <c r="AQ85" i="11" s="1"/>
  <c r="U44" i="15"/>
  <c r="U42" i="15"/>
  <c r="U43" i="15" s="1"/>
  <c r="U45" i="15" s="1"/>
  <c r="U23" i="15"/>
  <c r="T18" i="15"/>
  <c r="U18" i="15" s="1"/>
  <c r="U19" i="15" s="1"/>
  <c r="U20" i="15" s="1"/>
  <c r="M23" i="15"/>
  <c r="J19" i="18"/>
  <c r="K64" i="8"/>
  <c r="D77" i="11" s="1"/>
  <c r="Q20" i="17"/>
  <c r="K67" i="8"/>
  <c r="P48" i="11"/>
  <c r="P134" i="11" s="1"/>
  <c r="T16" i="22"/>
  <c r="S31" i="11"/>
  <c r="U33" i="11"/>
  <c r="V15" i="22" s="1"/>
  <c r="N48" i="11"/>
  <c r="N134" i="11" s="1"/>
  <c r="H48" i="11"/>
  <c r="H134" i="11" s="1"/>
  <c r="M48" i="11"/>
  <c r="M134" i="11" s="1"/>
  <c r="E48" i="11"/>
  <c r="E134" i="11" s="1"/>
  <c r="Q48" i="11"/>
  <c r="G48" i="11"/>
  <c r="G134" i="11" s="1"/>
  <c r="C48" i="11"/>
  <c r="C103" i="11" s="1"/>
  <c r="P64" i="8"/>
  <c r="X10" i="8" s="1"/>
  <c r="D101" i="11"/>
  <c r="D132" i="11" s="1"/>
  <c r="L48" i="11"/>
  <c r="L134" i="11" s="1"/>
  <c r="F48" i="11"/>
  <c r="F134" i="11" s="1"/>
  <c r="K48" i="11"/>
  <c r="K134" i="11" s="1"/>
  <c r="J48" i="11"/>
  <c r="J134" i="11" s="1"/>
  <c r="O48" i="11"/>
  <c r="O134" i="11" s="1"/>
  <c r="I48" i="11"/>
  <c r="I134" i="11" s="1"/>
  <c r="D75" i="6"/>
  <c r="P18" i="15"/>
  <c r="Q18" i="15" s="1"/>
  <c r="Q19" i="15" s="1"/>
  <c r="Q20" i="15" s="1"/>
  <c r="Q35" i="15"/>
  <c r="Q42" i="15" s="1"/>
  <c r="Q43" i="15" s="1"/>
  <c r="Q45" i="15" s="1"/>
  <c r="M23" i="16"/>
  <c r="K63" i="8" s="1"/>
  <c r="L18" i="16"/>
  <c r="M18" i="16" s="1"/>
  <c r="M19" i="16" s="1"/>
  <c r="N19" i="16" s="1"/>
  <c r="M42" i="16"/>
  <c r="L18" i="15"/>
  <c r="M18" i="15" s="1"/>
  <c r="M19" i="15" s="1"/>
  <c r="M20" i="15" s="1"/>
  <c r="M35" i="15"/>
  <c r="M42" i="15" s="1"/>
  <c r="M43" i="15" s="1"/>
  <c r="M45" i="15" s="1"/>
  <c r="E42" i="15"/>
  <c r="E43" i="15" s="1"/>
  <c r="E45" i="15" s="1"/>
  <c r="E23" i="15"/>
  <c r="D18" i="15"/>
  <c r="E18" i="15" s="1"/>
  <c r="E19" i="15" s="1"/>
  <c r="E20" i="15" s="1"/>
  <c r="C108" i="22"/>
  <c r="I44" i="15"/>
  <c r="O60" i="8" s="1"/>
  <c r="I35" i="15"/>
  <c r="I42" i="15" s="1"/>
  <c r="I23" i="15"/>
  <c r="K60" i="8" s="1"/>
  <c r="H18" i="15"/>
  <c r="I18" i="15" s="1"/>
  <c r="I19" i="15" s="1"/>
  <c r="AS53" i="5"/>
  <c r="AO53" i="5"/>
  <c r="D103" i="11"/>
  <c r="G77" i="8"/>
  <c r="D100" i="11"/>
  <c r="G52" i="6"/>
  <c r="E20" i="18"/>
  <c r="F19" i="19"/>
  <c r="I20" i="18"/>
  <c r="L70" i="8"/>
  <c r="Z8" i="8" s="1"/>
  <c r="O69" i="8"/>
  <c r="Q45" i="17"/>
  <c r="M20" i="18"/>
  <c r="K66" i="8"/>
  <c r="M23" i="17"/>
  <c r="K69" i="8" s="1"/>
  <c r="Q20" i="18"/>
  <c r="U20" i="17"/>
  <c r="O64" i="8"/>
  <c r="Q48" i="18"/>
  <c r="P66" i="8" s="1"/>
  <c r="S94" i="11"/>
  <c r="T57" i="11"/>
  <c r="Q35" i="11"/>
  <c r="R16" i="22" s="1"/>
  <c r="T51" i="11"/>
  <c r="L2" i="20"/>
  <c r="U7" i="20" s="1"/>
  <c r="H2" i="20"/>
  <c r="H73" i="8" s="1"/>
  <c r="V32" i="11"/>
  <c r="W14" i="22" s="1"/>
  <c r="S54" i="11"/>
  <c r="O111" i="3"/>
  <c r="C130" i="22" s="1"/>
  <c r="V42" i="11"/>
  <c r="P67" i="8"/>
  <c r="Y10" i="8" s="1"/>
  <c r="U43" i="17"/>
  <c r="T45" i="11"/>
  <c r="E49" i="43" l="1"/>
  <c r="I53" i="43"/>
  <c r="C56" i="43"/>
  <c r="E56" i="43" s="1"/>
  <c r="E49" i="42"/>
  <c r="C56" i="42"/>
  <c r="E56" i="42" s="1"/>
  <c r="I53" i="42"/>
  <c r="K58" i="8"/>
  <c r="L67" i="8"/>
  <c r="Y8" i="8" s="1"/>
  <c r="U46" i="20"/>
  <c r="U42" i="20"/>
  <c r="U38" i="20"/>
  <c r="U34" i="20"/>
  <c r="U30" i="20"/>
  <c r="U26" i="20"/>
  <c r="U15" i="20"/>
  <c r="U45" i="20"/>
  <c r="U41" i="20"/>
  <c r="U37" i="20"/>
  <c r="U33" i="20"/>
  <c r="U29" i="20"/>
  <c r="U18" i="20"/>
  <c r="U19" i="20"/>
  <c r="U48" i="20"/>
  <c r="U44" i="20"/>
  <c r="U40" i="20"/>
  <c r="U36" i="20"/>
  <c r="U32" i="20"/>
  <c r="U28" i="20"/>
  <c r="U22" i="20"/>
  <c r="U17" i="20"/>
  <c r="U47" i="20"/>
  <c r="U43" i="20"/>
  <c r="U39" i="20"/>
  <c r="U35" i="20"/>
  <c r="U31" i="20"/>
  <c r="U27" i="20"/>
  <c r="U21" i="20"/>
  <c r="U16" i="20"/>
  <c r="R48" i="11"/>
  <c r="R134" i="11" s="1"/>
  <c r="Q134" i="11"/>
  <c r="U16" i="22"/>
  <c r="T31" i="11"/>
  <c r="V33" i="11"/>
  <c r="W15" i="22" s="1"/>
  <c r="N20" i="16"/>
  <c r="M20" i="16"/>
  <c r="L61" i="8" s="1"/>
  <c r="W8" i="8" s="1"/>
  <c r="L62" i="8"/>
  <c r="W7" i="8" s="1"/>
  <c r="P61" i="8"/>
  <c r="W10" i="8" s="1"/>
  <c r="M43" i="16"/>
  <c r="L64" i="8"/>
  <c r="X8" i="8" s="1"/>
  <c r="AQ53" i="5"/>
  <c r="I43" i="15"/>
  <c r="P58" i="8"/>
  <c r="V10" i="8" s="1"/>
  <c r="I20" i="15"/>
  <c r="L58" i="8" s="1"/>
  <c r="V8" i="8" s="1"/>
  <c r="H52" i="6"/>
  <c r="H51" i="6"/>
  <c r="H49" i="6"/>
  <c r="H50" i="6"/>
  <c r="AU85" i="11"/>
  <c r="AR85" i="11"/>
  <c r="Y85" i="11"/>
  <c r="F85" i="11"/>
  <c r="L85" i="11"/>
  <c r="O85" i="11"/>
  <c r="AL85" i="11"/>
  <c r="J74" i="6"/>
  <c r="D7" i="19"/>
  <c r="AB85" i="11"/>
  <c r="AO85" i="11"/>
  <c r="BB85" i="11"/>
  <c r="L71" i="8"/>
  <c r="Z7" i="8" s="1"/>
  <c r="I85" i="11"/>
  <c r="V85" i="11"/>
  <c r="AE85" i="11"/>
  <c r="P85" i="11"/>
  <c r="AF85" i="11"/>
  <c r="AV85" i="11"/>
  <c r="M85" i="11"/>
  <c r="AC85" i="11"/>
  <c r="AS85" i="11"/>
  <c r="J85" i="11"/>
  <c r="Z85" i="11"/>
  <c r="AP85" i="11"/>
  <c r="C85" i="11"/>
  <c r="S85" i="11"/>
  <c r="AI85" i="11"/>
  <c r="AY85" i="11"/>
  <c r="D85" i="11"/>
  <c r="T85" i="11"/>
  <c r="AJ85" i="11"/>
  <c r="AZ85" i="11"/>
  <c r="Q85" i="11"/>
  <c r="AG85" i="11"/>
  <c r="AW85" i="11"/>
  <c r="N85" i="11"/>
  <c r="AD85" i="11"/>
  <c r="AT85" i="11"/>
  <c r="G85" i="11"/>
  <c r="W85" i="11"/>
  <c r="AM85" i="11"/>
  <c r="BC85" i="11"/>
  <c r="H85" i="11"/>
  <c r="X85" i="11"/>
  <c r="AN85" i="11"/>
  <c r="E85" i="11"/>
  <c r="U85" i="11"/>
  <c r="AK85" i="11"/>
  <c r="BA85" i="11"/>
  <c r="R85" i="11"/>
  <c r="AH85" i="11"/>
  <c r="AX85" i="11"/>
  <c r="K85" i="11"/>
  <c r="AA85" i="11"/>
  <c r="L65" i="8"/>
  <c r="X7" i="8" s="1"/>
  <c r="K77" i="8"/>
  <c r="H19" i="8" s="1"/>
  <c r="D58" i="11"/>
  <c r="R35" i="11"/>
  <c r="H106" i="11"/>
  <c r="G106" i="11"/>
  <c r="L106" i="11"/>
  <c r="P106" i="11"/>
  <c r="K106" i="11"/>
  <c r="F106" i="11"/>
  <c r="O106" i="11"/>
  <c r="M106" i="11"/>
  <c r="E106" i="11"/>
  <c r="Q106" i="11"/>
  <c r="R106" i="11" s="1"/>
  <c r="S106" i="11" s="1"/>
  <c r="T106" i="11" s="1"/>
  <c r="U106" i="11" s="1"/>
  <c r="V106" i="11" s="1"/>
  <c r="W106" i="11" s="1"/>
  <c r="X106" i="11" s="1"/>
  <c r="Y106" i="11" s="1"/>
  <c r="Z106" i="11" s="1"/>
  <c r="AA106" i="11" s="1"/>
  <c r="AB106" i="11" s="1"/>
  <c r="AC106" i="11" s="1"/>
  <c r="AD106" i="11" s="1"/>
  <c r="AE106" i="11" s="1"/>
  <c r="AF106" i="11" s="1"/>
  <c r="AG106" i="11" s="1"/>
  <c r="AH106" i="11" s="1"/>
  <c r="AI106" i="11" s="1"/>
  <c r="AJ106" i="11" s="1"/>
  <c r="AK106" i="11" s="1"/>
  <c r="AL106" i="11" s="1"/>
  <c r="AM106" i="11" s="1"/>
  <c r="AN106" i="11" s="1"/>
  <c r="AO106" i="11" s="1"/>
  <c r="AP106" i="11" s="1"/>
  <c r="AQ106" i="11" s="1"/>
  <c r="AR106" i="11" s="1"/>
  <c r="AS106" i="11" s="1"/>
  <c r="AT106" i="11" s="1"/>
  <c r="AU106" i="11" s="1"/>
  <c r="AV106" i="11" s="1"/>
  <c r="AW106" i="11" s="1"/>
  <c r="AX106" i="11" s="1"/>
  <c r="AY106" i="11" s="1"/>
  <c r="AZ106" i="11" s="1"/>
  <c r="BA106" i="11" s="1"/>
  <c r="BB106" i="11" s="1"/>
  <c r="BC106" i="11" s="1"/>
  <c r="I106" i="11"/>
  <c r="J106" i="11"/>
  <c r="N106" i="11"/>
  <c r="U45" i="11"/>
  <c r="W42" i="11"/>
  <c r="BC79" i="11"/>
  <c r="AY79" i="11"/>
  <c r="AU79" i="11"/>
  <c r="AQ79" i="11"/>
  <c r="AM79" i="11"/>
  <c r="AI79" i="11"/>
  <c r="AE79" i="11"/>
  <c r="AA79" i="11"/>
  <c r="W79" i="11"/>
  <c r="S79" i="11"/>
  <c r="BB79" i="11"/>
  <c r="AX79" i="11"/>
  <c r="AT79" i="11"/>
  <c r="AP79" i="11"/>
  <c r="AL79" i="11"/>
  <c r="AH79" i="11"/>
  <c r="AD79" i="11"/>
  <c r="Z79" i="11"/>
  <c r="V79" i="11"/>
  <c r="R79" i="11"/>
  <c r="BA79" i="11"/>
  <c r="AW79" i="11"/>
  <c r="AS79" i="11"/>
  <c r="AO79" i="11"/>
  <c r="AK79" i="11"/>
  <c r="AG79" i="11"/>
  <c r="AC79" i="11"/>
  <c r="Y79" i="11"/>
  <c r="U79" i="11"/>
  <c r="AZ79" i="11"/>
  <c r="AJ79" i="11"/>
  <c r="T79" i="11"/>
  <c r="N79" i="11"/>
  <c r="J79" i="11"/>
  <c r="F79" i="11"/>
  <c r="AV79" i="11"/>
  <c r="AF79" i="11"/>
  <c r="Q79" i="11"/>
  <c r="M79" i="11"/>
  <c r="I79" i="11"/>
  <c r="E79" i="11"/>
  <c r="AR79" i="11"/>
  <c r="AB79" i="11"/>
  <c r="P79" i="11"/>
  <c r="L79" i="11"/>
  <c r="H79" i="11"/>
  <c r="D79" i="11"/>
  <c r="AN79" i="11"/>
  <c r="X79" i="11"/>
  <c r="O79" i="11"/>
  <c r="K79" i="11"/>
  <c r="G79" i="11"/>
  <c r="C79" i="11"/>
  <c r="W32" i="11"/>
  <c r="X14" i="22" s="1"/>
  <c r="P65" i="8"/>
  <c r="X9" i="8" s="1"/>
  <c r="P86" i="8"/>
  <c r="P89" i="8"/>
  <c r="T54" i="11"/>
  <c r="U57" i="11"/>
  <c r="T94" i="11"/>
  <c r="U45" i="17"/>
  <c r="P69" i="8" s="1"/>
  <c r="O67" i="8"/>
  <c r="E53" i="19"/>
  <c r="Q7" i="20"/>
  <c r="M7" i="20"/>
  <c r="I7" i="20"/>
  <c r="E7" i="20"/>
  <c r="G73" i="8"/>
  <c r="C86" i="11" s="1"/>
  <c r="C58" i="11" s="1"/>
  <c r="C113" i="11" s="1"/>
  <c r="C144" i="11" s="1"/>
  <c r="U51" i="11"/>
  <c r="D80" i="11"/>
  <c r="L68" i="8"/>
  <c r="Y7" i="8" s="1"/>
  <c r="J53" i="42" l="1"/>
  <c r="F34" i="47"/>
  <c r="F36" i="47" s="1"/>
  <c r="F38" i="47" s="1"/>
  <c r="I55" i="42"/>
  <c r="J55" i="42" s="1"/>
  <c r="I55" i="43"/>
  <c r="J55" i="43" s="1"/>
  <c r="G34" i="47"/>
  <c r="G36" i="47" s="1"/>
  <c r="G38" i="47" s="1"/>
  <c r="J53" i="43"/>
  <c r="E48" i="20"/>
  <c r="E44" i="20"/>
  <c r="E40" i="20"/>
  <c r="E36" i="20"/>
  <c r="E32" i="20"/>
  <c r="E17" i="20"/>
  <c r="E47" i="20"/>
  <c r="E43" i="20"/>
  <c r="E39" i="20"/>
  <c r="E35" i="20"/>
  <c r="E31" i="20"/>
  <c r="E27" i="20"/>
  <c r="E21" i="20"/>
  <c r="E16" i="20"/>
  <c r="E28" i="20"/>
  <c r="E22" i="20"/>
  <c r="E46" i="20"/>
  <c r="E42" i="20"/>
  <c r="E38" i="20"/>
  <c r="E34" i="20"/>
  <c r="E30" i="20"/>
  <c r="E26" i="20"/>
  <c r="E19" i="20"/>
  <c r="E15" i="20"/>
  <c r="E45" i="20"/>
  <c r="E41" i="20"/>
  <c r="E37" i="20"/>
  <c r="E33" i="20"/>
  <c r="E29" i="20"/>
  <c r="E18" i="20"/>
  <c r="I43" i="20"/>
  <c r="I39" i="20"/>
  <c r="I35" i="20"/>
  <c r="I42" i="20"/>
  <c r="I38" i="20"/>
  <c r="I34" i="20"/>
  <c r="I30" i="20"/>
  <c r="I29" i="20" s="1"/>
  <c r="I15" i="20"/>
  <c r="I21" i="20"/>
  <c r="I37" i="20"/>
  <c r="I36" i="20" s="1"/>
  <c r="I33" i="20"/>
  <c r="I44" i="20"/>
  <c r="I40" i="20"/>
  <c r="I32" i="20"/>
  <c r="I28" i="20"/>
  <c r="I22" i="20"/>
  <c r="I17" i="20"/>
  <c r="I27" i="20"/>
  <c r="I16" i="20"/>
  <c r="Q37" i="20"/>
  <c r="Q33" i="20"/>
  <c r="Q44" i="20"/>
  <c r="Q40" i="20"/>
  <c r="Q32" i="20"/>
  <c r="Q28" i="20"/>
  <c r="Q22" i="20"/>
  <c r="Q17" i="20"/>
  <c r="Q43" i="20"/>
  <c r="Q39" i="20"/>
  <c r="Q35" i="20"/>
  <c r="Q27" i="20"/>
  <c r="Q21" i="20"/>
  <c r="Q16" i="20"/>
  <c r="Q42" i="20"/>
  <c r="Q38" i="20"/>
  <c r="Q34" i="20"/>
  <c r="Q30" i="20"/>
  <c r="Q29" i="20" s="1"/>
  <c r="Q26" i="20"/>
  <c r="Q15" i="20"/>
  <c r="S48" i="11"/>
  <c r="S134" i="11" s="1"/>
  <c r="V16" i="22"/>
  <c r="U31" i="11"/>
  <c r="W33" i="11"/>
  <c r="X15" i="22" s="1"/>
  <c r="D74" i="6"/>
  <c r="D74" i="11"/>
  <c r="BA76" i="11" s="1"/>
  <c r="O61" i="8"/>
  <c r="P62" i="8" s="1"/>
  <c r="W9" i="8" s="1"/>
  <c r="M45" i="16"/>
  <c r="P63" i="8" s="1"/>
  <c r="D71" i="11"/>
  <c r="L59" i="8"/>
  <c r="V7" i="8" s="1"/>
  <c r="I45" i="15"/>
  <c r="P60" i="8" s="1"/>
  <c r="O58" i="8"/>
  <c r="O72" i="8"/>
  <c r="G75" i="8"/>
  <c r="X32" i="11"/>
  <c r="Y14" i="22" s="1"/>
  <c r="BC82" i="11"/>
  <c r="AY82" i="11"/>
  <c r="AU82" i="11"/>
  <c r="AQ82" i="11"/>
  <c r="AM82" i="11"/>
  <c r="AI82" i="11"/>
  <c r="AE82" i="11"/>
  <c r="AA82" i="11"/>
  <c r="W82" i="11"/>
  <c r="S82" i="11"/>
  <c r="O82" i="11"/>
  <c r="K82" i="11"/>
  <c r="G82" i="11"/>
  <c r="C82" i="11"/>
  <c r="BB82" i="11"/>
  <c r="AX82" i="11"/>
  <c r="AT82" i="11"/>
  <c r="AP82" i="11"/>
  <c r="AL82" i="11"/>
  <c r="AH82" i="11"/>
  <c r="AD82" i="11"/>
  <c r="Z82" i="11"/>
  <c r="V82" i="11"/>
  <c r="R82" i="11"/>
  <c r="N82" i="11"/>
  <c r="J82" i="11"/>
  <c r="F82" i="11"/>
  <c r="BA82" i="11"/>
  <c r="AW82" i="11"/>
  <c r="AS82" i="11"/>
  <c r="AO82" i="11"/>
  <c r="AK82" i="11"/>
  <c r="AG82" i="11"/>
  <c r="AC82" i="11"/>
  <c r="Y82" i="11"/>
  <c r="U82" i="11"/>
  <c r="Q82" i="11"/>
  <c r="M82" i="11"/>
  <c r="I82" i="11"/>
  <c r="E82" i="11"/>
  <c r="AZ82" i="11"/>
  <c r="AV82" i="11"/>
  <c r="AR82" i="11"/>
  <c r="AN82" i="11"/>
  <c r="AJ82" i="11"/>
  <c r="AB82" i="11"/>
  <c r="L82" i="11"/>
  <c r="X82" i="11"/>
  <c r="H82" i="11"/>
  <c r="T82" i="11"/>
  <c r="D82" i="11"/>
  <c r="AF82" i="11"/>
  <c r="P82" i="11"/>
  <c r="V51" i="11"/>
  <c r="X42" i="11"/>
  <c r="M39" i="20"/>
  <c r="M42" i="20"/>
  <c r="M28" i="20"/>
  <c r="M21" i="20"/>
  <c r="M16" i="20"/>
  <c r="M40" i="20"/>
  <c r="M34" i="20"/>
  <c r="M38" i="20"/>
  <c r="M22" i="20"/>
  <c r="M17" i="20"/>
  <c r="M44" i="20"/>
  <c r="M35" i="20"/>
  <c r="M32" i="20"/>
  <c r="M37" i="20"/>
  <c r="M43" i="20"/>
  <c r="M27" i="20"/>
  <c r="M30" i="20"/>
  <c r="M29" i="20" s="1"/>
  <c r="M15" i="20"/>
  <c r="M33" i="20"/>
  <c r="P68" i="8"/>
  <c r="Y9" i="8" s="1"/>
  <c r="U94" i="11"/>
  <c r="S35" i="11"/>
  <c r="O109" i="11"/>
  <c r="H109" i="11"/>
  <c r="G109" i="11"/>
  <c r="F109" i="11"/>
  <c r="L109" i="11"/>
  <c r="E109" i="11"/>
  <c r="I109" i="11"/>
  <c r="P109" i="11"/>
  <c r="Q109" i="11"/>
  <c r="R109" i="11" s="1"/>
  <c r="S109" i="11" s="1"/>
  <c r="T109" i="11" s="1"/>
  <c r="U109" i="11" s="1"/>
  <c r="V109" i="11" s="1"/>
  <c r="W109" i="11" s="1"/>
  <c r="X109" i="11" s="1"/>
  <c r="Y109" i="11" s="1"/>
  <c r="Z109" i="11" s="1"/>
  <c r="AA109" i="11" s="1"/>
  <c r="AB109" i="11" s="1"/>
  <c r="AC109" i="11" s="1"/>
  <c r="AD109" i="11" s="1"/>
  <c r="AE109" i="11" s="1"/>
  <c r="AF109" i="11" s="1"/>
  <c r="AG109" i="11" s="1"/>
  <c r="AH109" i="11" s="1"/>
  <c r="AI109" i="11" s="1"/>
  <c r="AJ109" i="11" s="1"/>
  <c r="AK109" i="11" s="1"/>
  <c r="AL109" i="11" s="1"/>
  <c r="AM109" i="11" s="1"/>
  <c r="AN109" i="11" s="1"/>
  <c r="AO109" i="11" s="1"/>
  <c r="AP109" i="11" s="1"/>
  <c r="AQ109" i="11" s="1"/>
  <c r="AR109" i="11" s="1"/>
  <c r="AS109" i="11" s="1"/>
  <c r="AT109" i="11" s="1"/>
  <c r="AU109" i="11" s="1"/>
  <c r="AV109" i="11" s="1"/>
  <c r="AW109" i="11" s="1"/>
  <c r="AX109" i="11" s="1"/>
  <c r="AY109" i="11" s="1"/>
  <c r="AZ109" i="11" s="1"/>
  <c r="BA109" i="11" s="1"/>
  <c r="BB109" i="11" s="1"/>
  <c r="BC109" i="11" s="1"/>
  <c r="K109" i="11"/>
  <c r="N109" i="11"/>
  <c r="M109" i="11"/>
  <c r="J109" i="11"/>
  <c r="V57" i="11"/>
  <c r="U54" i="11"/>
  <c r="V45" i="11"/>
  <c r="D113" i="11"/>
  <c r="D144" i="11" s="1"/>
  <c r="O60" i="11"/>
  <c r="K60" i="11"/>
  <c r="N60" i="11"/>
  <c r="J60" i="11"/>
  <c r="F60" i="11"/>
  <c r="E60" i="11"/>
  <c r="E146" i="11" s="1"/>
  <c r="H60" i="11"/>
  <c r="I60" i="11"/>
  <c r="L60" i="11"/>
  <c r="M60" i="11"/>
  <c r="P60" i="11"/>
  <c r="Q60" i="11"/>
  <c r="G60" i="11"/>
  <c r="C60" i="11"/>
  <c r="C115" i="11" s="1"/>
  <c r="C90" i="11" s="1"/>
  <c r="D60" i="11"/>
  <c r="D146" i="11" s="1"/>
  <c r="I47" i="20" l="1"/>
  <c r="I31" i="20"/>
  <c r="I18" i="20"/>
  <c r="I19" i="20" s="1"/>
  <c r="I48" i="20"/>
  <c r="I41" i="20"/>
  <c r="Q41" i="20"/>
  <c r="Q31" i="20"/>
  <c r="Q48" i="20"/>
  <c r="Q18" i="20"/>
  <c r="Q19" i="20" s="1"/>
  <c r="Q36" i="20"/>
  <c r="Q47" i="20"/>
  <c r="M36" i="20"/>
  <c r="T48" i="11"/>
  <c r="T134" i="11" s="1"/>
  <c r="M41" i="20"/>
  <c r="M31" i="20"/>
  <c r="M26" i="20"/>
  <c r="I26" i="20"/>
  <c r="W16" i="22"/>
  <c r="V31" i="11"/>
  <c r="X33" i="11"/>
  <c r="Y15" i="22" s="1"/>
  <c r="AP76" i="11"/>
  <c r="AQ76" i="11"/>
  <c r="V76" i="11"/>
  <c r="Q76" i="11"/>
  <c r="U76" i="11"/>
  <c r="M18" i="20"/>
  <c r="M48" i="20"/>
  <c r="S76" i="11"/>
  <c r="AS76" i="11"/>
  <c r="P76" i="11"/>
  <c r="AR76" i="11"/>
  <c r="AD76" i="11"/>
  <c r="J76" i="11"/>
  <c r="N76" i="11"/>
  <c r="M76" i="11"/>
  <c r="AH76" i="11"/>
  <c r="K76" i="11"/>
  <c r="AB76" i="11"/>
  <c r="R76" i="11"/>
  <c r="C76" i="11"/>
  <c r="I76" i="11"/>
  <c r="AL76" i="11"/>
  <c r="T76" i="11"/>
  <c r="AG76" i="11"/>
  <c r="AK76" i="11"/>
  <c r="F76" i="11"/>
  <c r="AC76" i="11"/>
  <c r="G76" i="11"/>
  <c r="AU76" i="11"/>
  <c r="AM76" i="11"/>
  <c r="D76" i="11"/>
  <c r="H76" i="11"/>
  <c r="Y76" i="11"/>
  <c r="W76" i="11"/>
  <c r="O76" i="11"/>
  <c r="L76" i="11"/>
  <c r="AY76" i="11"/>
  <c r="BB76" i="11"/>
  <c r="X76" i="11"/>
  <c r="AF76" i="11"/>
  <c r="AV76" i="11"/>
  <c r="E76" i="11"/>
  <c r="BC76" i="11"/>
  <c r="AT76" i="11"/>
  <c r="AX76" i="11"/>
  <c r="AZ76" i="11"/>
  <c r="AO76" i="11"/>
  <c r="AA76" i="11"/>
  <c r="AI76" i="11"/>
  <c r="Z76" i="11"/>
  <c r="AE76" i="11"/>
  <c r="AJ76" i="11"/>
  <c r="AN76" i="11"/>
  <c r="AW76" i="11"/>
  <c r="M47" i="20"/>
  <c r="L103" i="11"/>
  <c r="H103" i="11"/>
  <c r="F103" i="11"/>
  <c r="O103" i="11"/>
  <c r="E103" i="11"/>
  <c r="J103" i="11"/>
  <c r="N103" i="11"/>
  <c r="P103" i="11"/>
  <c r="I103" i="11"/>
  <c r="M103" i="11"/>
  <c r="K103" i="11"/>
  <c r="G103" i="11"/>
  <c r="Q103" i="11"/>
  <c r="R103" i="11" s="1"/>
  <c r="S103" i="11" s="1"/>
  <c r="T103" i="11" s="1"/>
  <c r="U103" i="11" s="1"/>
  <c r="V103" i="11" s="1"/>
  <c r="W103" i="11" s="1"/>
  <c r="X103" i="11" s="1"/>
  <c r="Y103" i="11" s="1"/>
  <c r="Z103" i="11" s="1"/>
  <c r="AA103" i="11" s="1"/>
  <c r="AB103" i="11" s="1"/>
  <c r="AC103" i="11" s="1"/>
  <c r="AD103" i="11" s="1"/>
  <c r="AE103" i="11" s="1"/>
  <c r="AF103" i="11" s="1"/>
  <c r="AG103" i="11" s="1"/>
  <c r="AH103" i="11" s="1"/>
  <c r="AI103" i="11" s="1"/>
  <c r="AJ103" i="11" s="1"/>
  <c r="AK103" i="11" s="1"/>
  <c r="AL103" i="11" s="1"/>
  <c r="AM103" i="11" s="1"/>
  <c r="AN103" i="11" s="1"/>
  <c r="AO103" i="11" s="1"/>
  <c r="AP103" i="11" s="1"/>
  <c r="AQ103" i="11" s="1"/>
  <c r="AR103" i="11" s="1"/>
  <c r="AS103" i="11" s="1"/>
  <c r="AT103" i="11" s="1"/>
  <c r="AU103" i="11" s="1"/>
  <c r="AV103" i="11" s="1"/>
  <c r="AW103" i="11" s="1"/>
  <c r="AX103" i="11" s="1"/>
  <c r="AY103" i="11" s="1"/>
  <c r="AZ103" i="11" s="1"/>
  <c r="BA103" i="11" s="1"/>
  <c r="BB103" i="11" s="1"/>
  <c r="BC103" i="11" s="1"/>
  <c r="E52" i="19"/>
  <c r="P59" i="8"/>
  <c r="V9" i="8" s="1"/>
  <c r="J100" i="11"/>
  <c r="Q100" i="11"/>
  <c r="R100" i="11" s="1"/>
  <c r="S100" i="11" s="1"/>
  <c r="M100" i="11"/>
  <c r="P100" i="11"/>
  <c r="G100" i="11"/>
  <c r="H100" i="11"/>
  <c r="K100" i="11"/>
  <c r="N100" i="11"/>
  <c r="O100" i="11"/>
  <c r="F100" i="11"/>
  <c r="I100" i="11"/>
  <c r="E100" i="11"/>
  <c r="L100" i="11"/>
  <c r="BB73" i="11"/>
  <c r="AL73" i="11"/>
  <c r="V73" i="11"/>
  <c r="F73" i="11"/>
  <c r="AO73" i="11"/>
  <c r="Y73" i="11"/>
  <c r="I73" i="11"/>
  <c r="AR73" i="11"/>
  <c r="AB73" i="11"/>
  <c r="L73" i="11"/>
  <c r="AY73" i="11"/>
  <c r="AI73" i="11"/>
  <c r="S73" i="11"/>
  <c r="C73" i="11"/>
  <c r="AH73" i="11"/>
  <c r="BA73" i="11"/>
  <c r="U73" i="11"/>
  <c r="AN73" i="11"/>
  <c r="X73" i="11"/>
  <c r="AU73" i="11"/>
  <c r="O73" i="11"/>
  <c r="AX73" i="11"/>
  <c r="R73" i="11"/>
  <c r="AK73" i="11"/>
  <c r="E73" i="11"/>
  <c r="H73" i="11"/>
  <c r="AE73" i="11"/>
  <c r="AT73" i="11"/>
  <c r="AD73" i="11"/>
  <c r="N73" i="11"/>
  <c r="AW73" i="11"/>
  <c r="AG73" i="11"/>
  <c r="Q73" i="11"/>
  <c r="AZ73" i="11"/>
  <c r="AJ73" i="11"/>
  <c r="T73" i="11"/>
  <c r="D73" i="11"/>
  <c r="AQ73" i="11"/>
  <c r="AA73" i="11"/>
  <c r="K73" i="11"/>
  <c r="AP73" i="11"/>
  <c r="Z73" i="11"/>
  <c r="J73" i="11"/>
  <c r="AS73" i="11"/>
  <c r="AC73" i="11"/>
  <c r="M73" i="11"/>
  <c r="AV73" i="11"/>
  <c r="AF73" i="11"/>
  <c r="P73" i="11"/>
  <c r="BC73" i="11"/>
  <c r="AM73" i="11"/>
  <c r="W73" i="11"/>
  <c r="G73" i="11"/>
  <c r="K75" i="8"/>
  <c r="H20" i="8" s="1"/>
  <c r="D121" i="11"/>
  <c r="D115" i="11"/>
  <c r="D90" i="11" s="1"/>
  <c r="Y32" i="11"/>
  <c r="Z14" i="22" s="1"/>
  <c r="R60" i="11"/>
  <c r="W45" i="11"/>
  <c r="W57" i="11"/>
  <c r="T35" i="11"/>
  <c r="Y42" i="11"/>
  <c r="W51" i="11"/>
  <c r="V54" i="11"/>
  <c r="V94" i="11"/>
  <c r="I46" i="20" l="1"/>
  <c r="I45" i="20" s="1"/>
  <c r="Q46" i="20"/>
  <c r="Q45" i="20" s="1"/>
  <c r="E24" i="22"/>
  <c r="C78" i="22"/>
  <c r="F78" i="22" s="1"/>
  <c r="C79" i="22"/>
  <c r="U48" i="11"/>
  <c r="U134" i="11" s="1"/>
  <c r="M19" i="20"/>
  <c r="L73" i="8" s="1"/>
  <c r="AA8" i="8" s="1"/>
  <c r="K73" i="8"/>
  <c r="K78" i="8" s="1"/>
  <c r="M46" i="20"/>
  <c r="P75" i="8"/>
  <c r="E25" i="22"/>
  <c r="W31" i="11"/>
  <c r="X16" i="22"/>
  <c r="Y33" i="11"/>
  <c r="Z15" i="22" s="1"/>
  <c r="E121" i="11"/>
  <c r="D122" i="11"/>
  <c r="O75" i="8"/>
  <c r="P70" i="8"/>
  <c r="Z10" i="8" s="1"/>
  <c r="E54" i="19"/>
  <c r="P72" i="8" s="1"/>
  <c r="E112" i="11" s="1"/>
  <c r="O70" i="8"/>
  <c r="P71" i="8" s="1"/>
  <c r="Z9" i="8" s="1"/>
  <c r="Z42" i="11"/>
  <c r="T100" i="11"/>
  <c r="W94" i="11"/>
  <c r="W54" i="11"/>
  <c r="Z32" i="11"/>
  <c r="AA14" i="22" s="1"/>
  <c r="X51" i="11"/>
  <c r="U35" i="11"/>
  <c r="X45" i="11"/>
  <c r="S60" i="11"/>
  <c r="X57" i="11"/>
  <c r="F24" i="22" l="1"/>
  <c r="F25" i="22" s="1"/>
  <c r="V48" i="11"/>
  <c r="V134" i="11" s="1"/>
  <c r="F79" i="22"/>
  <c r="J115" i="11"/>
  <c r="Y16" i="22"/>
  <c r="X31" i="11"/>
  <c r="Z33" i="11"/>
  <c r="AA15" i="22" s="1"/>
  <c r="E122" i="11"/>
  <c r="G115" i="11"/>
  <c r="K115" i="11"/>
  <c r="M115" i="11"/>
  <c r="H115" i="11"/>
  <c r="I115" i="11"/>
  <c r="L115" i="11"/>
  <c r="Q115" i="11"/>
  <c r="R115" i="11" s="1"/>
  <c r="S115" i="11" s="1"/>
  <c r="T115" i="11" s="1"/>
  <c r="U115" i="11" s="1"/>
  <c r="V115" i="11" s="1"/>
  <c r="W115" i="11" s="1"/>
  <c r="X115" i="11" s="1"/>
  <c r="Y115" i="11" s="1"/>
  <c r="Z115" i="11" s="1"/>
  <c r="AA115" i="11" s="1"/>
  <c r="AB115" i="11" s="1"/>
  <c r="AC115" i="11" s="1"/>
  <c r="AD115" i="11" s="1"/>
  <c r="AE115" i="11" s="1"/>
  <c r="AF115" i="11" s="1"/>
  <c r="AG115" i="11" s="1"/>
  <c r="AH115" i="11" s="1"/>
  <c r="AI115" i="11" s="1"/>
  <c r="AJ115" i="11" s="1"/>
  <c r="AK115" i="11" s="1"/>
  <c r="AL115" i="11" s="1"/>
  <c r="AM115" i="11" s="1"/>
  <c r="AN115" i="11" s="1"/>
  <c r="AO115" i="11" s="1"/>
  <c r="AP115" i="11" s="1"/>
  <c r="AQ115" i="11" s="1"/>
  <c r="AR115" i="11" s="1"/>
  <c r="AS115" i="11" s="1"/>
  <c r="AT115" i="11" s="1"/>
  <c r="AU115" i="11" s="1"/>
  <c r="AV115" i="11" s="1"/>
  <c r="AW115" i="11" s="1"/>
  <c r="AX115" i="11" s="1"/>
  <c r="AY115" i="11" s="1"/>
  <c r="AZ115" i="11" s="1"/>
  <c r="BA115" i="11" s="1"/>
  <c r="BB115" i="11" s="1"/>
  <c r="BC115" i="11" s="1"/>
  <c r="P115" i="11"/>
  <c r="O115" i="11"/>
  <c r="N115" i="11"/>
  <c r="F115" i="11"/>
  <c r="E115" i="11"/>
  <c r="E90" i="11" s="1"/>
  <c r="L74" i="8"/>
  <c r="AA7" i="8" s="1"/>
  <c r="L75" i="8"/>
  <c r="D86" i="11"/>
  <c r="AQ88" i="11" s="1"/>
  <c r="G112" i="11"/>
  <c r="Q112" i="11"/>
  <c r="R112" i="11" s="1"/>
  <c r="H112" i="11"/>
  <c r="K112" i="11"/>
  <c r="P112" i="11"/>
  <c r="O112" i="11"/>
  <c r="I112" i="11"/>
  <c r="J112" i="11"/>
  <c r="F112" i="11"/>
  <c r="M112" i="11"/>
  <c r="L112" i="11"/>
  <c r="N112" i="11"/>
  <c r="G76" i="8"/>
  <c r="H17" i="8" s="1"/>
  <c r="Y57" i="11"/>
  <c r="Y45" i="11"/>
  <c r="Y51" i="11"/>
  <c r="H16" i="8"/>
  <c r="L78" i="8"/>
  <c r="AA32" i="11"/>
  <c r="AB14" i="22" s="1"/>
  <c r="X54" i="11"/>
  <c r="V35" i="11"/>
  <c r="U100" i="11"/>
  <c r="X94" i="11"/>
  <c r="AA42" i="11"/>
  <c r="T60" i="11"/>
  <c r="AQ63" i="11" l="1"/>
  <c r="AQ167" i="11" s="1"/>
  <c r="W48" i="11"/>
  <c r="W134" i="11" s="1"/>
  <c r="J90" i="11"/>
  <c r="Z16" i="22"/>
  <c r="Y31" i="11"/>
  <c r="AA33" i="11"/>
  <c r="AB15" i="22" s="1"/>
  <c r="AU18" i="22"/>
  <c r="N90" i="11"/>
  <c r="L90" i="11"/>
  <c r="I90" i="11"/>
  <c r="O90" i="11"/>
  <c r="K90" i="11"/>
  <c r="G90" i="11"/>
  <c r="M90" i="11"/>
  <c r="R90" i="11"/>
  <c r="H90" i="11"/>
  <c r="P90" i="11"/>
  <c r="F90" i="11"/>
  <c r="AR88" i="11"/>
  <c r="AR63" i="11" s="1"/>
  <c r="Z88" i="11"/>
  <c r="Z63" i="11" s="1"/>
  <c r="O88" i="11"/>
  <c r="O63" i="11" s="1"/>
  <c r="AI88" i="11"/>
  <c r="AI63" i="11" s="1"/>
  <c r="M88" i="11"/>
  <c r="M63" i="11" s="1"/>
  <c r="F88" i="11"/>
  <c r="L88" i="11"/>
  <c r="AL88" i="11"/>
  <c r="AL63" i="11" s="1"/>
  <c r="AU88" i="11"/>
  <c r="AU63" i="11" s="1"/>
  <c r="Y88" i="11"/>
  <c r="Y63" i="11" s="1"/>
  <c r="AF88" i="11"/>
  <c r="AF63" i="11" s="1"/>
  <c r="AS88" i="11"/>
  <c r="AS63" i="11" s="1"/>
  <c r="C88" i="11"/>
  <c r="C63" i="11" s="1"/>
  <c r="C167" i="11" s="1"/>
  <c r="P88" i="11"/>
  <c r="P63" i="11" s="1"/>
  <c r="AV88" i="11"/>
  <c r="AV63" i="11" s="1"/>
  <c r="AC88" i="11"/>
  <c r="AC63" i="11" s="1"/>
  <c r="J88" i="11"/>
  <c r="J63" i="11" s="1"/>
  <c r="AP88" i="11"/>
  <c r="AP63" i="11" s="1"/>
  <c r="S88" i="11"/>
  <c r="S63" i="11" s="1"/>
  <c r="AY88" i="11"/>
  <c r="AY63" i="11" s="1"/>
  <c r="AB88" i="11"/>
  <c r="AB63" i="11" s="1"/>
  <c r="I88" i="11"/>
  <c r="I63" i="11" s="1"/>
  <c r="AO88" i="11"/>
  <c r="AO63" i="11" s="1"/>
  <c r="V88" i="11"/>
  <c r="V63" i="11" s="1"/>
  <c r="BB88" i="11"/>
  <c r="BB63" i="11" s="1"/>
  <c r="AE88" i="11"/>
  <c r="AE63" i="11" s="1"/>
  <c r="T88" i="11"/>
  <c r="T63" i="11" s="1"/>
  <c r="AJ88" i="11"/>
  <c r="AJ63" i="11" s="1"/>
  <c r="AZ88" i="11"/>
  <c r="AZ63" i="11" s="1"/>
  <c r="Q88" i="11"/>
  <c r="Q63" i="11" s="1"/>
  <c r="AG88" i="11"/>
  <c r="AG63" i="11" s="1"/>
  <c r="AW88" i="11"/>
  <c r="AW63" i="11" s="1"/>
  <c r="N88" i="11"/>
  <c r="N63" i="11" s="1"/>
  <c r="AD88" i="11"/>
  <c r="AD63" i="11" s="1"/>
  <c r="AT88" i="11"/>
  <c r="AT63" i="11" s="1"/>
  <c r="G88" i="11"/>
  <c r="G63" i="11" s="1"/>
  <c r="W88" i="11"/>
  <c r="W63" i="11" s="1"/>
  <c r="AM88" i="11"/>
  <c r="AM63" i="11" s="1"/>
  <c r="BC88" i="11"/>
  <c r="BC63" i="11" s="1"/>
  <c r="D88" i="11"/>
  <c r="D63" i="11" s="1"/>
  <c r="D167" i="11" s="1"/>
  <c r="H88" i="11"/>
  <c r="H63" i="11" s="1"/>
  <c r="X88" i="11"/>
  <c r="X63" i="11" s="1"/>
  <c r="AN88" i="11"/>
  <c r="AN63" i="11" s="1"/>
  <c r="E88" i="11"/>
  <c r="E63" i="11" s="1"/>
  <c r="E167" i="11" s="1"/>
  <c r="U88" i="11"/>
  <c r="U63" i="11" s="1"/>
  <c r="AK88" i="11"/>
  <c r="AK63" i="11" s="1"/>
  <c r="BA88" i="11"/>
  <c r="BA63" i="11" s="1"/>
  <c r="R88" i="11"/>
  <c r="R63" i="11" s="1"/>
  <c r="AH88" i="11"/>
  <c r="AH63" i="11" s="1"/>
  <c r="AX88" i="11"/>
  <c r="AX63" i="11" s="1"/>
  <c r="K88" i="11"/>
  <c r="K63" i="11" s="1"/>
  <c r="AA88" i="11"/>
  <c r="AA63" i="11" s="1"/>
  <c r="Q90" i="11"/>
  <c r="AB42" i="11"/>
  <c r="V100" i="11"/>
  <c r="AB32" i="11"/>
  <c r="AC14" i="22" s="1"/>
  <c r="Z45" i="11"/>
  <c r="S112" i="11"/>
  <c r="S90" i="11" s="1"/>
  <c r="Y54" i="11"/>
  <c r="Z51" i="11"/>
  <c r="Z57" i="11"/>
  <c r="U60" i="11"/>
  <c r="Y94" i="11"/>
  <c r="W35" i="11"/>
  <c r="L63" i="11" l="1"/>
  <c r="L167" i="11" s="1"/>
  <c r="F63" i="11"/>
  <c r="F167" i="11" s="1"/>
  <c r="Q18" i="22"/>
  <c r="Q19" i="22" s="1"/>
  <c r="P167" i="11"/>
  <c r="X48" i="11"/>
  <c r="X134" i="11" s="1"/>
  <c r="C152" i="11"/>
  <c r="AA16" i="22"/>
  <c r="Z31" i="11"/>
  <c r="AB33" i="11"/>
  <c r="AC15" i="22" s="1"/>
  <c r="T18" i="22"/>
  <c r="T19" i="22" s="1"/>
  <c r="G18" i="22"/>
  <c r="G19" i="22" s="1"/>
  <c r="C163" i="11"/>
  <c r="D18" i="22"/>
  <c r="AH167" i="11"/>
  <c r="U167" i="11"/>
  <c r="W167" i="11"/>
  <c r="N167" i="11"/>
  <c r="AZ167" i="11"/>
  <c r="BB167" i="11"/>
  <c r="AB167" i="11"/>
  <c r="AU167" i="11"/>
  <c r="M167" i="11"/>
  <c r="AR167" i="11"/>
  <c r="AA167" i="11"/>
  <c r="R167" i="11"/>
  <c r="AW167" i="11"/>
  <c r="AJ167" i="11"/>
  <c r="V167" i="11"/>
  <c r="AY167" i="11"/>
  <c r="AC167" i="11"/>
  <c r="AS167" i="11"/>
  <c r="AL167" i="11"/>
  <c r="AI167" i="11"/>
  <c r="BA167" i="11"/>
  <c r="AN167" i="11"/>
  <c r="BC167" i="11"/>
  <c r="AT167" i="11"/>
  <c r="AG167" i="11"/>
  <c r="T167" i="11"/>
  <c r="AO167" i="11"/>
  <c r="S167" i="11"/>
  <c r="AV167" i="11"/>
  <c r="AF167" i="11"/>
  <c r="AX167" i="11"/>
  <c r="AK167" i="11"/>
  <c r="X167" i="11"/>
  <c r="AM167" i="11"/>
  <c r="AD167" i="11"/>
  <c r="AE167" i="11"/>
  <c r="AP167" i="11"/>
  <c r="Y167" i="11"/>
  <c r="Z167" i="11"/>
  <c r="I167" i="11"/>
  <c r="H167" i="11"/>
  <c r="G167" i="11"/>
  <c r="L163" i="11"/>
  <c r="P163" i="11"/>
  <c r="O165" i="11"/>
  <c r="Z94" i="11"/>
  <c r="T112" i="11"/>
  <c r="T90" i="11" s="1"/>
  <c r="W100" i="11"/>
  <c r="AC42" i="11"/>
  <c r="AA57" i="11"/>
  <c r="Z54" i="11"/>
  <c r="AC32" i="11"/>
  <c r="AD14" i="22" s="1"/>
  <c r="X35" i="11"/>
  <c r="V60" i="11"/>
  <c r="AA51" i="11"/>
  <c r="AA45" i="11"/>
  <c r="M18" i="22" l="1"/>
  <c r="M19" i="22" s="1"/>
  <c r="F163" i="11"/>
  <c r="P18" i="22"/>
  <c r="P19" i="22" s="1"/>
  <c r="O167" i="11"/>
  <c r="K18" i="22"/>
  <c r="K19" i="22" s="1"/>
  <c r="J167" i="11"/>
  <c r="R18" i="22"/>
  <c r="R19" i="22" s="1"/>
  <c r="Q167" i="11"/>
  <c r="L18" i="22"/>
  <c r="L19" i="22" s="1"/>
  <c r="K167" i="11"/>
  <c r="Y48" i="11"/>
  <c r="Y134" i="11" s="1"/>
  <c r="P182" i="11"/>
  <c r="F182" i="11"/>
  <c r="L182" i="11"/>
  <c r="D19" i="22"/>
  <c r="AB16" i="22"/>
  <c r="AA31" i="11"/>
  <c r="AC33" i="11"/>
  <c r="AD15" i="22" s="1"/>
  <c r="H163" i="11"/>
  <c r="I18" i="22"/>
  <c r="I19" i="22" s="1"/>
  <c r="F18" i="22"/>
  <c r="F19" i="22" s="1"/>
  <c r="Z163" i="11"/>
  <c r="AD18" i="22"/>
  <c r="AD19" i="22" s="1"/>
  <c r="U18" i="22"/>
  <c r="U19" i="22" s="1"/>
  <c r="AO18" i="22"/>
  <c r="AZ18" i="22"/>
  <c r="AK18" i="22"/>
  <c r="BE18" i="22"/>
  <c r="AW18" i="22"/>
  <c r="AN18" i="22"/>
  <c r="AV18" i="22"/>
  <c r="AF18" i="22"/>
  <c r="AF19" i="22" s="1"/>
  <c r="AA18" i="22"/>
  <c r="AA19" i="22" s="1"/>
  <c r="G163" i="11"/>
  <c r="H18" i="22"/>
  <c r="H19" i="22" s="1"/>
  <c r="Y163" i="11"/>
  <c r="AC18" i="22"/>
  <c r="AC19" i="22" s="1"/>
  <c r="AH18" i="22"/>
  <c r="AH19" i="22" s="1"/>
  <c r="BB18" i="22"/>
  <c r="W18" i="22"/>
  <c r="W19" i="22" s="1"/>
  <c r="AX18" i="22"/>
  <c r="AG18" i="22"/>
  <c r="AG19" i="22" s="1"/>
  <c r="BA18" i="22"/>
  <c r="M163" i="11"/>
  <c r="N18" i="22"/>
  <c r="N19" i="22" s="1"/>
  <c r="BF18" i="22"/>
  <c r="U163" i="11"/>
  <c r="Y18" i="22"/>
  <c r="Y19" i="22" s="1"/>
  <c r="AT18" i="22"/>
  <c r="AQ18" i="22"/>
  <c r="O163" i="11"/>
  <c r="S18" i="22"/>
  <c r="S19" i="22" s="1"/>
  <c r="AS18" i="22"/>
  <c r="BG18" i="22"/>
  <c r="AM18" i="22"/>
  <c r="BC18" i="22"/>
  <c r="V18" i="22"/>
  <c r="V19" i="22" s="1"/>
  <c r="AY18" i="22"/>
  <c r="BD18" i="22"/>
  <c r="AL18" i="22"/>
  <c r="D163" i="11"/>
  <c r="E18" i="22"/>
  <c r="E19" i="22" s="1"/>
  <c r="J18" i="22"/>
  <c r="J19" i="22" s="1"/>
  <c r="AI18" i="22"/>
  <c r="AI19" i="22" s="1"/>
  <c r="AB18" i="22"/>
  <c r="AB19" i="22" s="1"/>
  <c r="AJ18" i="22"/>
  <c r="AJ19" i="22" s="1"/>
  <c r="X18" i="22"/>
  <c r="X19" i="22" s="1"/>
  <c r="AR18" i="22"/>
  <c r="AP18" i="22"/>
  <c r="Z18" i="22"/>
  <c r="Z19" i="22" s="1"/>
  <c r="AE18" i="22"/>
  <c r="AE19" i="22" s="1"/>
  <c r="J163" i="11"/>
  <c r="N163" i="11"/>
  <c r="O18" i="22"/>
  <c r="O19" i="22" s="1"/>
  <c r="AA163" i="11"/>
  <c r="X163" i="11"/>
  <c r="V163" i="11"/>
  <c r="I163" i="11"/>
  <c r="AB163" i="11"/>
  <c r="W163" i="11"/>
  <c r="K163" i="11"/>
  <c r="R163" i="11"/>
  <c r="Q163" i="11"/>
  <c r="E163" i="11"/>
  <c r="S163" i="11"/>
  <c r="T163" i="11"/>
  <c r="C168" i="11"/>
  <c r="C173" i="11" s="1"/>
  <c r="C182" i="11"/>
  <c r="AB45" i="11"/>
  <c r="AA54" i="11"/>
  <c r="X100" i="11"/>
  <c r="W60" i="11"/>
  <c r="Y35" i="11"/>
  <c r="AD32" i="11"/>
  <c r="AE14" i="22" s="1"/>
  <c r="AC163" i="11"/>
  <c r="AD42" i="11"/>
  <c r="U112" i="11"/>
  <c r="U90" i="11" s="1"/>
  <c r="AB57" i="11"/>
  <c r="AA94" i="11"/>
  <c r="AB51" i="11"/>
  <c r="D172" i="11" l="1"/>
  <c r="Z48" i="11"/>
  <c r="Z134" i="11" s="1"/>
  <c r="Z182" i="11"/>
  <c r="O182" i="11"/>
  <c r="J182" i="11"/>
  <c r="W182" i="11"/>
  <c r="N182" i="11"/>
  <c r="AA182" i="11"/>
  <c r="X182" i="11"/>
  <c r="U182" i="11"/>
  <c r="R182" i="11"/>
  <c r="AC182" i="11"/>
  <c r="Y182" i="11"/>
  <c r="T182" i="11"/>
  <c r="I182" i="11"/>
  <c r="G182" i="11"/>
  <c r="V182" i="11"/>
  <c r="D182" i="11"/>
  <c r="H182" i="11"/>
  <c r="M182" i="11"/>
  <c r="K182" i="11"/>
  <c r="S182" i="11"/>
  <c r="AB182" i="11"/>
  <c r="Q182" i="11"/>
  <c r="E182" i="11"/>
  <c r="AC16" i="22"/>
  <c r="AB31" i="11"/>
  <c r="AD33" i="11"/>
  <c r="F171" i="11"/>
  <c r="G171" i="11"/>
  <c r="W171" i="11"/>
  <c r="I171" i="11"/>
  <c r="J171" i="11"/>
  <c r="H171" i="11"/>
  <c r="Y171" i="11"/>
  <c r="O171" i="11"/>
  <c r="U171" i="11"/>
  <c r="R171" i="11"/>
  <c r="K171" i="11"/>
  <c r="Z171" i="11"/>
  <c r="Q171" i="11"/>
  <c r="P171" i="11"/>
  <c r="N171" i="11"/>
  <c r="V171" i="11"/>
  <c r="L171" i="11"/>
  <c r="S171" i="11"/>
  <c r="T171" i="11"/>
  <c r="M171" i="11"/>
  <c r="X171" i="11"/>
  <c r="AA171" i="11"/>
  <c r="D168" i="11"/>
  <c r="D173" i="11" s="1"/>
  <c r="AB94" i="11"/>
  <c r="AC57" i="11"/>
  <c r="AE42" i="11"/>
  <c r="Z35" i="11"/>
  <c r="AB54" i="11"/>
  <c r="AC45" i="11"/>
  <c r="X60" i="11"/>
  <c r="AC51" i="11"/>
  <c r="V112" i="11"/>
  <c r="V90" i="11" s="1"/>
  <c r="AE32" i="11"/>
  <c r="AF14" i="22" s="1"/>
  <c r="AD163" i="11"/>
  <c r="AD182" i="11"/>
  <c r="Y100" i="11"/>
  <c r="E172" i="11" l="1"/>
  <c r="AA48" i="11"/>
  <c r="AA134" i="11" s="1"/>
  <c r="AE15" i="22"/>
  <c r="AC31" i="11"/>
  <c r="AD16" i="22"/>
  <c r="AE33" i="11"/>
  <c r="AF15" i="22" s="1"/>
  <c r="E168" i="11"/>
  <c r="E173" i="11" s="1"/>
  <c r="Z100" i="11"/>
  <c r="AD51" i="11"/>
  <c r="AC94" i="11"/>
  <c r="Y60" i="11"/>
  <c r="W112" i="11"/>
  <c r="W90" i="11" s="1"/>
  <c r="AD45" i="11"/>
  <c r="AA35" i="11"/>
  <c r="AF42" i="11"/>
  <c r="AD57" i="11"/>
  <c r="AF32" i="11"/>
  <c r="AG14" i="22" s="1"/>
  <c r="AE163" i="11"/>
  <c r="AE182" i="11"/>
  <c r="AC54" i="11"/>
  <c r="F172" i="11" l="1"/>
  <c r="AB48" i="11"/>
  <c r="AB134" i="11" s="1"/>
  <c r="AE16" i="22"/>
  <c r="AD31" i="11"/>
  <c r="AF33" i="11"/>
  <c r="AE57" i="11"/>
  <c r="X112" i="11"/>
  <c r="X90" i="11" s="1"/>
  <c r="AE51" i="11"/>
  <c r="AG32" i="11"/>
  <c r="AH14" i="22" s="1"/>
  <c r="AF163" i="11"/>
  <c r="AF182" i="11"/>
  <c r="AB35" i="11"/>
  <c r="AD54" i="11"/>
  <c r="AG42" i="11"/>
  <c r="Z60" i="11"/>
  <c r="AE45" i="11"/>
  <c r="AD94" i="11"/>
  <c r="AA100" i="11"/>
  <c r="F168" i="11" l="1"/>
  <c r="F173" i="11" s="1"/>
  <c r="AC48" i="11"/>
  <c r="AC134" i="11" s="1"/>
  <c r="AG15" i="22"/>
  <c r="AF16" i="22"/>
  <c r="AE31" i="11"/>
  <c r="AG33" i="11"/>
  <c r="AH15" i="22" s="1"/>
  <c r="AE94" i="11"/>
  <c r="AF45" i="11"/>
  <c r="AE54" i="11"/>
  <c r="AH32" i="11"/>
  <c r="AI14" i="22" s="1"/>
  <c r="AG163" i="11"/>
  <c r="AG182" i="11"/>
  <c r="AF51" i="11"/>
  <c r="AH42" i="11"/>
  <c r="Y112" i="11"/>
  <c r="Y90" i="11" s="1"/>
  <c r="AB100" i="11"/>
  <c r="AA60" i="11"/>
  <c r="AC35" i="11"/>
  <c r="AF57" i="11"/>
  <c r="G168" i="11" l="1"/>
  <c r="G173" i="11" s="1"/>
  <c r="G172" i="11"/>
  <c r="AD48" i="11"/>
  <c r="AD134" i="11" s="1"/>
  <c r="AG16" i="22"/>
  <c r="AF31" i="11"/>
  <c r="AH33" i="11"/>
  <c r="AG57" i="11"/>
  <c r="Z112" i="11"/>
  <c r="Z90" i="11" s="1"/>
  <c r="AF94" i="11"/>
  <c r="AD35" i="11"/>
  <c r="AI32" i="11"/>
  <c r="AJ14" i="22" s="1"/>
  <c r="AH163" i="11"/>
  <c r="AH182" i="11"/>
  <c r="AC100" i="11"/>
  <c r="AF54" i="11"/>
  <c r="AG45" i="11"/>
  <c r="AB60" i="11"/>
  <c r="AI42" i="11"/>
  <c r="AG51" i="11"/>
  <c r="H168" i="11" l="1"/>
  <c r="H173" i="11" s="1"/>
  <c r="H172" i="11"/>
  <c r="AE48" i="11"/>
  <c r="AE134" i="11" s="1"/>
  <c r="AI15" i="22"/>
  <c r="AH16" i="22"/>
  <c r="AG31" i="11"/>
  <c r="AI33" i="11"/>
  <c r="AJ15" i="22" s="1"/>
  <c r="AF48" i="11"/>
  <c r="AF134" i="11" s="1"/>
  <c r="AD100" i="11"/>
  <c r="AJ32" i="11"/>
  <c r="AK14" i="22" s="1"/>
  <c r="AI163" i="11"/>
  <c r="AI182" i="11"/>
  <c r="AC60" i="11"/>
  <c r="AH45" i="11"/>
  <c r="AA112" i="11"/>
  <c r="AA90" i="11" s="1"/>
  <c r="AJ42" i="11"/>
  <c r="AH51" i="11"/>
  <c r="AG94" i="11"/>
  <c r="AH57" i="11"/>
  <c r="AG54" i="11"/>
  <c r="AE35" i="11"/>
  <c r="AI16" i="22" l="1"/>
  <c r="AH31" i="11"/>
  <c r="AJ33" i="11"/>
  <c r="AG48" i="11"/>
  <c r="AG134" i="11" s="1"/>
  <c r="AK32" i="11"/>
  <c r="AL14" i="22" s="1"/>
  <c r="AJ163" i="11"/>
  <c r="AJ182" i="11"/>
  <c r="AK42" i="11"/>
  <c r="AH54" i="11"/>
  <c r="AH94" i="11"/>
  <c r="AB112" i="11"/>
  <c r="AB90" i="11" s="1"/>
  <c r="AD60" i="11"/>
  <c r="AE100" i="11"/>
  <c r="AI51" i="11"/>
  <c r="AF35" i="11"/>
  <c r="C34" i="11" s="1"/>
  <c r="AI57" i="11"/>
  <c r="AI45" i="11"/>
  <c r="I172" i="11" l="1"/>
  <c r="I168" i="11"/>
  <c r="I173" i="11" s="1"/>
  <c r="AK15" i="22"/>
  <c r="AJ16" i="22"/>
  <c r="AI31" i="11"/>
  <c r="AK33" i="11"/>
  <c r="AL15" i="22" s="1"/>
  <c r="AH48" i="11"/>
  <c r="AH134" i="11" s="1"/>
  <c r="AJ51" i="11"/>
  <c r="AI94" i="11"/>
  <c r="AL32" i="11"/>
  <c r="AM14" i="22" s="1"/>
  <c r="AK163" i="11"/>
  <c r="AK182" i="11"/>
  <c r="AI54" i="11"/>
  <c r="AG35" i="11"/>
  <c r="AC112" i="11"/>
  <c r="AC90" i="11" s="1"/>
  <c r="AE60" i="11"/>
  <c r="AJ45" i="11"/>
  <c r="AJ57" i="11"/>
  <c r="AF100" i="11"/>
  <c r="AL42" i="11"/>
  <c r="J172" i="11" l="1"/>
  <c r="J168" i="11"/>
  <c r="J173" i="11" s="1"/>
  <c r="AK16" i="22"/>
  <c r="AJ31" i="11"/>
  <c r="AL33" i="11"/>
  <c r="AI48" i="11"/>
  <c r="AI134" i="11" s="1"/>
  <c r="AK57" i="11"/>
  <c r="AF60" i="11"/>
  <c r="AM42" i="11"/>
  <c r="AH35" i="11"/>
  <c r="AG100" i="11"/>
  <c r="AK45" i="11"/>
  <c r="AJ54" i="11"/>
  <c r="AD112" i="11"/>
  <c r="AD90" i="11" s="1"/>
  <c r="AM32" i="11"/>
  <c r="AN14" i="22" s="1"/>
  <c r="AL163" i="11"/>
  <c r="AL182" i="11"/>
  <c r="AJ94" i="11"/>
  <c r="AK51" i="11"/>
  <c r="K172" i="11" l="1"/>
  <c r="K168" i="11"/>
  <c r="K173" i="11" s="1"/>
  <c r="AM15" i="22"/>
  <c r="AL16" i="22"/>
  <c r="AM33" i="11"/>
  <c r="AN15" i="22" s="1"/>
  <c r="AJ48" i="11"/>
  <c r="AJ134" i="11" s="1"/>
  <c r="AK94" i="11"/>
  <c r="AL45" i="11"/>
  <c r="AI35" i="11"/>
  <c r="AN42" i="11"/>
  <c r="AK54" i="11"/>
  <c r="AG60" i="11"/>
  <c r="AL51" i="11"/>
  <c r="AE112" i="11"/>
  <c r="AE90" i="11" s="1"/>
  <c r="AK31" i="11"/>
  <c r="AN32" i="11"/>
  <c r="AO14" i="22" s="1"/>
  <c r="AM163" i="11"/>
  <c r="AM182" i="11"/>
  <c r="AH100" i="11"/>
  <c r="AL57" i="11"/>
  <c r="L168" i="11" l="1"/>
  <c r="L173" i="11" s="1"/>
  <c r="L172" i="11"/>
  <c r="AM16" i="22"/>
  <c r="AN33" i="11"/>
  <c r="AO15" i="22" s="1"/>
  <c r="AK48" i="11"/>
  <c r="AK134" i="11" s="1"/>
  <c r="AI100" i="11"/>
  <c r="AO32" i="11"/>
  <c r="AP14" i="22" s="1"/>
  <c r="AN163" i="11"/>
  <c r="AN182" i="11"/>
  <c r="AH60" i="11"/>
  <c r="AJ35" i="11"/>
  <c r="AL94" i="11"/>
  <c r="AO42" i="11"/>
  <c r="AM57" i="11"/>
  <c r="AF112" i="11"/>
  <c r="AF90" i="11" s="1"/>
  <c r="AM51" i="11"/>
  <c r="AM45" i="11"/>
  <c r="AL31" i="11"/>
  <c r="AL54" i="11"/>
  <c r="AN16" i="22" l="1"/>
  <c r="AM31" i="11"/>
  <c r="AM184" i="11" s="1"/>
  <c r="AO33" i="11"/>
  <c r="AP15" i="22" s="1"/>
  <c r="AL48" i="11"/>
  <c r="AL134" i="11" s="1"/>
  <c r="AN57" i="11"/>
  <c r="AM94" i="11"/>
  <c r="AJ100" i="11"/>
  <c r="AP42" i="11"/>
  <c r="AM54" i="11"/>
  <c r="AG112" i="11"/>
  <c r="AG90" i="11" s="1"/>
  <c r="AK35" i="11"/>
  <c r="AI60" i="11"/>
  <c r="AN45" i="11"/>
  <c r="AN51" i="11"/>
  <c r="AP32" i="11"/>
  <c r="AQ14" i="22" s="1"/>
  <c r="AO163" i="11"/>
  <c r="AO182" i="11"/>
  <c r="M168" i="11" l="1"/>
  <c r="M173" i="11" s="1"/>
  <c r="M172" i="11"/>
  <c r="AO16" i="22"/>
  <c r="AM165" i="11"/>
  <c r="AP33" i="11"/>
  <c r="AQ15" i="22" s="1"/>
  <c r="O184" i="11"/>
  <c r="AM48" i="11"/>
  <c r="AM134" i="11" s="1"/>
  <c r="AO45" i="11"/>
  <c r="AN54" i="11"/>
  <c r="AQ42" i="11"/>
  <c r="AO57" i="11"/>
  <c r="AH112" i="11"/>
  <c r="AH90" i="11" s="1"/>
  <c r="AO51" i="11"/>
  <c r="AL35" i="11"/>
  <c r="AK100" i="11"/>
  <c r="AN94" i="11"/>
  <c r="AQ32" i="11"/>
  <c r="AR14" i="22" s="1"/>
  <c r="AP163" i="11"/>
  <c r="AP182" i="11"/>
  <c r="AJ60" i="11"/>
  <c r="AN31" i="11"/>
  <c r="AP16" i="22" l="1"/>
  <c r="AO31" i="11"/>
  <c r="AO184" i="11" s="1"/>
  <c r="AQ33" i="11"/>
  <c r="AR15" i="22" s="1"/>
  <c r="AN48" i="11"/>
  <c r="AN134" i="11" s="1"/>
  <c r="AI112" i="11"/>
  <c r="AI90" i="11" s="1"/>
  <c r="AL100" i="11"/>
  <c r="AM35" i="11"/>
  <c r="AP51" i="11"/>
  <c r="AO54" i="11"/>
  <c r="AN184" i="11"/>
  <c r="AN165" i="11"/>
  <c r="AK60" i="11"/>
  <c r="AR32" i="11"/>
  <c r="AS14" i="22" s="1"/>
  <c r="AQ163" i="11"/>
  <c r="AQ182" i="11"/>
  <c r="AP57" i="11"/>
  <c r="AP45" i="11"/>
  <c r="AO94" i="11"/>
  <c r="AR42" i="11"/>
  <c r="N168" i="11" l="1"/>
  <c r="N173" i="11" s="1"/>
  <c r="N172" i="11"/>
  <c r="AQ16" i="22"/>
  <c r="Q165" i="11"/>
  <c r="AP31" i="11"/>
  <c r="AP184" i="11" s="1"/>
  <c r="AO165" i="11"/>
  <c r="AR33" i="11"/>
  <c r="AS15" i="22" s="1"/>
  <c r="AO48" i="11"/>
  <c r="AO134" i="11" s="1"/>
  <c r="AM100" i="11"/>
  <c r="AJ112" i="11"/>
  <c r="AJ90" i="11" s="1"/>
  <c r="AS42" i="11"/>
  <c r="AN35" i="11"/>
  <c r="AS32" i="11"/>
  <c r="AT14" i="22" s="1"/>
  <c r="AR163" i="11"/>
  <c r="AR182" i="11"/>
  <c r="AL60" i="11"/>
  <c r="AQ51" i="11"/>
  <c r="AP94" i="11"/>
  <c r="AQ45" i="11"/>
  <c r="AQ57" i="11"/>
  <c r="AP54" i="11"/>
  <c r="AR16" i="22" l="1"/>
  <c r="AP165" i="11"/>
  <c r="R165" i="11"/>
  <c r="Q184" i="11"/>
  <c r="AQ31" i="11"/>
  <c r="AS33" i="11"/>
  <c r="AT15" i="22" s="1"/>
  <c r="AP48" i="11"/>
  <c r="AP134" i="11" s="1"/>
  <c r="AR57" i="11"/>
  <c r="AK112" i="11"/>
  <c r="AK90" i="11" s="1"/>
  <c r="AQ94" i="11"/>
  <c r="AT42" i="11"/>
  <c r="AQ54" i="11"/>
  <c r="AR45" i="11"/>
  <c r="AR51" i="11"/>
  <c r="AM60" i="11"/>
  <c r="AT32" i="11"/>
  <c r="AU14" i="22" s="1"/>
  <c r="AS163" i="11"/>
  <c r="AS182" i="11"/>
  <c r="AN100" i="11"/>
  <c r="AO35" i="11"/>
  <c r="O168" i="11" l="1"/>
  <c r="O173" i="11" s="1"/>
  <c r="O172" i="11"/>
  <c r="AS16" i="22"/>
  <c r="S165" i="11"/>
  <c r="AR31" i="11"/>
  <c r="AR184" i="11" s="1"/>
  <c r="AT33" i="11"/>
  <c r="AU15" i="22" s="1"/>
  <c r="AQ48" i="11"/>
  <c r="AQ134" i="11" s="1"/>
  <c r="AU32" i="11"/>
  <c r="AV14" i="22" s="1"/>
  <c r="AT163" i="11"/>
  <c r="AT182" i="11"/>
  <c r="AN60" i="11"/>
  <c r="AR54" i="11"/>
  <c r="AO100" i="11"/>
  <c r="AR94" i="11"/>
  <c r="AS57" i="11"/>
  <c r="AS51" i="11"/>
  <c r="AS45" i="11"/>
  <c r="AU42" i="11"/>
  <c r="AP35" i="11"/>
  <c r="AL112" i="11"/>
  <c r="AL90" i="11" s="1"/>
  <c r="AT16" i="22" l="1"/>
  <c r="S184" i="11"/>
  <c r="AR165" i="11"/>
  <c r="AU33" i="11"/>
  <c r="AV15" i="22" s="1"/>
  <c r="AR48" i="11"/>
  <c r="AR134" i="11" s="1"/>
  <c r="AS94" i="11"/>
  <c r="AQ35" i="11"/>
  <c r="AT45" i="11"/>
  <c r="AT57" i="11"/>
  <c r="AP100" i="11"/>
  <c r="AS54" i="11"/>
  <c r="AM112" i="11"/>
  <c r="AM90" i="11" s="1"/>
  <c r="AV42" i="11"/>
  <c r="AT51" i="11"/>
  <c r="AS31" i="11"/>
  <c r="AO60" i="11"/>
  <c r="AV32" i="11"/>
  <c r="AW14" i="22" s="1"/>
  <c r="AU163" i="11"/>
  <c r="AU182" i="11"/>
  <c r="P168" i="11" l="1"/>
  <c r="P173" i="11" s="1"/>
  <c r="P172" i="11"/>
  <c r="AU16" i="22"/>
  <c r="T165" i="11"/>
  <c r="AV33" i="11"/>
  <c r="AW15" i="22" s="1"/>
  <c r="AS48" i="11"/>
  <c r="AS134" i="11" s="1"/>
  <c r="AW32" i="11"/>
  <c r="AX14" i="22" s="1"/>
  <c r="AV163" i="11"/>
  <c r="AV182" i="11"/>
  <c r="AN112" i="11"/>
  <c r="AN90" i="11" s="1"/>
  <c r="AQ100" i="11"/>
  <c r="AR35" i="11"/>
  <c r="AT94" i="11"/>
  <c r="AS184" i="11"/>
  <c r="AS165" i="11"/>
  <c r="AU51" i="11"/>
  <c r="AT54" i="11"/>
  <c r="AU57" i="11"/>
  <c r="AT31" i="11"/>
  <c r="AP60" i="11"/>
  <c r="AW42" i="11"/>
  <c r="AU45" i="11"/>
  <c r="AV16" i="22" l="1"/>
  <c r="V165" i="11"/>
  <c r="U165" i="11"/>
  <c r="AU31" i="11"/>
  <c r="AU184" i="11" s="1"/>
  <c r="AW33" i="11"/>
  <c r="AX15" i="22" s="1"/>
  <c r="AT48" i="11"/>
  <c r="AT134" i="11" s="1"/>
  <c r="AL165" i="11"/>
  <c r="AT184" i="11"/>
  <c r="AT165" i="11"/>
  <c r="AU54" i="11"/>
  <c r="AU94" i="11"/>
  <c r="AR100" i="11"/>
  <c r="AS35" i="11"/>
  <c r="AX32" i="11"/>
  <c r="AY14" i="22" s="1"/>
  <c r="AW163" i="11"/>
  <c r="AW182" i="11"/>
  <c r="AQ60" i="11"/>
  <c r="AV57" i="11"/>
  <c r="AV51" i="11"/>
  <c r="AO112" i="11"/>
  <c r="AO90" i="11" s="1"/>
  <c r="AX42" i="11"/>
  <c r="AV45" i="11"/>
  <c r="Q168" i="11" l="1"/>
  <c r="Q173" i="11" s="1"/>
  <c r="Q172" i="11"/>
  <c r="AW16" i="22"/>
  <c r="AV31" i="11"/>
  <c r="AV184" i="11" s="1"/>
  <c r="V184" i="11"/>
  <c r="AU165" i="11"/>
  <c r="AX33" i="11"/>
  <c r="AY15" i="22" s="1"/>
  <c r="AU48" i="11"/>
  <c r="AU134" i="11" s="1"/>
  <c r="AS100" i="11"/>
  <c r="AY42" i="11"/>
  <c r="AP112" i="11"/>
  <c r="AP90" i="11" s="1"/>
  <c r="AW57" i="11"/>
  <c r="AY32" i="11"/>
  <c r="AZ14" i="22" s="1"/>
  <c r="AX163" i="11"/>
  <c r="AX182" i="11"/>
  <c r="AT35" i="11"/>
  <c r="AV94" i="11"/>
  <c r="AV54" i="11"/>
  <c r="AW45" i="11"/>
  <c r="AW51" i="11"/>
  <c r="AR60" i="11"/>
  <c r="AX16" i="22" l="1"/>
  <c r="AV165" i="11"/>
  <c r="W165" i="11"/>
  <c r="AW31" i="11"/>
  <c r="AW165" i="11" s="1"/>
  <c r="AY33" i="11"/>
  <c r="AZ15" i="22" s="1"/>
  <c r="AV48" i="11"/>
  <c r="AV134" i="11" s="1"/>
  <c r="AS60" i="11"/>
  <c r="AX45" i="11"/>
  <c r="AW54" i="11"/>
  <c r="AQ112" i="11"/>
  <c r="AQ90" i="11" s="1"/>
  <c r="AT100" i="11"/>
  <c r="AW94" i="11"/>
  <c r="AX51" i="11"/>
  <c r="Z172" i="11"/>
  <c r="AU35" i="11"/>
  <c r="AZ32" i="11"/>
  <c r="BA14" i="22" s="1"/>
  <c r="AY163" i="11"/>
  <c r="AY182" i="11"/>
  <c r="AX57" i="11"/>
  <c r="AZ42" i="11"/>
  <c r="R168" i="11" l="1"/>
  <c r="R173" i="11" s="1"/>
  <c r="R172" i="11"/>
  <c r="AY16" i="22"/>
  <c r="X165" i="11"/>
  <c r="AW184" i="11"/>
  <c r="AX31" i="11"/>
  <c r="AX165" i="11" s="1"/>
  <c r="AZ33" i="11"/>
  <c r="BA15" i="22" s="1"/>
  <c r="AW48" i="11"/>
  <c r="AW134" i="11" s="1"/>
  <c r="AV35" i="11"/>
  <c r="AX54" i="11"/>
  <c r="AY45" i="11"/>
  <c r="AX94" i="11"/>
  <c r="AY51" i="11"/>
  <c r="BA42" i="11"/>
  <c r="AY57" i="11"/>
  <c r="BA32" i="11"/>
  <c r="BB14" i="22" s="1"/>
  <c r="AZ163" i="11"/>
  <c r="AZ182" i="11"/>
  <c r="AA172" i="11"/>
  <c r="AU100" i="11"/>
  <c r="AR112" i="11"/>
  <c r="AR90" i="11" s="1"/>
  <c r="AT60" i="11"/>
  <c r="AZ16" i="22" l="1"/>
  <c r="Y165" i="11"/>
  <c r="X184" i="11"/>
  <c r="AX184" i="11"/>
  <c r="BA33" i="11"/>
  <c r="BB15" i="22" s="1"/>
  <c r="AX48" i="11"/>
  <c r="AX134" i="11" s="1"/>
  <c r="AL184" i="11"/>
  <c r="AV100" i="11"/>
  <c r="AZ51" i="11"/>
  <c r="AZ45" i="11"/>
  <c r="BB32" i="11"/>
  <c r="BC14" i="22" s="1"/>
  <c r="BA163" i="11"/>
  <c r="BA182" i="11"/>
  <c r="AZ57" i="11"/>
  <c r="BB42" i="11"/>
  <c r="AY94" i="11"/>
  <c r="AW35" i="11"/>
  <c r="AY31" i="11"/>
  <c r="AY54" i="11"/>
  <c r="AU60" i="11"/>
  <c r="AS112" i="11"/>
  <c r="AS90" i="11" s="1"/>
  <c r="S168" i="11" l="1"/>
  <c r="S173" i="11" s="1"/>
  <c r="S172" i="11"/>
  <c r="BA16" i="22"/>
  <c r="AZ31" i="11"/>
  <c r="AZ184" i="11" s="1"/>
  <c r="Z165" i="11"/>
  <c r="BB33" i="11"/>
  <c r="BC15" i="22" s="1"/>
  <c r="AY48" i="11"/>
  <c r="AY134" i="11" s="1"/>
  <c r="AQ165" i="11"/>
  <c r="AZ94" i="11"/>
  <c r="BC42" i="11"/>
  <c r="AW100" i="11"/>
  <c r="AT112" i="11"/>
  <c r="AT90" i="11" s="1"/>
  <c r="AZ54" i="11"/>
  <c r="BA51" i="11"/>
  <c r="AV60" i="11"/>
  <c r="AX35" i="11"/>
  <c r="BA57" i="11"/>
  <c r="BC32" i="11"/>
  <c r="BD14" i="22" s="1"/>
  <c r="BB163" i="11"/>
  <c r="BB182" i="11"/>
  <c r="AY184" i="11"/>
  <c r="AY165" i="11"/>
  <c r="BA45" i="11"/>
  <c r="AZ165" i="11" l="1"/>
  <c r="BB16" i="22"/>
  <c r="BA31" i="11"/>
  <c r="Z184" i="11"/>
  <c r="AA165" i="11"/>
  <c r="BC33" i="11"/>
  <c r="H11" i="11" s="1"/>
  <c r="AZ48" i="11"/>
  <c r="AZ134" i="11" s="1"/>
  <c r="BB45" i="11"/>
  <c r="BC163" i="11"/>
  <c r="BC182" i="11"/>
  <c r="BB57" i="11"/>
  <c r="AW60" i="11"/>
  <c r="BB51" i="11"/>
  <c r="AX100" i="11"/>
  <c r="BA94" i="11"/>
  <c r="AU112" i="11"/>
  <c r="AU90" i="11" s="1"/>
  <c r="AY35" i="11"/>
  <c r="BA54" i="11"/>
  <c r="T172" i="11" l="1"/>
  <c r="T168" i="11"/>
  <c r="T173" i="11" s="1"/>
  <c r="G11" i="11"/>
  <c r="H24" i="8" s="1"/>
  <c r="D152" i="11" s="1"/>
  <c r="BD15" i="22"/>
  <c r="C18" i="22" s="1"/>
  <c r="BC16" i="22"/>
  <c r="AB165" i="11"/>
  <c r="BA48" i="11"/>
  <c r="BA134" i="11" s="1"/>
  <c r="BC57" i="11"/>
  <c r="BC31" i="11"/>
  <c r="AZ35" i="11"/>
  <c r="AV112" i="11"/>
  <c r="AV90" i="11" s="1"/>
  <c r="BB94" i="11"/>
  <c r="AX60" i="11"/>
  <c r="BB54" i="11"/>
  <c r="AY100" i="11"/>
  <c r="BC51" i="11"/>
  <c r="BB31" i="11"/>
  <c r="BC45" i="11"/>
  <c r="U168" i="11" l="1"/>
  <c r="U173" i="11" s="1"/>
  <c r="U172" i="11"/>
  <c r="C19" i="22"/>
  <c r="E152" i="11"/>
  <c r="F152" i="11" s="1"/>
  <c r="BD16" i="22"/>
  <c r="AC165" i="11"/>
  <c r="AB184" i="11"/>
  <c r="C16" i="22"/>
  <c r="C20" i="22" s="1"/>
  <c r="H18" i="8"/>
  <c r="BB48" i="11"/>
  <c r="BB134" i="11" s="1"/>
  <c r="BA35" i="11"/>
  <c r="BC54" i="11"/>
  <c r="AY60" i="11"/>
  <c r="BB184" i="11"/>
  <c r="BB165" i="11"/>
  <c r="AW112" i="11"/>
  <c r="AW90" i="11" s="1"/>
  <c r="BC94" i="11"/>
  <c r="AZ100" i="11"/>
  <c r="A18" i="22" l="1"/>
  <c r="A19" i="22"/>
  <c r="G152" i="11"/>
  <c r="H152" i="11" s="1"/>
  <c r="BE16" i="22"/>
  <c r="AD165" i="11"/>
  <c r="AC184" i="11"/>
  <c r="BC48" i="11"/>
  <c r="BC134" i="11" s="1"/>
  <c r="AZ60" i="11"/>
  <c r="BB35" i="11"/>
  <c r="BA100" i="11"/>
  <c r="AX112" i="11"/>
  <c r="AX90" i="11" s="1"/>
  <c r="V168" i="11" l="1"/>
  <c r="V173" i="11" s="1"/>
  <c r="V172" i="11"/>
  <c r="I152" i="11"/>
  <c r="BF16" i="22"/>
  <c r="AY112" i="11"/>
  <c r="AY90" i="11" s="1"/>
  <c r="BA60" i="11"/>
  <c r="BB100" i="11"/>
  <c r="BC35" i="11"/>
  <c r="D48" i="8" s="1"/>
  <c r="C105" i="22" s="1"/>
  <c r="C132" i="22" l="1"/>
  <c r="C135" i="22"/>
  <c r="C106" i="22"/>
  <c r="C138" i="22"/>
  <c r="C139" i="22" s="1"/>
  <c r="P44" i="8"/>
  <c r="H87" i="8" s="1"/>
  <c r="L45" i="8"/>
  <c r="L48" i="8"/>
  <c r="H37" i="8" s="1"/>
  <c r="L36" i="8"/>
  <c r="P41" i="8"/>
  <c r="P36" i="8"/>
  <c r="P46" i="8"/>
  <c r="H89" i="8" s="1"/>
  <c r="L43" i="8"/>
  <c r="L47" i="8"/>
  <c r="P37" i="8"/>
  <c r="P40" i="8"/>
  <c r="L38" i="8"/>
  <c r="L44" i="8"/>
  <c r="P42" i="8"/>
  <c r="H86" i="8" s="1"/>
  <c r="P45" i="8"/>
  <c r="P39" i="8"/>
  <c r="L39" i="8"/>
  <c r="L40" i="8"/>
  <c r="P43" i="8"/>
  <c r="P87" i="8" s="1"/>
  <c r="L46" i="8"/>
  <c r="L49" i="8"/>
  <c r="H38" i="8" s="1"/>
  <c r="L42" i="8"/>
  <c r="L37" i="8"/>
  <c r="P38" i="8"/>
  <c r="L41" i="8"/>
  <c r="J152" i="11"/>
  <c r="K152" i="11" s="1"/>
  <c r="L152" i="11" s="1"/>
  <c r="M152" i="11" s="1"/>
  <c r="N152" i="11" s="1"/>
  <c r="O152" i="11" s="1"/>
  <c r="P152" i="11" s="1"/>
  <c r="Q152" i="11" s="1"/>
  <c r="R152" i="11" s="1"/>
  <c r="S152" i="11" s="1"/>
  <c r="T152" i="11" s="1"/>
  <c r="U152" i="11" s="1"/>
  <c r="V152" i="11" s="1"/>
  <c r="W152" i="11" s="1"/>
  <c r="X152" i="11" s="1"/>
  <c r="Y152" i="11" s="1"/>
  <c r="Z152" i="11" s="1"/>
  <c r="AA152" i="11" s="1"/>
  <c r="AB152" i="11" s="1"/>
  <c r="AC152" i="11" s="1"/>
  <c r="AD152" i="11" s="1"/>
  <c r="AE152" i="11" s="1"/>
  <c r="AF152" i="11" s="1"/>
  <c r="AG152" i="11" s="1"/>
  <c r="AH152" i="11" s="1"/>
  <c r="AI152" i="11" s="1"/>
  <c r="AJ152" i="11" s="1"/>
  <c r="AK152" i="11" s="1"/>
  <c r="AL152" i="11" s="1"/>
  <c r="AM152" i="11" s="1"/>
  <c r="AN152" i="11" s="1"/>
  <c r="AO152" i="11" s="1"/>
  <c r="AP152" i="11" s="1"/>
  <c r="AQ152" i="11" s="1"/>
  <c r="AR152" i="11" s="1"/>
  <c r="AS152" i="11" s="1"/>
  <c r="AT152" i="11" s="1"/>
  <c r="AU152" i="11" s="1"/>
  <c r="AV152" i="11" s="1"/>
  <c r="AW152" i="11" s="1"/>
  <c r="AX152" i="11" s="1"/>
  <c r="AY152" i="11" s="1"/>
  <c r="AZ152" i="11" s="1"/>
  <c r="BA152" i="11" s="1"/>
  <c r="BB152" i="11" s="1"/>
  <c r="BC152" i="11" s="1"/>
  <c r="BG16" i="22"/>
  <c r="AZ112" i="11"/>
  <c r="AZ90" i="11" s="1"/>
  <c r="BC100" i="11"/>
  <c r="BB60" i="11"/>
  <c r="C67" i="22" l="1"/>
  <c r="C131" i="22"/>
  <c r="C134" i="22"/>
  <c r="C119" i="22"/>
  <c r="C66" i="22"/>
  <c r="W172" i="11"/>
  <c r="W168" i="11"/>
  <c r="W173" i="11" s="1"/>
  <c r="H85" i="8"/>
  <c r="Z11" i="8"/>
  <c r="O71" i="8"/>
  <c r="C116" i="22"/>
  <c r="C137" i="22"/>
  <c r="H39" i="8"/>
  <c r="C129" i="22"/>
  <c r="C126" i="22"/>
  <c r="C123" i="22"/>
  <c r="C113" i="22"/>
  <c r="D17" i="8"/>
  <c r="O56" i="8"/>
  <c r="BC128" i="11" s="1"/>
  <c r="X11" i="8"/>
  <c r="O74" i="8"/>
  <c r="BA146" i="11" s="1"/>
  <c r="C64" i="22"/>
  <c r="C63" i="22"/>
  <c r="C65" i="22"/>
  <c r="V11" i="8"/>
  <c r="P85" i="8"/>
  <c r="H83" i="8"/>
  <c r="O65" i="8"/>
  <c r="BC137" i="11" s="1"/>
  <c r="U11" i="8"/>
  <c r="D18" i="8"/>
  <c r="H88" i="8"/>
  <c r="H42" i="8"/>
  <c r="D21" i="8" s="1"/>
  <c r="H36" i="8"/>
  <c r="D16" i="8" s="1"/>
  <c r="D12" i="8" s="1"/>
  <c r="C62" i="22"/>
  <c r="H90" i="8"/>
  <c r="H82" i="8"/>
  <c r="P83" i="8"/>
  <c r="H41" i="8"/>
  <c r="D20" i="8" s="1"/>
  <c r="O59" i="8"/>
  <c r="P131" i="11" s="1"/>
  <c r="H40" i="8"/>
  <c r="AG165" i="11"/>
  <c r="BC60" i="11"/>
  <c r="BA112" i="11"/>
  <c r="BA90" i="11" s="1"/>
  <c r="X168" i="11" l="1"/>
  <c r="X173" i="11" s="1"/>
  <c r="X172" i="11"/>
  <c r="G143" i="11"/>
  <c r="Q143" i="11"/>
  <c r="M143" i="11"/>
  <c r="L143" i="11"/>
  <c r="N143" i="11"/>
  <c r="J143" i="11"/>
  <c r="F143" i="11"/>
  <c r="K143" i="11"/>
  <c r="H143" i="11"/>
  <c r="P143" i="11"/>
  <c r="O143" i="11"/>
  <c r="I143" i="11"/>
  <c r="R143" i="11"/>
  <c r="S143" i="11"/>
  <c r="T143" i="11"/>
  <c r="U143" i="11"/>
  <c r="V143" i="11"/>
  <c r="W143" i="11"/>
  <c r="X143" i="11"/>
  <c r="Y143" i="11"/>
  <c r="Z143" i="11"/>
  <c r="AA143" i="11"/>
  <c r="AB143" i="11"/>
  <c r="AC143" i="11"/>
  <c r="AD143" i="11"/>
  <c r="AE143" i="11"/>
  <c r="AF143" i="11"/>
  <c r="AG143" i="11"/>
  <c r="AH143" i="11"/>
  <c r="AI143" i="11"/>
  <c r="AJ143" i="11"/>
  <c r="AK143" i="11"/>
  <c r="AL143" i="11"/>
  <c r="AM143" i="11"/>
  <c r="AN143" i="11"/>
  <c r="AO143" i="11"/>
  <c r="AP143" i="11"/>
  <c r="AQ143" i="11"/>
  <c r="AR143" i="11"/>
  <c r="AS143" i="11"/>
  <c r="AT143" i="11"/>
  <c r="AU143" i="11"/>
  <c r="AV143" i="11"/>
  <c r="AW143" i="11"/>
  <c r="AX143" i="11"/>
  <c r="AY143" i="11"/>
  <c r="AZ143" i="11"/>
  <c r="BA143" i="11"/>
  <c r="BB143" i="11"/>
  <c r="BC143" i="11"/>
  <c r="AT137" i="11"/>
  <c r="P82" i="8"/>
  <c r="S146" i="11"/>
  <c r="D19" i="8"/>
  <c r="AP146" i="11"/>
  <c r="AH146" i="11"/>
  <c r="AV146" i="11"/>
  <c r="AT146" i="11"/>
  <c r="AC146" i="11"/>
  <c r="AY146" i="11"/>
  <c r="AM146" i="11"/>
  <c r="AZ146" i="11"/>
  <c r="AU146" i="11"/>
  <c r="AN146" i="11"/>
  <c r="AG146" i="11"/>
  <c r="P146" i="11"/>
  <c r="G146" i="11"/>
  <c r="AX146" i="11"/>
  <c r="AR146" i="11"/>
  <c r="AI146" i="11"/>
  <c r="Y146" i="11"/>
  <c r="AA146" i="11"/>
  <c r="N146" i="11"/>
  <c r="AQ146" i="11"/>
  <c r="AL146" i="11"/>
  <c r="AD146" i="11"/>
  <c r="V146" i="11"/>
  <c r="M146" i="11"/>
  <c r="W146" i="11"/>
  <c r="R146" i="11"/>
  <c r="Q146" i="11"/>
  <c r="AK128" i="11"/>
  <c r="AW146" i="11"/>
  <c r="AS146" i="11"/>
  <c r="AO146" i="11"/>
  <c r="AK146" i="11"/>
  <c r="AE146" i="11"/>
  <c r="Z146" i="11"/>
  <c r="U146" i="11"/>
  <c r="I146" i="11"/>
  <c r="K146" i="11"/>
  <c r="AC128" i="11"/>
  <c r="BA128" i="11"/>
  <c r="U128" i="11"/>
  <c r="D13" i="8"/>
  <c r="AS128" i="11"/>
  <c r="M128" i="11"/>
  <c r="AX128" i="11"/>
  <c r="AH128" i="11"/>
  <c r="Z128" i="11"/>
  <c r="R128" i="11"/>
  <c r="I128" i="11"/>
  <c r="AW128" i="11"/>
  <c r="AO128" i="11"/>
  <c r="AG128" i="11"/>
  <c r="Y128" i="11"/>
  <c r="Q128" i="11"/>
  <c r="F128" i="11"/>
  <c r="AP128" i="11"/>
  <c r="BB128" i="11"/>
  <c r="AT128" i="11"/>
  <c r="AL128" i="11"/>
  <c r="AD128" i="11"/>
  <c r="V128" i="11"/>
  <c r="N128" i="11"/>
  <c r="G128" i="11"/>
  <c r="L146" i="11"/>
  <c r="O146" i="11"/>
  <c r="BB146" i="11"/>
  <c r="AJ146" i="11"/>
  <c r="AF146" i="11"/>
  <c r="AB146" i="11"/>
  <c r="X146" i="11"/>
  <c r="T146" i="11"/>
  <c r="H146" i="11"/>
  <c r="F146" i="11"/>
  <c r="J146" i="11"/>
  <c r="BA131" i="11"/>
  <c r="AW131" i="11"/>
  <c r="AY131" i="11"/>
  <c r="BC131" i="11"/>
  <c r="AU131" i="11"/>
  <c r="AZ128" i="11"/>
  <c r="AV128" i="11"/>
  <c r="AR128" i="11"/>
  <c r="AN128" i="11"/>
  <c r="AJ128" i="11"/>
  <c r="AF128" i="11"/>
  <c r="AB128" i="11"/>
  <c r="X128" i="11"/>
  <c r="T128" i="11"/>
  <c r="P128" i="11"/>
  <c r="H128" i="11"/>
  <c r="J128" i="11"/>
  <c r="AY128" i="11"/>
  <c r="AU128" i="11"/>
  <c r="AQ128" i="11"/>
  <c r="AM128" i="11"/>
  <c r="AI128" i="11"/>
  <c r="AE128" i="11"/>
  <c r="AA128" i="11"/>
  <c r="W128" i="11"/>
  <c r="S128" i="11"/>
  <c r="O128" i="11"/>
  <c r="K128" i="11"/>
  <c r="L128" i="11"/>
  <c r="AS131" i="11"/>
  <c r="AQ131" i="11"/>
  <c r="AN131" i="11"/>
  <c r="AL131" i="11"/>
  <c r="C61" i="22"/>
  <c r="F61" i="22" s="1"/>
  <c r="N137" i="11"/>
  <c r="C88" i="22"/>
  <c r="F88" i="22" s="1"/>
  <c r="AL137" i="11"/>
  <c r="K137" i="11"/>
  <c r="AD137" i="11"/>
  <c r="BB137" i="11"/>
  <c r="V137" i="11"/>
  <c r="AD131" i="11"/>
  <c r="AY137" i="11"/>
  <c r="AQ137" i="11"/>
  <c r="AI137" i="11"/>
  <c r="AA137" i="11"/>
  <c r="S137" i="11"/>
  <c r="I137" i="11"/>
  <c r="AX137" i="11"/>
  <c r="AP137" i="11"/>
  <c r="AH137" i="11"/>
  <c r="Z137" i="11"/>
  <c r="R137" i="11"/>
  <c r="J137" i="11"/>
  <c r="AU137" i="11"/>
  <c r="AM137" i="11"/>
  <c r="AE137" i="11"/>
  <c r="W137" i="11"/>
  <c r="O137" i="11"/>
  <c r="M137" i="11"/>
  <c r="BB131" i="11"/>
  <c r="AX131" i="11"/>
  <c r="AT131" i="11"/>
  <c r="AP131" i="11"/>
  <c r="AF131" i="11"/>
  <c r="AZ131" i="11"/>
  <c r="AV131" i="11"/>
  <c r="AR131" i="11"/>
  <c r="AM131" i="11"/>
  <c r="X131" i="11"/>
  <c r="BA137" i="11"/>
  <c r="AW137" i="11"/>
  <c r="AS137" i="11"/>
  <c r="AO137" i="11"/>
  <c r="AK137" i="11"/>
  <c r="AG137" i="11"/>
  <c r="AC137" i="11"/>
  <c r="Y137" i="11"/>
  <c r="U137" i="11"/>
  <c r="Q137" i="11"/>
  <c r="L137" i="11"/>
  <c r="F137" i="11"/>
  <c r="AZ137" i="11"/>
  <c r="AV137" i="11"/>
  <c r="AR137" i="11"/>
  <c r="AN137" i="11"/>
  <c r="AJ137" i="11"/>
  <c r="AF137" i="11"/>
  <c r="AB137" i="11"/>
  <c r="X137" i="11"/>
  <c r="T137" i="11"/>
  <c r="P137" i="11"/>
  <c r="G137" i="11"/>
  <c r="H137" i="11"/>
  <c r="AH131" i="11"/>
  <c r="T131" i="11"/>
  <c r="M131" i="11"/>
  <c r="AO131" i="11"/>
  <c r="AJ131" i="11"/>
  <c r="AB131" i="11"/>
  <c r="N131" i="11"/>
  <c r="V131" i="11"/>
  <c r="Z131" i="11"/>
  <c r="R131" i="11"/>
  <c r="H131" i="11"/>
  <c r="L131" i="11"/>
  <c r="AI131" i="11"/>
  <c r="AE131" i="11"/>
  <c r="AA131" i="11"/>
  <c r="W131" i="11"/>
  <c r="S131" i="11"/>
  <c r="K131" i="11"/>
  <c r="O131" i="11"/>
  <c r="AK131" i="11"/>
  <c r="AG131" i="11"/>
  <c r="AC131" i="11"/>
  <c r="Y131" i="11"/>
  <c r="U131" i="11"/>
  <c r="Q131" i="11"/>
  <c r="F131" i="11"/>
  <c r="J131" i="11"/>
  <c r="I131" i="11"/>
  <c r="G131" i="11"/>
  <c r="BC146" i="11"/>
  <c r="AI165" i="11"/>
  <c r="AH165" i="11"/>
  <c r="BB112" i="11"/>
  <c r="BB90" i="11" s="1"/>
  <c r="Y168" i="11" l="1"/>
  <c r="Y173" i="11" s="1"/>
  <c r="Y172" i="11"/>
  <c r="AI184" i="11"/>
  <c r="BC112" i="11"/>
  <c r="BC90" i="11" s="1"/>
  <c r="Z168" i="11" l="1"/>
  <c r="AJ165" i="11"/>
  <c r="Z173" i="11" l="1"/>
  <c r="AA168" i="11" s="1"/>
  <c r="AA173" i="11" s="1"/>
  <c r="AB168" i="11" s="1"/>
  <c r="AB173" i="11" s="1"/>
  <c r="AQ184" i="11"/>
  <c r="AC168" i="11" l="1"/>
  <c r="AC173" i="11" s="1"/>
  <c r="R184" i="11"/>
  <c r="AD168" i="11" l="1"/>
  <c r="AD173" i="11" s="1"/>
  <c r="T184" i="11"/>
  <c r="AE168" i="11" l="1"/>
  <c r="AE173" i="11" s="1"/>
  <c r="U184" i="11"/>
  <c r="AF168" i="11" l="1"/>
  <c r="AF173" i="11" s="1"/>
  <c r="W184" i="11"/>
  <c r="BA165" i="11"/>
  <c r="AG168" i="11" l="1"/>
  <c r="AG173" i="11" s="1"/>
  <c r="BA184" i="11"/>
  <c r="AH168" i="11" l="1"/>
  <c r="AH173" i="11" s="1"/>
  <c r="Y184" i="11"/>
  <c r="AI168" i="11" l="1"/>
  <c r="AI173" i="11" s="1"/>
  <c r="AA184" i="11"/>
  <c r="AJ168" i="11" l="1"/>
  <c r="AJ173" i="11" s="1"/>
  <c r="AD184" i="11"/>
  <c r="AK168" i="11" l="1"/>
  <c r="AK173" i="11" s="1"/>
  <c r="AG184" i="11"/>
  <c r="AL168" i="11" l="1"/>
  <c r="AL173" i="11" s="1"/>
  <c r="AH184" i="11"/>
  <c r="AM168" i="11" l="1"/>
  <c r="AM173" i="11" s="1"/>
  <c r="AJ184" i="11"/>
  <c r="AN168" i="11" l="1"/>
  <c r="AN173" i="11" s="1"/>
  <c r="O73" i="8"/>
  <c r="AO168" i="11" l="1"/>
  <c r="AO173" i="11" s="1"/>
  <c r="P74" i="8"/>
  <c r="AA9" i="8" s="1"/>
  <c r="P90" i="8"/>
  <c r="P88" i="8"/>
  <c r="O78" i="8"/>
  <c r="M45" i="20"/>
  <c r="P73" i="8" s="1"/>
  <c r="H31" i="8" l="1"/>
  <c r="H30" i="8" s="1"/>
  <c r="C59" i="22"/>
  <c r="AP168" i="11"/>
  <c r="AP173" i="11" s="1"/>
  <c r="H84" i="8"/>
  <c r="H91" i="8" s="1"/>
  <c r="Y11" i="8"/>
  <c r="O68" i="8"/>
  <c r="D44" i="8"/>
  <c r="P78" i="8"/>
  <c r="H8" i="8"/>
  <c r="AA10" i="8"/>
  <c r="AQ168" i="11" l="1"/>
  <c r="AQ173" i="11" s="1"/>
  <c r="C149" i="11"/>
  <c r="C148" i="11" s="1"/>
  <c r="D45" i="8"/>
  <c r="D10" i="8" s="1"/>
  <c r="AA12" i="8"/>
  <c r="AA11" i="8" s="1"/>
  <c r="H9" i="8"/>
  <c r="H98" i="8" s="1"/>
  <c r="H99" i="8" s="1"/>
  <c r="H100" i="8" s="1"/>
  <c r="D9" i="8"/>
  <c r="C117" i="11"/>
  <c r="C119" i="11" s="1"/>
  <c r="D117" i="11"/>
  <c r="D119" i="11" s="1"/>
  <c r="J117" i="11"/>
  <c r="J119" i="11" s="1"/>
  <c r="K21" i="22" s="1"/>
  <c r="K22" i="22" s="1"/>
  <c r="E117" i="11"/>
  <c r="E119" i="11" s="1"/>
  <c r="H117" i="11"/>
  <c r="H119" i="11" s="1"/>
  <c r="I21" i="22" s="1"/>
  <c r="I22" i="22" s="1"/>
  <c r="R117" i="11"/>
  <c r="R119" i="11" s="1"/>
  <c r="V21" i="22" s="1"/>
  <c r="V22" i="22" s="1"/>
  <c r="I117" i="11"/>
  <c r="I119" i="11" s="1"/>
  <c r="J21" i="22" s="1"/>
  <c r="J22" i="22" s="1"/>
  <c r="L117" i="11"/>
  <c r="L119" i="11" s="1"/>
  <c r="M21" i="22" s="1"/>
  <c r="M22" i="22" s="1"/>
  <c r="N117" i="11"/>
  <c r="N119" i="11" s="1"/>
  <c r="O21" i="22" s="1"/>
  <c r="O22" i="22" s="1"/>
  <c r="M117" i="11"/>
  <c r="M119" i="11" s="1"/>
  <c r="N21" i="22" s="1"/>
  <c r="N22" i="22" s="1"/>
  <c r="K117" i="11"/>
  <c r="K119" i="11" s="1"/>
  <c r="L21" i="22" s="1"/>
  <c r="L22" i="22" s="1"/>
  <c r="O117" i="11"/>
  <c r="O119" i="11" s="1"/>
  <c r="S117" i="11"/>
  <c r="S119" i="11" s="1"/>
  <c r="W21" i="22" s="1"/>
  <c r="W22" i="22" s="1"/>
  <c r="F117" i="11"/>
  <c r="F119" i="11" s="1"/>
  <c r="P117" i="11"/>
  <c r="P119" i="11" s="1"/>
  <c r="Q117" i="11"/>
  <c r="Q119" i="11" s="1"/>
  <c r="G117" i="11"/>
  <c r="G119" i="11" s="1"/>
  <c r="T117" i="11"/>
  <c r="T119" i="11" s="1"/>
  <c r="X21" i="22" s="1"/>
  <c r="X22" i="22" s="1"/>
  <c r="U117" i="11"/>
  <c r="U119" i="11" s="1"/>
  <c r="Y21" i="22" s="1"/>
  <c r="Y22" i="22" s="1"/>
  <c r="V117" i="11"/>
  <c r="V119" i="11" s="1"/>
  <c r="Z21" i="22" s="1"/>
  <c r="Z22" i="22" s="1"/>
  <c r="W117" i="11"/>
  <c r="W119" i="11" s="1"/>
  <c r="AA21" i="22" s="1"/>
  <c r="AA22" i="22" s="1"/>
  <c r="X117" i="11"/>
  <c r="X119" i="11" s="1"/>
  <c r="AB21" i="22" s="1"/>
  <c r="AB22" i="22" s="1"/>
  <c r="Y117" i="11"/>
  <c r="Y119" i="11" s="1"/>
  <c r="AC21" i="22" s="1"/>
  <c r="AC22" i="22" s="1"/>
  <c r="Z117" i="11"/>
  <c r="Z119" i="11" s="1"/>
  <c r="AD21" i="22" s="1"/>
  <c r="AD22" i="22" s="1"/>
  <c r="AA117" i="11"/>
  <c r="AA119" i="11" s="1"/>
  <c r="AE21" i="22" s="1"/>
  <c r="AE22" i="22" s="1"/>
  <c r="AB117" i="11"/>
  <c r="AB119" i="11" s="1"/>
  <c r="AF21" i="22" s="1"/>
  <c r="AF22" i="22" s="1"/>
  <c r="AC117" i="11"/>
  <c r="AC119" i="11" s="1"/>
  <c r="AG21" i="22" s="1"/>
  <c r="AG22" i="22" s="1"/>
  <c r="AD117" i="11"/>
  <c r="AD119" i="11" s="1"/>
  <c r="AH21" i="22" s="1"/>
  <c r="AH22" i="22" s="1"/>
  <c r="AE117" i="11"/>
  <c r="AE119" i="11" s="1"/>
  <c r="AI21" i="22" s="1"/>
  <c r="AI22" i="22" s="1"/>
  <c r="AF117" i="11"/>
  <c r="AF119" i="11" s="1"/>
  <c r="AJ21" i="22" s="1"/>
  <c r="AJ22" i="22" s="1"/>
  <c r="AG117" i="11"/>
  <c r="AG119" i="11" s="1"/>
  <c r="AK21" i="22" s="1"/>
  <c r="AH117" i="11"/>
  <c r="AH119" i="11" s="1"/>
  <c r="AL21" i="22" s="1"/>
  <c r="AI117" i="11"/>
  <c r="AI119" i="11" s="1"/>
  <c r="AM21" i="22" s="1"/>
  <c r="AJ117" i="11"/>
  <c r="AJ119" i="11" s="1"/>
  <c r="AN21" i="22" s="1"/>
  <c r="AK117" i="11"/>
  <c r="AK119" i="11" s="1"/>
  <c r="AO21" i="22" s="1"/>
  <c r="AL117" i="11"/>
  <c r="AL119" i="11" s="1"/>
  <c r="AP21" i="22" s="1"/>
  <c r="AM117" i="11"/>
  <c r="AM119" i="11" s="1"/>
  <c r="AQ21" i="22" s="1"/>
  <c r="AN117" i="11"/>
  <c r="AN119" i="11" s="1"/>
  <c r="AR21" i="22" s="1"/>
  <c r="AO117" i="11"/>
  <c r="AO119" i="11" s="1"/>
  <c r="AS21" i="22" s="1"/>
  <c r="AP117" i="11"/>
  <c r="AP119" i="11" s="1"/>
  <c r="AT21" i="22" s="1"/>
  <c r="AQ117" i="11"/>
  <c r="AQ119" i="11" s="1"/>
  <c r="AU21" i="22" s="1"/>
  <c r="AR117" i="11"/>
  <c r="AR119" i="11" s="1"/>
  <c r="AV21" i="22" s="1"/>
  <c r="AS117" i="11"/>
  <c r="AS119" i="11" s="1"/>
  <c r="AW21" i="22" s="1"/>
  <c r="AT117" i="11"/>
  <c r="AT119" i="11" s="1"/>
  <c r="AX21" i="22" s="1"/>
  <c r="AU117" i="11"/>
  <c r="AU119" i="11" s="1"/>
  <c r="AY21" i="22" s="1"/>
  <c r="AV117" i="11"/>
  <c r="AV119" i="11" s="1"/>
  <c r="AZ21" i="22" s="1"/>
  <c r="AW117" i="11"/>
  <c r="AW119" i="11" s="1"/>
  <c r="BA21" i="22" s="1"/>
  <c r="AX117" i="11"/>
  <c r="AX119" i="11" s="1"/>
  <c r="BB21" i="22" s="1"/>
  <c r="AY117" i="11"/>
  <c r="AY119" i="11" s="1"/>
  <c r="BC21" i="22" s="1"/>
  <c r="AZ117" i="11"/>
  <c r="AZ119" i="11" s="1"/>
  <c r="BD21" i="22" s="1"/>
  <c r="BA117" i="11"/>
  <c r="BA119" i="11" s="1"/>
  <c r="BE21" i="22" s="1"/>
  <c r="BB117" i="11"/>
  <c r="BB119" i="11" s="1"/>
  <c r="BF21" i="22" s="1"/>
  <c r="BC117" i="11"/>
  <c r="BC119" i="11" s="1"/>
  <c r="BG21" i="22" s="1"/>
  <c r="H140" i="11"/>
  <c r="H121" i="11" s="1"/>
  <c r="L140" i="11"/>
  <c r="L121" i="11" s="1"/>
  <c r="N140" i="11"/>
  <c r="N121" i="11" s="1"/>
  <c r="O140" i="11"/>
  <c r="O121" i="11" s="1"/>
  <c r="G140" i="11"/>
  <c r="G121" i="11" s="1"/>
  <c r="K140" i="11"/>
  <c r="K121" i="11" s="1"/>
  <c r="I140" i="11"/>
  <c r="I121" i="11" s="1"/>
  <c r="J140" i="11"/>
  <c r="J121" i="11" s="1"/>
  <c r="F140" i="11"/>
  <c r="F121" i="11" s="1"/>
  <c r="M140" i="11"/>
  <c r="M121" i="11" s="1"/>
  <c r="P140" i="11"/>
  <c r="P121" i="11" s="1"/>
  <c r="Q140" i="11"/>
  <c r="Q121" i="11" s="1"/>
  <c r="R140" i="11"/>
  <c r="R121" i="11" s="1"/>
  <c r="S140" i="11"/>
  <c r="S121" i="11" s="1"/>
  <c r="T140" i="11"/>
  <c r="T121" i="11" s="1"/>
  <c r="U140" i="11"/>
  <c r="U121" i="11" s="1"/>
  <c r="V140" i="11"/>
  <c r="V121" i="11" s="1"/>
  <c r="W140" i="11"/>
  <c r="W121" i="11" s="1"/>
  <c r="X140" i="11"/>
  <c r="X121" i="11" s="1"/>
  <c r="Y140" i="11"/>
  <c r="Y121" i="11" s="1"/>
  <c r="Z140" i="11"/>
  <c r="Z121" i="11" s="1"/>
  <c r="AA140" i="11"/>
  <c r="AA121" i="11" s="1"/>
  <c r="AB140" i="11"/>
  <c r="AB121" i="11" s="1"/>
  <c r="AC140" i="11"/>
  <c r="AC121" i="11" s="1"/>
  <c r="AD140" i="11"/>
  <c r="AD121" i="11" s="1"/>
  <c r="AE140" i="11"/>
  <c r="AE121" i="11" s="1"/>
  <c r="AF140" i="11"/>
  <c r="AF121" i="11" s="1"/>
  <c r="AG140" i="11"/>
  <c r="AG121" i="11" s="1"/>
  <c r="AH140" i="11"/>
  <c r="AH121" i="11" s="1"/>
  <c r="AI140" i="11"/>
  <c r="AI121" i="11" s="1"/>
  <c r="AJ140" i="11"/>
  <c r="AJ121" i="11" s="1"/>
  <c r="AK140" i="11"/>
  <c r="AK121" i="11" s="1"/>
  <c r="AL140" i="11"/>
  <c r="AL121" i="11" s="1"/>
  <c r="AM140" i="11"/>
  <c r="AM121" i="11" s="1"/>
  <c r="AN140" i="11"/>
  <c r="AN121" i="11" s="1"/>
  <c r="AO140" i="11"/>
  <c r="AO121" i="11" s="1"/>
  <c r="AP140" i="11"/>
  <c r="AP121" i="11" s="1"/>
  <c r="AQ140" i="11"/>
  <c r="AQ121" i="11" s="1"/>
  <c r="AR140" i="11"/>
  <c r="AR121" i="11" s="1"/>
  <c r="AS140" i="11"/>
  <c r="AS121" i="11" s="1"/>
  <c r="AT140" i="11"/>
  <c r="AT121" i="11" s="1"/>
  <c r="AU140" i="11"/>
  <c r="AU121" i="11" s="1"/>
  <c r="AV140" i="11"/>
  <c r="AV121" i="11" s="1"/>
  <c r="AW140" i="11"/>
  <c r="AW121" i="11" s="1"/>
  <c r="AX140" i="11"/>
  <c r="AX121" i="11" s="1"/>
  <c r="AY140" i="11"/>
  <c r="AY121" i="11" s="1"/>
  <c r="AZ140" i="11"/>
  <c r="AZ121" i="11" s="1"/>
  <c r="BA140" i="11"/>
  <c r="BA121" i="11" s="1"/>
  <c r="BB140" i="11"/>
  <c r="BB121" i="11" s="1"/>
  <c r="BC140" i="11"/>
  <c r="BC121" i="11" s="1"/>
  <c r="H11" i="8"/>
  <c r="H92" i="8"/>
  <c r="H93" i="8" s="1"/>
  <c r="C85" i="22"/>
  <c r="C97" i="22" s="1"/>
  <c r="AR168" i="11" l="1"/>
  <c r="AR173" i="11" s="1"/>
  <c r="L98" i="8"/>
  <c r="L99" i="8" s="1"/>
  <c r="L100" i="8" s="1"/>
  <c r="D149" i="11"/>
  <c r="E30" i="22" s="1"/>
  <c r="E31" i="22" s="1"/>
  <c r="D30" i="22"/>
  <c r="D31" i="22" s="1"/>
  <c r="H21" i="22"/>
  <c r="H22" i="22" s="1"/>
  <c r="D21" i="22"/>
  <c r="D22" i="22" s="1"/>
  <c r="F21" i="22"/>
  <c r="F22" i="22" s="1"/>
  <c r="C58" i="22"/>
  <c r="C57" i="22" s="1"/>
  <c r="F57" i="22" s="1"/>
  <c r="G21" i="22"/>
  <c r="G22" i="22" s="1"/>
  <c r="E21" i="22"/>
  <c r="E22" i="22" s="1"/>
  <c r="BD24" i="22"/>
  <c r="AZ122" i="11"/>
  <c r="AZ24" i="22"/>
  <c r="AV122" i="11"/>
  <c r="AV24" i="22"/>
  <c r="AR122" i="11"/>
  <c r="AR24" i="22"/>
  <c r="AN122" i="11"/>
  <c r="AN24" i="22"/>
  <c r="AJ122" i="11"/>
  <c r="AJ24" i="22"/>
  <c r="AJ25" i="22" s="1"/>
  <c r="AF122" i="11"/>
  <c r="AF24" i="22"/>
  <c r="AF25" i="22" s="1"/>
  <c r="AB122" i="11"/>
  <c r="AB24" i="22"/>
  <c r="AB25" i="22" s="1"/>
  <c r="X122" i="11"/>
  <c r="X24" i="22"/>
  <c r="X25" i="22" s="1"/>
  <c r="T122" i="11"/>
  <c r="T24" i="22"/>
  <c r="T25" i="22" s="1"/>
  <c r="Q24" i="22"/>
  <c r="Q25" i="22" s="1"/>
  <c r="P122" i="11"/>
  <c r="J24" i="22"/>
  <c r="J25" i="22" s="1"/>
  <c r="I122" i="11"/>
  <c r="O24" i="22"/>
  <c r="O25" i="22" s="1"/>
  <c r="N122" i="11"/>
  <c r="BG24" i="22"/>
  <c r="BC122" i="11"/>
  <c r="BC24" i="22"/>
  <c r="AY122" i="11"/>
  <c r="AY24" i="22"/>
  <c r="AU122" i="11"/>
  <c r="AU24" i="22"/>
  <c r="AQ122" i="11"/>
  <c r="AQ24" i="22"/>
  <c r="AM122" i="11"/>
  <c r="AM24" i="22"/>
  <c r="AI122" i="11"/>
  <c r="AI24" i="22"/>
  <c r="AI25" i="22" s="1"/>
  <c r="AE122" i="11"/>
  <c r="AE24" i="22"/>
  <c r="AE25" i="22" s="1"/>
  <c r="AA122" i="11"/>
  <c r="AA24" i="22"/>
  <c r="AA25" i="22" s="1"/>
  <c r="W122" i="11"/>
  <c r="W24" i="22"/>
  <c r="W25" i="22" s="1"/>
  <c r="S122" i="11"/>
  <c r="N24" i="22"/>
  <c r="N25" i="22" s="1"/>
  <c r="M122" i="11"/>
  <c r="L24" i="22"/>
  <c r="L25" i="22" s="1"/>
  <c r="K122" i="11"/>
  <c r="M24" i="22"/>
  <c r="M25" i="22" s="1"/>
  <c r="L122" i="11"/>
  <c r="BF24" i="22"/>
  <c r="BB122" i="11"/>
  <c r="BB24" i="22"/>
  <c r="AX122" i="11"/>
  <c r="AX24" i="22"/>
  <c r="AT122" i="11"/>
  <c r="AT24" i="22"/>
  <c r="AP122" i="11"/>
  <c r="AP24" i="22"/>
  <c r="AL122" i="11"/>
  <c r="AL24" i="22"/>
  <c r="AH122" i="11"/>
  <c r="AH24" i="22"/>
  <c r="AH25" i="22" s="1"/>
  <c r="AD122" i="11"/>
  <c r="AD24" i="22"/>
  <c r="AD25" i="22" s="1"/>
  <c r="Z122" i="11"/>
  <c r="Z24" i="22"/>
  <c r="Z25" i="22" s="1"/>
  <c r="V122" i="11"/>
  <c r="V24" i="22"/>
  <c r="V25" i="22" s="1"/>
  <c r="R122" i="11"/>
  <c r="G24" i="22"/>
  <c r="G25" i="22" s="1"/>
  <c r="F122" i="11"/>
  <c r="H24" i="22"/>
  <c r="H25" i="22" s="1"/>
  <c r="G122" i="11"/>
  <c r="I24" i="22"/>
  <c r="I25" i="22" s="1"/>
  <c r="H122" i="11"/>
  <c r="BE24" i="22"/>
  <c r="BA122" i="11"/>
  <c r="BA24" i="22"/>
  <c r="AW122" i="11"/>
  <c r="AW24" i="22"/>
  <c r="AS122" i="11"/>
  <c r="AS24" i="22"/>
  <c r="AO122" i="11"/>
  <c r="AO24" i="22"/>
  <c r="AK122" i="11"/>
  <c r="AK24" i="22"/>
  <c r="AG122" i="11"/>
  <c r="AG24" i="22"/>
  <c r="AG25" i="22" s="1"/>
  <c r="AC122" i="11"/>
  <c r="AC24" i="22"/>
  <c r="AC25" i="22" s="1"/>
  <c r="Y122" i="11"/>
  <c r="Y24" i="22"/>
  <c r="Y25" i="22" s="1"/>
  <c r="U122" i="11"/>
  <c r="Q122" i="11"/>
  <c r="U24" i="22"/>
  <c r="U25" i="22" s="1"/>
  <c r="R24" i="22"/>
  <c r="R25" i="22" s="1"/>
  <c r="K24" i="22"/>
  <c r="K25" i="22" s="1"/>
  <c r="J122" i="11"/>
  <c r="S24" i="22"/>
  <c r="S25" i="22" s="1"/>
  <c r="P24" i="22"/>
  <c r="P25" i="22" s="1"/>
  <c r="O122" i="11"/>
  <c r="U21" i="22"/>
  <c r="U22" i="22" s="1"/>
  <c r="R21" i="22"/>
  <c r="R22" i="22" s="1"/>
  <c r="S21" i="22"/>
  <c r="S22" i="22" s="1"/>
  <c r="P21" i="22"/>
  <c r="P22" i="22" s="1"/>
  <c r="T21" i="22"/>
  <c r="T22" i="22" s="1"/>
  <c r="Q21" i="22"/>
  <c r="Q22" i="22" s="1"/>
  <c r="H10" i="8"/>
  <c r="C151" i="11"/>
  <c r="C153" i="11" s="1"/>
  <c r="AS168" i="11" l="1"/>
  <c r="AS173" i="11" s="1"/>
  <c r="E149" i="11"/>
  <c r="F30" i="22" s="1"/>
  <c r="D27" i="22"/>
  <c r="D28" i="22" s="1"/>
  <c r="D148" i="11"/>
  <c r="D151" i="11" s="1"/>
  <c r="D153" i="11" s="1"/>
  <c r="C24" i="22"/>
  <c r="A24" i="22" s="1"/>
  <c r="F47" i="22" s="1"/>
  <c r="C47" i="22" s="1"/>
  <c r="C25" i="22"/>
  <c r="A25" i="22" s="1"/>
  <c r="C22" i="22"/>
  <c r="A22" i="22" s="1"/>
  <c r="C21" i="22"/>
  <c r="C23" i="22" s="1"/>
  <c r="H12" i="8"/>
  <c r="H13" i="8" s="1"/>
  <c r="D33" i="22"/>
  <c r="C154" i="11"/>
  <c r="C156" i="11" s="1"/>
  <c r="C175" i="11" s="1"/>
  <c r="AT168" i="11" l="1"/>
  <c r="AT173" i="11" s="1"/>
  <c r="E148" i="11"/>
  <c r="F27" i="22" s="1"/>
  <c r="F28" i="22" s="1"/>
  <c r="F149" i="11"/>
  <c r="F148" i="11" s="1"/>
  <c r="C159" i="11"/>
  <c r="E27" i="22"/>
  <c r="E28" i="22" s="1"/>
  <c r="A21" i="22"/>
  <c r="F50" i="22" s="1"/>
  <c r="C50" i="22" s="1"/>
  <c r="C161" i="11"/>
  <c r="D39" i="22"/>
  <c r="C157" i="11"/>
  <c r="D36" i="22"/>
  <c r="D34" i="22"/>
  <c r="F31" i="22"/>
  <c r="E33" i="22"/>
  <c r="D154" i="11"/>
  <c r="D156" i="11" s="1"/>
  <c r="D175" i="11" s="1"/>
  <c r="AU168" i="11" l="1"/>
  <c r="AU173" i="11" s="1"/>
  <c r="E151" i="11"/>
  <c r="E153" i="11" s="1"/>
  <c r="E154" i="11" s="1"/>
  <c r="E156" i="11" s="1"/>
  <c r="E175" i="11" s="1"/>
  <c r="G30" i="22"/>
  <c r="G31" i="22" s="1"/>
  <c r="G149" i="11"/>
  <c r="G148" i="11" s="1"/>
  <c r="D178" i="11"/>
  <c r="D180" i="11"/>
  <c r="C178" i="11"/>
  <c r="C180" i="11"/>
  <c r="C162" i="11"/>
  <c r="D159" i="11"/>
  <c r="F151" i="11"/>
  <c r="F153" i="11" s="1"/>
  <c r="D40" i="22"/>
  <c r="D37" i="22"/>
  <c r="D161" i="11"/>
  <c r="E39" i="22"/>
  <c r="E40" i="22" s="1"/>
  <c r="D42" i="22"/>
  <c r="D157" i="11"/>
  <c r="C160" i="11"/>
  <c r="E36" i="22"/>
  <c r="E37" i="22" s="1"/>
  <c r="E34" i="22"/>
  <c r="C176" i="11"/>
  <c r="AV168" i="11" l="1"/>
  <c r="AV173" i="11" s="1"/>
  <c r="F33" i="22"/>
  <c r="F34" i="22" s="1"/>
  <c r="H30" i="22"/>
  <c r="H31" i="22" s="1"/>
  <c r="H149" i="11"/>
  <c r="I30" i="22" s="1"/>
  <c r="I31" i="22" s="1"/>
  <c r="G27" i="22"/>
  <c r="G28" i="22" s="1"/>
  <c r="D162" i="11"/>
  <c r="E180" i="11"/>
  <c r="E178" i="11"/>
  <c r="C181" i="11"/>
  <c r="D181" i="11" s="1"/>
  <c r="E159" i="11"/>
  <c r="D176" i="11"/>
  <c r="D160" i="11"/>
  <c r="G151" i="11"/>
  <c r="G153" i="11" s="1"/>
  <c r="E157" i="11"/>
  <c r="E42" i="22"/>
  <c r="F154" i="11"/>
  <c r="F156" i="11" s="1"/>
  <c r="F175" i="11" s="1"/>
  <c r="G33" i="22"/>
  <c r="C179" i="11"/>
  <c r="D179" i="11" s="1"/>
  <c r="F39" i="22"/>
  <c r="F40" i="22" s="1"/>
  <c r="E161" i="11"/>
  <c r="E179" i="11" l="1"/>
  <c r="E181" i="11"/>
  <c r="AW168" i="11"/>
  <c r="AW173" i="11" s="1"/>
  <c r="F36" i="22"/>
  <c r="F37" i="22" s="1"/>
  <c r="H27" i="22"/>
  <c r="H28" i="22" s="1"/>
  <c r="H148" i="11"/>
  <c r="I27" i="22" s="1"/>
  <c r="I28" i="22" s="1"/>
  <c r="I149" i="11"/>
  <c r="I148" i="11" s="1"/>
  <c r="E162" i="11"/>
  <c r="F180" i="11"/>
  <c r="F178" i="11"/>
  <c r="F159" i="11"/>
  <c r="E160" i="11"/>
  <c r="F157" i="11"/>
  <c r="F42" i="22"/>
  <c r="H33" i="22"/>
  <c r="G154" i="11"/>
  <c r="G156" i="11" s="1"/>
  <c r="G175" i="11" s="1"/>
  <c r="G36" i="22"/>
  <c r="G34" i="22"/>
  <c r="F161" i="11"/>
  <c r="G39" i="22"/>
  <c r="G40" i="22" s="1"/>
  <c r="E176" i="11"/>
  <c r="F181" i="11" l="1"/>
  <c r="F179" i="11"/>
  <c r="AX168" i="11"/>
  <c r="AX173" i="11" s="1"/>
  <c r="J149" i="11"/>
  <c r="K30" i="22" s="1"/>
  <c r="K31" i="22" s="1"/>
  <c r="J30" i="22"/>
  <c r="J27" i="22" s="1"/>
  <c r="H151" i="11"/>
  <c r="H153" i="11" s="1"/>
  <c r="H154" i="11" s="1"/>
  <c r="H156" i="11" s="1"/>
  <c r="H175" i="11" s="1"/>
  <c r="F162" i="11"/>
  <c r="G178" i="11"/>
  <c r="G180" i="11"/>
  <c r="G159" i="11"/>
  <c r="F160" i="11"/>
  <c r="F176" i="11"/>
  <c r="G37" i="22"/>
  <c r="G161" i="11"/>
  <c r="H39" i="22"/>
  <c r="H40" i="22" s="1"/>
  <c r="H36" i="22"/>
  <c r="H37" i="22" s="1"/>
  <c r="H34" i="22"/>
  <c r="I151" i="11"/>
  <c r="I153" i="11" s="1"/>
  <c r="G42" i="22"/>
  <c r="G157" i="11"/>
  <c r="G179" i="11" l="1"/>
  <c r="G181" i="11"/>
  <c r="AY168" i="11"/>
  <c r="AY173" i="11" s="1"/>
  <c r="J31" i="22"/>
  <c r="K149" i="11"/>
  <c r="L30" i="22" s="1"/>
  <c r="L31" i="22" s="1"/>
  <c r="J148" i="11"/>
  <c r="K27" i="22" s="1"/>
  <c r="K28" i="22" s="1"/>
  <c r="I33" i="22"/>
  <c r="I34" i="22" s="1"/>
  <c r="G162" i="11"/>
  <c r="H159" i="11"/>
  <c r="G160" i="11"/>
  <c r="G176" i="11"/>
  <c r="G183" i="11" s="1"/>
  <c r="J28" i="22"/>
  <c r="H42" i="22"/>
  <c r="G164" i="11"/>
  <c r="H157" i="11"/>
  <c r="I39" i="22"/>
  <c r="I40" i="22" s="1"/>
  <c r="H161" i="11"/>
  <c r="J33" i="22"/>
  <c r="I154" i="11"/>
  <c r="I156" i="11" s="1"/>
  <c r="I175" i="11" s="1"/>
  <c r="K148" i="11" l="1"/>
  <c r="L27" i="22" s="1"/>
  <c r="L28" i="22" s="1"/>
  <c r="AZ168" i="11"/>
  <c r="AZ173" i="11" s="1"/>
  <c r="L149" i="11"/>
  <c r="M30" i="22" s="1"/>
  <c r="M31" i="22" s="1"/>
  <c r="J151" i="11"/>
  <c r="J153" i="11" s="1"/>
  <c r="K33" i="22" s="1"/>
  <c r="K36" i="22" s="1"/>
  <c r="K37" i="22" s="1"/>
  <c r="I36" i="22"/>
  <c r="I37" i="22" s="1"/>
  <c r="H162" i="11"/>
  <c r="H178" i="11"/>
  <c r="H179" i="11" s="1"/>
  <c r="H180" i="11"/>
  <c r="H181" i="11" s="1"/>
  <c r="I159" i="11"/>
  <c r="H160" i="11"/>
  <c r="H176" i="11"/>
  <c r="H183" i="11" s="1"/>
  <c r="J39" i="22"/>
  <c r="J40" i="22" s="1"/>
  <c r="I161" i="11"/>
  <c r="H164" i="11"/>
  <c r="I42" i="22"/>
  <c r="I157" i="11"/>
  <c r="J36" i="22"/>
  <c r="J37" i="22" s="1"/>
  <c r="J34" i="22"/>
  <c r="K151" i="11" l="1"/>
  <c r="K153" i="11" s="1"/>
  <c r="L33" i="22" s="1"/>
  <c r="L36" i="22" s="1"/>
  <c r="L37" i="22" s="1"/>
  <c r="BA168" i="11"/>
  <c r="BA173" i="11" s="1"/>
  <c r="M149" i="11"/>
  <c r="M148" i="11" s="1"/>
  <c r="L148" i="11"/>
  <c r="L151" i="11" s="1"/>
  <c r="L153" i="11" s="1"/>
  <c r="K34" i="22"/>
  <c r="J154" i="11"/>
  <c r="J156" i="11" s="1"/>
  <c r="J175" i="11" s="1"/>
  <c r="I162" i="11"/>
  <c r="I180" i="11"/>
  <c r="I181" i="11" s="1"/>
  <c r="I178" i="11"/>
  <c r="I179" i="11" s="1"/>
  <c r="I176" i="11"/>
  <c r="I183" i="11" s="1"/>
  <c r="J42" i="22"/>
  <c r="I164" i="11"/>
  <c r="I160" i="11"/>
  <c r="K154" i="11" l="1"/>
  <c r="K156" i="11" s="1"/>
  <c r="K175" i="11" s="1"/>
  <c r="K180" i="11" s="1"/>
  <c r="L34" i="22"/>
  <c r="J180" i="11"/>
  <c r="J181" i="11" s="1"/>
  <c r="BB168" i="11"/>
  <c r="BB173" i="11" s="1"/>
  <c r="N149" i="11"/>
  <c r="O30" i="22" s="1"/>
  <c r="O31" i="22" s="1"/>
  <c r="N30" i="22"/>
  <c r="N31" i="22" s="1"/>
  <c r="M27" i="22"/>
  <c r="M28" i="22" s="1"/>
  <c r="J161" i="11"/>
  <c r="J162" i="11" s="1"/>
  <c r="J157" i="11"/>
  <c r="K42" i="22" s="1"/>
  <c r="J159" i="11"/>
  <c r="J160" i="11" s="1"/>
  <c r="K39" i="22"/>
  <c r="K40" i="22" s="1"/>
  <c r="J176" i="11"/>
  <c r="J183" i="11" s="1"/>
  <c r="K161" i="11"/>
  <c r="M151" i="11"/>
  <c r="M153" i="11" s="1"/>
  <c r="M33" i="22"/>
  <c r="L154" i="11"/>
  <c r="L156" i="11" s="1"/>
  <c r="L175" i="11" s="1"/>
  <c r="K159" i="11" l="1"/>
  <c r="K160" i="11" s="1"/>
  <c r="L39" i="22"/>
  <c r="L40" i="22" s="1"/>
  <c r="K178" i="11"/>
  <c r="K181" i="11"/>
  <c r="N27" i="22"/>
  <c r="N28" i="22" s="1"/>
  <c r="J178" i="11"/>
  <c r="J179" i="11" s="1"/>
  <c r="K179" i="11" s="1"/>
  <c r="BC168" i="11"/>
  <c r="BC173" i="11" s="1"/>
  <c r="N148" i="11"/>
  <c r="O27" i="22" s="1"/>
  <c r="O28" i="22" s="1"/>
  <c r="O149" i="11"/>
  <c r="P30" i="22" s="1"/>
  <c r="P31" i="22" s="1"/>
  <c r="J164" i="11"/>
  <c r="K157" i="11"/>
  <c r="L42" i="22" s="1"/>
  <c r="K162" i="11"/>
  <c r="L159" i="11"/>
  <c r="K176" i="11"/>
  <c r="K183" i="11" s="1"/>
  <c r="M39" i="22"/>
  <c r="M40" i="22" s="1"/>
  <c r="L161" i="11"/>
  <c r="M36" i="22"/>
  <c r="M37" i="22" s="1"/>
  <c r="M34" i="22"/>
  <c r="N33" i="22"/>
  <c r="M154" i="11"/>
  <c r="M156" i="11" s="1"/>
  <c r="M175" i="11" s="1"/>
  <c r="N151" i="11" l="1"/>
  <c r="N153" i="11" s="1"/>
  <c r="O33" i="22" s="1"/>
  <c r="P149" i="11"/>
  <c r="Q30" i="22" s="1"/>
  <c r="Q31" i="22" s="1"/>
  <c r="S30" i="22"/>
  <c r="S31" i="22" s="1"/>
  <c r="O148" i="11"/>
  <c r="P27" i="22" s="1"/>
  <c r="P28" i="22" s="1"/>
  <c r="L157" i="11"/>
  <c r="M157" i="11" s="1"/>
  <c r="K164" i="11"/>
  <c r="L162" i="11"/>
  <c r="L178" i="11"/>
  <c r="L179" i="11" s="1"/>
  <c r="L180" i="11"/>
  <c r="L181" i="11" s="1"/>
  <c r="M159" i="11"/>
  <c r="L176" i="11"/>
  <c r="L183" i="11" s="1"/>
  <c r="L160" i="11"/>
  <c r="N34" i="22"/>
  <c r="N36" i="22"/>
  <c r="N37" i="22" s="1"/>
  <c r="M161" i="11"/>
  <c r="N39" i="22"/>
  <c r="N40" i="22" s="1"/>
  <c r="Q149" i="11" l="1"/>
  <c r="R30" i="22" s="1"/>
  <c r="T30" i="22"/>
  <c r="T31" i="22" s="1"/>
  <c r="P148" i="11"/>
  <c r="P151" i="11" s="1"/>
  <c r="P153" i="11" s="1"/>
  <c r="Q33" i="22" s="1"/>
  <c r="S27" i="22"/>
  <c r="S28" i="22" s="1"/>
  <c r="N154" i="11"/>
  <c r="N156" i="11" s="1"/>
  <c r="N175" i="11" s="1"/>
  <c r="M162" i="11"/>
  <c r="Q27" i="22"/>
  <c r="Q28" i="22" s="1"/>
  <c r="M42" i="22"/>
  <c r="O151" i="11"/>
  <c r="O153" i="11" s="1"/>
  <c r="P33" i="22" s="1"/>
  <c r="P36" i="22" s="1"/>
  <c r="P37" i="22" s="1"/>
  <c r="L164" i="11"/>
  <c r="M164" i="11" s="1"/>
  <c r="M180" i="11"/>
  <c r="M181" i="11" s="1"/>
  <c r="M178" i="11"/>
  <c r="M179" i="11" s="1"/>
  <c r="R31" i="22"/>
  <c r="M176" i="11"/>
  <c r="M183" i="11" s="1"/>
  <c r="M160" i="11"/>
  <c r="O34" i="22"/>
  <c r="O36" i="22"/>
  <c r="O37" i="22" s="1"/>
  <c r="U30" i="22"/>
  <c r="U31" i="22" s="1"/>
  <c r="Q148" i="11"/>
  <c r="R27" i="22" s="1"/>
  <c r="R28" i="22" s="1"/>
  <c r="R149" i="11"/>
  <c r="N42" i="22"/>
  <c r="T27" i="22" l="1"/>
  <c r="T28" i="22" s="1"/>
  <c r="N157" i="11"/>
  <c r="N159" i="11"/>
  <c r="N161" i="11"/>
  <c r="N162" i="11" s="1"/>
  <c r="O39" i="22"/>
  <c r="O40" i="22" s="1"/>
  <c r="O154" i="11"/>
  <c r="O156" i="11" s="1"/>
  <c r="S33" i="22"/>
  <c r="S36" i="22" s="1"/>
  <c r="S37" i="22" s="1"/>
  <c r="P34" i="22"/>
  <c r="N180" i="11"/>
  <c r="N181" i="11" s="1"/>
  <c r="N178" i="11"/>
  <c r="N179" i="11" s="1"/>
  <c r="Q36" i="22"/>
  <c r="Q37" i="22" s="1"/>
  <c r="Q34" i="22"/>
  <c r="N160" i="11"/>
  <c r="R148" i="11"/>
  <c r="S149" i="11"/>
  <c r="V30" i="22"/>
  <c r="V31" i="22" s="1"/>
  <c r="N176" i="11"/>
  <c r="O42" i="22"/>
  <c r="N164" i="11"/>
  <c r="U27" i="22"/>
  <c r="U28" i="22" s="1"/>
  <c r="Q151" i="11"/>
  <c r="Q153" i="11" s="1"/>
  <c r="R33" i="22" s="1"/>
  <c r="P154" i="11"/>
  <c r="P156" i="11" s="1"/>
  <c r="P175" i="11" s="1"/>
  <c r="T33" i="22"/>
  <c r="O157" i="11" l="1"/>
  <c r="P42" i="22" s="1"/>
  <c r="S39" i="22"/>
  <c r="S40" i="22" s="1"/>
  <c r="O161" i="11"/>
  <c r="O162" i="11" s="1"/>
  <c r="P39" i="22"/>
  <c r="P40" i="22" s="1"/>
  <c r="O175" i="11"/>
  <c r="O180" i="11" s="1"/>
  <c r="O181" i="11" s="1"/>
  <c r="O159" i="11"/>
  <c r="O160" i="11" s="1"/>
  <c r="S34" i="22"/>
  <c r="Q39" i="22"/>
  <c r="Q40" i="22" s="1"/>
  <c r="R36" i="22"/>
  <c r="R37" i="22" s="1"/>
  <c r="R34" i="22"/>
  <c r="V27" i="22"/>
  <c r="V28" i="22" s="1"/>
  <c r="R151" i="11"/>
  <c r="R153" i="11" s="1"/>
  <c r="N183" i="11"/>
  <c r="Q154" i="11"/>
  <c r="Q156" i="11" s="1"/>
  <c r="Q175" i="11" s="1"/>
  <c r="U33" i="22"/>
  <c r="T34" i="22"/>
  <c r="T36" i="22"/>
  <c r="T37" i="22" s="1"/>
  <c r="T39" i="22"/>
  <c r="T40" i="22" s="1"/>
  <c r="P159" i="11"/>
  <c r="P161" i="11"/>
  <c r="S42" i="22"/>
  <c r="O164" i="11"/>
  <c r="P157" i="11"/>
  <c r="Q42" i="22" s="1"/>
  <c r="S148" i="11"/>
  <c r="W30" i="22"/>
  <c r="W31" i="22" s="1"/>
  <c r="T149" i="11"/>
  <c r="P162" i="11" l="1"/>
  <c r="O176" i="11"/>
  <c r="P176" i="11" s="1"/>
  <c r="O178" i="11"/>
  <c r="O179" i="11" s="1"/>
  <c r="P178" i="11"/>
  <c r="P180" i="11"/>
  <c r="P181" i="11" s="1"/>
  <c r="R39" i="22"/>
  <c r="R40" i="22" s="1"/>
  <c r="P160" i="11"/>
  <c r="W27" i="22"/>
  <c r="W28" i="22" s="1"/>
  <c r="S151" i="11"/>
  <c r="S153" i="11" s="1"/>
  <c r="U34" i="22"/>
  <c r="U36" i="22"/>
  <c r="U37" i="22" s="1"/>
  <c r="X30" i="22"/>
  <c r="X31" i="22" s="1"/>
  <c r="T148" i="11"/>
  <c r="U149" i="11"/>
  <c r="P164" i="11"/>
  <c r="T42" i="22"/>
  <c r="Q157" i="11"/>
  <c r="R42" i="22" s="1"/>
  <c r="U39" i="22"/>
  <c r="U40" i="22" s="1"/>
  <c r="Q161" i="11"/>
  <c r="Q162" i="11" s="1"/>
  <c r="Q159" i="11"/>
  <c r="R154" i="11"/>
  <c r="R156" i="11" s="1"/>
  <c r="R175" i="11" s="1"/>
  <c r="V33" i="22"/>
  <c r="O183" i="11" l="1"/>
  <c r="P179" i="11"/>
  <c r="R180" i="11"/>
  <c r="R178" i="11"/>
  <c r="Q180" i="11"/>
  <c r="Q181" i="11" s="1"/>
  <c r="Q178" i="11"/>
  <c r="Q160" i="11"/>
  <c r="X27" i="22"/>
  <c r="X28" i="22" s="1"/>
  <c r="T151" i="11"/>
  <c r="T153" i="11" s="1"/>
  <c r="S154" i="11"/>
  <c r="S156" i="11" s="1"/>
  <c r="S175" i="11" s="1"/>
  <c r="W33" i="22"/>
  <c r="V39" i="22"/>
  <c r="V40" i="22" s="1"/>
  <c r="R161" i="11"/>
  <c r="R162" i="11" s="1"/>
  <c r="R159" i="11"/>
  <c r="V34" i="22"/>
  <c r="V36" i="22"/>
  <c r="V37" i="22" s="1"/>
  <c r="Q164" i="11"/>
  <c r="U42" i="22"/>
  <c r="R157" i="11"/>
  <c r="P183" i="11"/>
  <c r="Q176" i="11"/>
  <c r="Y30" i="22"/>
  <c r="Y31" i="22" s="1"/>
  <c r="U148" i="11"/>
  <c r="V149" i="11"/>
  <c r="R181" i="11" l="1"/>
  <c r="Q179" i="11"/>
  <c r="R179" i="11" s="1"/>
  <c r="S180" i="11"/>
  <c r="S178" i="11"/>
  <c r="R160" i="11"/>
  <c r="W34" i="22"/>
  <c r="W36" i="22"/>
  <c r="W37" i="22" s="1"/>
  <c r="V148" i="11"/>
  <c r="Z30" i="22"/>
  <c r="Z31" i="22" s="1"/>
  <c r="W149" i="11"/>
  <c r="Y27" i="22"/>
  <c r="Y28" i="22" s="1"/>
  <c r="U151" i="11"/>
  <c r="U153" i="11" s="1"/>
  <c r="Q183" i="11"/>
  <c r="R176" i="11"/>
  <c r="W39" i="22"/>
  <c r="W40" i="22" s="1"/>
  <c r="S159" i="11"/>
  <c r="S161" i="11"/>
  <c r="S162" i="11" s="1"/>
  <c r="T154" i="11"/>
  <c r="T156" i="11" s="1"/>
  <c r="T175" i="11" s="1"/>
  <c r="X33" i="22"/>
  <c r="S157" i="11"/>
  <c r="V42" i="22"/>
  <c r="R164" i="11"/>
  <c r="S181" i="11" l="1"/>
  <c r="S179" i="11"/>
  <c r="T178" i="11"/>
  <c r="T180" i="11"/>
  <c r="S160" i="11"/>
  <c r="X39" i="22"/>
  <c r="X40" i="22" s="1"/>
  <c r="T161" i="11"/>
  <c r="T162" i="11" s="1"/>
  <c r="T159" i="11"/>
  <c r="R183" i="11"/>
  <c r="S176" i="11"/>
  <c r="AA30" i="22"/>
  <c r="AA31" i="22" s="1"/>
  <c r="W148" i="11"/>
  <c r="X149" i="11"/>
  <c r="S164" i="11"/>
  <c r="W42" i="22"/>
  <c r="T157" i="11"/>
  <c r="X36" i="22"/>
  <c r="X37" i="22" s="1"/>
  <c r="X34" i="22"/>
  <c r="U154" i="11"/>
  <c r="U156" i="11" s="1"/>
  <c r="U175" i="11" s="1"/>
  <c r="Y33" i="22"/>
  <c r="V151" i="11"/>
  <c r="V153" i="11" s="1"/>
  <c r="Z27" i="22"/>
  <c r="Z28" i="22" s="1"/>
  <c r="T181" i="11" l="1"/>
  <c r="T179" i="11"/>
  <c r="U180" i="11"/>
  <c r="U178" i="11"/>
  <c r="T160" i="11"/>
  <c r="S183" i="11"/>
  <c r="T176" i="11"/>
  <c r="Z33" i="22"/>
  <c r="V154" i="11"/>
  <c r="V156" i="11" s="1"/>
  <c r="V175" i="11" s="1"/>
  <c r="AB30" i="22"/>
  <c r="AB31" i="22" s="1"/>
  <c r="X148" i="11"/>
  <c r="Y149" i="11"/>
  <c r="Y36" i="22"/>
  <c r="Y37" i="22" s="1"/>
  <c r="Y34" i="22"/>
  <c r="T164" i="11"/>
  <c r="X42" i="22"/>
  <c r="U157" i="11"/>
  <c r="W151" i="11"/>
  <c r="W153" i="11" s="1"/>
  <c r="AA27" i="22"/>
  <c r="AA28" i="22" s="1"/>
  <c r="Y39" i="22"/>
  <c r="Y40" i="22" s="1"/>
  <c r="U161" i="11"/>
  <c r="U162" i="11" s="1"/>
  <c r="U159" i="11"/>
  <c r="U181" i="11" l="1"/>
  <c r="U179" i="11"/>
  <c r="V180" i="11"/>
  <c r="V178" i="11"/>
  <c r="U160" i="11"/>
  <c r="AA33" i="22"/>
  <c r="W154" i="11"/>
  <c r="W156" i="11" s="1"/>
  <c r="W175" i="11" s="1"/>
  <c r="AB27" i="22"/>
  <c r="AB28" i="22" s="1"/>
  <c r="X151" i="11"/>
  <c r="X153" i="11" s="1"/>
  <c r="Z39" i="22"/>
  <c r="Z40" i="22" s="1"/>
  <c r="V161" i="11"/>
  <c r="V162" i="11" s="1"/>
  <c r="V159" i="11"/>
  <c r="U164" i="11"/>
  <c r="Y42" i="22"/>
  <c r="V157" i="11"/>
  <c r="AC30" i="22"/>
  <c r="AC31" i="22" s="1"/>
  <c r="Z149" i="11"/>
  <c r="Y148" i="11"/>
  <c r="Z34" i="22"/>
  <c r="Z36" i="22"/>
  <c r="Z37" i="22" s="1"/>
  <c r="T183" i="11"/>
  <c r="U176" i="11"/>
  <c r="V181" i="11" l="1"/>
  <c r="V179" i="11"/>
  <c r="W180" i="11"/>
  <c r="W178" i="11"/>
  <c r="V160" i="11"/>
  <c r="Y151" i="11"/>
  <c r="Y153" i="11" s="1"/>
  <c r="AC27" i="22"/>
  <c r="AC28" i="22" s="1"/>
  <c r="X154" i="11"/>
  <c r="X156" i="11" s="1"/>
  <c r="X175" i="11" s="1"/>
  <c r="AB33" i="22"/>
  <c r="Z148" i="11"/>
  <c r="AA149" i="11"/>
  <c r="AD30" i="22"/>
  <c r="AD31" i="22" s="1"/>
  <c r="AA39" i="22"/>
  <c r="AA40" i="22" s="1"/>
  <c r="W161" i="11"/>
  <c r="W162" i="11" s="1"/>
  <c r="W159" i="11"/>
  <c r="U183" i="11"/>
  <c r="V176" i="11"/>
  <c r="Z42" i="22"/>
  <c r="V164" i="11"/>
  <c r="W157" i="11"/>
  <c r="AA36" i="22"/>
  <c r="AA37" i="22" s="1"/>
  <c r="AA34" i="22"/>
  <c r="W181" i="11" l="1"/>
  <c r="W179" i="11"/>
  <c r="X178" i="11"/>
  <c r="X180" i="11"/>
  <c r="W160" i="11"/>
  <c r="AC33" i="22"/>
  <c r="Y154" i="11"/>
  <c r="Y156" i="11" s="1"/>
  <c r="Y175" i="11" s="1"/>
  <c r="AB34" i="22"/>
  <c r="AB36" i="22"/>
  <c r="AB37" i="22" s="1"/>
  <c r="AB149" i="11"/>
  <c r="AE30" i="22"/>
  <c r="AE31" i="22" s="1"/>
  <c r="AA148" i="11"/>
  <c r="X161" i="11"/>
  <c r="X162" i="11" s="1"/>
  <c r="X159" i="11"/>
  <c r="AB39" i="22"/>
  <c r="AB40" i="22" s="1"/>
  <c r="W164" i="11"/>
  <c r="AA42" i="22"/>
  <c r="X157" i="11"/>
  <c r="V183" i="11"/>
  <c r="W176" i="11"/>
  <c r="AD27" i="22"/>
  <c r="AD28" i="22" s="1"/>
  <c r="Z151" i="11"/>
  <c r="Z153" i="11" s="1"/>
  <c r="X181" i="11" l="1"/>
  <c r="X179" i="11"/>
  <c r="Y180" i="11"/>
  <c r="Y178" i="11"/>
  <c r="X160" i="11"/>
  <c r="X164" i="11"/>
  <c r="AB42" i="22"/>
  <c r="Y157" i="11"/>
  <c r="AB148" i="11"/>
  <c r="AF30" i="22"/>
  <c r="AF31" i="22" s="1"/>
  <c r="AC149" i="11"/>
  <c r="X176" i="11"/>
  <c r="W183" i="11"/>
  <c r="AC39" i="22"/>
  <c r="AC40" i="22" s="1"/>
  <c r="Y161" i="11"/>
  <c r="Y162" i="11" s="1"/>
  <c r="Y159" i="11"/>
  <c r="AD33" i="22"/>
  <c r="Z154" i="11"/>
  <c r="Z156" i="11" s="1"/>
  <c r="Z175" i="11" s="1"/>
  <c r="AA151" i="11"/>
  <c r="AA153" i="11" s="1"/>
  <c r="AE27" i="22"/>
  <c r="AE28" i="22" s="1"/>
  <c r="AC36" i="22"/>
  <c r="AC37" i="22" s="1"/>
  <c r="AC34" i="22"/>
  <c r="Y181" i="11" l="1"/>
  <c r="Y179" i="11"/>
  <c r="Y160" i="11"/>
  <c r="Z180" i="11"/>
  <c r="Z178" i="11"/>
  <c r="AD39" i="22"/>
  <c r="AD40" i="22" s="1"/>
  <c r="Z159" i="11"/>
  <c r="Z161" i="11"/>
  <c r="Z162" i="11" s="1"/>
  <c r="AF27" i="22"/>
  <c r="AF28" i="22" s="1"/>
  <c r="AB151" i="11"/>
  <c r="AB153" i="11" s="1"/>
  <c r="AD34" i="22"/>
  <c r="AD36" i="22"/>
  <c r="AD37" i="22" s="1"/>
  <c r="Y176" i="11"/>
  <c r="X183" i="11"/>
  <c r="Y164" i="11"/>
  <c r="AC42" i="22"/>
  <c r="Z157" i="11"/>
  <c r="AC148" i="11"/>
  <c r="AG30" i="22"/>
  <c r="AG31" i="22" s="1"/>
  <c r="AD149" i="11"/>
  <c r="AE33" i="22"/>
  <c r="AA154" i="11"/>
  <c r="AA156" i="11" s="1"/>
  <c r="AA175" i="11" s="1"/>
  <c r="Z181" i="11" l="1"/>
  <c r="Z179" i="11"/>
  <c r="Z160" i="11"/>
  <c r="AA180" i="11"/>
  <c r="AA178" i="11"/>
  <c r="AE149" i="11"/>
  <c r="AD148" i="11"/>
  <c r="AH30" i="22"/>
  <c r="AH31" i="22" s="1"/>
  <c r="AA161" i="11"/>
  <c r="AA162" i="11" s="1"/>
  <c r="AE39" i="22"/>
  <c r="AE40" i="22" s="1"/>
  <c r="AA159" i="11"/>
  <c r="AF33" i="22"/>
  <c r="AB154" i="11"/>
  <c r="AB156" i="11" s="1"/>
  <c r="AB175" i="11" s="1"/>
  <c r="AG27" i="22"/>
  <c r="AG28" i="22" s="1"/>
  <c r="AC151" i="11"/>
  <c r="AC153" i="11" s="1"/>
  <c r="AE34" i="22"/>
  <c r="AE36" i="22"/>
  <c r="AE37" i="22" s="1"/>
  <c r="AA157" i="11"/>
  <c r="Z164" i="11"/>
  <c r="AD42" i="22"/>
  <c r="Y183" i="11"/>
  <c r="Z176" i="11"/>
  <c r="AA181" i="11" l="1"/>
  <c r="AA179" i="11"/>
  <c r="AA160" i="11"/>
  <c r="AB178" i="11"/>
  <c r="AB180" i="11"/>
  <c r="AE42" i="22"/>
  <c r="AA164" i="11"/>
  <c r="AB157" i="11"/>
  <c r="AH27" i="22"/>
  <c r="AH28" i="22" s="1"/>
  <c r="AD151" i="11"/>
  <c r="AD153" i="11" s="1"/>
  <c r="AF39" i="22"/>
  <c r="AF40" i="22" s="1"/>
  <c r="AB159" i="11"/>
  <c r="AB161" i="11"/>
  <c r="AB162" i="11" s="1"/>
  <c r="AI30" i="22"/>
  <c r="AI31" i="22" s="1"/>
  <c r="AF149" i="11"/>
  <c r="AE148" i="11"/>
  <c r="Z183" i="11"/>
  <c r="AA176" i="11"/>
  <c r="AF34" i="22"/>
  <c r="AF36" i="22"/>
  <c r="AF37" i="22" s="1"/>
  <c r="AG33" i="22"/>
  <c r="AC154" i="11"/>
  <c r="AC156" i="11" s="1"/>
  <c r="AC175" i="11" s="1"/>
  <c r="AB181" i="11" l="1"/>
  <c r="AB179" i="11"/>
  <c r="AB160" i="11"/>
  <c r="AC180" i="11"/>
  <c r="AC178" i="11"/>
  <c r="AA183" i="11"/>
  <c r="AB176" i="11"/>
  <c r="AH33" i="22"/>
  <c r="AD154" i="11"/>
  <c r="AD156" i="11" s="1"/>
  <c r="AD175" i="11" s="1"/>
  <c r="AG39" i="22"/>
  <c r="AG40" i="22" s="1"/>
  <c r="AC159" i="11"/>
  <c r="AC161" i="11"/>
  <c r="AC162" i="11" s="1"/>
  <c r="AG36" i="22"/>
  <c r="AG37" i="22" s="1"/>
  <c r="AG34" i="22"/>
  <c r="AE151" i="11"/>
  <c r="AE153" i="11" s="1"/>
  <c r="AI27" i="22"/>
  <c r="AI28" i="22" s="1"/>
  <c r="AB164" i="11"/>
  <c r="AC157" i="11"/>
  <c r="AF42" i="22"/>
  <c r="AF148" i="11"/>
  <c r="AJ30" i="22"/>
  <c r="AJ31" i="22" s="1"/>
  <c r="C31" i="22" s="1"/>
  <c r="A31" i="22" s="1"/>
  <c r="AG149" i="11"/>
  <c r="AC181" i="11" l="1"/>
  <c r="AC179" i="11"/>
  <c r="AC160" i="11"/>
  <c r="AD180" i="11"/>
  <c r="AD178" i="11"/>
  <c r="AH39" i="22"/>
  <c r="AH40" i="22" s="1"/>
  <c r="AD161" i="11"/>
  <c r="AD162" i="11" s="1"/>
  <c r="AD159" i="11"/>
  <c r="AH34" i="22"/>
  <c r="AH36" i="22"/>
  <c r="AH37" i="22" s="1"/>
  <c r="AF151" i="11"/>
  <c r="AF153" i="11" s="1"/>
  <c r="AJ27" i="22"/>
  <c r="AJ28" i="22" s="1"/>
  <c r="C28" i="22" s="1"/>
  <c r="A28" i="22" s="1"/>
  <c r="AB183" i="11"/>
  <c r="AC176" i="11"/>
  <c r="AK30" i="22"/>
  <c r="AH149" i="11"/>
  <c r="AG148" i="11"/>
  <c r="AG42" i="22"/>
  <c r="AC164" i="11"/>
  <c r="AD157" i="11"/>
  <c r="AI33" i="22"/>
  <c r="AE154" i="11"/>
  <c r="AE156" i="11" s="1"/>
  <c r="AE175" i="11" s="1"/>
  <c r="AD181" i="11" l="1"/>
  <c r="AD179" i="11"/>
  <c r="AD160" i="11"/>
  <c r="AE165" i="11"/>
  <c r="AC183" i="11"/>
  <c r="AD176" i="11"/>
  <c r="AI34" i="22"/>
  <c r="AI36" i="22"/>
  <c r="AI37" i="22" s="1"/>
  <c r="AK27" i="22"/>
  <c r="AG151" i="11"/>
  <c r="AG153" i="11" s="1"/>
  <c r="AF154" i="11"/>
  <c r="AF156" i="11" s="1"/>
  <c r="AF175" i="11" s="1"/>
  <c r="AJ33" i="22"/>
  <c r="AE184" i="11"/>
  <c r="AE159" i="11"/>
  <c r="AI39" i="22"/>
  <c r="AI40" i="22" s="1"/>
  <c r="AE161" i="11"/>
  <c r="AE162" i="11" s="1"/>
  <c r="AH42" i="22"/>
  <c r="AD164" i="11"/>
  <c r="AE157" i="11"/>
  <c r="AL30" i="22"/>
  <c r="AI149" i="11"/>
  <c r="AH148" i="11"/>
  <c r="AE160" i="11" l="1"/>
  <c r="AE180" i="11"/>
  <c r="AE181" i="11" s="1"/>
  <c r="AE178" i="11"/>
  <c r="AE179" i="11" s="1"/>
  <c r="AF178" i="11"/>
  <c r="AF180" i="11"/>
  <c r="AJ36" i="22"/>
  <c r="AJ37" i="22" s="1"/>
  <c r="C37" i="22" s="1"/>
  <c r="A37" i="22" s="1"/>
  <c r="AJ34" i="22"/>
  <c r="C34" i="22" s="1"/>
  <c r="AF161" i="11"/>
  <c r="AF162" i="11" s="1"/>
  <c r="AJ39" i="22"/>
  <c r="AJ40" i="22" s="1"/>
  <c r="AF159" i="11"/>
  <c r="AF160" i="11" s="1"/>
  <c r="AF165" i="11"/>
  <c r="AL27" i="22"/>
  <c r="AH151" i="11"/>
  <c r="AH153" i="11" s="1"/>
  <c r="AM30" i="22"/>
  <c r="AI148" i="11"/>
  <c r="AJ149" i="11"/>
  <c r="AK33" i="22"/>
  <c r="AK36" i="22" s="1"/>
  <c r="AG154" i="11"/>
  <c r="AG156" i="11" s="1"/>
  <c r="AG175" i="11" s="1"/>
  <c r="AE164" i="11"/>
  <c r="AI42" i="22"/>
  <c r="AF157" i="11"/>
  <c r="AD183" i="11"/>
  <c r="AE176" i="11"/>
  <c r="AF179" i="11" l="1"/>
  <c r="AF181" i="11"/>
  <c r="AG180" i="11"/>
  <c r="AG178" i="11"/>
  <c r="A34" i="22"/>
  <c r="AE183" i="11"/>
  <c r="AF176" i="11"/>
  <c r="AK39" i="22"/>
  <c r="AK40" i="22" s="1"/>
  <c r="C40" i="22" s="1"/>
  <c r="A40" i="22" s="1"/>
  <c r="AG159" i="11"/>
  <c r="AG160" i="11" s="1"/>
  <c r="AG161" i="11"/>
  <c r="AG162" i="11" s="1"/>
  <c r="AJ148" i="11"/>
  <c r="AN30" i="22"/>
  <c r="AK149" i="11"/>
  <c r="AF184" i="11"/>
  <c r="AG157" i="11"/>
  <c r="AF164" i="11"/>
  <c r="AJ42" i="22"/>
  <c r="AM27" i="22"/>
  <c r="AI151" i="11"/>
  <c r="AI153" i="11" s="1"/>
  <c r="AL33" i="22"/>
  <c r="AL36" i="22" s="1"/>
  <c r="AH154" i="11"/>
  <c r="AH156" i="11" s="1"/>
  <c r="AH175" i="11" s="1"/>
  <c r="AG179" i="11" l="1"/>
  <c r="AG181" i="11"/>
  <c r="AH180" i="11"/>
  <c r="AH178" i="11"/>
  <c r="AF183" i="11"/>
  <c r="AG176" i="11"/>
  <c r="AI154" i="11"/>
  <c r="AI156" i="11" s="1"/>
  <c r="AI175" i="11" s="1"/>
  <c r="AM33" i="22"/>
  <c r="AM36" i="22" s="1"/>
  <c r="AK42" i="22"/>
  <c r="AG164" i="11"/>
  <c r="AH157" i="11"/>
  <c r="AJ151" i="11"/>
  <c r="AJ153" i="11" s="1"/>
  <c r="AN27" i="22"/>
  <c r="AH159" i="11"/>
  <c r="AH160" i="11" s="1"/>
  <c r="AL39" i="22"/>
  <c r="AH161" i="11"/>
  <c r="AH162" i="11" s="1"/>
  <c r="AK148" i="11"/>
  <c r="AO30" i="22"/>
  <c r="AL149" i="11"/>
  <c r="AH179" i="11" l="1"/>
  <c r="AH181" i="11"/>
  <c r="AI180" i="11"/>
  <c r="AI178" i="11"/>
  <c r="AI179" i="11" s="1"/>
  <c r="AG183" i="11"/>
  <c r="AH176" i="11"/>
  <c r="AJ154" i="11"/>
  <c r="AJ156" i="11" s="1"/>
  <c r="AJ175" i="11" s="1"/>
  <c r="AN33" i="22"/>
  <c r="AN36" i="22" s="1"/>
  <c r="AK151" i="11"/>
  <c r="AK153" i="11" s="1"/>
  <c r="AO27" i="22"/>
  <c r="AP30" i="22"/>
  <c r="AL148" i="11"/>
  <c r="AM149" i="11"/>
  <c r="AH164" i="11"/>
  <c r="AL42" i="22"/>
  <c r="AI157" i="11"/>
  <c r="AM39" i="22"/>
  <c r="AI161" i="11"/>
  <c r="AI162" i="11" s="1"/>
  <c r="AI159" i="11"/>
  <c r="AI160" i="11" s="1"/>
  <c r="AI181" i="11" l="1"/>
  <c r="AJ178" i="11"/>
  <c r="AJ179" i="11" s="1"/>
  <c r="AJ180" i="11"/>
  <c r="AM148" i="11"/>
  <c r="AQ30" i="22"/>
  <c r="AN149" i="11"/>
  <c r="AK154" i="11"/>
  <c r="AK156" i="11" s="1"/>
  <c r="AK175" i="11" s="1"/>
  <c r="AO33" i="22"/>
  <c r="AO36" i="22" s="1"/>
  <c r="AM42" i="22"/>
  <c r="AI164" i="11"/>
  <c r="AJ157" i="11"/>
  <c r="AL151" i="11"/>
  <c r="AL153" i="11" s="1"/>
  <c r="AP27" i="22"/>
  <c r="AJ159" i="11"/>
  <c r="AJ160" i="11" s="1"/>
  <c r="AJ161" i="11"/>
  <c r="AJ162" i="11" s="1"/>
  <c r="AN39" i="22"/>
  <c r="AH183" i="11"/>
  <c r="AI176" i="11"/>
  <c r="AJ181" i="11" l="1"/>
  <c r="AK165" i="11"/>
  <c r="AK184" i="11"/>
  <c r="AO39" i="22"/>
  <c r="AK161" i="11"/>
  <c r="AK162" i="11" s="1"/>
  <c r="AK159" i="11"/>
  <c r="AK160" i="11" s="1"/>
  <c r="AR30" i="22"/>
  <c r="AN148" i="11"/>
  <c r="AO149" i="11"/>
  <c r="AN42" i="22"/>
  <c r="AJ164" i="11"/>
  <c r="AK157" i="11"/>
  <c r="AI183" i="11"/>
  <c r="AJ176" i="11"/>
  <c r="AP33" i="22"/>
  <c r="AP36" i="22" s="1"/>
  <c r="AL154" i="11"/>
  <c r="AL156" i="11" s="1"/>
  <c r="AL175" i="11" s="1"/>
  <c r="AQ27" i="22"/>
  <c r="AM151" i="11"/>
  <c r="AM153" i="11" s="1"/>
  <c r="AL180" i="11" l="1"/>
  <c r="AL178" i="11"/>
  <c r="AK180" i="11"/>
  <c r="AK181" i="11" s="1"/>
  <c r="AK178" i="11"/>
  <c r="AK179" i="11" s="1"/>
  <c r="AJ183" i="11"/>
  <c r="AK176" i="11"/>
  <c r="AS30" i="22"/>
  <c r="AO148" i="11"/>
  <c r="AP149" i="11"/>
  <c r="AL161" i="11"/>
  <c r="AL162" i="11" s="1"/>
  <c r="AP39" i="22"/>
  <c r="AL159" i="11"/>
  <c r="AL160" i="11" s="1"/>
  <c r="AQ33" i="22"/>
  <c r="AQ36" i="22" s="1"/>
  <c r="AM154" i="11"/>
  <c r="AM156" i="11" s="1"/>
  <c r="AM175" i="11" s="1"/>
  <c r="AR27" i="22"/>
  <c r="AN151" i="11"/>
  <c r="AN153" i="11" s="1"/>
  <c r="AK164" i="11"/>
  <c r="AO42" i="22"/>
  <c r="AL157" i="11"/>
  <c r="AL179" i="11" l="1"/>
  <c r="AL181" i="11"/>
  <c r="AM180" i="11"/>
  <c r="AM178" i="11"/>
  <c r="AS27" i="22"/>
  <c r="AO151" i="11"/>
  <c r="AO153" i="11" s="1"/>
  <c r="AL164" i="11"/>
  <c r="AP42" i="22"/>
  <c r="AM157" i="11"/>
  <c r="AM159" i="11"/>
  <c r="AM160" i="11" s="1"/>
  <c r="AQ39" i="22"/>
  <c r="AM161" i="11"/>
  <c r="AM162" i="11" s="1"/>
  <c r="AK183" i="11"/>
  <c r="AL176" i="11"/>
  <c r="AN154" i="11"/>
  <c r="AN156" i="11" s="1"/>
  <c r="AN175" i="11" s="1"/>
  <c r="AR33" i="22"/>
  <c r="AR36" i="22" s="1"/>
  <c r="AT30" i="22"/>
  <c r="AP148" i="11"/>
  <c r="AQ149" i="11"/>
  <c r="AM179" i="11" l="1"/>
  <c r="AM181" i="11"/>
  <c r="AN178" i="11"/>
  <c r="AN179" i="11" s="1"/>
  <c r="AN180" i="11"/>
  <c r="AR39" i="22"/>
  <c r="AN161" i="11"/>
  <c r="AN162" i="11" s="1"/>
  <c r="AN159" i="11"/>
  <c r="AN160" i="11" s="1"/>
  <c r="AL183" i="11"/>
  <c r="AM176" i="11"/>
  <c r="AO154" i="11"/>
  <c r="AO156" i="11" s="1"/>
  <c r="AO175" i="11" s="1"/>
  <c r="AS33" i="22"/>
  <c r="AS36" i="22" s="1"/>
  <c r="AQ148" i="11"/>
  <c r="AU30" i="22"/>
  <c r="AR149" i="11"/>
  <c r="AT27" i="22"/>
  <c r="AP151" i="11"/>
  <c r="AP153" i="11" s="1"/>
  <c r="AQ42" i="22"/>
  <c r="AM164" i="11"/>
  <c r="AN157" i="11"/>
  <c r="AN181" i="11" l="1"/>
  <c r="AO180" i="11"/>
  <c r="AO178" i="11"/>
  <c r="AO179" i="11" s="1"/>
  <c r="AO159" i="11"/>
  <c r="AO160" i="11" s="1"/>
  <c r="AO161" i="11"/>
  <c r="AO162" i="11" s="1"/>
  <c r="AS39" i="22"/>
  <c r="AV30" i="22"/>
  <c r="AR148" i="11"/>
  <c r="AS149" i="11"/>
  <c r="AN164" i="11"/>
  <c r="AO157" i="11"/>
  <c r="AR42" i="22"/>
  <c r="AM183" i="11"/>
  <c r="AN176" i="11"/>
  <c r="AP154" i="11"/>
  <c r="AP156" i="11" s="1"/>
  <c r="AP175" i="11" s="1"/>
  <c r="AT33" i="22"/>
  <c r="AT36" i="22" s="1"/>
  <c r="AU27" i="22"/>
  <c r="AQ151" i="11"/>
  <c r="AQ153" i="11" s="1"/>
  <c r="AO181" i="11" l="1"/>
  <c r="AP180" i="11"/>
  <c r="AP178" i="11"/>
  <c r="AP179" i="11" s="1"/>
  <c r="AN183" i="11"/>
  <c r="AO176" i="11"/>
  <c r="AW30" i="22"/>
  <c r="AS148" i="11"/>
  <c r="AT149" i="11"/>
  <c r="AV27" i="22"/>
  <c r="AR151" i="11"/>
  <c r="AR153" i="11" s="1"/>
  <c r="AU33" i="22"/>
  <c r="AU36" i="22" s="1"/>
  <c r="AQ154" i="11"/>
  <c r="AQ156" i="11" s="1"/>
  <c r="AQ175" i="11" s="1"/>
  <c r="AP159" i="11"/>
  <c r="AP160" i="11" s="1"/>
  <c r="AP161" i="11"/>
  <c r="AP162" i="11" s="1"/>
  <c r="AT39" i="22"/>
  <c r="AP157" i="11"/>
  <c r="AO164" i="11"/>
  <c r="AS42" i="22"/>
  <c r="AP181" i="11" l="1"/>
  <c r="AQ178" i="11"/>
  <c r="AQ179" i="11" s="1"/>
  <c r="AQ180" i="11"/>
  <c r="AW27" i="22"/>
  <c r="AS151" i="11"/>
  <c r="AS153" i="11" s="1"/>
  <c r="AT42" i="22"/>
  <c r="AP164" i="11"/>
  <c r="AQ157" i="11"/>
  <c r="AR154" i="11"/>
  <c r="AR156" i="11" s="1"/>
  <c r="AR175" i="11" s="1"/>
  <c r="AV33" i="22"/>
  <c r="AV36" i="22" s="1"/>
  <c r="AO183" i="11"/>
  <c r="AP176" i="11"/>
  <c r="AU39" i="22"/>
  <c r="AQ161" i="11"/>
  <c r="AQ162" i="11" s="1"/>
  <c r="AQ159" i="11"/>
  <c r="AQ160" i="11" s="1"/>
  <c r="AX30" i="22"/>
  <c r="AT148" i="11"/>
  <c r="AU149" i="11"/>
  <c r="AQ181" i="11" l="1"/>
  <c r="AR178" i="11"/>
  <c r="AR179" i="11" s="1"/>
  <c r="AR180" i="11"/>
  <c r="AR157" i="11"/>
  <c r="AQ164" i="11"/>
  <c r="AU42" i="22"/>
  <c r="AQ176" i="11"/>
  <c r="AP183" i="11"/>
  <c r="AY30" i="22"/>
  <c r="AU148" i="11"/>
  <c r="AV149" i="11"/>
  <c r="AX27" i="22"/>
  <c r="AT151" i="11"/>
  <c r="AT153" i="11" s="1"/>
  <c r="AR161" i="11"/>
  <c r="AR162" i="11" s="1"/>
  <c r="AR159" i="11"/>
  <c r="AR160" i="11" s="1"/>
  <c r="AV39" i="22"/>
  <c r="AW33" i="22"/>
  <c r="AW36" i="22" s="1"/>
  <c r="AS154" i="11"/>
  <c r="AS156" i="11" s="1"/>
  <c r="AS175" i="11" s="1"/>
  <c r="AR181" i="11" l="1"/>
  <c r="AS180" i="11"/>
  <c r="AS178" i="11"/>
  <c r="AS179" i="11" s="1"/>
  <c r="AT154" i="11"/>
  <c r="AT156" i="11" s="1"/>
  <c r="AT175" i="11" s="1"/>
  <c r="AX33" i="22"/>
  <c r="AX36" i="22" s="1"/>
  <c r="AV42" i="22"/>
  <c r="AS157" i="11"/>
  <c r="AR164" i="11"/>
  <c r="AW39" i="22"/>
  <c r="AS159" i="11"/>
  <c r="AS160" i="11" s="1"/>
  <c r="AS161" i="11"/>
  <c r="AS162" i="11" s="1"/>
  <c r="AZ30" i="22"/>
  <c r="AV148" i="11"/>
  <c r="AW149" i="11"/>
  <c r="AU151" i="11"/>
  <c r="AU153" i="11" s="1"/>
  <c r="AY27" i="22"/>
  <c r="AQ183" i="11"/>
  <c r="AR176" i="11"/>
  <c r="AS181" i="11" l="1"/>
  <c r="AT180" i="11"/>
  <c r="AT178" i="11"/>
  <c r="AT179" i="11" s="1"/>
  <c r="BA30" i="22"/>
  <c r="AX149" i="11"/>
  <c r="AW148" i="11"/>
  <c r="AT157" i="11"/>
  <c r="AW42" i="22"/>
  <c r="AS164" i="11"/>
  <c r="AV151" i="11"/>
  <c r="AV153" i="11" s="1"/>
  <c r="AZ27" i="22"/>
  <c r="AU154" i="11"/>
  <c r="AU156" i="11" s="1"/>
  <c r="AU175" i="11" s="1"/>
  <c r="AY33" i="22"/>
  <c r="AY36" i="22" s="1"/>
  <c r="AR183" i="11"/>
  <c r="AS176" i="11"/>
  <c r="AT159" i="11"/>
  <c r="AT160" i="11" s="1"/>
  <c r="AX39" i="22"/>
  <c r="AT161" i="11"/>
  <c r="AT162" i="11" s="1"/>
  <c r="AT181" i="11" l="1"/>
  <c r="AU180" i="11"/>
  <c r="AU178" i="11"/>
  <c r="AU179" i="11" s="1"/>
  <c r="AV154" i="11"/>
  <c r="AV156" i="11" s="1"/>
  <c r="AV175" i="11" s="1"/>
  <c r="AZ33" i="22"/>
  <c r="AZ36" i="22" s="1"/>
  <c r="AU157" i="11"/>
  <c r="AT164" i="11"/>
  <c r="AX42" i="22"/>
  <c r="BB30" i="22"/>
  <c r="AX148" i="11"/>
  <c r="AY149" i="11"/>
  <c r="AU161" i="11"/>
  <c r="AU162" i="11" s="1"/>
  <c r="AU159" i="11"/>
  <c r="AU160" i="11" s="1"/>
  <c r="AY39" i="22"/>
  <c r="AS183" i="11"/>
  <c r="AT176" i="11"/>
  <c r="BA27" i="22"/>
  <c r="AW151" i="11"/>
  <c r="AW153" i="11" s="1"/>
  <c r="AU181" i="11" l="1"/>
  <c r="AV178" i="11"/>
  <c r="AV179" i="11" s="1"/>
  <c r="AV180" i="11"/>
  <c r="AZ39" i="22"/>
  <c r="AV161" i="11"/>
  <c r="AV162" i="11" s="1"/>
  <c r="AV159" i="11"/>
  <c r="AV160" i="11" s="1"/>
  <c r="BC30" i="22"/>
  <c r="AY148" i="11"/>
  <c r="AZ149" i="11"/>
  <c r="AT183" i="11"/>
  <c r="AU176" i="11"/>
  <c r="BB27" i="22"/>
  <c r="AX151" i="11"/>
  <c r="AX153" i="11" s="1"/>
  <c r="AU164" i="11"/>
  <c r="AY42" i="22"/>
  <c r="AV157" i="11"/>
  <c r="AW154" i="11"/>
  <c r="AW156" i="11" s="1"/>
  <c r="AW175" i="11" s="1"/>
  <c r="BA33" i="22"/>
  <c r="BA36" i="22" s="1"/>
  <c r="AV181" i="11" l="1"/>
  <c r="AW180" i="11"/>
  <c r="AW178" i="11"/>
  <c r="AW179" i="11" s="1"/>
  <c r="BA39" i="22"/>
  <c r="AW161" i="11"/>
  <c r="AW162" i="11" s="1"/>
  <c r="AW159" i="11"/>
  <c r="AW160" i="11" s="1"/>
  <c r="BD30" i="22"/>
  <c r="BA149" i="11"/>
  <c r="AZ148" i="11"/>
  <c r="BB33" i="22"/>
  <c r="BB36" i="22" s="1"/>
  <c r="AX154" i="11"/>
  <c r="AX156" i="11" s="1"/>
  <c r="AX175" i="11" s="1"/>
  <c r="AZ42" i="22"/>
  <c r="AV164" i="11"/>
  <c r="AW157" i="11"/>
  <c r="AY151" i="11"/>
  <c r="AY153" i="11" s="1"/>
  <c r="BC27" i="22"/>
  <c r="AU183" i="11"/>
  <c r="AV176" i="11"/>
  <c r="AW181" i="11" l="1"/>
  <c r="AX180" i="11"/>
  <c r="AX181" i="11" s="1"/>
  <c r="AX178" i="11"/>
  <c r="AX179" i="11" s="1"/>
  <c r="BA42" i="22"/>
  <c r="AX157" i="11"/>
  <c r="AW164" i="11"/>
  <c r="BD27" i="22"/>
  <c r="AZ151" i="11"/>
  <c r="AZ153" i="11" s="1"/>
  <c r="AV183" i="11"/>
  <c r="AW176" i="11"/>
  <c r="BE30" i="22"/>
  <c r="BB149" i="11"/>
  <c r="BA148" i="11"/>
  <c r="AY154" i="11"/>
  <c r="AY156" i="11" s="1"/>
  <c r="AY175" i="11" s="1"/>
  <c r="BC33" i="22"/>
  <c r="BC36" i="22" s="1"/>
  <c r="BB39" i="22"/>
  <c r="AX159" i="11"/>
  <c r="AX160" i="11" s="1"/>
  <c r="AX161" i="11"/>
  <c r="AX162" i="11" s="1"/>
  <c r="AY180" i="11" l="1"/>
  <c r="AY181" i="11" s="1"/>
  <c r="AY178" i="11"/>
  <c r="AY179" i="11" s="1"/>
  <c r="AY159" i="11"/>
  <c r="AY160" i="11" s="1"/>
  <c r="AY161" i="11"/>
  <c r="AY162" i="11" s="1"/>
  <c r="BC39" i="22"/>
  <c r="AX176" i="11"/>
  <c r="AW183" i="11"/>
  <c r="BA151" i="11"/>
  <c r="BA153" i="11" s="1"/>
  <c r="BE27" i="22"/>
  <c r="BB42" i="22"/>
  <c r="AX164" i="11"/>
  <c r="AY157" i="11"/>
  <c r="BF30" i="22"/>
  <c r="BB148" i="11"/>
  <c r="BC149" i="11"/>
  <c r="BD33" i="22"/>
  <c r="BD36" i="22" s="1"/>
  <c r="AZ154" i="11"/>
  <c r="AZ156" i="11" s="1"/>
  <c r="AZ175" i="11" s="1"/>
  <c r="AZ178" i="11" l="1"/>
  <c r="AZ179" i="11" s="1"/>
  <c r="AZ180" i="11"/>
  <c r="AZ181" i="11" s="1"/>
  <c r="BG30" i="22"/>
  <c r="C30" i="22" s="1"/>
  <c r="A30" i="22" s="1"/>
  <c r="F48" i="22" s="1"/>
  <c r="C48" i="22" s="1"/>
  <c r="BC148" i="11"/>
  <c r="BB151" i="11"/>
  <c r="BB153" i="11" s="1"/>
  <c r="BF27" i="22"/>
  <c r="AX183" i="11"/>
  <c r="AY176" i="11"/>
  <c r="BD39" i="22"/>
  <c r="AZ161" i="11"/>
  <c r="AZ162" i="11" s="1"/>
  <c r="AZ159" i="11"/>
  <c r="AZ160" i="11" s="1"/>
  <c r="AY164" i="11"/>
  <c r="BC42" i="22"/>
  <c r="AZ157" i="11"/>
  <c r="BE33" i="22"/>
  <c r="BE36" i="22" s="1"/>
  <c r="BA154" i="11"/>
  <c r="BA156" i="11" s="1"/>
  <c r="BA175" i="11" s="1"/>
  <c r="BA180" i="11" l="1"/>
  <c r="BA181" i="11" s="1"/>
  <c r="BA178" i="11"/>
  <c r="BA179" i="11" s="1"/>
  <c r="AZ164" i="11"/>
  <c r="BA157" i="11"/>
  <c r="BD42" i="22"/>
  <c r="BF33" i="22"/>
  <c r="BF36" i="22" s="1"/>
  <c r="BB154" i="11"/>
  <c r="BB156" i="11" s="1"/>
  <c r="BB175" i="11" s="1"/>
  <c r="AY183" i="11"/>
  <c r="AZ176" i="11"/>
  <c r="BA159" i="11"/>
  <c r="BA160" i="11" s="1"/>
  <c r="BA161" i="11"/>
  <c r="BA162" i="11" s="1"/>
  <c r="BE39" i="22"/>
  <c r="BG27" i="22"/>
  <c r="C27" i="22" s="1"/>
  <c r="A27" i="22" s="1"/>
  <c r="BC151" i="11"/>
  <c r="BC153" i="11" s="1"/>
  <c r="BB180" i="11" l="1"/>
  <c r="BB181" i="11" s="1"/>
  <c r="BB178" i="11"/>
  <c r="BB179" i="11" s="1"/>
  <c r="A42" i="22"/>
  <c r="F46" i="22"/>
  <c r="C46" i="22" s="1"/>
  <c r="BG33" i="22"/>
  <c r="BC154" i="11"/>
  <c r="BC156" i="11" s="1"/>
  <c r="BC175" i="11" s="1"/>
  <c r="BA176" i="11"/>
  <c r="AZ183" i="11"/>
  <c r="BA164" i="11"/>
  <c r="BB157" i="11"/>
  <c r="BE42" i="22"/>
  <c r="BB159" i="11"/>
  <c r="BB160" i="11" s="1"/>
  <c r="BF39" i="22"/>
  <c r="BB161" i="11"/>
  <c r="BB162" i="11" s="1"/>
  <c r="BC184" i="11" l="1"/>
  <c r="H9" i="11" s="1"/>
  <c r="BC165" i="11"/>
  <c r="G9" i="11" s="1"/>
  <c r="BB176" i="11"/>
  <c r="BA183" i="11"/>
  <c r="BC157" i="11"/>
  <c r="BB164" i="11"/>
  <c r="BF42" i="22"/>
  <c r="BG39" i="22"/>
  <c r="C39" i="22" s="1"/>
  <c r="BC161" i="11"/>
  <c r="BC159" i="11"/>
  <c r="G8" i="11" s="1"/>
  <c r="BG36" i="22"/>
  <c r="C36" i="22" s="1"/>
  <c r="C92" i="22" s="1"/>
  <c r="C33" i="22"/>
  <c r="BC180" i="11" l="1"/>
  <c r="BC181" i="11" s="1"/>
  <c r="BC178" i="11"/>
  <c r="G10" i="11"/>
  <c r="M27" i="11"/>
  <c r="H10" i="11"/>
  <c r="H28" i="8"/>
  <c r="BC162" i="11"/>
  <c r="A39" i="22"/>
  <c r="A33" i="22"/>
  <c r="A36" i="22"/>
  <c r="G14" i="11"/>
  <c r="R26" i="11" s="1"/>
  <c r="BG42" i="22"/>
  <c r="BC164" i="11"/>
  <c r="BC176" i="11"/>
  <c r="BB183" i="11"/>
  <c r="BC160" i="11"/>
  <c r="BC179" i="11" l="1"/>
  <c r="H8" i="11"/>
  <c r="H27" i="8" s="1"/>
  <c r="H14" i="11"/>
  <c r="H29" i="8" s="1"/>
  <c r="C81" i="22"/>
  <c r="C99" i="22" s="1"/>
  <c r="A43" i="22"/>
  <c r="A44" i="22" s="1"/>
  <c r="F51" i="22"/>
  <c r="C51" i="22" s="1"/>
  <c r="F49" i="22"/>
  <c r="F92" i="22"/>
  <c r="BC183" i="11"/>
  <c r="M26" i="11"/>
  <c r="G13" i="11"/>
  <c r="M28" i="11" s="1"/>
  <c r="G12" i="11"/>
  <c r="F53" i="22" l="1"/>
  <c r="F81" i="22"/>
  <c r="F99" i="22"/>
  <c r="C95" i="22"/>
  <c r="H12" i="11"/>
  <c r="H13" i="11"/>
  <c r="H26" i="8" s="1"/>
  <c r="H99" i="22" l="1"/>
  <c r="H92" i="22"/>
  <c r="H61" i="22"/>
  <c r="H88" i="22"/>
  <c r="H78" i="22"/>
  <c r="H57" i="22"/>
  <c r="H79" i="22"/>
  <c r="H81" i="22"/>
  <c r="C49" i="22"/>
  <c r="C53" i="2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author>Particular</author>
  </authors>
  <commentList>
    <comment ref="E9" authorId="0" shapeId="0" xr:uid="{00000000-0006-0000-0100-000001000000}">
      <text>
        <r>
          <rPr>
            <sz val="11"/>
            <color rgb="FF000000"/>
            <rFont val="Calibri"/>
            <family val="2"/>
          </rPr>
          <t xml:space="preserve">A geração </t>
        </r>
        <r>
          <rPr>
            <i/>
            <sz val="11"/>
            <color rgb="FF000000"/>
            <rFont val="Calibri"/>
            <family val="2"/>
          </rPr>
          <t>per capita</t>
        </r>
        <r>
          <rPr>
            <sz val="11"/>
            <color rgb="FF000000"/>
            <rFont val="Calibri"/>
            <family val="2"/>
          </rPr>
          <t xml:space="preserve"> informada deve ter como base os dias úteis de coleta, ou seja, 6 dias por semana OU 26,08 dias por mês OU 313 dias por ano.
</t>
        </r>
        <r>
          <rPr>
            <sz val="11"/>
            <color rgb="FF000000"/>
            <rFont val="Calibri"/>
            <family val="2"/>
          </rPr>
          <t xml:space="preserve">Além disso, fica a critério do usuário simular somente resíduos domiciliares (RDO) ou a totalidade dos resíduos urbanos (RSU).
</t>
        </r>
        <r>
          <rPr>
            <sz val="11"/>
            <color rgb="FF000000"/>
            <rFont val="Calibri"/>
            <family val="2"/>
          </rPr>
          <t>É importante considerar que, na tabela de composição gravimétrica, as porcentagens devem refletir a composição dos resíduos simulados (RDO ou RSU).</t>
        </r>
      </text>
    </comment>
    <comment ref="E10" authorId="0" shapeId="0" xr:uid="{00000000-0006-0000-0100-000002000000}">
      <text>
        <r>
          <rPr>
            <sz val="11"/>
            <color rgb="FF000000"/>
            <rFont val="Calibri"/>
            <family val="2"/>
          </rPr>
          <t>A massa total por dia informada deve ter como base os dias úteis de coleta, ou seja, 6 dias por semana OU 26,08 dias por mês OU 313 dias por ano.</t>
        </r>
      </text>
    </comment>
    <comment ref="C16" authorId="1" shapeId="0" xr:uid="{00000000-0006-0000-0100-000003000000}">
      <text>
        <r>
          <rPr>
            <sz val="9"/>
            <color indexed="81"/>
            <rFont val="Segoe UI"/>
            <family val="2"/>
          </rPr>
          <t xml:space="preserve">A composição gravimétrica deve represtar a tortalidade da massa de resíduos sólidos para qual a presenta rota tecnológica está sendo simulada (massa que consta em </t>
        </r>
        <r>
          <rPr>
            <b/>
            <i/>
            <sz val="9"/>
            <color indexed="81"/>
            <rFont val="Segoe UI"/>
            <family val="2"/>
          </rPr>
          <t>E14</t>
        </r>
        <r>
          <rPr>
            <sz val="9"/>
            <color indexed="81"/>
            <rFont val="Segoe UI"/>
            <family val="2"/>
          </rPr>
          <t xml:space="preserve">).
</t>
        </r>
      </text>
    </comment>
    <comment ref="F20" authorId="0" shapeId="0" xr:uid="{00000000-0006-0000-0100-000004000000}">
      <text>
        <r>
          <rPr>
            <sz val="11"/>
            <color rgb="FF000000"/>
            <rFont val="Calibri"/>
            <family val="2"/>
          </rPr>
          <t>A composição gravimétrica fornecida deve incluir a totalidade dos resíduos a ser simulada na ROTA (domiciliares das coletas convencional e seletiva mais os públicos e os comercias — quando estes últimos dois estiverem incluídos na geração per capita fornecida em E12).</t>
        </r>
      </text>
    </comment>
    <comment ref="F21" authorId="0" shapeId="0" xr:uid="{00000000-0006-0000-0100-000005000000}">
      <text>
        <r>
          <rPr>
            <sz val="11"/>
            <color rgb="FF000000"/>
            <rFont val="Calibri"/>
            <family val="2"/>
          </rPr>
          <t xml:space="preserve">O "padrão Brasil" refere-se à gravimetria dos resíduos sólidos domiciliares.
</t>
        </r>
        <r>
          <rPr>
            <sz val="11"/>
            <color rgb="FF000000"/>
            <rFont val="Calibri"/>
            <family val="2"/>
          </rPr>
          <t>Para simulção de RSU, entrar com a composição ponderada da soma desses resíduos (domiciliares + públicos + comerciais).</t>
        </r>
      </text>
    </comment>
    <comment ref="D26" authorId="1" shapeId="0" xr:uid="{00000000-0006-0000-0100-000006000000}">
      <text>
        <r>
          <rPr>
            <sz val="9"/>
            <color indexed="81"/>
            <rFont val="Segoe UI"/>
            <family val="2"/>
          </rPr>
          <t xml:space="preserve"> Lembre-se de que a composição gravimétrica a inserir em D26 a D39 deve representar a massa total de resíduos da rota tecnológica que está sendo avaliada.
Assim, se na massa total informada em E14 estiverem os resíduos domiciliares, os resíduos de podas e os resíduos da limpeza urbana, a composição aqui informada deve representar esta composição relativa.</t>
        </r>
      </text>
    </comment>
    <comment ref="C28" authorId="0" shapeId="0" xr:uid="{00000000-0006-0000-0100-000007000000}">
      <text>
        <r>
          <rPr>
            <sz val="11"/>
            <color rgb="FF000000"/>
            <rFont val="Calibri"/>
            <family val="2"/>
          </rPr>
          <t>Inclui embalagens multicamada ou tipo longa vida</t>
        </r>
      </text>
    </comment>
    <comment ref="C39" authorId="0" shapeId="0" xr:uid="{00000000-0006-0000-0100-000008000000}">
      <text>
        <r>
          <rPr>
            <sz val="11"/>
            <color rgb="FF000000"/>
            <rFont val="Calibri"/>
            <family val="2"/>
          </rPr>
          <t>Inclui todas as frações de resíduos citadas, como "fração fina", porcelana", "miscelâneas" ...</t>
        </r>
      </text>
    </comment>
    <comment ref="D43" authorId="0" shapeId="0" xr:uid="{00000000-0006-0000-0100-000009000000}">
      <text>
        <r>
          <rPr>
            <sz val="11"/>
            <color rgb="FF000000"/>
            <rFont val="Calibri"/>
            <family val="2"/>
          </rPr>
          <t>Percentual em relação à geração total de RSU do município</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Particular</author>
    <author/>
  </authors>
  <commentList>
    <comment ref="I24" authorId="0" shapeId="0" xr:uid="{00000000-0006-0000-0200-000001000000}">
      <text>
        <r>
          <rPr>
            <sz val="9"/>
            <color indexed="81"/>
            <rFont val="Segoe UI"/>
            <family val="2"/>
          </rPr>
          <t>Aqui se definção a massa (ou porentagem ) dos resíduos da coleta mistas que passam por processo de triagem mecanizada.  
A massa de resíduos que não for triada (conforme valor em I26), mas adinate ainda poderá ser enviada para incineração (em H106) ou irá ao aterro sanitário.</t>
        </r>
      </text>
    </comment>
    <comment ref="E25" authorId="0" shapeId="0" xr:uid="{00000000-0006-0000-0200-000002000000}">
      <text>
        <r>
          <rPr>
            <sz val="9"/>
            <color indexed="81"/>
            <rFont val="Segoe UI"/>
            <family val="2"/>
          </rPr>
          <t>Porcentagem inserida aqui deve resultar em massa máxima de 100 t/d na célula E29.
Da mesma forma, deve resultar adicionalmente e massa mínima de 50 t/d na célula E33.</t>
        </r>
      </text>
    </comment>
    <comment ref="I26" authorId="0" shapeId="0" xr:uid="{00000000-0006-0000-0200-000003000000}">
      <text>
        <r>
          <rPr>
            <sz val="9"/>
            <color indexed="81"/>
            <rFont val="Segoe UI"/>
            <family val="2"/>
          </rPr>
          <t xml:space="preserve">Valor da porcentagem inserida aqui deve resultar em massa mínima de 50 t/d para triagem mecanizada de mistos (em I27).
</t>
        </r>
      </text>
    </comment>
    <comment ref="I29" authorId="0" shapeId="0" xr:uid="{00000000-0006-0000-0200-000004000000}">
      <text>
        <r>
          <rPr>
            <sz val="9"/>
            <color indexed="81"/>
            <rFont val="Segoe UI"/>
            <family val="2"/>
          </rPr>
          <t xml:space="preserve">Embora não faço muito sentido fazer a triagem dos orgânicos e enviá-los ao aterro sanitário, essa alternativa pode estar presente na simulção de alguma </t>
        </r>
        <r>
          <rPr>
            <b/>
            <sz val="9"/>
            <color indexed="81"/>
            <rFont val="Segoe UI"/>
            <family val="2"/>
          </rPr>
          <t>rota atual</t>
        </r>
        <r>
          <rPr>
            <sz val="9"/>
            <color indexed="81"/>
            <rFont val="Segoe UI"/>
            <family val="2"/>
          </rPr>
          <t>, por isso obtou-se pela inclusão dessa possibilidade aqui.</t>
        </r>
      </text>
    </comment>
    <comment ref="G31" authorId="0" shapeId="0" xr:uid="{00000000-0006-0000-0200-000005000000}">
      <text>
        <r>
          <rPr>
            <sz val="9"/>
            <color indexed="81"/>
            <rFont val="Segoe UI"/>
            <family val="2"/>
          </rPr>
          <t>Para verificar ou modificar os valores parametrizados das eficiências, vá para a Aba 'R-Avançado'.</t>
        </r>
      </text>
    </comment>
    <comment ref="D62" authorId="1" shapeId="0" xr:uid="{00000000-0006-0000-0200-000006000000}">
      <text>
        <r>
          <rPr>
            <sz val="11"/>
            <color rgb="FF000000"/>
            <rFont val="Calibri"/>
            <family val="2"/>
          </rPr>
          <t>Para verificar ou modificar os valores parametrizados, vá para a Aba 'R-Avançado'</t>
        </r>
      </text>
    </comment>
    <comment ref="D68" authorId="1" shapeId="0" xr:uid="{00000000-0006-0000-0200-000007000000}">
      <text>
        <r>
          <rPr>
            <sz val="11"/>
            <color rgb="FF000000"/>
            <rFont val="Calibri"/>
            <family val="2"/>
          </rPr>
          <t>Para verificar ou modificar os valores parametrizados, vá para a Aba 'R-Avançado'</t>
        </r>
      </text>
    </comment>
    <comment ref="J119" authorId="1" shapeId="0" xr:uid="{00000000-0006-0000-0200-000008000000}">
      <text>
        <r>
          <rPr>
            <sz val="11"/>
            <color rgb="FF000000"/>
            <rFont val="Calibri"/>
            <family val="2"/>
          </rPr>
          <t>Se for Rota Atual com diposição final inadequada (lixão), a Ferramente assume que o biogás não terá queima.</t>
        </r>
      </text>
    </comment>
    <comment ref="N122" authorId="1" shapeId="0" xr:uid="{00000000-0006-0000-0200-000009000000}">
      <text>
        <r>
          <rPr>
            <sz val="11"/>
            <color rgb="FF000000"/>
            <rFont val="Calibri"/>
            <family val="2"/>
          </rPr>
          <t>A porcentagem a ser informada aqui é sobre o total disposto no aterro, que está na célula E119.</t>
        </r>
      </text>
    </comment>
    <comment ref="D128" authorId="1" shapeId="0" xr:uid="{00000000-0006-0000-0200-00000A000000}">
      <text>
        <r>
          <rPr>
            <sz val="11"/>
            <color rgb="FF000000"/>
            <rFont val="Calibri"/>
            <family val="2"/>
          </rPr>
          <t>Para verificar ou modificar os valores parametrizados, vá para a Aba 'R-Avançado'</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
    <author>tc={0E6D4CBB-7C04-498F-B9DA-F11CD8046EBA}</author>
  </authors>
  <commentList>
    <comment ref="H30" authorId="0" shapeId="0" xr:uid="{00000000-0006-0000-0700-000001000000}">
      <text>
        <r>
          <rPr>
            <sz val="11"/>
            <color rgb="FF000000"/>
            <rFont val="Calibri"/>
            <family val="2"/>
          </rPr>
          <t xml:space="preserve">[Comentário encadeado]
</t>
        </r>
        <r>
          <rPr>
            <sz val="11"/>
            <color rgb="FF000000"/>
            <rFont val="Calibri"/>
            <family val="2"/>
          </rPr>
          <t xml:space="preserve">
</t>
        </r>
        <r>
          <rPr>
            <sz val="11"/>
            <color rgb="FF000000"/>
            <rFont val="Calibri"/>
            <family val="2"/>
          </rPr>
          <t xml:space="preserve">Sua versão do Excel permite que você leia este comentário encadeado, no entanto, as edições serão removidas se o arquivo for aberto em uma versão mais recente do Excel. Saiba mais: https://go.microsoft.com/fwlink/?linkid=870924
</t>
        </r>
        <r>
          <rPr>
            <sz val="11"/>
            <color rgb="FF000000"/>
            <rFont val="Calibri"/>
            <family val="2"/>
          </rPr>
          <t xml:space="preserve">
</t>
        </r>
        <r>
          <rPr>
            <sz val="11"/>
            <color rgb="FF000000"/>
            <rFont val="Calibri"/>
            <family val="2"/>
          </rPr>
          <t xml:space="preserve">Comentário:
</t>
        </r>
        <r>
          <rPr>
            <sz val="11"/>
            <color rgb="FF000000"/>
            <rFont val="Calibri"/>
            <family val="2"/>
          </rPr>
          <t xml:space="preserve">    Valor do Total a ser Pago em Milhões de Reais(MR$) no "Período Total do Contrato" tomando-se em conta a "Tarifa do Serviço de Coleta, Tratamento e Destinação de Resíduos calculada abaixo" a ser paga para remunerar no "Prazo de Retorno do Investimento" definidos acima, todos os Custos de Investimento do Projeto e os Custos Operacionais Totais da Rota Tecnológica definida, deduzindo-se as "Receitas Acessórias de Venda dos Substratos" Estimadas e sem levar em conta as despesas financeiras da estrutura de capital e outros impactos decorrentes da inlação, bem como das curvas de aprendizagem das novas operações.</t>
        </r>
      </text>
    </comment>
    <comment ref="D52" authorId="0" shapeId="0" xr:uid="{00000000-0006-0000-0700-000002000000}">
      <text>
        <r>
          <rPr>
            <b/>
            <u/>
            <sz val="12"/>
            <color rgb="FF000000"/>
            <rFont val="Calibri"/>
            <family val="2"/>
          </rPr>
          <t>Comentário:</t>
        </r>
        <r>
          <rPr>
            <sz val="11"/>
            <color rgb="FF000000"/>
            <rFont val="Calibri"/>
            <family val="2"/>
          </rPr>
          <t xml:space="preserve"> Os custos dos equipamentos importados foram feitos em determinadas taxas de câmbio, conforme mencionado na célula D4 das abas de cada tecnologia. Assim, o valor do câmbio a ser informado deve ser aquele para o qual o usuário deseja fazer a simulação.</t>
        </r>
      </text>
    </comment>
    <comment ref="D53" authorId="0" shapeId="0" xr:uid="{00000000-0006-0000-0700-000003000000}">
      <text>
        <r>
          <rPr>
            <b/>
            <u/>
            <sz val="12"/>
            <color rgb="FF000000"/>
            <rFont val="Calibri"/>
            <family val="2"/>
          </rPr>
          <t>Comentário:</t>
        </r>
        <r>
          <rPr>
            <sz val="11"/>
            <color rgb="FF000000"/>
            <rFont val="Calibri"/>
            <family val="2"/>
          </rPr>
          <t xml:space="preserve"> Os custos dos equipamentos importados foram feitos em determinadas taxas de câmbio, conforme mencionado na célula D4 das abas de cada tecnologia. Assim, o valor do câmbio a ser informado deve ser aquele para o qual o usuário deseja fazer a simulação.</t>
        </r>
      </text>
    </comment>
    <comment ref="G53" authorId="0" shapeId="0" xr:uid="{00000000-0006-0000-0700-000004000000}">
      <text>
        <r>
          <rPr>
            <b/>
            <u/>
            <sz val="12"/>
            <color rgb="FF000000"/>
            <rFont val="Calibri"/>
            <family val="2"/>
          </rPr>
          <t>Comentário:</t>
        </r>
        <r>
          <rPr>
            <sz val="11"/>
            <color rgb="FF000000"/>
            <rFont val="Calibri"/>
            <family val="2"/>
          </rPr>
          <t xml:space="preserve"> Usualmente, o percentual de nacionalização da tecnologia de triagem manuel é de 100%, pois trata-se de uma tecnologia com equipamentos simples e com fornecedores nacionais já consolidados.</t>
        </r>
      </text>
    </comment>
    <comment ref="D54" authorId="0" shapeId="0" xr:uid="{00000000-0006-0000-0700-000005000000}">
      <text>
        <r>
          <rPr>
            <b/>
            <u/>
            <sz val="12"/>
            <color rgb="FF000000"/>
            <rFont val="Calibri"/>
            <family val="2"/>
          </rPr>
          <t>Comentário:</t>
        </r>
        <r>
          <rPr>
            <sz val="11"/>
            <color rgb="FF000000"/>
            <rFont val="Calibri"/>
            <family val="2"/>
          </rPr>
          <t xml:space="preserve"> O valor a ser informado aqui se refere à estimativa das taxas e dos impostos sobre importação de equipamentos a ser aplicada sobre os equipamentos definidos em cada tecnologia como importados.</t>
        </r>
      </text>
    </comment>
    <comment ref="D55" authorId="0" shapeId="0" xr:uid="{00000000-0006-0000-0700-000006000000}">
      <text>
        <r>
          <rPr>
            <b/>
            <u/>
            <sz val="12"/>
            <color rgb="FF000000"/>
            <rFont val="Calibri"/>
            <family val="2"/>
          </rPr>
          <t>Comentário:</t>
        </r>
        <r>
          <rPr>
            <sz val="11"/>
            <color rgb="FF000000"/>
            <rFont val="Calibri"/>
            <family val="2"/>
          </rPr>
          <t xml:space="preserve"> Trata-se do preço médio de aquisição de terreno a ser considerado como investimento para construção da unidade de tratamento de resíduos de acordo com a área requerida em cada tecnologia. Esse custo somente não afeta os custos de implantação do aterro sanitário cujo valor do terreno é assumido como "custo zero".</t>
        </r>
      </text>
    </comment>
    <comment ref="D56" authorId="0" shapeId="0" xr:uid="{00000000-0006-0000-0700-000007000000}">
      <text>
        <r>
          <rPr>
            <b/>
            <u/>
            <sz val="11"/>
            <color rgb="FF000000"/>
            <rFont val="Calibri"/>
            <family val="2"/>
          </rPr>
          <t>Comentário:</t>
        </r>
        <r>
          <rPr>
            <sz val="11"/>
            <color rgb="FF000000"/>
            <rFont val="Calibri"/>
            <family val="2"/>
          </rPr>
          <t xml:space="preserve"> Trata-se do preço médio de aquisição de terreno a ser considerado como investimento para construção EXCLUSIVA DO ATERRO SANITÁRIO para disposição de resíduos de acordo com a área requerida na aba da tecnologia de Aterro Sanitário. Esse custo somente não afeta os custos de implantação do aterro sanitário cujo valor do terreno é assumido como "custo zero".</t>
        </r>
      </text>
    </comment>
    <comment ref="G56" authorId="0" shapeId="0" xr:uid="{00000000-0006-0000-0700-000008000000}">
      <text>
        <r>
          <rPr>
            <b/>
            <u/>
            <sz val="12"/>
            <color rgb="FF000000"/>
            <rFont val="Calibri"/>
            <family val="2"/>
          </rPr>
          <t>Comentário:</t>
        </r>
        <r>
          <rPr>
            <sz val="11"/>
            <color rgb="FF000000"/>
            <rFont val="Calibri"/>
            <family val="2"/>
          </rPr>
          <t xml:space="preserve"> O percentual de nacionalização máximo depende da eficiência de triagem mecanizada definida nas Opções da Rota Tecnológica.
Se Eficiência = Alta -&gt; % Nac. &lt; 30%
Se Eficiência = Baix -&gt; % Nac. &lt; 50%</t>
        </r>
      </text>
    </comment>
    <comment ref="D57" authorId="0" shapeId="0" xr:uid="{00000000-0006-0000-0700-000009000000}">
      <text>
        <r>
          <rPr>
            <b/>
            <u/>
            <sz val="11"/>
            <color rgb="FF000000"/>
            <rFont val="Calibri"/>
            <family val="2"/>
          </rPr>
          <t xml:space="preserve">Comentário: </t>
        </r>
        <r>
          <rPr>
            <sz val="11"/>
            <color rgb="FF000000"/>
            <rFont val="Calibri"/>
            <family val="2"/>
          </rPr>
          <t>Preço médio a ser informado para pavimentação e paisagismo das áreas da unidade de tratamento de resíduos conforme a área total definida para o empreendimento e deduzindo-se a área de construção industrial.</t>
        </r>
      </text>
    </comment>
    <comment ref="D58" authorId="0" shapeId="0" xr:uid="{B85170D4-7786-42AE-A720-C35F41AAA8E5}">
      <text>
        <r>
          <rPr>
            <b/>
            <u/>
            <sz val="12"/>
            <color rgb="FF000000"/>
            <rFont val="Calibri"/>
            <family val="2"/>
          </rPr>
          <t>Comentário:</t>
        </r>
        <r>
          <rPr>
            <sz val="11"/>
            <color rgb="FF000000"/>
            <rFont val="Calibri"/>
            <family val="2"/>
          </rPr>
          <t xml:space="preserve"> O valor a ser informado aqui se refere à estimativa das taxas e dos impostos sobre importação de equipamentos a ser aplicada sobre os equipamentos definidos em cada tecnologia como importados.</t>
        </r>
      </text>
    </comment>
    <comment ref="D59" authorId="0" shapeId="0" xr:uid="{00000000-0006-0000-0700-00000B000000}">
      <text>
        <r>
          <rPr>
            <b/>
            <u/>
            <sz val="12"/>
            <color rgb="FF000000"/>
            <rFont val="Calibri"/>
            <family val="2"/>
          </rPr>
          <t>Comentário:</t>
        </r>
        <r>
          <rPr>
            <sz val="11"/>
            <color rgb="FF000000"/>
            <rFont val="Calibri"/>
            <family val="2"/>
          </rPr>
          <t xml:space="preserve"> Os custos civis do Capex da tecnologia de INCINERAÇÃO têm uma forte dependência dos custos de concretagem usinada. A referência média no Brasil para grandes centros é um valor em torno de R$ 5.000 para o concreto aplicado (preparação, armação, fundação etc). Assim, o usuário pode introduzir alguma outra estimativa e os custos civis da tecnologia de incineração serão ajustados de acordo com o valor inserido.</t>
        </r>
      </text>
    </comment>
    <comment ref="G59" authorId="0" shapeId="0" xr:uid="{00000000-0006-0000-0700-00000C000000}">
      <text>
        <r>
          <rPr>
            <b/>
            <u/>
            <sz val="12"/>
            <color rgb="FF000000"/>
            <rFont val="Calibri"/>
            <family val="2"/>
          </rPr>
          <t>Comentário:</t>
        </r>
        <r>
          <rPr>
            <sz val="11"/>
            <color rgb="FF000000"/>
            <rFont val="Calibri"/>
            <family val="2"/>
          </rPr>
          <t xml:space="preserve"> Os equipamentos críticos, como trituradores de alta rotação (granuladores) e os separadores óticos de qualidade, deverão ser importados. Assim, não se recomenda um percentual de nacionalização acima de 30%.</t>
        </r>
      </text>
    </comment>
    <comment ref="D60" authorId="0" shapeId="0" xr:uid="{00000000-0006-0000-0700-00000D000000}">
      <text>
        <r>
          <rPr>
            <b/>
            <u/>
            <sz val="12"/>
            <color rgb="FF000000"/>
            <rFont val="Calibri"/>
            <family val="2"/>
          </rPr>
          <t>Comentário:</t>
        </r>
        <r>
          <rPr>
            <sz val="11"/>
            <color rgb="FF000000"/>
            <rFont val="Calibri"/>
            <family val="2"/>
          </rPr>
          <t xml:space="preserve"> Preço médio para construção de um galpão industrial com pré-moldados com fechamento lateral, cobertura e piso concretado.</t>
        </r>
      </text>
    </comment>
    <comment ref="D61" authorId="0" shapeId="0" xr:uid="{00000000-0006-0000-0700-00000E000000}">
      <text>
        <r>
          <rPr>
            <b/>
            <u/>
            <sz val="12"/>
            <color rgb="FF000000"/>
            <rFont val="Calibri"/>
            <family val="2"/>
          </rPr>
          <t>Comentário:</t>
        </r>
        <r>
          <rPr>
            <sz val="11"/>
            <color rgb="FF000000"/>
            <rFont val="Calibri"/>
            <family val="2"/>
          </rPr>
          <t xml:space="preserve"> O valor a ser informado aqui se refere ao reajuste (%) de preços a ser aplicado sobre o Capex de equipamentos nacionais em relação à Base de Custos da Ferramenta: março/2020.</t>
        </r>
      </text>
    </comment>
    <comment ref="G62" authorId="0" shapeId="0" xr:uid="{00000000-0006-0000-0700-00000F000000}">
      <text>
        <r>
          <rPr>
            <b/>
            <u/>
            <sz val="12"/>
            <color rgb="FF000000"/>
            <rFont val="Calibri"/>
            <family val="2"/>
          </rPr>
          <t>Comentário:</t>
        </r>
        <r>
          <rPr>
            <sz val="11"/>
            <color rgb="FF000000"/>
            <rFont val="Calibri"/>
            <family val="2"/>
          </rPr>
          <t xml:space="preserve"> Os equipamentos críticos, como trituradores de alta rotação (granuladores), os equipamentos do processo de biossecagem da fração orgânica e os separadores óticos de qualidade deverão ser importados. Assim, não se recomenda um percentual de nacionalização acima de 20%.</t>
        </r>
      </text>
    </comment>
    <comment ref="D63" authorId="0" shapeId="0" xr:uid="{00000000-0006-0000-0700-000010000000}">
      <text>
        <r>
          <rPr>
            <b/>
            <u/>
            <sz val="12"/>
            <color rgb="FF000000"/>
            <rFont val="Calibri"/>
            <family val="2"/>
          </rPr>
          <t>Comentário:</t>
        </r>
        <r>
          <rPr>
            <sz val="11"/>
            <color rgb="FF000000"/>
            <rFont val="Calibri"/>
            <family val="2"/>
          </rPr>
          <t xml:space="preserve"> Salário bruto mensal para o Gerente da Unidade de Tratamento de Resíduos, considerando todas as tecnologias selecionadas instaladas em um mesmo site.</t>
        </r>
      </text>
    </comment>
    <comment ref="D64" authorId="0" shapeId="0" xr:uid="{00000000-0006-0000-0700-000011000000}">
      <text>
        <r>
          <rPr>
            <b/>
            <u/>
            <sz val="12"/>
            <color rgb="FF000000"/>
            <rFont val="Calibri"/>
            <family val="2"/>
          </rPr>
          <t>Comentário:</t>
        </r>
        <r>
          <rPr>
            <sz val="11"/>
            <color rgb="FF000000"/>
            <rFont val="Calibri"/>
            <family val="2"/>
          </rPr>
          <t xml:space="preserve"> O salário médio mensal de supervisão é aquele considerado para todas as funções de liderança intermediária ou de alguma outra função sênior de qualificação da unidade de tratamento de resíduos.</t>
        </r>
      </text>
    </comment>
    <comment ref="D65" authorId="0" shapeId="0" xr:uid="{00000000-0006-0000-0700-000012000000}">
      <text>
        <r>
          <rPr>
            <b/>
            <u/>
            <sz val="12"/>
            <color rgb="FF000000"/>
            <rFont val="Calibri"/>
            <family val="2"/>
          </rPr>
          <t>Comentário:</t>
        </r>
        <r>
          <rPr>
            <sz val="11"/>
            <color rgb="FF000000"/>
            <rFont val="Calibri"/>
            <family val="2"/>
          </rPr>
          <t xml:space="preserve"> O salário médio bruto mensal do operador se refere ao salário que será considerado em todas as funções de nível operacional da unidade de tratamento de resíduos, com exceção dos operadores de triagem manual, que podem ter um regime de contratação diferenciado conforme as células D27 e D28.</t>
        </r>
      </text>
    </comment>
    <comment ref="G65" authorId="0" shapeId="0" xr:uid="{00000000-0006-0000-0700-000013000000}">
      <text>
        <r>
          <rPr>
            <b/>
            <u/>
            <sz val="12"/>
            <color rgb="FF000000"/>
            <rFont val="Calibri"/>
            <family val="2"/>
          </rPr>
          <t>Comentário:</t>
        </r>
        <r>
          <rPr>
            <sz val="11"/>
            <color rgb="FF000000"/>
            <rFont val="Calibri"/>
            <family val="2"/>
          </rPr>
          <t xml:space="preserve"> Os equipamentos críticos, como motogeradores, plantas de separação de biometano e alimentadores dos reatores (esse último para o caso de plantas com capacidade acima de 500t/d), deverão ser importados. Assim, não se recomenda um percentual de nacionalização acima de 15% para plantas acima de 500t/d nem um percentual de nacionalização acima de 25% para plantas abaixo de 500t/d.</t>
        </r>
      </text>
    </comment>
    <comment ref="C66" authorId="0" shapeId="0" xr:uid="{00000000-0006-0000-0700-000014000000}">
      <text>
        <r>
          <rPr>
            <b/>
            <u/>
            <sz val="12"/>
            <color rgb="FF000000"/>
            <rFont val="Calibri"/>
            <family val="2"/>
          </rPr>
          <t>Comentário:</t>
        </r>
        <r>
          <rPr>
            <sz val="11"/>
            <color rgb="FF000000"/>
            <rFont val="Calibri"/>
            <family val="2"/>
          </rPr>
          <t xml:space="preserve"> Definir o regime de contratação entre CLT e COOPERATIVA dos operadores da triagem manual.</t>
        </r>
      </text>
    </comment>
    <comment ref="D67" authorId="0" shapeId="0" xr:uid="{00000000-0006-0000-0700-000015000000}">
      <text>
        <r>
          <rPr>
            <b/>
            <u/>
            <sz val="12"/>
            <color rgb="FF000000"/>
            <rFont val="Calibri"/>
            <family val="2"/>
          </rPr>
          <t>Comentário:</t>
        </r>
        <r>
          <rPr>
            <sz val="11"/>
            <color rgb="FF000000"/>
            <rFont val="Calibri"/>
            <family val="2"/>
          </rPr>
          <t xml:space="preserve"> Salário médio bruto mensal do operador da tecnologia de TRIAGEM MANUAL. Confirmar também na célula acima o regime de contratação: CLT ou COOPERATIVA.</t>
        </r>
      </text>
    </comment>
    <comment ref="D68" authorId="0" shapeId="0" xr:uid="{00000000-0006-0000-0700-000016000000}">
      <text>
        <r>
          <rPr>
            <b/>
            <u/>
            <sz val="12"/>
            <color rgb="FF000000"/>
            <rFont val="Calibri"/>
            <family val="2"/>
          </rPr>
          <t>Comentário:</t>
        </r>
        <r>
          <rPr>
            <sz val="11"/>
            <color rgb="FF000000"/>
            <rFont val="Calibri"/>
            <family val="2"/>
          </rPr>
          <t xml:space="preserve"> Custo médio de consumo de energia elétrica em KWh/t a ser considerado para os cálculos/estimativas do custo operacional de cada tecnologia selecionada e de acordo com os consumos específicos unitários já definidos dentro da ferramenta.</t>
        </r>
      </text>
    </comment>
    <comment ref="G68" authorId="0" shapeId="0" xr:uid="{00000000-0006-0000-0700-000017000000}">
      <text>
        <r>
          <rPr>
            <b/>
            <u/>
            <sz val="12"/>
            <color rgb="FF000000"/>
            <rFont val="Calibri"/>
            <family val="2"/>
          </rPr>
          <t>Comentário:</t>
        </r>
        <r>
          <rPr>
            <sz val="11"/>
            <color rgb="FF000000"/>
            <rFont val="Calibri"/>
            <family val="2"/>
          </rPr>
          <t xml:space="preserve"> A maior parte dos custos de Capex de equipamentos se refere às mantas de cobertura das leiras e seus equipamentos e sistemas de controle de processo. Dessa forma, não se recomenda um percentual de nacionalização acima de 20%.</t>
        </r>
      </text>
    </comment>
    <comment ref="D69" authorId="0" shapeId="0" xr:uid="{00000000-0006-0000-0700-000018000000}">
      <text>
        <r>
          <rPr>
            <b/>
            <u/>
            <sz val="12"/>
            <color rgb="FF000000"/>
            <rFont val="Calibri"/>
            <family val="2"/>
          </rPr>
          <t>Comentário:</t>
        </r>
        <r>
          <rPr>
            <sz val="11"/>
            <color rgb="FF000000"/>
            <rFont val="Calibri"/>
            <family val="2"/>
          </rPr>
          <t xml:space="preserve"> Custo médio de consumo de energia elétrica em KWh/t a ser considerado para os cálculos/estimativas do custo operacional de cada tecnologia selecionada e de acordo com os consumos específicos unitários já definidos dentro da ferramenta.</t>
        </r>
      </text>
    </comment>
    <comment ref="D70" authorId="0" shapeId="0" xr:uid="{00000000-0006-0000-0700-000019000000}">
      <text>
        <r>
          <rPr>
            <b/>
            <u/>
            <sz val="12"/>
            <color rgb="FF000000"/>
            <rFont val="Calibri"/>
            <family val="2"/>
          </rPr>
          <t>Comentário:</t>
        </r>
        <r>
          <rPr>
            <sz val="11"/>
            <color rgb="FF000000"/>
            <rFont val="Calibri"/>
            <family val="2"/>
          </rPr>
          <t xml:space="preserve"> Informar o valor médio mensal dos serviços a serem considerados terceirizados na unidade de tratamento de resíduos. Ex.: Portaria/Segurança patrimonial, limpeza industrial, alimentação, telefonia, utilidades etc.</t>
        </r>
      </text>
    </comment>
    <comment ref="D71" authorId="0" shapeId="0" xr:uid="{00000000-0006-0000-0700-00001A000000}">
      <text>
        <r>
          <rPr>
            <b/>
            <u/>
            <sz val="12"/>
            <color rgb="FF000000"/>
            <rFont val="Calibri"/>
            <family val="2"/>
          </rPr>
          <t>Comentário:</t>
        </r>
        <r>
          <rPr>
            <b/>
            <sz val="11"/>
            <color rgb="FF000000"/>
            <rFont val="Calibri"/>
            <family val="2"/>
          </rPr>
          <t xml:space="preserve"> </t>
        </r>
        <r>
          <rPr>
            <sz val="11"/>
            <color rgb="FF000000"/>
            <rFont val="Calibri"/>
            <family val="2"/>
          </rPr>
          <t>Custo médio do aluguel de uma pá carregadeira a ser utilizada em todas as tecnologias para movimentação interna de resíduos/substratos e para alimentação dos resíduos brutos nas tecnologias onde aplicável.</t>
        </r>
      </text>
    </comment>
    <comment ref="G71" authorId="0" shapeId="0" xr:uid="{00000000-0006-0000-0700-00001B000000}">
      <text>
        <r>
          <rPr>
            <b/>
            <u/>
            <sz val="12"/>
            <color rgb="FF000000"/>
            <rFont val="Calibri"/>
            <family val="2"/>
          </rPr>
          <t>Comentário:</t>
        </r>
        <r>
          <rPr>
            <sz val="11"/>
            <color rgb="FF000000"/>
            <rFont val="Calibri"/>
            <family val="2"/>
          </rPr>
          <t xml:space="preserve"> Pela criticidade operacional da instalação e por ser uma tecnologia ainda sem aplicação no Brasil, não se recomenda um percentual de nacionalização acima de 15% para a tecnologia europeia. Para o caso da tecnologia chinesa, adota-se uma premissa de adicionais 20% sobre o valor informado.</t>
        </r>
      </text>
    </comment>
    <comment ref="D72" authorId="0" shapeId="0" xr:uid="{00000000-0006-0000-0700-00001C000000}">
      <text>
        <r>
          <rPr>
            <b/>
            <u/>
            <sz val="12"/>
            <color rgb="FF000000"/>
            <rFont val="Calibri"/>
            <family val="2"/>
          </rPr>
          <t>Comentário:</t>
        </r>
        <r>
          <rPr>
            <sz val="11"/>
            <color rgb="FF000000"/>
            <rFont val="Calibri"/>
            <family val="2"/>
          </rPr>
          <t xml:space="preserve"> Custo médio do serviço terceirizado para movimentação e operações internas no aterro sanitário baseados em contrato variável (R$/t entrada RSU). Estimar o valor tomando-se em conta os equipamentos usuais na operação de um aterro sanitário: pá carregadeira, escavadeira, trator, rolo compactador etc. Estimar qual seria esse serviço terceirizado sem operador e sem diesel.</t>
        </r>
      </text>
    </comment>
    <comment ref="D73" authorId="0" shapeId="0" xr:uid="{00000000-0006-0000-0700-00001D000000}">
      <text>
        <r>
          <rPr>
            <b/>
            <u/>
            <sz val="12"/>
            <color rgb="FF000000"/>
            <rFont val="Calibri"/>
            <family val="2"/>
          </rPr>
          <t>Comentário:</t>
        </r>
        <r>
          <rPr>
            <sz val="11"/>
            <color rgb="FF000000"/>
            <rFont val="Calibri"/>
            <family val="2"/>
          </rPr>
          <t xml:space="preserve"> Informar o custo de destinação do efluente líquido gerado na biodigestão em R$/m3: Frete + Tratamento/Disposição.</t>
        </r>
      </text>
    </comment>
    <comment ref="D74" authorId="0" shapeId="0" xr:uid="{00000000-0006-0000-0700-00001E000000}">
      <text>
        <r>
          <rPr>
            <b/>
            <u/>
            <sz val="12"/>
            <color rgb="FF000000"/>
            <rFont val="Calibri"/>
            <family val="2"/>
          </rPr>
          <t>Comentário:</t>
        </r>
        <r>
          <rPr>
            <sz val="11"/>
            <color rgb="FF000000"/>
            <rFont val="Calibri"/>
            <family val="2"/>
          </rPr>
          <t xml:space="preserve"> Informar o preço médio do óleo diesel a ser utilizado como combustível para os equipamentos móveis dentro de todas as necessidades de movimentação interna de resíduos e substratos da unidade de tratamento de resíduos.</t>
        </r>
      </text>
    </comment>
    <comment ref="D75" authorId="0" shapeId="0" xr:uid="{00000000-0006-0000-0700-00001F000000}">
      <text>
        <r>
          <rPr>
            <b/>
            <u/>
            <sz val="12"/>
            <color rgb="FF000000"/>
            <rFont val="Calibri"/>
            <family val="2"/>
          </rPr>
          <t>Comentário:</t>
        </r>
        <r>
          <rPr>
            <sz val="11"/>
            <color rgb="FF000000"/>
            <rFont val="Calibri"/>
            <family val="2"/>
          </rPr>
          <t xml:space="preserve"> Informar o valor do preço médio do produto químico UREIA a ser utilizado para abatimento das emissões no caso da simulação de uma rota tecnológica que contenha a tecnologia de INCINERAÇÃO.</t>
        </r>
      </text>
    </comment>
    <comment ref="D76" authorId="0" shapeId="0" xr:uid="{00000000-0006-0000-0700-000020000000}">
      <text>
        <r>
          <rPr>
            <b/>
            <u/>
            <sz val="12"/>
            <color rgb="FF000000"/>
            <rFont val="Calibri"/>
            <family val="2"/>
          </rPr>
          <t>Comentário:</t>
        </r>
        <r>
          <rPr>
            <sz val="11"/>
            <color rgb="FF000000"/>
            <rFont val="Calibri"/>
            <family val="2"/>
          </rPr>
          <t xml:space="preserve"> Informar o valor do preço médio do produto químico CAL HIDRATADA a ser utilizado para abatimento das emissões no caso da simulação de uma rota tecnológica que contenha a tecnologia de INCINERAÇÃO.</t>
        </r>
      </text>
    </comment>
    <comment ref="D77" authorId="0" shapeId="0" xr:uid="{00000000-0006-0000-0700-000021000000}">
      <text>
        <r>
          <rPr>
            <b/>
            <u/>
            <sz val="12"/>
            <color rgb="FF000000"/>
            <rFont val="Calibri"/>
            <family val="2"/>
          </rPr>
          <t>Comentário:</t>
        </r>
        <r>
          <rPr>
            <sz val="11"/>
            <color rgb="FF000000"/>
            <rFont val="Calibri"/>
            <family val="2"/>
          </rPr>
          <t xml:space="preserve"> Informar o valor do preço médio do produto químico CARVÃO ATIVADO a ser utilizado para abatimento das emissões no caso da simulação de uma rota tecnológica que contenha a tecnologia de INCINERAÇÃO.</t>
        </r>
      </text>
    </comment>
    <comment ref="D78" authorId="0" shapeId="0" xr:uid="{6968178B-4525-418E-991F-95404B2258B9}">
      <text>
        <r>
          <rPr>
            <b/>
            <u/>
            <sz val="12"/>
            <color rgb="FF000000"/>
            <rFont val="Calibri"/>
            <family val="2"/>
          </rPr>
          <t>Comentário:</t>
        </r>
        <r>
          <rPr>
            <sz val="11"/>
            <color rgb="FF000000"/>
            <rFont val="Calibri"/>
            <family val="2"/>
          </rPr>
          <t xml:space="preserve"> Informar o valor do preço/tarifa média da água industrial a ser consumida na planta de INCINERAÇÃO, no caso da simulação de uma rota tecnológica que contenha a tecnologia de INCINERAÇÃO.</t>
        </r>
      </text>
    </comment>
    <comment ref="D79" authorId="0" shapeId="0" xr:uid="{00000000-0006-0000-0700-000022000000}">
      <text>
        <r>
          <rPr>
            <b/>
            <u/>
            <sz val="12"/>
            <color rgb="FF000000"/>
            <rFont val="Calibri"/>
            <family val="2"/>
          </rPr>
          <t>Comentário:</t>
        </r>
        <r>
          <rPr>
            <sz val="11"/>
            <color rgb="FF000000"/>
            <rFont val="Calibri"/>
            <family val="2"/>
          </rPr>
          <t xml:space="preserve"> Informar o valor do preço/tarifa média da água industrial a ser consumida na planta de INCINERAÇÃO, no caso da simulação de uma rota tecnológica que contenha a tecnologia de INCINERAÇÃO.</t>
        </r>
      </text>
    </comment>
    <comment ref="D101" authorId="0" shapeId="0" xr:uid="{00000000-0006-0000-0700-000023000000}">
      <text>
        <r>
          <rPr>
            <b/>
            <u/>
            <sz val="12"/>
            <color rgb="FF000000"/>
            <rFont val="Calibri"/>
            <family val="2"/>
          </rPr>
          <t>Comentário:</t>
        </r>
        <r>
          <rPr>
            <sz val="11"/>
            <color rgb="FF000000"/>
            <rFont val="Calibri"/>
            <family val="2"/>
          </rPr>
          <t xml:space="preserve"> Informar o preço líquido de impostos médio FOB de venda de papel e papelão recicláveis, prevendo a retirada dos mesmos na porta da unidade de tratamento de resíduos.</t>
        </r>
      </text>
    </comment>
    <comment ref="D102" authorId="0" shapeId="0" xr:uid="{00000000-0006-0000-0700-000024000000}">
      <text>
        <r>
          <rPr>
            <b/>
            <u/>
            <sz val="12"/>
            <color rgb="FF000000"/>
            <rFont val="Calibri"/>
            <family val="2"/>
          </rPr>
          <t>Comentário:</t>
        </r>
        <r>
          <rPr>
            <sz val="11"/>
            <color rgb="FF000000"/>
            <rFont val="Calibri"/>
            <family val="2"/>
          </rPr>
          <t xml:space="preserve"> Informar o preço líquido de impostos médio FOB de venda de plástico filme, prevendo sua retirada na porta da unidade de tratamento de resíduos.</t>
        </r>
      </text>
    </comment>
    <comment ref="D103" authorId="0" shapeId="0" xr:uid="{00000000-0006-0000-0700-000025000000}">
      <text>
        <r>
          <rPr>
            <b/>
            <u/>
            <sz val="12"/>
            <color rgb="FF000000"/>
            <rFont val="Calibri"/>
            <family val="2"/>
          </rPr>
          <t>Comentário:</t>
        </r>
        <r>
          <rPr>
            <sz val="11"/>
            <color rgb="FF000000"/>
            <rFont val="Calibri"/>
            <family val="2"/>
          </rPr>
          <t xml:space="preserve"> Informar o preço líquido de impostos médio FOB de venda de plástico rígido reciclável, prevendo sua retirada na porta da unidade de tratamento de resíduos.</t>
        </r>
      </text>
    </comment>
    <comment ref="D104" authorId="0" shapeId="0" xr:uid="{00000000-0006-0000-0700-000026000000}">
      <text>
        <r>
          <rPr>
            <b/>
            <u/>
            <sz val="12"/>
            <color rgb="FF000000"/>
            <rFont val="Calibri"/>
            <family val="2"/>
          </rPr>
          <t>Comentário:</t>
        </r>
        <r>
          <rPr>
            <sz val="11"/>
            <color rgb="FF000000"/>
            <rFont val="Calibri"/>
            <family val="2"/>
          </rPr>
          <t xml:space="preserve"> Informar o preço líquido de impostos médio FOB de venda de vidros recicláveis, prevendo sua retirada na porta da unidade de tratamento de resíduos.</t>
        </r>
      </text>
    </comment>
    <comment ref="D105" authorId="0" shapeId="0" xr:uid="{00000000-0006-0000-0700-000027000000}">
      <text>
        <r>
          <rPr>
            <b/>
            <u/>
            <sz val="12"/>
            <color rgb="FF000000"/>
            <rFont val="Calibri"/>
            <family val="2"/>
          </rPr>
          <t>Comentário:</t>
        </r>
        <r>
          <rPr>
            <sz val="11"/>
            <color rgb="FF000000"/>
            <rFont val="Calibri"/>
            <family val="2"/>
          </rPr>
          <t xml:space="preserve"> Informar o preço líquido de impostos médio FOB de venda de materiais ferrosos recicláveis, prevendo sua retirada na porta da unidade de tratamento de resíduos.</t>
        </r>
      </text>
    </comment>
    <comment ref="D106" authorId="0" shapeId="0" xr:uid="{00000000-0006-0000-0700-000028000000}">
      <text>
        <r>
          <rPr>
            <b/>
            <u/>
            <sz val="12"/>
            <color rgb="FF000000"/>
            <rFont val="Calibri"/>
            <family val="2"/>
          </rPr>
          <t>Comentário:</t>
        </r>
        <r>
          <rPr>
            <sz val="11"/>
            <color rgb="FF000000"/>
            <rFont val="Calibri"/>
            <family val="2"/>
          </rPr>
          <t xml:space="preserve"> Informar o preço líquido de impostos médio FOB de venda de Materiais Não Ferrosos recicláveis, prevendo-se a retirada dos mesmos na porta da unidade de tratamento de resíduos.</t>
        </r>
      </text>
    </comment>
    <comment ref="D108" authorId="0" shapeId="0" xr:uid="{00000000-0006-0000-0700-000029000000}">
      <text>
        <r>
          <rPr>
            <b/>
            <u/>
            <sz val="12"/>
            <color rgb="FF000000"/>
            <rFont val="Calibri"/>
            <family val="2"/>
          </rPr>
          <t>Comentário:</t>
        </r>
        <r>
          <rPr>
            <sz val="11"/>
            <color rgb="FF000000"/>
            <rFont val="Calibri"/>
            <family val="2"/>
          </rPr>
          <t xml:space="preserve"> Informar o preço FOB de venda do substrato composto nobre em R$/t de composto, ou seja, o preço prevendo a retirada do composto na porta da unidade de tratamento de resíduos. Para o caso de doação, considerar preço igual a "zero" (0).</t>
        </r>
      </text>
    </comment>
    <comment ref="D109" authorId="0" shapeId="0" xr:uid="{00000000-0006-0000-0700-00002A000000}">
      <text>
        <r>
          <rPr>
            <b/>
            <u/>
            <sz val="12"/>
            <color rgb="FF000000"/>
            <rFont val="Calibri"/>
            <family val="2"/>
          </rPr>
          <t>Comentário:</t>
        </r>
        <r>
          <rPr>
            <sz val="11"/>
            <color rgb="FF000000"/>
            <rFont val="Calibri"/>
            <family val="2"/>
          </rPr>
          <t xml:space="preserve"> Informar o preço FOB de venda do substrato composto não nobre em R$/t de composto, ou seja, o preço prevendo a retirada do composto na porta da unidade de tratamento de resíduos. Para o caso de doação, considerar preço igual a "zero" (0).</t>
        </r>
      </text>
    </comment>
    <comment ref="D111" authorId="0" shapeId="0" xr:uid="{00000000-0006-0000-0700-00002B000000}">
      <text>
        <r>
          <rPr>
            <b/>
            <u/>
            <sz val="12"/>
            <color rgb="FF000000"/>
            <rFont val="Calibri"/>
            <family val="2"/>
          </rPr>
          <t>Comentário:</t>
        </r>
        <r>
          <rPr>
            <sz val="11"/>
            <color rgb="FF000000"/>
            <rFont val="Calibri"/>
            <family val="2"/>
          </rPr>
          <t xml:space="preserve"> Informar o preço líquido de impostos FOB de venda do substrato CDR Fino em R$/t de CDR, ou seja, o preço prevendo a retirada do CDR na porta da unidade de tratamento de resíduos.</t>
        </r>
      </text>
    </comment>
    <comment ref="D112" authorId="0" shapeId="0" xr:uid="{00000000-0006-0000-0700-00002C000000}">
      <text>
        <r>
          <rPr>
            <b/>
            <u/>
            <sz val="12"/>
            <color rgb="FF000000"/>
            <rFont val="Calibri"/>
            <family val="2"/>
          </rPr>
          <t>Comentário:</t>
        </r>
        <r>
          <rPr>
            <sz val="11"/>
            <color rgb="FF000000"/>
            <rFont val="Calibri"/>
            <family val="2"/>
          </rPr>
          <t xml:space="preserve"> Informar o preço líquido de impostos FOB de venda do substrato CDR Grosso em R$/t de CDR, ou seja, o preço prevendo a retirada do CDR na porta da unidade de tratamento de resíduos.</t>
        </r>
      </text>
    </comment>
    <comment ref="D114" authorId="0" shapeId="0" xr:uid="{00000000-0006-0000-0700-00002D000000}">
      <text>
        <r>
          <rPr>
            <b/>
            <u/>
            <sz val="12"/>
            <color rgb="FF000000"/>
            <rFont val="Calibri"/>
            <family val="2"/>
          </rPr>
          <t>Comentário:</t>
        </r>
        <r>
          <rPr>
            <sz val="11"/>
            <color rgb="FF000000"/>
            <rFont val="Calibri"/>
            <family val="2"/>
          </rPr>
          <t xml:space="preserve"> Preço médio líquido de impostos da venda de energia elétrica em R$/MWh a ser gerada em quaisquer das tecnologias de biodigestão, incineração ou via reaproveitamento de biogás de aterro.</t>
        </r>
      </text>
    </comment>
    <comment ref="D115" authorId="1" shapeId="0" xr:uid="{00000000-0006-0000-0700-00002E000000}">
      <text>
        <t>[Comentário encadeado]
Sua versão do Excel permite que você leia este comentário encadeado, no entanto, as edições serão removidas se o arquivo for aberto em uma versão mais recente do Excel. Saiba mais: https://go.microsoft.com/fwlink/?linkid=870924
Comentário:
    Comentário: Preço médio líquido de impostos da venda de energia elétrica em R$/MWh a ser gerada em quaisquer das tecnologias de biodigestão, incineração ou via reaproveitamento de biogás de aterro.</t>
      </text>
    </comment>
    <comment ref="D117" authorId="0" shapeId="0" xr:uid="{00000000-0006-0000-0700-00002F000000}">
      <text>
        <r>
          <rPr>
            <b/>
            <u/>
            <sz val="12"/>
            <color rgb="FF000000"/>
            <rFont val="Calibri"/>
            <family val="2"/>
          </rPr>
          <t>Comentário:</t>
        </r>
        <r>
          <rPr>
            <sz val="11"/>
            <color rgb="FF000000"/>
            <rFont val="Calibri"/>
            <family val="2"/>
          </rPr>
          <t xml:space="preserve"> Preço médio líquido de impostos da venda de biometano em R$/Nm3 a ser produzido na tecnologia de biodigestão.</t>
        </r>
      </text>
    </comment>
    <comment ref="D118" authorId="0" shapeId="0" xr:uid="{00000000-0006-0000-0700-000030000000}">
      <text>
        <r>
          <rPr>
            <b/>
            <u/>
            <sz val="12"/>
            <color rgb="FF000000"/>
            <rFont val="Calibri"/>
            <family val="2"/>
          </rPr>
          <t>Comentário:</t>
        </r>
        <r>
          <rPr>
            <sz val="11"/>
            <color rgb="FF000000"/>
            <rFont val="Calibri"/>
            <family val="2"/>
          </rPr>
          <t xml:space="preserve">
    Preço médio líquido de impostos da venda de biometano em R$/Nm3 a ser produzido na tecnologia de biodigestão.</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Regine</author>
    <author>Windows User</author>
  </authors>
  <commentList>
    <comment ref="E18" authorId="0" shapeId="0" xr:uid="{1A5FD079-0B02-448A-8AB5-ADEC07B16ADD}">
      <text>
        <r>
          <rPr>
            <sz val="9"/>
            <color rgb="FF000000"/>
            <rFont val="Tahoma"/>
            <family val="2"/>
          </rPr>
          <t xml:space="preserve">Conversão 
</t>
        </r>
        <r>
          <rPr>
            <sz val="9"/>
            <color rgb="FF000000"/>
            <rFont val="Tahoma"/>
            <family val="2"/>
          </rPr>
          <t>1 kg/cap/dia = 365 kg/cap/ano</t>
        </r>
      </text>
    </comment>
    <comment ref="E20" authorId="0" shapeId="0" xr:uid="{9DE31BBC-7C66-41C1-8A4B-34F336B3FFFB}">
      <text>
        <r>
          <rPr>
            <sz val="9"/>
            <color rgb="FF000000"/>
            <rFont val="Tahoma"/>
            <family val="2"/>
          </rPr>
          <t xml:space="preserve">Conversão 
</t>
        </r>
        <r>
          <rPr>
            <sz val="9"/>
            <color rgb="FF000000"/>
            <rFont val="Tahoma"/>
            <family val="2"/>
          </rPr>
          <t>1 kg/cap/dia = 365 kg/cap/ano</t>
        </r>
      </text>
    </comment>
    <comment ref="C34" authorId="1" shapeId="0" xr:uid="{B7A7B843-4859-4ED2-9E48-2781B4517347}">
      <text>
        <r>
          <rPr>
            <sz val="9"/>
            <color rgb="FF000000"/>
            <rFont val="Tahoma"/>
            <family val="2"/>
          </rPr>
          <t xml:space="preserve">Composição 
</t>
        </r>
        <r>
          <rPr>
            <sz val="9"/>
            <color rgb="FF000000"/>
            <rFont val="Tahoma"/>
            <family val="2"/>
          </rPr>
          <t xml:space="preserve">Padrão de RSU para o Brasil como média nacional baseada no Plano Nacional de Resíduos 2010 e levemente ajustado pelo ProteGEEr.
</t>
        </r>
        <r>
          <rPr>
            <sz val="9"/>
            <color rgb="FF000000"/>
            <rFont val="Tahoma"/>
            <family val="2"/>
          </rPr>
          <t xml:space="preserve">
</t>
        </r>
        <r>
          <rPr>
            <sz val="9"/>
            <color rgb="FF000000"/>
            <rFont val="Tahoma"/>
            <family val="2"/>
          </rPr>
          <t>Consulte o manual para mais explicações.</t>
        </r>
      </text>
    </comment>
    <comment ref="B35" authorId="0" shapeId="0" xr:uid="{783B14E4-4109-4310-B215-55E71F497ECA}">
      <text>
        <r>
          <rPr>
            <sz val="9"/>
            <color rgb="FF000000"/>
            <rFont val="Tahoma"/>
            <family val="2"/>
          </rPr>
          <t>Não há informação disponível para distinguir entre resíduos alimentares e resíduos de jardins e parques; recomenda-se usar o padrão do Brasil: 90% de resíduos alimentares e 10% de resíduos de jardins e parques</t>
        </r>
      </text>
    </comment>
    <comment ref="B36" authorId="0" shapeId="0" xr:uid="{1D4E37C4-8A6B-4795-B1E6-BE326FAA3073}">
      <text>
        <r>
          <rPr>
            <sz val="9"/>
            <color rgb="FF000000"/>
            <rFont val="Tahoma"/>
            <family val="2"/>
          </rPr>
          <t>Não há informação disponível para distinguir entre resíduos alimentares e resíduos de jardins e parques; recomenda-se usar o padrão do Brasil: 90% de resíduos alimentares e 10% de resíduos de jardins e parques</t>
        </r>
      </text>
    </comment>
    <comment ref="B37" authorId="0" shapeId="0" xr:uid="{80B59B39-A614-43FD-8CFD-C5CD709D76D3}">
      <text>
        <r>
          <rPr>
            <sz val="9"/>
            <color rgb="FF000000"/>
            <rFont val="Tahoma"/>
            <family val="2"/>
          </rPr>
          <t xml:space="preserve">Tetra Pak e embalagens de papelão podem ser adicionadas aqui também </t>
        </r>
      </text>
    </comment>
    <comment ref="B41" authorId="0" shapeId="0" xr:uid="{8030AE83-18AC-4755-8AD3-41473D580C90}">
      <text>
        <r>
          <rPr>
            <sz val="9"/>
            <color rgb="FF000000"/>
            <rFont val="Tahoma"/>
            <family val="2"/>
          </rPr>
          <t>Somente alumínio. Outros metais não ferrosos não são considerados separadamente, pois a importância deles é menor — devem ser incluídos em "Outros"</t>
        </r>
      </text>
    </comment>
    <comment ref="B47" authorId="0" shapeId="0" xr:uid="{D23AC9A3-B925-43EC-BCEC-BC48FC9773E6}">
      <text>
        <r>
          <rPr>
            <sz val="9"/>
            <color rgb="FF000000"/>
            <rFont val="Tahoma"/>
            <family val="2"/>
          </rPr>
          <t>Inclui todas as frações de resíduos citadas, como "fração fina", "lixo eletrônico", "miscelâneas" ...</t>
        </r>
      </text>
    </comment>
    <comment ref="B54" authorId="0" shapeId="0" xr:uid="{01105CAA-F0CC-4CF4-983E-746005457B67}">
      <text>
        <r>
          <rPr>
            <sz val="9"/>
            <color rgb="FF000000"/>
            <rFont val="Tahoma"/>
            <family val="2"/>
          </rPr>
          <t>Como regra de ouro básica, teor de água inferior a 40% pode ser considerado baixo e teor de água acima de 40%, alto</t>
        </r>
      </text>
    </comment>
    <comment ref="K62" authorId="0" shapeId="0" xr:uid="{FF52C5A8-D2CB-4B38-A9C8-D808CCB8B488}">
      <text>
        <r>
          <rPr>
            <sz val="9"/>
            <color rgb="FF000000"/>
            <rFont val="Tahoma"/>
            <family val="2"/>
          </rPr>
          <t>Se esta célula indicar "errado", verifique se você respondeu à pergunta sobre teor de água corretamente. Você deve inserir "1" tanto para teor de água baixo quanto para teor de água alto</t>
        </r>
      </text>
    </comment>
    <comment ref="H64" authorId="0" shapeId="0" xr:uid="{F25429A2-5CDC-43FB-8932-FBEAED824378}">
      <text>
        <r>
          <rPr>
            <sz val="9"/>
            <color rgb="FF000000"/>
            <rFont val="Tahoma"/>
            <family val="2"/>
          </rPr>
          <t xml:space="preserve">O carbono fóssil é carbono não degradável. Causa mudanças climáticas quando é incinerado e, portanto, oxidado em CO2 fóssil
</t>
        </r>
      </text>
    </comment>
    <comment ref="H65" authorId="0" shapeId="0" xr:uid="{89BBD337-5FC8-4E52-8C82-25E44D496889}">
      <text>
        <r>
          <rPr>
            <sz val="9"/>
            <color rgb="FF000000"/>
            <rFont val="Tahoma"/>
            <family val="2"/>
          </rPr>
          <t>O carbono regenerativo é o carbono orgânico degradável (COD). O COD é responsável pela geração de gás de aterro, mas é considerado neutro às mudanças climáticas quando incinerado e oxidado em CO2. O COD é originário de matéria orgânica que incorporou recentemente CO2 da atmosfera.</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Windows User</author>
    <author>Regine</author>
  </authors>
  <commentList>
    <comment ref="C10" authorId="0" shapeId="0" xr:uid="{A4A444EA-BF46-4F09-A23F-37085FF7E752}">
      <text>
        <r>
          <rPr>
            <sz val="9"/>
            <color rgb="FF000000"/>
            <rFont val="Tahoma"/>
            <family val="2"/>
          </rPr>
          <t>Se você basear sua taxa de reciclagem na quantidade total de material reciclado, poderá usar a "tabela auxiliar" no lado direito.</t>
        </r>
      </text>
    </comment>
    <comment ref="E12" authorId="1" shapeId="0" xr:uid="{2A0BDD86-4997-4838-B64A-8DF6FA6B1DBB}">
      <text>
        <r>
          <rPr>
            <sz val="9"/>
            <color rgb="FF000000"/>
            <rFont val="Tahoma"/>
            <family val="2"/>
          </rPr>
          <t xml:space="preserve">Exemplo:
</t>
        </r>
        <r>
          <rPr>
            <sz val="9"/>
            <color rgb="FF000000"/>
            <rFont val="Tahoma"/>
            <family val="2"/>
          </rPr>
          <t>Se na composição do RSU, em "Início", foram inseridos 11% para papel e papelão, indique aqui a parcela (x%) desses 11% que são reciclados.</t>
        </r>
      </text>
    </comment>
    <comment ref="E23" authorId="1" shapeId="0" xr:uid="{1F67CC19-5FC2-44BA-B4C9-72EB1699D892}">
      <text>
        <r>
          <rPr>
            <sz val="9"/>
            <color rgb="FF000000"/>
            <rFont val="Tahoma"/>
            <family val="2"/>
          </rPr>
          <t xml:space="preserve">Exemplo
</t>
        </r>
        <r>
          <rPr>
            <sz val="9"/>
            <color rgb="FF000000"/>
            <rFont val="Tahoma"/>
            <family val="2"/>
          </rPr>
          <t>Se em "Início" foram inseridos 35% para resíduos de alimentos no valor total de resíduos, indique aqui a parcela (x%) desses 35% reciclados</t>
        </r>
      </text>
    </comment>
    <comment ref="E29" authorId="1" shapeId="0" xr:uid="{2AF5F613-841F-44CA-BE00-3848C470EE00}">
      <text>
        <r>
          <rPr>
            <sz val="9"/>
            <color rgb="FF000000"/>
            <rFont val="Tahoma"/>
            <family val="2"/>
          </rPr>
          <t xml:space="preserve">Acima, você indicou a parcela de resíduos de alimentos e resíduos de jardins e parques na reciclagem. 
</t>
        </r>
        <r>
          <rPr>
            <sz val="9"/>
            <color rgb="FF000000"/>
            <rFont val="Tahoma"/>
            <family val="2"/>
          </rPr>
          <t xml:space="preserve">
</t>
        </r>
        <r>
          <rPr>
            <sz val="9"/>
            <color rgb="FF000000"/>
            <rFont val="Tahoma"/>
            <family val="2"/>
          </rPr>
          <t>Indique aqui quantos por cento desse lixo orgânico reciclado (resíduos de alimentos e resíduos de jardins e parques) são compostados e quantos por cento são digeridos</t>
        </r>
      </text>
    </comment>
    <comment ref="E42" authorId="1" shapeId="0" xr:uid="{CBA1F2EB-646C-4829-9910-7FF3E3103420}">
      <text>
        <r>
          <rPr>
            <sz val="9"/>
            <color rgb="FF000000"/>
            <rFont val="Tahoma"/>
            <family val="2"/>
          </rPr>
          <t xml:space="preserve">O valor calorífico depende principalmente dos parâmetros teor de água, teor de cinzas e teor de material combustível. Esses três parâmetros determinam se a incineração autossustentável de um determinado resíduo pode ocorrer.
</t>
        </r>
        <r>
          <rPr>
            <sz val="9"/>
            <color rgb="FF000000"/>
            <rFont val="Tahoma"/>
            <family val="2"/>
          </rPr>
          <t xml:space="preserve">Como regra geral, pode-se supor que a incineração autossustentável é difícil ou não é mais possível se o valor calorífico de um resíduo for &lt;6 MJ/kg. 
</t>
        </r>
        <r>
          <rPr>
            <sz val="9"/>
            <color rgb="FF000000"/>
            <rFont val="Tahoma"/>
            <family val="2"/>
          </rPr>
          <t xml:space="preserve">Em qualquer caso, na prática, os resíduos devem ser exaustivamente testados quanto à sua qualificação para ser incinerados. </t>
        </r>
      </text>
    </comment>
    <comment ref="B44" authorId="1" shapeId="0" xr:uid="{9FC98978-C935-4D9C-AF11-A9265D60A17E}">
      <text>
        <r>
          <rPr>
            <sz val="9"/>
            <color rgb="FF000000"/>
            <rFont val="Tahoma"/>
            <family val="2"/>
          </rPr>
          <t xml:space="preserve">O carbono fóssil é carbono não degradável. Causa mudanças climáticas quando é incinerado e, portanto, oxidado em CO2 fóssil
</t>
        </r>
      </text>
    </comment>
    <comment ref="B45" authorId="1" shapeId="0" xr:uid="{7140B847-C15F-4667-B478-9BB9ABAE7AD2}">
      <text>
        <r>
          <rPr>
            <sz val="9"/>
            <color rgb="FF000000"/>
            <rFont val="Tahoma"/>
            <family val="2"/>
          </rPr>
          <t>O carbono regenerativo é o carbono orgânico degradável (DOC). O DOC é responsável pela geração de gás de aterro, mas é considerado neutro às mudanças climáticas quando incinerado e oxidado em CO2. O DOC é originário de matéria orgânica que incorporou recentemente CO2 da atmosfera.</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Regine</author>
    <author>Windows User</author>
  </authors>
  <commentList>
    <comment ref="E6" authorId="0" shapeId="0" xr:uid="{7D62841F-53AC-453F-B463-68FB5B159F88}">
      <text>
        <r>
          <rPr>
            <sz val="9"/>
            <color rgb="FF000000"/>
            <rFont val="Tahoma"/>
            <family val="2"/>
          </rPr>
          <t xml:space="preserve">Em "Reciclagem", você definiu a parcela de frações de resíduos sendo recicladas. Esse lixo reciclado é subtraído da quantidade total original de resíduos inserida em "Iniciar".
</t>
        </r>
        <r>
          <rPr>
            <sz val="9"/>
            <color rgb="FF000000"/>
            <rFont val="Tahoma"/>
            <family val="2"/>
          </rPr>
          <t xml:space="preserve">Aqui você deve indicar o que acontece com o lixo residual após a subtração dos resíduos reciclados.
</t>
        </r>
        <r>
          <rPr>
            <sz val="9"/>
            <color rgb="FF000000"/>
            <rFont val="Tahoma"/>
            <family val="2"/>
          </rPr>
          <t xml:space="preserve">
</t>
        </r>
        <r>
          <rPr>
            <b/>
            <sz val="9"/>
            <color rgb="FF000000"/>
            <rFont val="Tahoma"/>
            <family val="2"/>
          </rPr>
          <t xml:space="preserve">Atenção:
</t>
        </r>
        <r>
          <rPr>
            <b/>
            <sz val="9"/>
            <color rgb="FF000000"/>
            <rFont val="Tahoma"/>
            <family val="2"/>
          </rPr>
          <t>Se a reciclagem de material de resíduos secos (metais, plásticos etc.) ocorrer em opções avançadas de tratamento final (MT-RDF, MT-RDF + BS), esse tipo de reciclagem também deve ser considerado em "Reciclagem" e excluído aqui.</t>
        </r>
      </text>
    </comment>
    <comment ref="B7" authorId="0" shapeId="0" xr:uid="{00BE8942-AE5A-4895-86F9-9FBB67856252}">
      <text>
        <r>
          <rPr>
            <sz val="9"/>
            <color rgb="FF000000"/>
            <rFont val="Tahoma"/>
            <family val="2"/>
          </rPr>
          <t xml:space="preserve">Resíduos dispersos é lixo descartado sem qualquer controle; decompõe-se em condições aeróbicas. 
</t>
        </r>
        <r>
          <rPr>
            <b/>
            <sz val="9"/>
            <color rgb="FF000000"/>
            <rFont val="Tahoma"/>
            <family val="2"/>
          </rPr>
          <t>Embora isso signifique ausência de emissão de metano, essa prática deve ser evitada a todo custo, pois apresenta riscos massivos à saúde pública, representa uma fonte de poluição e causa graves prejuízos à gestão urbana (alagamentos etc).</t>
        </r>
      </text>
    </comment>
    <comment ref="B8" authorId="0" shapeId="0" xr:uid="{CCE42071-67E7-4CEC-A779-9D826D078FA4}">
      <text>
        <r>
          <rPr>
            <sz val="9"/>
            <color rgb="FF000000"/>
            <rFont val="Tahoma"/>
            <family val="2"/>
          </rPr>
          <t>Às vezes, resíduos dispersos são queimados a céu aberto. Além disso, a queima aberta pode ocorrer diretamente nas casas das famílias.</t>
        </r>
      </text>
    </comment>
    <comment ref="B10" authorId="0" shapeId="0" xr:uid="{006ADAF2-AFC9-4620-B00C-45F7DE77475F}">
      <text>
        <r>
          <rPr>
            <sz val="9"/>
            <color rgb="FF000000"/>
            <rFont val="Tahoma"/>
            <family val="2"/>
          </rPr>
          <t xml:space="preserve">Lixão não controlado/não gerenciado
</t>
        </r>
        <r>
          <rPr>
            <sz val="9"/>
            <color rgb="FF000000"/>
            <rFont val="Tahoma"/>
            <family val="2"/>
          </rPr>
          <t xml:space="preserve">
</t>
        </r>
        <r>
          <rPr>
            <sz val="9"/>
            <color rgb="FF000000"/>
            <rFont val="Tahoma"/>
            <family val="2"/>
          </rPr>
          <t>As emissões de metano são multiplicadas por 0,4 (MCF) de acordo com o IPCC 2006 e 2019</t>
        </r>
      </text>
    </comment>
    <comment ref="B11" authorId="0" shapeId="0" xr:uid="{729CA226-13BA-4EC8-A7E8-4ABCB0488E23}">
      <text>
        <r>
          <rPr>
            <sz val="9"/>
            <color rgb="FF000000"/>
            <rFont val="Tahoma"/>
            <family val="2"/>
          </rPr>
          <t xml:space="preserve">Aterro controlado e simplesmente gerenciado de acordo com o IPCC
</t>
        </r>
        <r>
          <rPr>
            <sz val="9"/>
            <color rgb="FF000000"/>
            <rFont val="Tahoma"/>
            <family val="2"/>
          </rPr>
          <t xml:space="preserve">
</t>
        </r>
        <r>
          <rPr>
            <sz val="9"/>
            <color rgb="FF000000"/>
            <rFont val="Tahoma"/>
            <family val="2"/>
          </rPr>
          <t>As emissões de metano são multiplicadas por 0,8 de acordo com o IPCC 2006 e 2019</t>
        </r>
      </text>
    </comment>
    <comment ref="B19" authorId="0" shapeId="0" xr:uid="{5083B12C-9F80-4F80-B2D9-BDE9E9DC2B50}">
      <text>
        <r>
          <rPr>
            <sz val="9"/>
            <color rgb="FF000000"/>
            <rFont val="Tahoma"/>
            <family val="2"/>
          </rPr>
          <t xml:space="preserve">Incineração em uma instalação de incineração de RSU, em conformidade com as normas de emissões. Baixos impactos das emissões de gases de combustão devem ser um pré-requisito para a incineração.
</t>
        </r>
        <r>
          <rPr>
            <sz val="9"/>
            <color rgb="FF000000"/>
            <rFont val="Tahoma"/>
            <family val="2"/>
          </rPr>
          <t>Além disso, os resíduos devem ser exaustivamente testados quanto à sua qualificação para ser incinerados. A incineração autossustentável geralmente requer um valor calorífico mínimo de cerca de 6 MJ/kg de resíduos, e o teor de cinzas não deve ser muito alto.</t>
        </r>
      </text>
    </comment>
    <comment ref="B20" authorId="1" shapeId="0" xr:uid="{40E76BE3-374E-48C9-A001-002186E51879}">
      <text>
        <r>
          <rPr>
            <sz val="9"/>
            <color rgb="FF000000"/>
            <rFont val="Tahoma"/>
            <family val="2"/>
          </rPr>
          <t>Qualquer reciclagem de material seco deve ser considerada em "Reciclagem" e não deve ser incluída nesses 100%.</t>
        </r>
      </text>
    </comment>
    <comment ref="B28" authorId="0" shapeId="0" xr:uid="{C06DEC8C-93CE-4DBC-BA19-5F7E6884559D}">
      <text>
        <r>
          <rPr>
            <sz val="9"/>
            <color rgb="FF000000"/>
            <rFont val="Tahoma"/>
            <family val="2"/>
          </rPr>
          <t xml:space="preserve">"Eficiência da coleta de gás" refere-se à eficiência líquida média e é a proporção de gás de aterro coletado relacionada ao gás de aterro totalmente gerado
</t>
        </r>
        <r>
          <rPr>
            <sz val="9"/>
            <color rgb="FF000000"/>
            <rFont val="Tahoma"/>
            <family val="2"/>
          </rPr>
          <t xml:space="preserve">Exemplo: 
</t>
        </r>
        <r>
          <rPr>
            <sz val="9"/>
            <color rgb="FF000000"/>
            <rFont val="Tahoma"/>
            <family val="2"/>
          </rPr>
          <t xml:space="preserve">1 tonelada de resíduo causa 200 m³ de gás de aterro sanitário ao longo de um período de 50 anos. Supõe-se que 60% do gás do aterro seja gerado durante os primeiros 10 anos em que o aterro é ativo e não é coberto. Nesse período, assume-se que 30% do gás de aterro gerado pode ser capturado. Após 10 anos, o corpo de resíduos é coberto e, nos 40 anos restantes, mais do gás de aterro gerado pode ser capturado. A eficiência é estimada em 80%. A eficiência líquida média resultante é então: 
</t>
        </r>
        <r>
          <rPr>
            <sz val="9"/>
            <color rgb="FF000000"/>
            <rFont val="Tahoma"/>
            <family val="2"/>
          </rPr>
          <t>200*(0.6*0.3 + 0.4*0.8)/200 = 0.5</t>
        </r>
      </text>
    </comment>
    <comment ref="C57" authorId="0" shapeId="0" xr:uid="{71241DF7-599E-4F73-BFB2-6823B9E4C971}">
      <text>
        <r>
          <rPr>
            <sz val="9"/>
            <color rgb="FF000000"/>
            <rFont val="Tahoma"/>
            <family val="2"/>
          </rPr>
          <t>Uma instalação de incineração produz eletricidade com uma turbina a vapor. Se apenas eletricidade é produzida, a eficiência elétrica máxima é de cerca de 20% devido a razões termodinâmicas. Caso também seja produzido calor, a eficiência elétrica é menor como um padrão selecionado de 15%. O grau de produção de calor depende da possibilidade de vender o calor.</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Regine</author>
  </authors>
  <commentList>
    <comment ref="Q20" authorId="0" shapeId="0" xr:uid="{E0617FEA-7CFD-4F47-9FB9-74771CD14F8C}">
      <text>
        <r>
          <rPr>
            <sz val="9"/>
            <color indexed="81"/>
            <rFont val="Tahoma"/>
            <family val="2"/>
          </rPr>
          <t>Calculado como oxidação completa; no contexto da incerteza da quantidade de queima aberta e devido ao fato de que a quantidade incompleta de queima se decompõe ao longo do tempo, isso é uma simplificação insignificante</t>
        </r>
      </text>
    </comment>
    <comment ref="N101" authorId="0" shapeId="0" xr:uid="{422123B8-7325-4E66-89D9-7605CFC0437E}">
      <text>
        <r>
          <rPr>
            <sz val="9"/>
            <color indexed="81"/>
            <rFont val="Tahoma"/>
            <family val="2"/>
          </rPr>
          <t>Beneficiar da coincineração RDF em forno de cimento; calculado com a substituição do petcoke com valor calorífico = 33500 kJ /kg e teor de carbono de 90%</t>
        </r>
      </text>
    </comment>
    <comment ref="N127" authorId="0" shapeId="0" xr:uid="{2340E1D4-FA27-44AA-A905-8EACEAD981DF}">
      <text>
        <r>
          <rPr>
            <sz val="9"/>
            <color indexed="81"/>
            <rFont val="Tahoma"/>
            <family val="2"/>
          </rPr>
          <t>Estimation only 30% of carbon will be released instead of 50% for untreated waste due to the biological stabilisation</t>
        </r>
      </text>
    </comment>
    <comment ref="N134" authorId="0" shapeId="0" xr:uid="{094E36B3-CDB9-452B-9A71-8369E751444F}">
      <text>
        <r>
          <rPr>
            <sz val="9"/>
            <color indexed="81"/>
            <rFont val="Tahoma"/>
            <family val="2"/>
          </rPr>
          <t>Beneficiar da coincineração RDF em forno de cimento; calculado com a substituição do petcoke com valor calorífico = 33500 kJ/kg e teor de carbono de 90%</t>
        </r>
      </text>
    </comment>
    <comment ref="N152" authorId="0" shapeId="0" xr:uid="{C251C2E9-94ED-4D86-B4F5-FC08D2EA3A54}">
      <text>
        <r>
          <rPr>
            <sz val="9"/>
            <color indexed="81"/>
            <rFont val="Tahoma"/>
            <family val="2"/>
          </rPr>
          <t>Beneficiar da coincineração RDF em forno de cimento; calculado com a substituição do petcoke com valor calorífico = 33500 kJ/kg e teor de carbono de 90%</t>
        </r>
      </text>
    </comment>
    <comment ref="N153" authorId="0" shapeId="0" xr:uid="{4EF7E885-D4E6-48DA-946A-9734671AEF9C}">
      <text>
        <r>
          <rPr>
            <sz val="9"/>
            <color indexed="81"/>
            <rFont val="Tahoma"/>
            <family val="2"/>
          </rPr>
          <t>Beneficiar da coincineração RDF em forno de cimento; calculado com a substituição do petcoke com valor calorífico = 33500 kJ/kg e teor de carbono de 90%</t>
        </r>
      </text>
    </comment>
  </commentList>
</comments>
</file>

<file path=xl/sharedStrings.xml><?xml version="1.0" encoding="utf-8"?>
<sst xmlns="http://schemas.openxmlformats.org/spreadsheetml/2006/main" count="3852" uniqueCount="1501">
  <si>
    <t>Veja o Manual do Usuário para mais informações.</t>
  </si>
  <si>
    <t xml:space="preserve"> GIZ e MDR (ver com ProteGEEr o que colocar aqui)</t>
  </si>
  <si>
    <t xml:space="preserve"> (ver com ProteGEEr o que colocar aqui)</t>
  </si>
  <si>
    <t>A senha provisório para desbloquear as abas é 'proteeger'</t>
  </si>
  <si>
    <t xml:space="preserve">Município: </t>
  </si>
  <si>
    <t>ATENÇÃO: Preencher/alterar somente as células em verde.</t>
  </si>
  <si>
    <t>Sim</t>
  </si>
  <si>
    <t>Não</t>
  </si>
  <si>
    <t>Dados gerais de geração de RSU</t>
  </si>
  <si>
    <t xml:space="preserve">população atendida (hab.) </t>
  </si>
  <si>
    <t>per capita</t>
  </si>
  <si>
    <t>massa total</t>
  </si>
  <si>
    <t>massa total manejada por dia (t/d)</t>
  </si>
  <si>
    <t>(Utilizar dados primários, ou seja, a composição gravimétrica real do município ou consórcio em análise)</t>
  </si>
  <si>
    <t xml:space="preserve">Utilizar dados gravimétricos fornecidos pelo usuário </t>
  </si>
  <si>
    <t xml:space="preserve"> Usar "padrão Brasil" </t>
  </si>
  <si>
    <t>Componentes</t>
  </si>
  <si>
    <t>Agrupamentos</t>
  </si>
  <si>
    <t>Dados do usuário</t>
  </si>
  <si>
    <t>Utilizados nos cálculos</t>
  </si>
  <si>
    <t>Padrão Brasil</t>
  </si>
  <si>
    <t>t/d</t>
  </si>
  <si>
    <t>(%)</t>
  </si>
  <si>
    <t>Tipo</t>
  </si>
  <si>
    <t>resíduos de alimentos</t>
  </si>
  <si>
    <t>Orgânicos</t>
  </si>
  <si>
    <t>resíduos verdes (jardins e parques)</t>
  </si>
  <si>
    <t>papel, papelão</t>
  </si>
  <si>
    <t>Recicláveis</t>
  </si>
  <si>
    <t>plástico filme</t>
  </si>
  <si>
    <t>plásticos rígidos</t>
  </si>
  <si>
    <t>vidros</t>
  </si>
  <si>
    <t>metais ferrosos</t>
  </si>
  <si>
    <t>metais não ferrrosos</t>
  </si>
  <si>
    <t>têxteis</t>
  </si>
  <si>
    <t>Outros combustíveis</t>
  </si>
  <si>
    <t>borracha, couro</t>
  </si>
  <si>
    <t>fraldas descartáveis e similares</t>
  </si>
  <si>
    <t>madeira</t>
  </si>
  <si>
    <t>resíduos minerais</t>
  </si>
  <si>
    <t>Outros não combustiveis</t>
  </si>
  <si>
    <t>outros</t>
  </si>
  <si>
    <t>Total (deve ser 100%)</t>
  </si>
  <si>
    <t>Tipos de coleta</t>
  </si>
  <si>
    <t xml:space="preserve">% </t>
  </si>
  <si>
    <t xml:space="preserve">coleta seletiva de recicláveis </t>
  </si>
  <si>
    <t xml:space="preserve">coleta seletiva de orgânicos </t>
  </si>
  <si>
    <t xml:space="preserve">coleta de mistos/rejeitos </t>
  </si>
  <si>
    <t>Tipo de coleta</t>
  </si>
  <si>
    <t>Papel e papelão</t>
  </si>
  <si>
    <t>Vidros</t>
  </si>
  <si>
    <t>Metais</t>
  </si>
  <si>
    <t>Total</t>
  </si>
  <si>
    <t>Alimentos</t>
  </si>
  <si>
    <t>Verdes</t>
  </si>
  <si>
    <t>Filme</t>
  </si>
  <si>
    <t>Rígido</t>
  </si>
  <si>
    <t>Ferrosos</t>
  </si>
  <si>
    <t>Seletiva de orgânicos</t>
  </si>
  <si>
    <t>Trat. Biológico</t>
  </si>
  <si>
    <t>Tratam. biológico</t>
  </si>
  <si>
    <t>CDR</t>
  </si>
  <si>
    <t>Biosecagem CDR</t>
  </si>
  <si>
    <t>Incineração</t>
  </si>
  <si>
    <t>Aterro sanitário</t>
  </si>
  <si>
    <t>Aterro Sanitário</t>
  </si>
  <si>
    <t xml:space="preserve">Resíduos recicláveis ainda presentes na coleta de mistos (%) </t>
  </si>
  <si>
    <t>Resíduos orgânicos ainda presentes na coleta de mistos (%)</t>
  </si>
  <si>
    <t>Subprodutos e rejeitos separados da triagem (t/d)</t>
  </si>
  <si>
    <t>Triagem dos seletivos</t>
  </si>
  <si>
    <t>Triagem dos resíduos da coleta de mistos</t>
  </si>
  <si>
    <t>massa disponível (t/d)</t>
  </si>
  <si>
    <t>Mecanizada de mistos</t>
  </si>
  <si>
    <t>papel e papelão</t>
  </si>
  <si>
    <t>triagem manual (%)</t>
  </si>
  <si>
    <t>triagem mecanizada (%)</t>
  </si>
  <si>
    <t>porcentagem a ser triada (%)</t>
  </si>
  <si>
    <t>plástico rígido</t>
  </si>
  <si>
    <t xml:space="preserve">massa a ser triada (t/d) </t>
  </si>
  <si>
    <t>Manual de seletivos</t>
  </si>
  <si>
    <t>destino dos rejeitos</t>
  </si>
  <si>
    <t xml:space="preserve">massa (t/d) </t>
  </si>
  <si>
    <t>destino dos orgânicos</t>
  </si>
  <si>
    <t>metais não ferrosos</t>
  </si>
  <si>
    <t>Eficiência nas triagens</t>
  </si>
  <si>
    <t>Rejeitos seletivos</t>
  </si>
  <si>
    <t>Mecanizada de seletivos</t>
  </si>
  <si>
    <t>mecanizada de mistos</t>
  </si>
  <si>
    <t>Baixa</t>
  </si>
  <si>
    <t>Adotado: 90% comb. e 10% ñ comb.</t>
  </si>
  <si>
    <t>massa (t/d)</t>
  </si>
  <si>
    <t>manual de seletivos</t>
  </si>
  <si>
    <t>mecanizada de seletivos</t>
  </si>
  <si>
    <t>Rejeito para trat. Témico</t>
  </si>
  <si>
    <t>Man sel</t>
  </si>
  <si>
    <t xml:space="preserve"> mistos triados</t>
  </si>
  <si>
    <t>Mecaniz. Sel</t>
  </si>
  <si>
    <t>mistos não triados</t>
  </si>
  <si>
    <t>Mistos</t>
  </si>
  <si>
    <t>Produção de CDR</t>
  </si>
  <si>
    <t xml:space="preserve">Resíduos disponíveis para CDR </t>
  </si>
  <si>
    <t>CDR produzido (t/d)</t>
  </si>
  <si>
    <t>% CDR fino produzido</t>
  </si>
  <si>
    <t>CDR fino</t>
  </si>
  <si>
    <t>% CDR grosso produzido</t>
  </si>
  <si>
    <t>CDR grosso</t>
  </si>
  <si>
    <t>rejeito para aterro</t>
  </si>
  <si>
    <t>orgânicos seletivos (t/d)</t>
  </si>
  <si>
    <t>Destinação do material disponível para tratamento biológico (%)</t>
  </si>
  <si>
    <t>biodigestão anaeróbia (%)</t>
  </si>
  <si>
    <t>total de orgânicos (t/d)</t>
  </si>
  <si>
    <t>compostagem (uso nobre) (%)</t>
  </si>
  <si>
    <t>Capacidade (t/d)</t>
  </si>
  <si>
    <t>Compost. nobre</t>
  </si>
  <si>
    <t>Biodigestão anaeróbia</t>
  </si>
  <si>
    <t>biodigestão anaeróbia (t/d)</t>
  </si>
  <si>
    <t>Comp. não nobre</t>
  </si>
  <si>
    <t>perda de massa</t>
  </si>
  <si>
    <t>Média</t>
  </si>
  <si>
    <t>compostagem nobre (t/d)</t>
  </si>
  <si>
    <t xml:space="preserve">potencial de geração do biodigestor </t>
  </si>
  <si>
    <t>Médio</t>
  </si>
  <si>
    <t>produção de biometano</t>
  </si>
  <si>
    <t>geração potencial de biogás (Nm³/t)</t>
  </si>
  <si>
    <t>geração de energia elétrica</t>
  </si>
  <si>
    <t>Aplicação no solo (florestamento)</t>
  </si>
  <si>
    <t>geração potencial de energia (kWh/t)</t>
  </si>
  <si>
    <t>Subprodutos (t/d)</t>
  </si>
  <si>
    <t>Cobertura de aterro sanitário</t>
  </si>
  <si>
    <t>destino do digestado</t>
  </si>
  <si>
    <t>composto nobre (t/d)</t>
  </si>
  <si>
    <t>Compostagem</t>
  </si>
  <si>
    <t>digestado a compostar (t/d)</t>
  </si>
  <si>
    <t>composto não nobre (t/d)</t>
  </si>
  <si>
    <t>energia elétrica (kWh/d)</t>
  </si>
  <si>
    <t>biometano (Nm³/d)</t>
  </si>
  <si>
    <t>rejeito na peneira final</t>
  </si>
  <si>
    <t>Baixo</t>
  </si>
  <si>
    <t>Perdas e rejeitos (t/d)</t>
  </si>
  <si>
    <t>perda por evaporação ou biodigestão (t/d)</t>
  </si>
  <si>
    <t>rejeitos triagem  de mistos</t>
  </si>
  <si>
    <t>rejeitos triagem mec. sel.</t>
  </si>
  <si>
    <t>rejeitos triagem man. sel.</t>
  </si>
  <si>
    <t>vai para incineração</t>
  </si>
  <si>
    <t>vai para aterro sanitário</t>
  </si>
  <si>
    <t>orgânicos triagem  de mistos</t>
  </si>
  <si>
    <t>rejeito compostagem e CDR</t>
  </si>
  <si>
    <t>cinzas da incineração</t>
  </si>
  <si>
    <t>Tratamento térmico</t>
  </si>
  <si>
    <t>Incineração dos resíduos da coleta de mistos sem triagem?</t>
  </si>
  <si>
    <t>Subprodutos</t>
  </si>
  <si>
    <t>mistos sem triagem (t/d)</t>
  </si>
  <si>
    <t>metais não ferrosos (t/d)</t>
  </si>
  <si>
    <t>eficiência na geração de energia elétrica (%)</t>
  </si>
  <si>
    <t>cinzas de fundo para reaproveitamento (t/d)</t>
  </si>
  <si>
    <t>cinzas de fundo para aterro (t/d)</t>
  </si>
  <si>
    <t>geração de cinzas (%)</t>
  </si>
  <si>
    <t>massa disponível total (t/d)</t>
  </si>
  <si>
    <t>recuperação de metais das cinzas</t>
  </si>
  <si>
    <t>reaproveitamento das cinzas de fundo (%)</t>
  </si>
  <si>
    <t>perda de massa por combustão (t/d)</t>
  </si>
  <si>
    <t>PCI ponderado estimado (kWh/t)</t>
  </si>
  <si>
    <t>Disposição final</t>
  </si>
  <si>
    <t>total para aterro sanitário (t/d)</t>
  </si>
  <si>
    <t>sem queima (%)</t>
  </si>
  <si>
    <t>Estação de transbordo</t>
  </si>
  <si>
    <t>somente queima (%)</t>
  </si>
  <si>
    <t>há necessidade de estação de transbordo (ET)?</t>
  </si>
  <si>
    <t>Novo</t>
  </si>
  <si>
    <t>Rota atual</t>
  </si>
  <si>
    <t>Disp. inadequada</t>
  </si>
  <si>
    <t>aproveitamento do biogás (%)</t>
  </si>
  <si>
    <t>distância da ET ao aterro (km)</t>
  </si>
  <si>
    <t>Existente</t>
  </si>
  <si>
    <t>Rota futura</t>
  </si>
  <si>
    <t>porcentagem do resíduo que passa pela ET (%)</t>
  </si>
  <si>
    <t>Alta</t>
  </si>
  <si>
    <t>capacidade da ET (t/d)</t>
  </si>
  <si>
    <t>biogás gerado (Nm³/d)</t>
  </si>
  <si>
    <t>volume ocupado no aterro por ano (m³/d)</t>
  </si>
  <si>
    <t>Sem captação</t>
  </si>
  <si>
    <t>eficiência de captação do biogás</t>
  </si>
  <si>
    <t>produção de biometano (Nm³/d)</t>
  </si>
  <si>
    <t>biogás captado e disponível (Nm³/d)</t>
  </si>
  <si>
    <t>Triagem</t>
  </si>
  <si>
    <t>Perda de massa por secagem (%)</t>
  </si>
  <si>
    <t xml:space="preserve">Valor a usar </t>
  </si>
  <si>
    <t>Tratamento biológico</t>
  </si>
  <si>
    <t>Biodigestão</t>
  </si>
  <si>
    <t>Biodigestão e compostagem</t>
  </si>
  <si>
    <t>Geração potencial</t>
  </si>
  <si>
    <t>Biogás</t>
  </si>
  <si>
    <t>Perda de massa (%)</t>
  </si>
  <si>
    <t>Alto</t>
  </si>
  <si>
    <t>%</t>
  </si>
  <si>
    <t>geração de cinzas</t>
  </si>
  <si>
    <t>Características das frações dos resíduos (para incineração e aterro sanitário)</t>
  </si>
  <si>
    <t>Características das frações dos resíduos</t>
  </si>
  <si>
    <t>Rota:</t>
  </si>
  <si>
    <t>Total de RSU gerado</t>
  </si>
  <si>
    <t>Seletiva de recicláveis</t>
  </si>
  <si>
    <t>Mistos ou rejeitos</t>
  </si>
  <si>
    <t>Materiais recuperados</t>
  </si>
  <si>
    <t>Evaporação</t>
  </si>
  <si>
    <t>Inicineração</t>
  </si>
  <si>
    <t>Volume no aterro:</t>
  </si>
  <si>
    <t>m³/d</t>
  </si>
  <si>
    <t>Total por destinação final (t/d)</t>
  </si>
  <si>
    <t>Estação de transbordo:</t>
  </si>
  <si>
    <t>Capacidade de projeto da unidade</t>
  </si>
  <si>
    <t>Etapa ou tecnologia</t>
  </si>
  <si>
    <t>Entrada</t>
  </si>
  <si>
    <t>Saída</t>
  </si>
  <si>
    <t>Materias recicláveis</t>
  </si>
  <si>
    <t>Rejeito</t>
  </si>
  <si>
    <t>Perda por evaporação</t>
  </si>
  <si>
    <t>Coletas</t>
  </si>
  <si>
    <t>Subtotal</t>
  </si>
  <si>
    <t>CDR TM</t>
  </si>
  <si>
    <t>CDR TMB</t>
  </si>
  <si>
    <t>Biodigestão + compostagem</t>
  </si>
  <si>
    <t>Mistos sem triagem</t>
  </si>
  <si>
    <t>Resíduos mistos não triados</t>
  </si>
  <si>
    <t>Resultado final do balanço de massa</t>
  </si>
  <si>
    <t>Massa (t/d)</t>
  </si>
  <si>
    <t>Aterro</t>
  </si>
  <si>
    <t>Evaporação*</t>
  </si>
  <si>
    <t xml:space="preserve">  * Por evaporação, combustão ou biodegradação</t>
  </si>
  <si>
    <t>Subprodutos por etapa da Rota</t>
  </si>
  <si>
    <t>Recicláveis orgânicos</t>
  </si>
  <si>
    <t>composto nobre</t>
  </si>
  <si>
    <t>composto não nobre florestal</t>
  </si>
  <si>
    <t>fino</t>
  </si>
  <si>
    <t>grosso</t>
  </si>
  <si>
    <t>Energia elétrica</t>
  </si>
  <si>
    <t>kWh/d</t>
  </si>
  <si>
    <t>Biometano</t>
  </si>
  <si>
    <t>Cinzas recicladas</t>
  </si>
  <si>
    <t>Utilização do biogás</t>
  </si>
  <si>
    <t>Unid.</t>
  </si>
  <si>
    <t>Valor</t>
  </si>
  <si>
    <t>População Atendida</t>
  </si>
  <si>
    <t>hab.</t>
  </si>
  <si>
    <t>MR$/a</t>
  </si>
  <si>
    <t>Legenda</t>
  </si>
  <si>
    <t>Geração Diária de RSU</t>
  </si>
  <si>
    <t>R$/t RSU</t>
  </si>
  <si>
    <t>Capex (R$/t "Total Anual RSU")</t>
  </si>
  <si>
    <t>Geração Anual de RSU</t>
  </si>
  <si>
    <t>t/a</t>
  </si>
  <si>
    <t>R$.hab.-1.mês-1</t>
  </si>
  <si>
    <t>Capex (R$/t "Entr. Anual Tecnol.")</t>
  </si>
  <si>
    <t>Opex (R$/t "Total Anual RSU")</t>
  </si>
  <si>
    <t>Opex (R$/t "Entr. Anual Tecnol.")</t>
  </si>
  <si>
    <t>Qt (t/d "Entr. Tecnol")</t>
  </si>
  <si>
    <t>MR$</t>
  </si>
  <si>
    <t>R$/t anual RSU</t>
  </si>
  <si>
    <t>MWh/a</t>
  </si>
  <si>
    <t xml:space="preserve">Nm³/a </t>
  </si>
  <si>
    <t>Sim / Não</t>
  </si>
  <si>
    <t>a</t>
  </si>
  <si>
    <t>CEF</t>
  </si>
  <si>
    <t>000 MR$</t>
  </si>
  <si>
    <t>Geração Mensal de RSU</t>
  </si>
  <si>
    <t>t/mês</t>
  </si>
  <si>
    <t>Uso (Sim/Não)</t>
  </si>
  <si>
    <t>Capac. (t/a)</t>
  </si>
  <si>
    <t>Capex (MR$)</t>
  </si>
  <si>
    <t>Capex (R$/t entr)</t>
  </si>
  <si>
    <t>Opex (MR$)</t>
  </si>
  <si>
    <t>Opex (R$/t entr)</t>
  </si>
  <si>
    <t>R$/€</t>
  </si>
  <si>
    <t>R$/US $</t>
  </si>
  <si>
    <t>Capex /t RSU</t>
  </si>
  <si>
    <t>Receita Acess./ t RSU | Opex / t RSU</t>
  </si>
  <si>
    <t>Reinvestimento a cada 5 anos</t>
  </si>
  <si>
    <t>Custo Fixo | Custo Variável</t>
  </si>
  <si>
    <t>Triagem Mecanizada</t>
  </si>
  <si>
    <t>R$/m³</t>
  </si>
  <si>
    <t>R$/mês</t>
  </si>
  <si>
    <t>Biodigestão Anaeróbia</t>
  </si>
  <si>
    <t>Regime Cooperativa</t>
  </si>
  <si>
    <t>R$/MWh</t>
  </si>
  <si>
    <t>R$/Mês</t>
  </si>
  <si>
    <t>R$/h</t>
  </si>
  <si>
    <t>R$/L</t>
  </si>
  <si>
    <t>Área Total Aterrro Sanitário</t>
  </si>
  <si>
    <t>% de Nacionaliz. TOTAL dos Invest.</t>
  </si>
  <si>
    <t>Reinvestimento Total Rota (cada 5 anos)</t>
  </si>
  <si>
    <t>-</t>
  </si>
  <si>
    <t>Total CAPEX do Trat. / Disp. do RSU</t>
  </si>
  <si>
    <t>Dados de Custos Econômicos</t>
  </si>
  <si>
    <t>Receitas Acessórias</t>
  </si>
  <si>
    <t>R$/t</t>
  </si>
  <si>
    <t>R$/t CDR</t>
  </si>
  <si>
    <t>R$/t composto</t>
  </si>
  <si>
    <t>R$/t Mat. recicl.</t>
  </si>
  <si>
    <t>R$/Nm³</t>
  </si>
  <si>
    <t>Pot. Receita Acessória Total por t RSU</t>
  </si>
  <si>
    <t>Unidade</t>
  </si>
  <si>
    <t>Qt (Unit.)</t>
  </si>
  <si>
    <t>Qt (%)</t>
  </si>
  <si>
    <t>Qt. Imov. RESID. TOTAL</t>
  </si>
  <si>
    <t>% Imov.
 RESID. SOCIAL</t>
  </si>
  <si>
    <t>Definido</t>
  </si>
  <si>
    <t>m³/a</t>
  </si>
  <si>
    <t>Estimativa</t>
  </si>
  <si>
    <t>Estimado</t>
  </si>
  <si>
    <t>m³/t</t>
  </si>
  <si>
    <t>R$/a por Imóvel</t>
  </si>
  <si>
    <t>R$/m por Imóvel</t>
  </si>
  <si>
    <t>Valor Básico de Cálculo (VBC)</t>
  </si>
  <si>
    <t>Anual</t>
  </si>
  <si>
    <t>Mensal</t>
  </si>
  <si>
    <t>Receita Anual Estimada (MR$)</t>
  </si>
  <si>
    <t>t/a Total</t>
  </si>
  <si>
    <t>Qt m³/a Total</t>
  </si>
  <si>
    <t>Categoria Pública e Filantrópica</t>
  </si>
  <si>
    <t>t/mês Total</t>
  </si>
  <si>
    <t>Qt m³/mês total</t>
  </si>
  <si>
    <t>Fatores de cálculo cumulativos</t>
  </si>
  <si>
    <t>Categoria de uso (a)</t>
  </si>
  <si>
    <t>Frequência da Coleta</t>
  </si>
  <si>
    <t>Consumo médio mensal de água (c)</t>
  </si>
  <si>
    <t>t/mês Categoria</t>
  </si>
  <si>
    <t>Qt m³/mês da Categoria</t>
  </si>
  <si>
    <t>Tolerância</t>
  </si>
  <si>
    <t>Alternada (b1)</t>
  </si>
  <si>
    <t>Diária (b2)</t>
  </si>
  <si>
    <t>Coleta dias alternados</t>
  </si>
  <si>
    <t>Coleta Diária</t>
  </si>
  <si>
    <t>% Coleta Diária</t>
  </si>
  <si>
    <t>Fator Ponderador</t>
  </si>
  <si>
    <t>Kg/d por Unid. da Categoria</t>
  </si>
  <si>
    <t>Qt m³/m por faixa da Categoria</t>
  </si>
  <si>
    <t>Qt m³/m por Unid. da Categoria</t>
  </si>
  <si>
    <t>Categoria Residencial - NORMAL</t>
  </si>
  <si>
    <t>Categoria Residencial - SOCIAL</t>
  </si>
  <si>
    <t>Categoria Industrial</t>
  </si>
  <si>
    <t>anos</t>
  </si>
  <si>
    <t>KPIs FINANCEIROS</t>
  </si>
  <si>
    <t>PROJETO</t>
  </si>
  <si>
    <t>ACIONISTA</t>
  </si>
  <si>
    <t>Projeção Anual da Inflação de Preços e Custos</t>
  </si>
  <si>
    <t>VPL (R$ MM)</t>
  </si>
  <si>
    <t>TIR (%)</t>
  </si>
  <si>
    <t>Spread (pp)</t>
  </si>
  <si>
    <t>VPI (R$ MM)</t>
  </si>
  <si>
    <t>VPL/VPI</t>
  </si>
  <si>
    <t>Payback (anos)</t>
  </si>
  <si>
    <t>% aa</t>
  </si>
  <si>
    <t>BNDES</t>
  </si>
  <si>
    <t>ACIONISTA: Ganho &amp; Prêmio Risco Invest.</t>
  </si>
  <si>
    <t>Término do Contrato</t>
  </si>
  <si>
    <t>Ano do Contrato</t>
  </si>
  <si>
    <t>Dados Quantitativos RSU</t>
  </si>
  <si>
    <t>Tecnologias</t>
  </si>
  <si>
    <t>Sim/Não</t>
  </si>
  <si>
    <t>Dados de Capex</t>
  </si>
  <si>
    <t>Capex da Tecnologia</t>
  </si>
  <si>
    <t>Custo Operacional MR$/a</t>
  </si>
  <si>
    <t>Dados de Receita Acessória</t>
  </si>
  <si>
    <t>Receita Acessória MR$/a</t>
  </si>
  <si>
    <t>Dados de Receitas Diretas</t>
  </si>
  <si>
    <t>Depreciação</t>
  </si>
  <si>
    <t>Lucro Operacional Bruto</t>
  </si>
  <si>
    <t>Lucro Operacional Líquido</t>
  </si>
  <si>
    <t>VPL (R$)</t>
  </si>
  <si>
    <t>VPL Acc. (R$)</t>
  </si>
  <si>
    <t>VPI (R$)</t>
  </si>
  <si>
    <t>Payback</t>
  </si>
  <si>
    <t>TIR</t>
  </si>
  <si>
    <t>(+) Liberações de Empréstimos</t>
  </si>
  <si>
    <t>Ano</t>
  </si>
  <si>
    <t>(-) Amortização de Empréstimos</t>
  </si>
  <si>
    <t>(-) Juros de Empréstimos</t>
  </si>
  <si>
    <t>Equipamentos &amp; Montagem</t>
  </si>
  <si>
    <t>Capex Total (Milh R$)</t>
  </si>
  <si>
    <t>Capex/t Dimens anual</t>
  </si>
  <si>
    <t>OPEX Anual</t>
  </si>
  <si>
    <t>Massa (t) Segregada Mat. Recicl. (kg p/ Catador p/ Turno)</t>
  </si>
  <si>
    <t>Pessoal (RS/t "Entr anual")</t>
  </si>
  <si>
    <t>Energia Elétrica (R$/t "Entr anual")</t>
  </si>
  <si>
    <t>Manutenção (R$/t "Entr anual")</t>
  </si>
  <si>
    <t>Complexidade e Tamanho da Operação c/ Terceiros</t>
  </si>
  <si>
    <t>Serviços Terceiros Fixos (R$/t "Entr anual")</t>
  </si>
  <si>
    <t>"Opex Total"/t "Entr anual"</t>
  </si>
  <si>
    <t>"Opex Total" (Milh R$/ano)</t>
  </si>
  <si>
    <t>"Opex Custo Fixo" (Milh R$/ano)</t>
  </si>
  <si>
    <t>"Opex Custo Variável" (R$/t Entr anual)</t>
  </si>
  <si>
    <t>Itens Consumíveis na Op. Produção (R$/t "Entr anual")</t>
  </si>
  <si>
    <t>ton/dia</t>
  </si>
  <si>
    <t>ton/ano</t>
  </si>
  <si>
    <t>Tempo Retenção FORSU nos Túneis (Semanas)</t>
  </si>
  <si>
    <t>Área Individual dos Túneis (m2)</t>
  </si>
  <si>
    <t>Deságio Custo Básico Constr. Civil Usinada: Brásil vs Europa</t>
  </si>
  <si>
    <t>4250t/tunel</t>
  </si>
  <si>
    <t>6000t/tunel</t>
  </si>
  <si>
    <t>Tecnologia Chinesa</t>
  </si>
  <si>
    <t>INCINERAÇÃO com Tecnologia Mass Burning</t>
  </si>
  <si>
    <t>Capacidade Tratamento por Linha</t>
  </si>
  <si>
    <t>Porcentual Cinzas a ser enviado p/ Aterro Res. Perigosos (%)</t>
  </si>
  <si>
    <t>ATERRO SANITÁRIO</t>
  </si>
  <si>
    <t>Custo de Pré-Implantação</t>
  </si>
  <si>
    <t>Custo de Implantação</t>
  </si>
  <si>
    <t xml:space="preserve">Drenagem de percolado e gás na massa de resíduos </t>
  </si>
  <si>
    <t xml:space="preserve">Cobertura operacional dos resíduos </t>
  </si>
  <si>
    <t>Drenagem de águas pluviais sobre o aterro</t>
  </si>
  <si>
    <t>Tratamento de percolado</t>
  </si>
  <si>
    <t xml:space="preserve">Instrumentação </t>
  </si>
  <si>
    <t>Monitoramento</t>
  </si>
  <si>
    <t xml:space="preserve">Vigilância </t>
  </si>
  <si>
    <t xml:space="preserve">Outras despesas operacionais </t>
  </si>
  <si>
    <t xml:space="preserve">Sistema de captação e queima de biogás </t>
  </si>
  <si>
    <t>Tolerância
(&lt; 20%)</t>
  </si>
  <si>
    <t>FCL Projeto (MR$)</t>
  </si>
  <si>
    <t>FCL Projeto Acc (MR$)</t>
  </si>
  <si>
    <t>VPL Projeto (MR$)</t>
  </si>
  <si>
    <t>VPL Projeto Acc. (MR$)</t>
  </si>
  <si>
    <t>VPL Acionista (MR$)</t>
  </si>
  <si>
    <t>VPL Acionista Acc. (MR$)</t>
  </si>
  <si>
    <t>FCL Acionista (MR$)</t>
  </si>
  <si>
    <t>FCL Acionista Acc (MR$)</t>
  </si>
  <si>
    <t>Geraldo Antônio Reichert e Alaim Silva de Paula</t>
  </si>
  <si>
    <t>Ferramenta de Rotas e Custos</t>
  </si>
  <si>
    <t>Mistos/rejeitos</t>
  </si>
  <si>
    <t>Plástico</t>
  </si>
  <si>
    <t>Vidro</t>
  </si>
  <si>
    <t>Rejeitos/mistos</t>
  </si>
  <si>
    <t>Combustíveis</t>
  </si>
  <si>
    <t>Parques/jardins</t>
  </si>
  <si>
    <t>PCI — incineração (GJ/t)</t>
  </si>
  <si>
    <t>Obs.: 1 GJ = 277,78 kWh</t>
  </si>
  <si>
    <t>Custo Médio — Produção Biometano — Aterro</t>
  </si>
  <si>
    <t>Prod. CDR TMB — Trat. Mec./Biológ.</t>
  </si>
  <si>
    <t>Reinvestimento — Capex Sustaining a cada 5 anos</t>
  </si>
  <si>
    <t xml:space="preserve">Município  </t>
  </si>
  <si>
    <t xml:space="preserve">Rota  </t>
  </si>
  <si>
    <t>Serviços: Eng., Cons. Licenc. etc.</t>
  </si>
  <si>
    <t>Opex Anual</t>
  </si>
  <si>
    <t>Capex</t>
  </si>
  <si>
    <t>Custo Fixo — Manutenção Mensal (R$/mês)</t>
  </si>
  <si>
    <t>Capex (Milh R$)</t>
  </si>
  <si>
    <t xml:space="preserve">Capex </t>
  </si>
  <si>
    <t xml:space="preserve">Manutenção das obras/fornecimentos diversos </t>
  </si>
  <si>
    <t>Fluidos (eletricidade, águas etc.)</t>
  </si>
  <si>
    <t xml:space="preserve">qual Rota está sendo simulada? </t>
  </si>
  <si>
    <t>ACIONISTA: Estr. Capital &amp; Prêmio Risco Invest.</t>
  </si>
  <si>
    <t>Simular rotas tecnológicas para o gerenciamento de RSU, por meio da realização estruturada do balanço de massa e da estimativa dos custos associados.</t>
  </si>
  <si>
    <t>Apenas as tecnologias consideradas consolidadas podem ser utilizadas na montagem de Rotas (triagens manual e mecanizada; produção de CDR; compostagem e biodigestão anaeróbia; incineração e aterro sanitário). Não é possível especificar quais sistemas de coleta seletiva serão usados, e apenas de maneira genérica é possível inserir as seletivas de recicláveis e de orgânicos. As eficiências de triagem são globais e não há como especificar eficiências diferentes por tipo de material. Na Ferramenta, sempre se assume que será uma única planta para determinada tecnologia.</t>
  </si>
  <si>
    <t xml:space="preserve">Desenvolvido por  </t>
  </si>
  <si>
    <t xml:space="preserve">Órgão financiador  </t>
  </si>
  <si>
    <t xml:space="preserve">Projeto  </t>
  </si>
  <si>
    <t xml:space="preserve">Contato  </t>
  </si>
  <si>
    <t>Legenda de cores das células:</t>
  </si>
  <si>
    <t xml:space="preserve">massa diária de RSU considerada na rota (t/d) </t>
  </si>
  <si>
    <t>(Dados "padrão Brasil", utilizar somente para simulações acadêmicas ou de treinamento, quando da ausência de dados primários)</t>
  </si>
  <si>
    <t xml:space="preserve">total de RSU a ser gerido pelo município </t>
  </si>
  <si>
    <t>Resumo de materiais por tipo de coleta</t>
  </si>
  <si>
    <t>Materiais ou resíduos disponíveis para tratamento em função do tipo de coleta (t/d)</t>
  </si>
  <si>
    <t>Não combustíveis</t>
  </si>
  <si>
    <t>Não ferrosos</t>
  </si>
  <si>
    <t>Definição das tecnologias na ROTA — Balanço de massa</t>
  </si>
  <si>
    <t>Triagem e definição do destino dos materiais e rejeitos</t>
  </si>
  <si>
    <t>Total de recicláveis</t>
  </si>
  <si>
    <t>Rejeitos e mistos disponíveis após as etapas de triagem (t/d) — no fluxo de rejeitos mistos</t>
  </si>
  <si>
    <t>rejeitos combustíveis seletivos (man.) (t/d)</t>
  </si>
  <si>
    <t>rejeitos combustíveis seletivos (mecan.) (t/d)</t>
  </si>
  <si>
    <t>rejeitos combustíveis triag. mecan. mistos (t/d)</t>
  </si>
  <si>
    <t>biossecagem — orgânicos de mistos (t/d)</t>
  </si>
  <si>
    <t>Rejeito para aterro (t/d)</t>
  </si>
  <si>
    <t>produção de CDR TM (t/d)</t>
  </si>
  <si>
    <t>produção de CDR TMB (t/d)</t>
  </si>
  <si>
    <t>orgânicos da triagem mecanizada (t/d)</t>
  </si>
  <si>
    <t>compostagem (uso não nobre) (%)</t>
  </si>
  <si>
    <t>Qual é a utilização do composto</t>
  </si>
  <si>
    <t xml:space="preserve"> "não nobre" produzido?</t>
  </si>
  <si>
    <t>compostagem não nobre (t/d)</t>
  </si>
  <si>
    <t>rejeito na peneira — composto para aterro (t/d)</t>
  </si>
  <si>
    <t>rejeito — seletivos (man.) (t/d)</t>
  </si>
  <si>
    <t>rejeito — seletivos (mecan.) (t/d)</t>
  </si>
  <si>
    <t>rejeito — triagem mec. mistos (t/d)</t>
  </si>
  <si>
    <t>metais ferrosos (t/d)</t>
  </si>
  <si>
    <t>aterro novo ou já existente?</t>
  </si>
  <si>
    <t>Composição do fluxo de rejeitos após triagem, produção de CDR e tratamento biológico (t/d) — (sem os recicláveis secos e os orgânicos separados na triagem)</t>
  </si>
  <si>
    <t>Ajuste de variáveis avançadas para realização do balanço de massa da Rota Tecnológica</t>
  </si>
  <si>
    <t>Rejeito na produção de CDR (%)</t>
  </si>
  <si>
    <t>CDR TM — seletivos</t>
  </si>
  <si>
    <t>CDR TMB — mistos</t>
  </si>
  <si>
    <t>eficiência na utilização do biogás (%)</t>
  </si>
  <si>
    <t>Eficiência na captação do biogás (%)</t>
  </si>
  <si>
    <t>potencial energético do biogás (MJ/Nm³)</t>
  </si>
  <si>
    <t>eficiência na geração elétrica (%)</t>
  </si>
  <si>
    <t>Total em porcentagem da Rota (%)</t>
  </si>
  <si>
    <t>Resumo da Rota — Capacidade das unidades e subprodutos gerados</t>
  </si>
  <si>
    <t>Resumo do fluxo de massa por etapa ou tecnologia na Rota (t/d)</t>
  </si>
  <si>
    <t>Rejeitos — triagem mistos</t>
  </si>
  <si>
    <t>Biossecagem — orgânicos</t>
  </si>
  <si>
    <t>Rejeitos — triagem de seletivos</t>
  </si>
  <si>
    <t>Rejeitos — triagem de mistos</t>
  </si>
  <si>
    <t>Rejeitos — produção de CDR</t>
  </si>
  <si>
    <t>Rejeitos — tratamento biológico</t>
  </si>
  <si>
    <t>Cinzas — incineração</t>
  </si>
  <si>
    <t>Material reciclável</t>
  </si>
  <si>
    <t>composto não nobre — cobertura AS</t>
  </si>
  <si>
    <t>Total de orgânicos</t>
  </si>
  <si>
    <t>Total de CDR</t>
  </si>
  <si>
    <t>resíduo disponível pós-CDR</t>
  </si>
  <si>
    <t>Manual seletivos</t>
  </si>
  <si>
    <t>Quantidade de Rejeito Disposto em Aterro</t>
  </si>
  <si>
    <t>Qt. Mistos não triados | Direto para aterro</t>
  </si>
  <si>
    <t>Índice de reciclagem relativo ao total de RSU</t>
  </si>
  <si>
    <t>Custo Total da Coleta de RSU</t>
  </si>
  <si>
    <t>Custo Total das Tecnologias de Tratamento</t>
  </si>
  <si>
    <t>RESUMO — GESTÃO DE QUANTITATIVOS</t>
  </si>
  <si>
    <t>Total de Material Reciclável Recuperado</t>
  </si>
  <si>
    <t>Investimento Total — Tecnol. de Trat. de RSU</t>
  </si>
  <si>
    <t>Qt. Material Reciclável Recuperado — Triagem MAN</t>
  </si>
  <si>
    <t>% Nacionalização do Total dos Investimentos</t>
  </si>
  <si>
    <t>Investimento Total — Capex/t RSU</t>
  </si>
  <si>
    <t>Total de CDR Produzido</t>
  </si>
  <si>
    <t>Total de Energia Elétrica Produzida</t>
  </si>
  <si>
    <t>Provisão Capex — Fechamento do aterro após 20 anos</t>
  </si>
  <si>
    <t>Total de Biometano Produzido</t>
  </si>
  <si>
    <t>Invest. Total — Infraestrutura de Coleta de RSU</t>
  </si>
  <si>
    <t>PREMISSAS PARA DEFINIÇÃO DO CONTRATO</t>
  </si>
  <si>
    <t>Simulação de Contrato Incluindo Coleta</t>
  </si>
  <si>
    <t>Simulação de Contrato Incluindo Receitas Acessórias</t>
  </si>
  <si>
    <t>Estimativa de Crescimento Populacional Anual</t>
  </si>
  <si>
    <t>Coleta Seletiva — Secos Recicláveis</t>
  </si>
  <si>
    <t>Coleta Seletiva — Orgânicos</t>
  </si>
  <si>
    <t>Coleta Convencional — Mistos/rejeitos</t>
  </si>
  <si>
    <t>Custo de Câmbio: Real/Euro</t>
  </si>
  <si>
    <t>Custo de Câmbio: Real/Dólar Americano</t>
  </si>
  <si>
    <t>Preço Médio do Terreno para Construção</t>
  </si>
  <si>
    <t>Preço Médio do Terreno para Construção de Aterro Sanitário</t>
  </si>
  <si>
    <t>Preço Médio de Paisagismo + Pavimentação em Concreto</t>
  </si>
  <si>
    <t>Preço Médio do Concreto Usinado Ind. Aplicado</t>
  </si>
  <si>
    <t>Preço Médio da Construção de Galpão Industrial com Piso</t>
  </si>
  <si>
    <t>Reajuste de Preços Nacionais vs. Março/2020</t>
  </si>
  <si>
    <t>Triagem Manual — Seletivos</t>
  </si>
  <si>
    <t>% de Nacionaliz. Equipamentos | % Sobredimens. Projetos</t>
  </si>
  <si>
    <t>Área da Unidade de Tratamento Industrial</t>
  </si>
  <si>
    <t>Produção de CDR TM — Trat. Mec.</t>
  </si>
  <si>
    <t>Área Total da Unidade de Tratamento de Resíduos</t>
  </si>
  <si>
    <t>Tecnologias de Tratamento &amp; Disposição</t>
  </si>
  <si>
    <t>Produção de CDR TMB — Trat. Mec./Biológ.</t>
  </si>
  <si>
    <t>Capex Encerramento Aterro Sanitário: após 20 anos</t>
  </si>
  <si>
    <t>Total OPEX do Tratamento/Disposição do RSU</t>
  </si>
  <si>
    <t>Informações sobre Capex &amp; Opex | Capex</t>
  </si>
  <si>
    <t>Informações sobre Capex &amp; Opex | Opex</t>
  </si>
  <si>
    <t>Salário Médio — Nível Gerencial</t>
  </si>
  <si>
    <t>Salário Médio — Nível Supervisão</t>
  </si>
  <si>
    <t>Salário Médio — Nível Operacional</t>
  </si>
  <si>
    <t>Salário Médio — Triador/Operador Triagem Manual</t>
  </si>
  <si>
    <t>Custo Médio de Consumo de Energia Elétrica</t>
  </si>
  <si>
    <t>Custo Fixo — Demanda de Energia Elétrica Contratada Ind.</t>
  </si>
  <si>
    <t>Custo Médio de Serviço — Terceiros Auxiliares Fixos</t>
  </si>
  <si>
    <t>Custo Médio de Aluguel de Pá Carregadeira com Oper.</t>
  </si>
  <si>
    <t>Custo Médio de Aluguel de Equipamentos Móveis para Aterro</t>
  </si>
  <si>
    <t>Custo Médio de Destinação de Efluente Líquido</t>
  </si>
  <si>
    <t>Custo Médio de Óleo Diesel para Movimentação Interna de Resíduos</t>
  </si>
  <si>
    <t>Custo Médio de Ureia — Abatimento das Emissões — Inciner.</t>
  </si>
  <si>
    <t>Custo Médio de Cal Hidratada — Abatimento das Emissões — Inciner.</t>
  </si>
  <si>
    <t>Custo Médio de Carvão Ativado — Abatimento das Emissões — Inciner.</t>
  </si>
  <si>
    <t>Custo Tarifa Média de Água Industrial para Inciner.</t>
  </si>
  <si>
    <t>Total de RSU Manejado no Tratamento/Disposição</t>
  </si>
  <si>
    <t>Custo de Coleta e Transporte — Seletiva Secos</t>
  </si>
  <si>
    <t>Custo de Coleta e Transporte — Seletiva Orgânicos</t>
  </si>
  <si>
    <t>Custo Coleta e Transporte — Mistos/Rejeitos</t>
  </si>
  <si>
    <t>Dados — Receitas Acessórias Unitárias</t>
  </si>
  <si>
    <t>Pot. Receita Acessória — CDR</t>
  </si>
  <si>
    <t>Pot. Receita Acessória Energia Elétrica — Incineração</t>
  </si>
  <si>
    <t>Pot. Receita Acessória Energia Elétrica — Biodigestão</t>
  </si>
  <si>
    <t>Pot. Receita Acessória Energia Elétrica — Aterro</t>
  </si>
  <si>
    <t>Custo de Tratamento/Disposição do RSU sem Coleta</t>
  </si>
  <si>
    <t>Custo da Coleta Seletiva — Secos</t>
  </si>
  <si>
    <t>Custo da Coleta Seletiva — Orgânicos</t>
  </si>
  <si>
    <t>Custo da Coleta Convencional Mistos/rejeitos</t>
  </si>
  <si>
    <t>Custo da Operação — Estação Transbordo Col.Mistos/rejeitos</t>
  </si>
  <si>
    <t>Custo Total Unitário da Coleta de RSU</t>
  </si>
  <si>
    <t>Custos de Coleta e Transbordo</t>
  </si>
  <si>
    <t>Custo da Rota Tecnológica com Coleta</t>
  </si>
  <si>
    <t>Custo Total da Rota Tecnológica com Coleta</t>
  </si>
  <si>
    <t>Custo Total Unitário da Rota Tecnológica com Coleta</t>
  </si>
  <si>
    <t>Custo de Tratamento + Disposição sem Coleta</t>
  </si>
  <si>
    <t>Custos da Produção de Substratos</t>
  </si>
  <si>
    <t>Custo Médio — Produção de CDR</t>
  </si>
  <si>
    <t>Custo Médio — Produçãode Energia Elétrica — Biodigestão</t>
  </si>
  <si>
    <t>Custo Médio — Produção de Energia Elétrica — Incineração</t>
  </si>
  <si>
    <t>Custo Médio — Produção de Energia Elétrica — Aterro</t>
  </si>
  <si>
    <t>Custo Médio — Produção Biometano — Biodigestão</t>
  </si>
  <si>
    <t>Dados de Geração e Coleta de RSU</t>
  </si>
  <si>
    <t>Dados da Produção de Substratos de RSU</t>
  </si>
  <si>
    <t>RESUMO — GESTÃO ECONÔMICA</t>
  </si>
  <si>
    <t>TABELAS DE RECONCILIAÇÃO PARA VERIFICAÇÃO DOS AJUSTES DOS FATORES PONDERADORES vs HISTÓRICOS DE CONSUMO DE ÁGUA vs GERAÇÃO DE RSU</t>
  </si>
  <si>
    <t>Rec. Anual para Remuner. Contrato</t>
  </si>
  <si>
    <t>Preço Básico — Tarifa do Serviço</t>
  </si>
  <si>
    <t>Qt Anual de RSU para Tratamento</t>
  </si>
  <si>
    <t>Ref. Histórica Consumo de Água/hab/dia</t>
  </si>
  <si>
    <t>Parcela do custo do serviço de manejo do RSU a ser cobrado dos usuários</t>
  </si>
  <si>
    <t>Economias / Imóveis na Faixa</t>
  </si>
  <si>
    <t>RSU Tarifada (t/a)</t>
  </si>
  <si>
    <t>Água Consumida (m³/a)</t>
  </si>
  <si>
    <t>Índice de Retorno do Inv.: VPL</t>
  </si>
  <si>
    <t>Taxa de Lucratividade do Investimento</t>
  </si>
  <si>
    <t>Prazo do Contrato</t>
  </si>
  <si>
    <t>Índice de Retorno do Inv.: TIR</t>
  </si>
  <si>
    <t>Preço da Tarifa de Destinação de RSU</t>
  </si>
  <si>
    <t>Índice de Retorno do Inv.: Pay Back</t>
  </si>
  <si>
    <t>Premissas da Modelagem Econômica</t>
  </si>
  <si>
    <t>Crescimento Anual — Quantitativos de RSU</t>
  </si>
  <si>
    <t>% de Participação de Capital Próprio no Investimento</t>
  </si>
  <si>
    <t>Taxa de Lucratividade</t>
  </si>
  <si>
    <t>% de Capital de Financiamento do Investimento</t>
  </si>
  <si>
    <t>% Taxa Real de juros — Produto de Financimento</t>
  </si>
  <si>
    <t>Periodo de Amortização do Empréstimo</t>
  </si>
  <si>
    <t>Período de Carência para Início do Pagamento do Empréstimo</t>
  </si>
  <si>
    <t>Taxa de Juros durante o Período de Carência</t>
  </si>
  <si>
    <t>CMPC — Custo Médio Ponderado Capital (WACC)</t>
  </si>
  <si>
    <t>Ano de Implementação</t>
  </si>
  <si>
    <t>Curva de Aprendizado da Tecnologia (t/a)</t>
  </si>
  <si>
    <t>Qt Mistos Enviados Direto para ATERRO EXISTENTE</t>
  </si>
  <si>
    <t>Dados de Opex (Custo Op. + Coleta + Disp. Aterro)</t>
  </si>
  <si>
    <t>Dados de Opex + Gestão do Contrato</t>
  </si>
  <si>
    <t>Cálculos das Métricas Financeiras do Projeto</t>
  </si>
  <si>
    <t>Margem Operacional do Negócio</t>
  </si>
  <si>
    <t>Empréstimo Capex Acc (Dívida Antes da Amortização)</t>
  </si>
  <si>
    <t>Definição do Período de Amortização do Empréstimo</t>
  </si>
  <si>
    <t>Empréstimo Capex Acc (Dívida Pós-Amortização)</t>
  </si>
  <si>
    <t>Número de Turnos</t>
  </si>
  <si>
    <t>Número de Triadores/Operadores por Turno</t>
  </si>
  <si>
    <t>Despesas com Salários de Pessoal (R$/mês)</t>
  </si>
  <si>
    <t>Consumo de Energia Elétrica (kWh/t Res Entr anual)</t>
  </si>
  <si>
    <t>Demanda de Energia Elétrica em função da Pot. Instalada (kW)</t>
  </si>
  <si>
    <t>Índice de Custo Variável — Manutenção de Equipamentos do Capex (%)</t>
  </si>
  <si>
    <t>Custos de Serviços de Terceiros: Portaria, Segurança etc. (R$/mês)</t>
  </si>
  <si>
    <t>Complexidade e Tamanho da Operação com Terceiros</t>
  </si>
  <si>
    <t>Serviços de Terceiros Fixos (R$/t "Entr anual")</t>
  </si>
  <si>
    <t>Índice de Nacionalização de Equipamentos do Capex (%)</t>
  </si>
  <si>
    <t>Dimensionamento da Capacidade</t>
  </si>
  <si>
    <t>Infraestrutura Civil &amp; Utilidades</t>
  </si>
  <si>
    <t>Número de Operadores por Turno</t>
  </si>
  <si>
    <t>Índice de Custo Variável — Manutenção Equipamentos do Capex (%)</t>
  </si>
  <si>
    <t>CENTRAL DE TRIAGEM MECANIZADA</t>
  </si>
  <si>
    <t>CENTRAL DE TRIAGEM MANUAL</t>
  </si>
  <si>
    <t>PRODUÇÃO DE CDR — TRATAMENTO MECÂNICO</t>
  </si>
  <si>
    <t>PRODUÇÃO DE CDR — TRATAMENTO MECÂNICO BIOLÓGICO COM BIO-SECAGEM</t>
  </si>
  <si>
    <t>COMPOSTAGEM com Variação de Degrau Tecnológico ao longo das Faixas de Dimensionamento dos Quantitativos</t>
  </si>
  <si>
    <t>Dimens. Número de Leiras</t>
  </si>
  <si>
    <t>Índice de Custo Variável — Manutenção de Equipamentos do Capex  (%)</t>
  </si>
  <si>
    <t>BIODIGESTÃO ANAERÓBIA - Processo Extrasseco com Reatores em Túneis</t>
  </si>
  <si>
    <t>Número de "Túneis-Garagem" — Tecnologia Extrasseca</t>
  </si>
  <si>
    <t>Deságio — Custo Básico Constr. Civil Usinada: Brasil vs Europa</t>
  </si>
  <si>
    <t>Número de Linhas (Receb., Forno, Trat. Gases e Turb. Ger. E.Elétr.)</t>
  </si>
  <si>
    <t>Número de Operadores por Linha por Turno</t>
  </si>
  <si>
    <t>Número de Staff/Admin., Eng., Manut., MA, CQ, SST Planta Inciner.</t>
  </si>
  <si>
    <t>Consumo de Energia Elétrica (kWh/t RSU) e % Pot Energ. RSU Entr.</t>
  </si>
  <si>
    <t>Serviços de Meio Ambiente e Apólice de Seguros</t>
  </si>
  <si>
    <t>Área de Implant. de Aterro Sanit. (ha) | Custo de Aquis. de Terreno</t>
  </si>
  <si>
    <t>Capex a cada 5 anos para pós-fechamento (ao longo de 20 anos pós fech.)</t>
  </si>
  <si>
    <t>Capex a cada 5 anos para fechamento (após 20 anos de operação)</t>
  </si>
  <si>
    <t>Mão de obra direta</t>
  </si>
  <si>
    <t>Mão de obra indireta</t>
  </si>
  <si>
    <t>% Desvio do aterro sanitário</t>
  </si>
  <si>
    <t>% Desvio do Aterro Sanitário</t>
  </si>
  <si>
    <t>Pot. Receita Acessória — Venda Materiais Recicláveis</t>
  </si>
  <si>
    <t>Pot. Receita Acessória — Composto Orgânico</t>
  </si>
  <si>
    <t>Custo Médio — Segregação Reciclagem Manual</t>
  </si>
  <si>
    <t>Custo Médio — Segregação Reciclagem Mecânica</t>
  </si>
  <si>
    <t>Relação Básica Consumo de Água / Quantidade RSU</t>
  </si>
  <si>
    <t xml:space="preserve"> Verde - Informação a ser fornecida pelo usuário</t>
  </si>
  <si>
    <t xml:space="preserve"> Vermelho - Erro de cálculo nesta célula</t>
  </si>
  <si>
    <t xml:space="preserve"> Amarelo - Resultados de cálculos</t>
  </si>
  <si>
    <t xml:space="preserve"> Branco - Outros resultados de cálculos</t>
  </si>
  <si>
    <t xml:space="preserve"> Telha - Subprodutos das etapas ou tecnologias</t>
  </si>
  <si>
    <t xml:space="preserve"> Azul - Massa perdida para a atmosfera</t>
  </si>
  <si>
    <t xml:space="preserve"> Amarelo - Resultado de cálculo</t>
  </si>
  <si>
    <t xml:space="preserve"> Branco - Outros resultados de cálculo</t>
  </si>
  <si>
    <t>Mecanizada mistos</t>
  </si>
  <si>
    <t>Mecanizada seletivos</t>
  </si>
  <si>
    <t>Rejeitos seletiva — triagem manual</t>
  </si>
  <si>
    <t>Rejeitos seletiva — triagem mecanizada</t>
  </si>
  <si>
    <t>Rejeito — seletivos (mecanizada)</t>
  </si>
  <si>
    <t>Composição — base úmida (%)</t>
  </si>
  <si>
    <t>ATENÇÃO: Preencher/alterar somente 
as células em verde.</t>
  </si>
  <si>
    <t>Mistos 
mecanizada</t>
  </si>
  <si>
    <t>Seletiva 
mecanizada</t>
  </si>
  <si>
    <t>Seletiva 
manual</t>
  </si>
  <si>
    <t>Resumo da Rota — Capacidades das unidades e subprodutos gerados</t>
  </si>
  <si>
    <t>Ver figura-resumo na Aba 'Fluxo ROTA'</t>
  </si>
  <si>
    <t>Ver tabela-resumo na Aba 'Resumo bal. massa'</t>
  </si>
  <si>
    <t>Rejeito na peneira 
pós-compostagem (%)</t>
  </si>
  <si>
    <r>
      <t>CH</t>
    </r>
    <r>
      <rPr>
        <b/>
        <vertAlign val="subscript"/>
        <sz val="10.5"/>
        <color rgb="FF005A6E"/>
        <rFont val="Arial"/>
        <family val="2"/>
      </rPr>
      <t>4</t>
    </r>
    <r>
      <rPr>
        <b/>
        <sz val="10.5"/>
        <color rgb="FF005A6E"/>
        <rFont val="Arial"/>
        <family val="2"/>
      </rPr>
      <t>/biogás (%)</t>
    </r>
  </si>
  <si>
    <r>
      <t xml:space="preserve">eficiência </t>
    </r>
    <r>
      <rPr>
        <b/>
        <sz val="10.5"/>
        <color rgb="FF005A6E"/>
        <rFont val="Arial"/>
        <family val="2"/>
      </rPr>
      <t>na geração de energia elétrica</t>
    </r>
  </si>
  <si>
    <r>
      <t>CH</t>
    </r>
    <r>
      <rPr>
        <b/>
        <vertAlign val="subscript"/>
        <sz val="10.5"/>
        <color rgb="FF005A6E"/>
        <rFont val="Calibri"/>
        <family val="2"/>
      </rPr>
      <t>4</t>
    </r>
    <r>
      <rPr>
        <b/>
        <sz val="10.5"/>
        <color rgb="FF005A6E"/>
        <rFont val="Calibri"/>
        <family val="2"/>
      </rPr>
      <t>/biogás (%)</t>
    </r>
  </si>
  <si>
    <t>geração de biogás no aterro (Nm³/t)</t>
  </si>
  <si>
    <t>Manual — seletivos</t>
  </si>
  <si>
    <t>Mecanizada — seletivos</t>
  </si>
  <si>
    <t>Mecanizada — mistos</t>
  </si>
  <si>
    <t>Rejeito — seletivos (manual)</t>
  </si>
  <si>
    <r>
      <t>Nm</t>
    </r>
    <r>
      <rPr>
        <b/>
        <vertAlign val="superscript"/>
        <sz val="10.5"/>
        <color rgb="FF005A6E"/>
        <rFont val="Calibri"/>
        <family val="2"/>
      </rPr>
      <t>3</t>
    </r>
    <r>
      <rPr>
        <b/>
        <sz val="10.5"/>
        <color rgb="FF005A6E"/>
        <rFont val="Calibri"/>
        <family val="2"/>
      </rPr>
      <t>/d</t>
    </r>
  </si>
  <si>
    <t>Receita Acessória (R$/t "Entr. Anual Tecnol")</t>
  </si>
  <si>
    <r>
      <t xml:space="preserve">Geração </t>
    </r>
    <r>
      <rPr>
        <i/>
        <sz val="10.5"/>
        <rFont val="Calibri"/>
        <family val="2"/>
      </rPr>
      <t>per capita</t>
    </r>
    <r>
      <rPr>
        <sz val="10.5"/>
        <rFont val="Calibri"/>
        <family val="2"/>
      </rPr>
      <t xml:space="preserve"> de RSU</t>
    </r>
  </si>
  <si>
    <r>
      <t>kg.hab.</t>
    </r>
    <r>
      <rPr>
        <vertAlign val="superscript"/>
        <sz val="10.5"/>
        <rFont val="Calibri"/>
        <family val="2"/>
      </rPr>
      <t>-1</t>
    </r>
    <r>
      <rPr>
        <sz val="10.5"/>
        <rFont val="Calibri"/>
        <family val="2"/>
      </rPr>
      <t>.d</t>
    </r>
    <r>
      <rPr>
        <vertAlign val="superscript"/>
        <sz val="10.5"/>
        <rFont val="Calibri"/>
        <family val="2"/>
      </rPr>
      <t>-1</t>
    </r>
  </si>
  <si>
    <r>
      <t>R$/m</t>
    </r>
    <r>
      <rPr>
        <vertAlign val="superscript"/>
        <sz val="10.5"/>
        <rFont val="Calibri"/>
        <family val="2"/>
      </rPr>
      <t>2</t>
    </r>
  </si>
  <si>
    <r>
      <rPr>
        <b/>
        <sz val="10.5"/>
        <rFont val="Calibri"/>
        <family val="2"/>
      </rPr>
      <t>Regime de Contratação</t>
    </r>
    <r>
      <rPr>
        <sz val="10.5"/>
        <rFont val="Calibri"/>
        <family val="2"/>
      </rPr>
      <t xml:space="preserve"> Oper.Triagem Manual</t>
    </r>
  </si>
  <si>
    <t>Categoria Comercial (inclusive prestadores de serviços)</t>
  </si>
  <si>
    <r>
      <rPr>
        <b/>
        <u/>
        <sz val="14"/>
        <color rgb="FF95D6D3"/>
        <rFont val="Calibri"/>
        <family val="2"/>
      </rPr>
      <t xml:space="preserve">ESTIMATIVAS &amp; RECONCILIAÇÕES ANUAIS </t>
    </r>
    <r>
      <rPr>
        <b/>
        <sz val="14"/>
        <color rgb="FF95D6D3"/>
        <rFont val="Calibri"/>
        <family val="2"/>
      </rPr>
      <t>| Receitas de Faturamento | Quantitativo RSU Total | Quantitativo de Consumo Total de Água</t>
    </r>
  </si>
  <si>
    <t>O MPAF (Modelo de Precificação de Ativos Financeiros) ou CAPM (Capital Asset Pricing Model) representa o Custo do Capital Próprio</t>
  </si>
  <si>
    <t>Referência do Produto de Financiamento: CEF ou BNDES</t>
  </si>
  <si>
    <t>Contribuição Social sobre Lucro Líquido (CSLL)</t>
  </si>
  <si>
    <t>Imposto de Renda da Pessoa Jurídica (IRPJ)</t>
  </si>
  <si>
    <r>
      <t>Dimensionamento da Área da Planta (m</t>
    </r>
    <r>
      <rPr>
        <b/>
        <vertAlign val="superscript"/>
        <sz val="10.5"/>
        <color rgb="FF005A6E"/>
        <rFont val="Calibri"/>
        <family val="2"/>
      </rPr>
      <t>2</t>
    </r>
    <r>
      <rPr>
        <b/>
        <sz val="10.5"/>
        <color rgb="FF005A6E"/>
        <rFont val="Calibri"/>
        <family val="2"/>
      </rPr>
      <t>/10 Operad.)</t>
    </r>
  </si>
  <si>
    <t>Tecnologia Europeia</t>
  </si>
  <si>
    <t>Rotas Tecnológicas para 
Resíduos Sólidos Urbanos (RSU)</t>
  </si>
  <si>
    <t xml:space="preserve">Objetivo   </t>
  </si>
  <si>
    <t xml:space="preserve">Escopo   </t>
  </si>
  <si>
    <t xml:space="preserve">Funcionalidades   </t>
  </si>
  <si>
    <t xml:space="preserve">Limitações   </t>
  </si>
  <si>
    <r>
      <t xml:space="preserve">A </t>
    </r>
    <r>
      <rPr>
        <i/>
        <sz val="10.5"/>
        <color theme="1" tint="0.499984740745262"/>
        <rFont val="Calibri"/>
        <family val="2"/>
      </rPr>
      <t>Ferramenta</t>
    </r>
    <r>
      <rPr>
        <sz val="10.5"/>
        <color theme="1" tint="0.499984740745262"/>
        <rFont val="Calibri"/>
        <family val="2"/>
      </rPr>
      <t xml:space="preserve"> pode ser utilizada para estudos de pré-viabilidade de soluções tecnológicas futuras (Rotas Tecnológicas) de manejo de RSU em municípios, consórcios ou regiões, apoiando os gestores no processo de tomada de decisão. Pode ainda ser útil na realização de estudos acadêmicos e em atividades de capacitação profissional.</t>
    </r>
  </si>
  <si>
    <r>
      <t xml:space="preserve">A </t>
    </r>
    <r>
      <rPr>
        <i/>
        <sz val="10.5"/>
        <color theme="1" tint="0.499984740745262"/>
        <rFont val="Calibri"/>
        <family val="2"/>
      </rPr>
      <t>Ferramenta</t>
    </r>
    <r>
      <rPr>
        <sz val="10.5"/>
        <color theme="1" tint="0.499984740745262"/>
        <rFont val="Calibri"/>
        <family val="2"/>
      </rPr>
      <t xml:space="preserve"> é composta por 17 abas. A primeira aba é de apresentação da Ferramenta. Na sequência, há cinco abas com a parte de definição da rota e seu balanço de massa. No balanço de massa, ficam definidas as capacidades operacionais das unidades de tratamento e as quantidades de subprodutos resultantes. Há uma aba chamada de "Saída GEE" e mais 10 abas para a simulação dos custos associados à Rota.</t>
    </r>
  </si>
  <si>
    <t>orgânicos triados</t>
  </si>
  <si>
    <t>orgânicos seletivos</t>
  </si>
  <si>
    <r>
      <t xml:space="preserve">geração </t>
    </r>
    <r>
      <rPr>
        <b/>
        <i/>
        <sz val="10.5"/>
        <color rgb="FF005A6E"/>
        <rFont val="Calibri"/>
        <family val="2"/>
      </rPr>
      <t>per capita</t>
    </r>
    <r>
      <rPr>
        <b/>
        <sz val="10.5"/>
        <color rgb="FF005A6E"/>
        <rFont val="Calibri"/>
        <family val="2"/>
      </rPr>
      <t xml:space="preserve"> de RSU (kg/hab.d) </t>
    </r>
  </si>
  <si>
    <r>
      <t xml:space="preserve">utilizar geração </t>
    </r>
    <r>
      <rPr>
        <b/>
        <i/>
        <sz val="10.5"/>
        <color rgb="FF005A6E"/>
        <rFont val="Calibri"/>
        <family val="2"/>
      </rPr>
      <t>per capita</t>
    </r>
    <r>
      <rPr>
        <b/>
        <sz val="10.5"/>
        <color rgb="FF005A6E"/>
        <rFont val="Calibri"/>
        <family val="2"/>
      </rPr>
      <t xml:space="preserve"> ou massa total? </t>
    </r>
  </si>
  <si>
    <t>mistos entrada p/ triagem</t>
  </si>
  <si>
    <t>rejeitos — triagem de mistos</t>
  </si>
  <si>
    <t>rejeitos combustíveis</t>
  </si>
  <si>
    <t>Rejeito — triagem mecananizada mistos</t>
  </si>
  <si>
    <r>
      <t xml:space="preserve">Pot. Receita Acessória Biometano </t>
    </r>
    <r>
      <rPr>
        <sz val="10.5"/>
        <color theme="4"/>
        <rFont val="Calibri"/>
        <family val="2"/>
      </rPr>
      <t>—</t>
    </r>
    <r>
      <rPr>
        <sz val="10.5"/>
        <rFont val="Calibri"/>
        <family val="2"/>
      </rPr>
      <t xml:space="preserve"> Biodigestão</t>
    </r>
  </si>
  <si>
    <r>
      <t xml:space="preserve">Pot. Receita Acessória Biometano </t>
    </r>
    <r>
      <rPr>
        <sz val="10.5"/>
        <color theme="4"/>
        <rFont val="Calibri"/>
        <family val="2"/>
      </rPr>
      <t>—</t>
    </r>
    <r>
      <rPr>
        <sz val="10.5"/>
        <rFont val="Calibri"/>
        <family val="2"/>
      </rPr>
      <t xml:space="preserve"> Aterro</t>
    </r>
  </si>
  <si>
    <r>
      <t xml:space="preserve">Pot. Receita Acessória Total </t>
    </r>
    <r>
      <rPr>
        <i/>
        <sz val="10.5"/>
        <rFont val="Calibri"/>
        <family val="2"/>
      </rPr>
      <t>per capita</t>
    </r>
  </si>
  <si>
    <r>
      <t xml:space="preserve">Custo Total da Coleta de RSU </t>
    </r>
    <r>
      <rPr>
        <i/>
        <sz val="10.5"/>
        <rFont val="Calibri"/>
        <family val="2"/>
      </rPr>
      <t>per capita</t>
    </r>
  </si>
  <si>
    <r>
      <t xml:space="preserve">Custo de Tratamento/Disposição do RSU sem Coleta </t>
    </r>
    <r>
      <rPr>
        <i/>
        <sz val="10.5"/>
        <rFont val="Calibri"/>
        <family val="2"/>
      </rPr>
      <t>per capita</t>
    </r>
  </si>
  <si>
    <r>
      <t xml:space="preserve">Custo Total da Rota Tecnológica com Coleta </t>
    </r>
    <r>
      <rPr>
        <i/>
        <sz val="10.5"/>
        <rFont val="Calibri"/>
        <family val="2"/>
      </rPr>
      <t>per capita</t>
    </r>
  </si>
  <si>
    <r>
      <t xml:space="preserve">Pot. </t>
    </r>
    <r>
      <rPr>
        <b/>
        <sz val="10.5"/>
        <color rgb="FF04272E"/>
        <rFont val="Calibri"/>
        <family val="2"/>
      </rPr>
      <t xml:space="preserve">Receita </t>
    </r>
    <r>
      <rPr>
        <b/>
        <sz val="10.5"/>
        <color rgb="FF000000"/>
        <rFont val="Calibri"/>
        <family val="2"/>
      </rPr>
      <t>Acessória Total — Tratamento RSU</t>
    </r>
  </si>
  <si>
    <r>
      <rPr>
        <u/>
        <sz val="12"/>
        <color rgb="FF04272E"/>
        <rFont val="Calibri"/>
        <family val="2"/>
        <scheme val="minor"/>
      </rPr>
      <t>Variáveis Tarifárias</t>
    </r>
    <r>
      <rPr>
        <b/>
        <sz val="12"/>
        <color rgb="FF04272E"/>
        <rFont val="Calibri"/>
        <family val="2"/>
        <scheme val="minor"/>
      </rPr>
      <t xml:space="preserve"> | SUBSÍDIOS</t>
    </r>
  </si>
  <si>
    <t>G A R</t>
  </si>
  <si>
    <t>rejeitos não combust.</t>
  </si>
  <si>
    <t>Material</t>
  </si>
  <si>
    <t>volume ocupado no aterro (m³/t)</t>
  </si>
  <si>
    <r>
      <t xml:space="preserve">Triagem manual </t>
    </r>
    <r>
      <rPr>
        <sz val="10.5"/>
        <color rgb="FFFFFFFF"/>
        <rFont val="Calibri"/>
        <family val="2"/>
      </rPr>
      <t>seletivos</t>
    </r>
  </si>
  <si>
    <t>Triagem mecanizada selet.</t>
  </si>
  <si>
    <t>FLUXO DE MASSA DA ROTA</t>
  </si>
  <si>
    <t>Total manejado</t>
  </si>
  <si>
    <t>Triagem mecan. mistos</t>
  </si>
  <si>
    <t>retirado pelo CDR</t>
  </si>
  <si>
    <t>resíduo pós-triagem</t>
  </si>
  <si>
    <t>perda por evaporação / secagem (t/d)</t>
  </si>
  <si>
    <t>RESUMO — QUANTITATIVOS DE SUBSTRATOS</t>
  </si>
  <si>
    <t>RESUMO — INVESTIMENTO &amp; CONTRATO</t>
  </si>
  <si>
    <r>
      <rPr>
        <u/>
        <sz val="14"/>
        <color rgb="FF04272E"/>
        <rFont val="Calibri"/>
        <family val="2"/>
        <scheme val="minor"/>
      </rPr>
      <t>Variáveis Tarifárias</t>
    </r>
    <r>
      <rPr>
        <b/>
        <sz val="14"/>
        <color rgb="FF04272E"/>
        <rFont val="Calibri"/>
        <family val="2"/>
        <scheme val="minor"/>
      </rPr>
      <t xml:space="preserve"> | SUBSÍDIOS</t>
    </r>
  </si>
  <si>
    <r>
      <t>Custo de Aquisição do Terreno (m</t>
    </r>
    <r>
      <rPr>
        <b/>
        <vertAlign val="superscript"/>
        <sz val="12"/>
        <color rgb="FF005A6E"/>
        <rFont val="Calibri"/>
        <family val="2"/>
      </rPr>
      <t>2</t>
    </r>
    <r>
      <rPr>
        <b/>
        <sz val="12"/>
        <color rgb="FF005A6E"/>
        <rFont val="Calibri"/>
        <family val="2"/>
      </rPr>
      <t>): Área Ind. + Planta</t>
    </r>
  </si>
  <si>
    <t>Indexador</t>
  </si>
  <si>
    <r>
      <rPr>
        <b/>
        <i/>
        <u/>
        <sz val="12"/>
        <color rgb="FF005A6E"/>
        <rFont val="Calibri"/>
        <family val="2"/>
      </rPr>
      <t>Câmbio Real/Euro BASE</t>
    </r>
    <r>
      <rPr>
        <b/>
        <i/>
        <sz val="12"/>
        <color rgb="FF005A6E"/>
        <rFont val="Calibri"/>
        <family val="2"/>
      </rPr>
      <t xml:space="preserve"> do Dimensionamento Capex</t>
    </r>
  </si>
  <si>
    <r>
      <t xml:space="preserve">Massa para Dimensionamento — </t>
    </r>
    <r>
      <rPr>
        <b/>
        <i/>
        <sz val="18"/>
        <color theme="0"/>
        <rFont val="Calibri"/>
        <family val="2"/>
      </rPr>
      <t>Triagem Manual</t>
    </r>
  </si>
  <si>
    <t xml:space="preserve">Aluguel de Equipamentos com Operador e Combustível </t>
  </si>
  <si>
    <t>Energia Elétrica e Água (Milh R$/a)</t>
  </si>
  <si>
    <t>Pessoal (Milh R$/a)</t>
  </si>
  <si>
    <t>Manutenção (Milh R$/a)</t>
  </si>
  <si>
    <t>Serviços Terceiros Fixos (Milh R$/a)</t>
  </si>
  <si>
    <t>Itens Consumíveis na Op. Produção (Milh R$/a)</t>
  </si>
  <si>
    <t>Opex (R$/t a)</t>
  </si>
  <si>
    <r>
      <rPr>
        <b/>
        <i/>
        <u/>
        <sz val="12"/>
        <color rgb="FF005A6E"/>
        <rFont val="Calibri"/>
        <family val="2"/>
      </rPr>
      <t>Câmbio Real/Dólar BASE</t>
    </r>
    <r>
      <rPr>
        <b/>
        <i/>
        <sz val="12"/>
        <color rgb="FF005A6E"/>
        <rFont val="Calibri"/>
        <family val="2"/>
      </rPr>
      <t xml:space="preserve"> do Dimensionamento Capex</t>
    </r>
  </si>
  <si>
    <r>
      <t xml:space="preserve">Massa para Dimensionamento — 
</t>
    </r>
    <r>
      <rPr>
        <b/>
        <i/>
        <sz val="18"/>
        <color theme="0"/>
        <rFont val="Calibri"/>
        <family val="2"/>
      </rPr>
      <t>Triagem Mecanizada</t>
    </r>
  </si>
  <si>
    <r>
      <t xml:space="preserve">R$ / </t>
    </r>
    <r>
      <rPr>
        <b/>
        <sz val="12"/>
        <color theme="1" tint="0.14999847407452621"/>
        <rFont val="Calibri"/>
        <family val="2"/>
      </rPr>
      <t>€</t>
    </r>
  </si>
  <si>
    <r>
      <t xml:space="preserve">Massa para Dimensionamento - 
</t>
    </r>
    <r>
      <rPr>
        <b/>
        <sz val="18"/>
        <color theme="0"/>
        <rFont val="Calibri"/>
        <family val="2"/>
      </rPr>
      <t>Produção de CDR-TM (Trat. Mecânico)</t>
    </r>
  </si>
  <si>
    <r>
      <t xml:space="preserve">Massa para Dimensionamento -
</t>
    </r>
    <r>
      <rPr>
        <b/>
        <sz val="18"/>
        <color theme="0"/>
        <rFont val="Calibri"/>
        <family val="2"/>
      </rPr>
      <t>Prod. de CDR-TMB (Trat. Mec. Biológico)</t>
    </r>
  </si>
  <si>
    <r>
      <t xml:space="preserve">Massa para Dimensionamento - 
</t>
    </r>
    <r>
      <rPr>
        <b/>
        <sz val="18"/>
        <color theme="0"/>
        <rFont val="Calibri"/>
        <family val="2"/>
      </rPr>
      <t>Produção de Composto Orgânico</t>
    </r>
  </si>
  <si>
    <r>
      <t xml:space="preserve">Massa para Dimensionamento - </t>
    </r>
    <r>
      <rPr>
        <b/>
        <sz val="18"/>
        <color theme="0"/>
        <rFont val="Calibri"/>
        <family val="2"/>
      </rPr>
      <t>Biodigestão Anaeróbia</t>
    </r>
  </si>
  <si>
    <r>
      <t xml:space="preserve">Massa para Dimensionamento - </t>
    </r>
    <r>
      <rPr>
        <b/>
        <sz val="18"/>
        <color theme="0"/>
        <rFont val="Calibri"/>
        <family val="2"/>
      </rPr>
      <t>Incineração</t>
    </r>
  </si>
  <si>
    <t>Tec. Eur</t>
  </si>
  <si>
    <t>Tec. Chi</t>
  </si>
  <si>
    <t>Opex (Milh R$/a)</t>
  </si>
  <si>
    <r>
      <t xml:space="preserve">Massa para Dimensionamento - 
</t>
    </r>
    <r>
      <rPr>
        <b/>
        <i/>
        <sz val="20"/>
        <color theme="0"/>
        <rFont val="Calibri"/>
        <family val="2"/>
      </rPr>
      <t>Aterro Sanitário</t>
    </r>
  </si>
  <si>
    <t>R$ / US$</t>
  </si>
  <si>
    <r>
      <rPr>
        <b/>
        <sz val="22"/>
        <color theme="0"/>
        <rFont val="Calibri"/>
        <family val="2"/>
      </rPr>
      <t>Premissas</t>
    </r>
    <r>
      <rPr>
        <b/>
        <sz val="22"/>
        <color rgb="FF95D6D3"/>
        <rFont val="Calibri"/>
        <family val="1"/>
      </rPr>
      <t xml:space="preserve"> da Modelagem Econômico-Financeira</t>
    </r>
  </si>
  <si>
    <t>PREMISSAS Econômicas &amp; Financeiras</t>
  </si>
  <si>
    <t>Premissas do Acionista: Estrutura do Capital</t>
  </si>
  <si>
    <t>Definição das PREMISSAS DOS PRODUTOS de Financiamento</t>
  </si>
  <si>
    <t>SANEAMENTO PARA TODOS</t>
  </si>
  <si>
    <t>ACIONISTA: Estrut. Produto de Financiamento</t>
  </si>
  <si>
    <t>PRINCIPAIS INDICADORES DE RENTABILIDADE DOS INVESTIMENTOS</t>
  </si>
  <si>
    <t>&lt;-- Meta</t>
  </si>
  <si>
    <t>DIVERGÊNCIA %
Qt. Economias / Imóveis</t>
  </si>
  <si>
    <t>DIVERGÊNCIA %
Receitas Anuais Faturamento</t>
  </si>
  <si>
    <t>DIVERGÊNCIA %
Qt Anual RSU</t>
  </si>
  <si>
    <t>DIVERGÊNCIA %
Qt Anual Consumo Água
(de acordo c/ Fatura Água)</t>
  </si>
  <si>
    <t>DIVERGÊNCIA %
Qt Anual Consumo Água
(Estimado p/ Geração RSU)</t>
  </si>
  <si>
    <t>Triag. Man</t>
  </si>
  <si>
    <t>Triag. Mec</t>
  </si>
  <si>
    <t>Prod. CDR - Trat. Mec</t>
  </si>
  <si>
    <t>ESTIM. TARIFA &amp; RENTAB. INVESTIMENTO</t>
  </si>
  <si>
    <t>RECEITAS ACESSÓRIAS e CUSTOS OPERACIONAIS</t>
  </si>
  <si>
    <t>DIVERGÊNCIA %
Qt Economias Classificadas OK nas Faixas</t>
  </si>
  <si>
    <t>&lt;--</t>
  </si>
  <si>
    <t>Prod. CDR - Trat. Mec./Biol.</t>
  </si>
  <si>
    <t>Resumo da Produção Total de Substratos</t>
  </si>
  <si>
    <t>Material Reciclável</t>
  </si>
  <si>
    <t>Composto Nobre Produzido</t>
  </si>
  <si>
    <t>Composto Não Nobre Produzido</t>
  </si>
  <si>
    <t>CDR Grosso Produzido</t>
  </si>
  <si>
    <t>CDR Fino Produzido</t>
  </si>
  <si>
    <t>Energia Elétrica Produzida</t>
  </si>
  <si>
    <t>Biometano Produzido</t>
  </si>
  <si>
    <t>Mat. Recicl.: Papel/Papelão — Triagem Mecanizada</t>
  </si>
  <si>
    <t>Mat. Recicl.: Plástico Filme — Triagem Mecanizada</t>
  </si>
  <si>
    <t>Mat. Recicl.: Plástico Rígido — Triagem Mecanizada</t>
  </si>
  <si>
    <t>Mat. Recicl.: Vidros — Triagem Mecânica</t>
  </si>
  <si>
    <t>Mat. Recicl.: Metais Não Ferrosos — Triagem Mecanizada</t>
  </si>
  <si>
    <t>Mat. Recicl.: Metais Ferrosos — Triagem Mecanizada</t>
  </si>
  <si>
    <t>Mat. Recicl.: Metais Não Ferrosos — Incineração</t>
  </si>
  <si>
    <t>Mat. Recicl.: Metais Ferrosos — Incineração</t>
  </si>
  <si>
    <t>CDR Grosso Produzido — Trat. Mec.</t>
  </si>
  <si>
    <t>CDR Grosso Produzido — Trat. Mec. Biolológico</t>
  </si>
  <si>
    <t>CDR Fino Produzido — Trat. Mec</t>
  </si>
  <si>
    <t>CDR Fino Produzido — Trat. Mec. Biológico</t>
  </si>
  <si>
    <t>Composto Nobre Produzido — Compostagem</t>
  </si>
  <si>
    <t>Composto Não Nobre Prod. — Compostagem</t>
  </si>
  <si>
    <t>Mat. Recicl.: Papel/Papelão — Triagem Manual</t>
  </si>
  <si>
    <t>Mat. Recicl.: Plástico Filme — Triagem Manual</t>
  </si>
  <si>
    <t>Mat. Recicl.: Plástico Rígido — Triagem Manual</t>
  </si>
  <si>
    <t>Mat. Recicl.: Vidros — Triagem Manual</t>
  </si>
  <si>
    <t>Mat. Recicl.: Metais Não Ferrosos — Triagem Manual</t>
  </si>
  <si>
    <t>Mat. Recicl.: Metais Ferrosos — Triagem Manual</t>
  </si>
  <si>
    <t>Biometano — Aterro Sanitário</t>
  </si>
  <si>
    <t>Biometano — Biodigestão</t>
  </si>
  <si>
    <t>Energia Elétrica — Biogás de Aterro</t>
  </si>
  <si>
    <t>Energia Elétrica — Incineração</t>
  </si>
  <si>
    <t>Energia Elétrica — Biodigestão</t>
  </si>
  <si>
    <t>R$/kg</t>
  </si>
  <si>
    <r>
      <rPr>
        <b/>
        <sz val="10.5"/>
        <rFont val="Calibri"/>
        <family val="2"/>
      </rPr>
      <t>Faixa Min</t>
    </r>
    <r>
      <rPr>
        <sz val="10.5"/>
        <rFont val="Calibri"/>
        <family val="2"/>
      </rPr>
      <t xml:space="preserve"> - Fator Fixo (m</t>
    </r>
    <r>
      <rPr>
        <vertAlign val="superscript"/>
        <sz val="10.5"/>
        <rFont val="Calibri"/>
        <family val="2"/>
      </rPr>
      <t>3</t>
    </r>
    <r>
      <rPr>
        <sz val="10.5"/>
        <rFont val="Calibri"/>
        <family val="2"/>
      </rPr>
      <t>/m)</t>
    </r>
  </si>
  <si>
    <r>
      <rPr>
        <b/>
        <sz val="10.5"/>
        <rFont val="Calibri"/>
        <family val="2"/>
      </rPr>
      <t>Faixa Min</t>
    </r>
    <r>
      <rPr>
        <sz val="10.5"/>
        <rFont val="Calibri"/>
        <family val="2"/>
      </rPr>
      <t xml:space="preserve"> - Fator Variav (m</t>
    </r>
    <r>
      <rPr>
        <vertAlign val="superscript"/>
        <sz val="10.5"/>
        <rFont val="Calibri"/>
        <family val="2"/>
      </rPr>
      <t>3</t>
    </r>
    <r>
      <rPr>
        <sz val="10.5"/>
        <rFont val="Calibri"/>
        <family val="2"/>
      </rPr>
      <t>/m)</t>
    </r>
  </si>
  <si>
    <r>
      <rPr>
        <b/>
        <sz val="10.5"/>
        <rFont val="Calibri"/>
        <family val="2"/>
      </rPr>
      <t>Faixa Max</t>
    </r>
    <r>
      <rPr>
        <sz val="10.5"/>
        <rFont val="Calibri"/>
        <family val="2"/>
      </rPr>
      <t xml:space="preserve"> - Fator Fixo (m</t>
    </r>
    <r>
      <rPr>
        <vertAlign val="superscript"/>
        <sz val="10.5"/>
        <rFont val="Calibri"/>
        <family val="2"/>
      </rPr>
      <t>3</t>
    </r>
    <r>
      <rPr>
        <sz val="10.5"/>
        <rFont val="Calibri"/>
        <family val="2"/>
      </rPr>
      <t>/m)</t>
    </r>
  </si>
  <si>
    <r>
      <rPr>
        <b/>
        <sz val="10.5"/>
        <rFont val="Calibri"/>
        <family val="2"/>
      </rPr>
      <t>Faixa Max</t>
    </r>
    <r>
      <rPr>
        <sz val="10.5"/>
        <rFont val="Calibri"/>
        <family val="2"/>
      </rPr>
      <t xml:space="preserve"> - Fator Variav (m</t>
    </r>
    <r>
      <rPr>
        <vertAlign val="superscript"/>
        <sz val="10.5"/>
        <rFont val="Calibri"/>
        <family val="2"/>
      </rPr>
      <t>3</t>
    </r>
    <r>
      <rPr>
        <sz val="10.5"/>
        <rFont val="Calibri"/>
        <family val="2"/>
      </rPr>
      <t>/m)</t>
    </r>
  </si>
  <si>
    <t>Total Imóveis</t>
  </si>
  <si>
    <r>
      <t>R$.hab.</t>
    </r>
    <r>
      <rPr>
        <vertAlign val="superscript"/>
        <sz val="10.5"/>
        <rFont val="Calibri"/>
        <family val="2"/>
      </rPr>
      <t>-1</t>
    </r>
    <r>
      <rPr>
        <sz val="10.5"/>
        <rFont val="Calibri"/>
        <family val="2"/>
      </rPr>
      <t>.mês</t>
    </r>
    <r>
      <rPr>
        <vertAlign val="superscript"/>
        <sz val="10.5"/>
        <rFont val="Calibri"/>
        <family val="2"/>
      </rPr>
      <t>-1</t>
    </r>
  </si>
  <si>
    <r>
      <t>R$.MW</t>
    </r>
    <r>
      <rPr>
        <vertAlign val="superscript"/>
        <sz val="10.5"/>
        <rFont val="Calibri"/>
        <family val="2"/>
      </rPr>
      <t>-1</t>
    </r>
    <r>
      <rPr>
        <sz val="10.5"/>
        <rFont val="Calibri"/>
        <family val="2"/>
      </rPr>
      <t>.mês</t>
    </r>
    <r>
      <rPr>
        <vertAlign val="superscript"/>
        <sz val="10.5"/>
        <rFont val="Calibri"/>
        <family val="2"/>
      </rPr>
      <t>-1</t>
    </r>
  </si>
  <si>
    <r>
      <t xml:space="preserve">Composição gravimétrica dos resíduos que entram na rota </t>
    </r>
    <r>
      <rPr>
        <b/>
        <sz val="12"/>
        <color rgb="FF95D6D3"/>
        <rFont val="Calibri"/>
        <family val="2"/>
      </rPr>
      <t xml:space="preserve">(deve representar a massa total que consta em </t>
    </r>
    <r>
      <rPr>
        <b/>
        <i/>
        <sz val="12"/>
        <color rgb="FF95D6D3"/>
        <rFont val="Calibri"/>
        <family val="2"/>
      </rPr>
      <t>E14</t>
    </r>
    <r>
      <rPr>
        <b/>
        <sz val="14"/>
        <color rgb="FF95D6D3"/>
        <rFont val="Calibri"/>
        <family val="2"/>
      </rPr>
      <t>)</t>
    </r>
  </si>
  <si>
    <t>Regime CLT</t>
  </si>
  <si>
    <t>Fator R1 | Eficiência Recuperação Energética da EU: deve ser &gt; 65%</t>
  </si>
  <si>
    <t>Custo Serviço Transporte + Disposição Aterro Sanitário</t>
  </si>
  <si>
    <t>Eficiência Reciclagem Secos sobre Potencial Total RSU</t>
  </si>
  <si>
    <t>Pot. Receita Acessória — Venda Mat. Recicl. — Triag MAN</t>
  </si>
  <si>
    <t>Custo Médio CIF para Disposição Aterro Resíduos Perigosos</t>
  </si>
  <si>
    <t>Custo Transporte Unidade Tratamento Resíduos até Aterro</t>
  </si>
  <si>
    <t>Valor Básico de Cálculo (VBC): Receita Tot./Nr Economias Consumidor</t>
  </si>
  <si>
    <t>Ref. Histórica Consumo Total Anual de Água</t>
  </si>
  <si>
    <t>% Referente ao Custo Serviço Órgão Regulador</t>
  </si>
  <si>
    <t>% Referente à Inadimplência | Sistema Cobrança de Água</t>
  </si>
  <si>
    <t>% Referente ao Custo pela Prestação do Serviço de Cobrança</t>
  </si>
  <si>
    <t>Tarifa Serviço Manejo e Tratamento RSU/Consumo de Água</t>
  </si>
  <si>
    <t>Tarifa Serv. Manejo/Trat. RSU/Consumo Água — (Pós-subsídio + Inadimpl.)</t>
  </si>
  <si>
    <t>Faturamento Anual Serv. Manejo/Trat. RSU — (Pós-subsídio + Inadimplência)</t>
  </si>
  <si>
    <t>Expectativa Evolução % Relação Consumo Água(t)/Geração RSU(t)</t>
  </si>
  <si>
    <r>
      <rPr>
        <u/>
        <sz val="14"/>
        <color rgb="FF04272E"/>
        <rFont val="Calibri"/>
        <family val="2"/>
        <scheme val="minor"/>
      </rPr>
      <t xml:space="preserve">Var. Tarif. </t>
    </r>
    <r>
      <rPr>
        <sz val="14"/>
        <color rgb="FF04272E"/>
        <rFont val="Calibri"/>
        <family val="2"/>
        <scheme val="minor"/>
      </rPr>
      <t>|</t>
    </r>
    <r>
      <rPr>
        <b/>
        <sz val="14"/>
        <color rgb="FF04272E"/>
        <rFont val="Calibri"/>
        <family val="2"/>
        <scheme val="minor"/>
      </rPr>
      <t xml:space="preserve"> AJUSTES Rel. Consumo Água/Geração RSU</t>
    </r>
  </si>
  <si>
    <r>
      <rPr>
        <u/>
        <sz val="14"/>
        <color rgb="FF04272E"/>
        <rFont val="Calibri"/>
        <family val="2"/>
      </rPr>
      <t>Variáveis Tarifárias</t>
    </r>
    <r>
      <rPr>
        <sz val="14"/>
        <color rgb="FF04272E"/>
        <rFont val="Calibri"/>
        <family val="2"/>
      </rPr>
      <t xml:space="preserve"> </t>
    </r>
    <r>
      <rPr>
        <b/>
        <sz val="14"/>
        <color rgb="FF04272E"/>
        <rFont val="Calibri"/>
        <family val="2"/>
      </rPr>
      <t>| BÁSICAS</t>
    </r>
  </si>
  <si>
    <t>Tipos/Categ. | Economias</t>
  </si>
  <si>
    <t>Compartilhamento Receitas Acessórias com Concedente</t>
  </si>
  <si>
    <t>VPI | Total Investimento no Prazo do Contrato</t>
  </si>
  <si>
    <t>Valor Total de Pagamentos no Prazo do Contrato</t>
  </si>
  <si>
    <t>Custo Médio Total Coleta RSU</t>
  </si>
  <si>
    <t>Dados de Opex + Coleta</t>
  </si>
  <si>
    <t>Eficiência da triagem de resíduos (%)</t>
  </si>
  <si>
    <t>Recicláveis secos</t>
  </si>
  <si>
    <t>mecanizada de mistos secos</t>
  </si>
  <si>
    <t>mecanizada de mistos orgânicos</t>
  </si>
  <si>
    <t>RC-RSU V.1.0 - 15/10/2020</t>
  </si>
  <si>
    <t>Taxas + Impostos sobre Importação de Equipamentos</t>
  </si>
  <si>
    <r>
      <t>Fórmula de cálculo da TMRS =  VBC</t>
    </r>
    <r>
      <rPr>
        <b/>
        <vertAlign val="subscript"/>
        <sz val="18"/>
        <color rgb="FF04272E"/>
        <rFont val="Calibri"/>
        <family val="2"/>
      </rPr>
      <t>TMRS</t>
    </r>
    <r>
      <rPr>
        <b/>
        <sz val="18"/>
        <color rgb="FF04272E"/>
        <rFont val="Calibri"/>
        <family val="2"/>
      </rPr>
      <t xml:space="preserve"> x (Fator a x Fator b</t>
    </r>
    <r>
      <rPr>
        <b/>
        <vertAlign val="subscript"/>
        <sz val="18"/>
        <color rgb="FF04272E"/>
        <rFont val="Calibri"/>
        <family val="2"/>
      </rPr>
      <t xml:space="preserve">1,2 </t>
    </r>
    <r>
      <rPr>
        <b/>
        <sz val="18"/>
        <color rgb="FF04272E"/>
        <rFont val="Calibri"/>
        <family val="2"/>
      </rPr>
      <t>x Fator c)</t>
    </r>
  </si>
  <si>
    <r>
      <rPr>
        <b/>
        <u/>
        <sz val="22"/>
        <color theme="0"/>
        <rFont val="Calibri"/>
        <family val="2"/>
      </rPr>
      <t>Estrutura Referencial do Cálculo da TMRS</t>
    </r>
    <r>
      <rPr>
        <b/>
        <sz val="22"/>
        <color theme="0"/>
        <rFont val="Calibri"/>
        <family val="2"/>
      </rPr>
      <t xml:space="preserve"> </t>
    </r>
    <r>
      <rPr>
        <b/>
        <sz val="22"/>
        <color rgb="FF95D6D3"/>
        <rFont val="Calibri"/>
        <family val="2"/>
      </rPr>
      <t>— com base: Categoria Imóveis, Frequência de Coleta e Consumo de Água</t>
    </r>
  </si>
  <si>
    <r>
      <rPr>
        <b/>
        <sz val="12"/>
        <rFont val="Calibri"/>
        <family val="2"/>
      </rPr>
      <t>Faixa Min</t>
    </r>
    <r>
      <rPr>
        <sz val="12"/>
        <rFont val="Calibri"/>
        <family val="2"/>
      </rPr>
      <t xml:space="preserve"> - Fator Fixo (m</t>
    </r>
    <r>
      <rPr>
        <vertAlign val="superscript"/>
        <sz val="12"/>
        <rFont val="Calibri"/>
        <family val="2"/>
      </rPr>
      <t>3</t>
    </r>
    <r>
      <rPr>
        <sz val="12"/>
        <rFont val="Calibri"/>
        <family val="2"/>
      </rPr>
      <t>/m)</t>
    </r>
  </si>
  <si>
    <r>
      <rPr>
        <b/>
        <sz val="12"/>
        <rFont val="Calibri"/>
        <family val="2"/>
      </rPr>
      <t>Faixa Max</t>
    </r>
    <r>
      <rPr>
        <sz val="12"/>
        <rFont val="Calibri"/>
        <family val="2"/>
      </rPr>
      <t xml:space="preserve"> - Fator Fixo (m</t>
    </r>
    <r>
      <rPr>
        <vertAlign val="superscript"/>
        <sz val="12"/>
        <rFont val="Calibri"/>
        <family val="2"/>
      </rPr>
      <t>3</t>
    </r>
    <r>
      <rPr>
        <sz val="12"/>
        <rFont val="Calibri"/>
        <family val="2"/>
      </rPr>
      <t>/m)</t>
    </r>
  </si>
  <si>
    <r>
      <rPr>
        <b/>
        <sz val="12"/>
        <rFont val="Calibri"/>
        <family val="2"/>
      </rPr>
      <t>Faixa Min</t>
    </r>
    <r>
      <rPr>
        <sz val="12"/>
        <rFont val="Calibri"/>
        <family val="2"/>
      </rPr>
      <t xml:space="preserve"> - Fator Variav (m</t>
    </r>
    <r>
      <rPr>
        <vertAlign val="superscript"/>
        <sz val="12"/>
        <rFont val="Calibri"/>
        <family val="2"/>
      </rPr>
      <t>3</t>
    </r>
    <r>
      <rPr>
        <sz val="12"/>
        <rFont val="Calibri"/>
        <family val="2"/>
      </rPr>
      <t>/m)</t>
    </r>
  </si>
  <si>
    <r>
      <rPr>
        <b/>
        <sz val="12"/>
        <rFont val="Calibri"/>
        <family val="2"/>
      </rPr>
      <t>Faixa Max</t>
    </r>
    <r>
      <rPr>
        <sz val="12"/>
        <rFont val="Calibri"/>
        <family val="2"/>
      </rPr>
      <t xml:space="preserve"> - Fator Variav (m</t>
    </r>
    <r>
      <rPr>
        <vertAlign val="superscript"/>
        <sz val="12"/>
        <rFont val="Calibri"/>
        <family val="2"/>
      </rPr>
      <t>3</t>
    </r>
    <r>
      <rPr>
        <sz val="12"/>
        <rFont val="Calibri"/>
        <family val="2"/>
      </rPr>
      <t>/m)</t>
    </r>
  </si>
  <si>
    <t>Cálculo Tarifa | Economia Limite Superior Faixa</t>
  </si>
  <si>
    <r>
      <rPr>
        <b/>
        <sz val="20"/>
        <color theme="0"/>
        <rFont val="Calibri"/>
        <family val="2"/>
      </rPr>
      <t>PREMISSAS DA METODOLOGIA DE CÁLCULO</t>
    </r>
    <r>
      <rPr>
        <b/>
        <sz val="20"/>
        <color rgb="FF95D6D3"/>
        <rFont val="Calibri"/>
        <family val="2"/>
      </rPr>
      <t xml:space="preserve"> DA TARIFA/TAXA MÉDIA DE MANEJO DE RESÍDUOS SÓLIDOS URBANOS</t>
    </r>
  </si>
  <si>
    <r>
      <t>L . hab</t>
    </r>
    <r>
      <rPr>
        <b/>
        <vertAlign val="superscript"/>
        <sz val="12"/>
        <rFont val="Calibri"/>
        <family val="2"/>
      </rPr>
      <t xml:space="preserve">-1 </t>
    </r>
    <r>
      <rPr>
        <b/>
        <sz val="12"/>
        <rFont val="Calibri"/>
        <family val="2"/>
      </rPr>
      <t>. d</t>
    </r>
    <r>
      <rPr>
        <b/>
        <vertAlign val="superscript"/>
        <sz val="12"/>
        <rFont val="Calibri"/>
        <family val="2"/>
      </rPr>
      <t>-1</t>
    </r>
  </si>
  <si>
    <r>
      <t xml:space="preserve">Imóveis </t>
    </r>
    <r>
      <rPr>
        <b/>
        <sz val="12"/>
        <rFont val="Calibri"/>
        <family val="2"/>
      </rPr>
      <t>Resid. — NORMAL</t>
    </r>
  </si>
  <si>
    <r>
      <t xml:space="preserve">Imóveis </t>
    </r>
    <r>
      <rPr>
        <b/>
        <sz val="12"/>
        <rFont val="Calibri"/>
        <family val="2"/>
      </rPr>
      <t>Resid. — SOCIAL</t>
    </r>
  </si>
  <si>
    <r>
      <t xml:space="preserve">Imóveis — </t>
    </r>
    <r>
      <rPr>
        <b/>
        <sz val="12"/>
        <rFont val="Calibri"/>
        <family val="2"/>
      </rPr>
      <t>Comerciais</t>
    </r>
  </si>
  <si>
    <r>
      <t>Imóveis —</t>
    </r>
    <r>
      <rPr>
        <b/>
        <sz val="12"/>
        <rFont val="Calibri"/>
        <family val="2"/>
      </rPr>
      <t xml:space="preserve"> Públicos/Filantrôpicos</t>
    </r>
  </si>
  <si>
    <r>
      <t>Imóveis —</t>
    </r>
    <r>
      <rPr>
        <b/>
        <sz val="12"/>
        <rFont val="Calibri"/>
        <family val="2"/>
      </rPr>
      <t xml:space="preserve"> Industriais</t>
    </r>
  </si>
  <si>
    <r>
      <rPr>
        <b/>
        <u/>
        <sz val="12"/>
        <rFont val="Calibri"/>
        <family val="2"/>
      </rPr>
      <t>% Subvenção SOCIAL:</t>
    </r>
    <r>
      <rPr>
        <b/>
        <sz val="12"/>
        <rFont val="Calibri"/>
        <family val="2"/>
      </rPr>
      <t xml:space="preserve">
</t>
    </r>
    <r>
      <rPr>
        <sz val="12"/>
        <rFont val="Calibri"/>
        <family val="2"/>
      </rPr>
      <t>Tar. Resid. SOC / Tar. Resid. NORM</t>
    </r>
  </si>
  <si>
    <r>
      <t xml:space="preserve">VBC Anual - </t>
    </r>
    <r>
      <rPr>
        <b/>
        <sz val="12"/>
        <rFont val="Calibri"/>
        <family val="2"/>
      </rPr>
      <t>Valor Anual/ Imóvel</t>
    </r>
  </si>
  <si>
    <r>
      <t xml:space="preserve">VBC Mensal - </t>
    </r>
    <r>
      <rPr>
        <b/>
        <sz val="12"/>
        <rFont val="Calibri"/>
        <family val="2"/>
      </rPr>
      <t>Valor Mensal/Imóvel</t>
    </r>
  </si>
  <si>
    <r>
      <t xml:space="preserve">Valor Anual | </t>
    </r>
    <r>
      <rPr>
        <b/>
        <sz val="12"/>
        <rFont val="Calibri"/>
        <family val="2"/>
        <scheme val="minor"/>
      </rPr>
      <t>Subsídio Público ao Serviço</t>
    </r>
    <r>
      <rPr>
        <sz val="12"/>
        <rFont val="Calibri"/>
        <family val="2"/>
        <scheme val="minor"/>
      </rPr>
      <t xml:space="preserve"> de Manejo do RSU</t>
    </r>
  </si>
  <si>
    <r>
      <t xml:space="preserve">Faturamento Anual Serviço Manejo e Tratamento RSU — </t>
    </r>
    <r>
      <rPr>
        <b/>
        <sz val="12"/>
        <rFont val="Calibri"/>
        <family val="2"/>
        <scheme val="minor"/>
      </rPr>
      <t>AJUSTADA</t>
    </r>
  </si>
  <si>
    <r>
      <t xml:space="preserve">Preço Básico — Tarifa Serviço Manejo/Trat. RSU/Consumo Água — </t>
    </r>
    <r>
      <rPr>
        <b/>
        <sz val="12"/>
        <rFont val="Calibri"/>
        <family val="2"/>
        <scheme val="minor"/>
      </rPr>
      <t xml:space="preserve">AJUSTADO </t>
    </r>
  </si>
  <si>
    <r>
      <t>Consumo Água Industrial (m</t>
    </r>
    <r>
      <rPr>
        <vertAlign val="superscript"/>
        <sz val="10.5"/>
        <color rgb="FF000000"/>
        <rFont val="Calibri"/>
        <family val="2"/>
      </rPr>
      <t>3</t>
    </r>
    <r>
      <rPr>
        <sz val="10.5"/>
        <color rgb="FF000000"/>
        <rFont val="Calibri"/>
        <family val="1"/>
      </rPr>
      <t xml:space="preserve"> Água / t RSU)</t>
    </r>
  </si>
  <si>
    <t>Cons.Prod. Quím. p/ Abat. Emissões: Uréia (Kg Uréia/ t RSU)</t>
  </si>
  <si>
    <t>Cons.Prod. Quím. p/ Abat. Emissões: Cal Hidr (Kg Cal Hidr./ t RSU)</t>
  </si>
  <si>
    <t>Cons.Prod. Quím. p/ Abat. Emissões: Carvão Ativ. (Kg Carvão/ t RSU)</t>
  </si>
  <si>
    <t>Custo Médio — Produção de Composto Nobre</t>
  </si>
  <si>
    <t>Total de Composto Produzido</t>
  </si>
  <si>
    <t>Rej. Orgânico Triagem mec Mistos</t>
  </si>
  <si>
    <t>Receita do Ente Público pela disposição do RPU</t>
  </si>
  <si>
    <t>Ajuste do Capex</t>
  </si>
  <si>
    <t>Ajuste do Opex</t>
  </si>
  <si>
    <t>Geração Energia Elétrica - CAPEX</t>
  </si>
  <si>
    <t>Geração Energia Elétrica - OPEX</t>
  </si>
  <si>
    <t>Purificação Biometano - CAPEX</t>
  </si>
  <si>
    <t>Purificação Biometano - OPEX</t>
  </si>
  <si>
    <t>kWh/t Biometano</t>
  </si>
  <si>
    <t>Energia Gerada</t>
  </si>
  <si>
    <t>CIRSOP - Consórcio RSU Oeste Paulista</t>
  </si>
  <si>
    <t>Biodigestão c/ Prod. E. Elétrica</t>
  </si>
  <si>
    <t>FCL Projeto</t>
  </si>
  <si>
    <t>Acc</t>
  </si>
  <si>
    <t>Margem Bruta/Lucro Bruto Operacional</t>
  </si>
  <si>
    <t>Pay Back</t>
  </si>
  <si>
    <t>ISS Municipal - Imposto Municipal Sobre Serviços</t>
  </si>
  <si>
    <t>ICMS Estadual - Imposto Estadual Sobre Circulação Mercadorias</t>
  </si>
  <si>
    <t>VPL - Dados Capex</t>
  </si>
  <si>
    <t>VPL - Dados de Opex + Gestão do Contrato</t>
  </si>
  <si>
    <t>VPL - Dados de Receitas Diretas</t>
  </si>
  <si>
    <t>VPLL - Receitas do Ente Público p/ Disp. do RPU</t>
  </si>
  <si>
    <t>VPL - Margem Bruta/Lucro  Bruto Operacional</t>
  </si>
  <si>
    <t>VPL - Imposto IRPJ + CSLL</t>
  </si>
  <si>
    <t>Imposto IRPJ + CSLL</t>
  </si>
  <si>
    <t>VPL - FCL Projeto</t>
  </si>
  <si>
    <t>R$/a</t>
  </si>
  <si>
    <t>Custo Evitado por Desvio de Aterro</t>
  </si>
  <si>
    <t>Doação Receitas Venda Materiais Recicláveis</t>
  </si>
  <si>
    <t>% Doação das Receitas aos Catadores</t>
  </si>
  <si>
    <t>Sub-Total</t>
  </si>
  <si>
    <t>Receitas Tarifa RDO Efetiva Edital - NOVA RT</t>
  </si>
  <si>
    <t>Modicidade Tarifária -&gt; Receitas Extraordinárias  NOVA RT</t>
  </si>
  <si>
    <t>Taxa Ente Público RPU - NOVA RT</t>
  </si>
  <si>
    <t>Wacc</t>
  </si>
  <si>
    <t>Receita Total Bruta Faturamento - NOVA RT</t>
  </si>
  <si>
    <t>Remuneração Investimento e Operação Investidor - NOVA RT</t>
  </si>
  <si>
    <t>Custos Investimento e Operação - NOVA RT</t>
  </si>
  <si>
    <t>Impostos Operação - NOVA RT</t>
  </si>
  <si>
    <t>Valor Pago como Salários em Empregos Diretos</t>
  </si>
  <si>
    <t>Valor Pago Tributos Federais s/ os Salários Novos Empregos</t>
  </si>
  <si>
    <t>Valor Pago como Impostos Mun.: ISS</t>
  </si>
  <si>
    <t>Valor Pago como Impostos Est.: ICMS</t>
  </si>
  <si>
    <t>Valor Pago como Impostos Fed.: IRPJ, PIS/COFINS</t>
  </si>
  <si>
    <t>Qt desviado de Aterro</t>
  </si>
  <si>
    <t>Custo Aterramento incl. Despesas Monitor. Pós Encerramento Aterro</t>
  </si>
  <si>
    <t>Valor Monetário Doação da Venda Mat. Recicláveis aos Catadores</t>
  </si>
  <si>
    <t>Qt RDO Coletado para Tratamento e Disposição - NOVA RT</t>
  </si>
  <si>
    <t>Valor Tarifa Tratamento + Disposição RDO  NOVA RT</t>
  </si>
  <si>
    <t>Qt RPU Serviço Limpeza Pública p/ Disposição - NOVA RT</t>
  </si>
  <si>
    <t>Valor Tarifa Ente Pública p/ Disposição RPU  NOVA RT</t>
  </si>
  <si>
    <t>Alíquota Imposto Municipal ISS - Imposto Sobre Serviço</t>
  </si>
  <si>
    <t>Prazo  Contrato</t>
  </si>
  <si>
    <t>VPL - Dados de Receitas Extrordinárias</t>
  </si>
  <si>
    <t>Dados de Receitas Extraordinárias</t>
  </si>
  <si>
    <t>Preço Médio Bruto — Venda (FOB): Papel/Papelão</t>
  </si>
  <si>
    <t>Preço Médio Bruto — Venda (FOB): Plástico Filme</t>
  </si>
  <si>
    <t>Preço Médio Bruto — Venda (FOB): Plástico Rígido</t>
  </si>
  <si>
    <t>Preço Médio Bruto — Venda(FOB): Vidros</t>
  </si>
  <si>
    <t>Preço Médio Bruto — Venda (FOB): Metais Ferrosos</t>
  </si>
  <si>
    <t>Preço Médio Bruto — Venda (FOB): Metais Não Ferrosos</t>
  </si>
  <si>
    <t>Preço Médio Bruto — Venda (FOB): Composto Nobre</t>
  </si>
  <si>
    <t>Preço Médio Bruto — Venda (FOB): Composto Não Nobre</t>
  </si>
  <si>
    <t>Preço Médio Bruto — Venda (FOB): CDR Fino</t>
  </si>
  <si>
    <t>Preço Médio Bruto — Venda (FOB): CDR Grosso</t>
  </si>
  <si>
    <t>Preço Médio Bruto —Venda (FOB): Energia Elétrica — UTR</t>
  </si>
  <si>
    <t>Preço Médio Bruto — Venda (FOB): Energia Elétrica — Aterro</t>
  </si>
  <si>
    <t>Preço Médio Bruto — Venda (FOB): Biometano — UTR</t>
  </si>
  <si>
    <t>Preço Médio Bruto —Venda (FOB): Biometano — Aterro</t>
  </si>
  <si>
    <t>% Venda Matetriais Reciclávevis fora do Estado</t>
  </si>
  <si>
    <t>Alíquota Imposto Municipal ICMS - Imposto Sobre Circulação Mercadorias</t>
  </si>
  <si>
    <t>R$</t>
  </si>
  <si>
    <t>Nm³/t</t>
  </si>
  <si>
    <t>Kt/a</t>
  </si>
  <si>
    <t>Composto Orgânico</t>
  </si>
  <si>
    <t>t/d | base 52*12=312 dias</t>
  </si>
  <si>
    <t>Prazo Contrato</t>
  </si>
  <si>
    <t>Kw/d | base 52*12=312 dias</t>
  </si>
  <si>
    <r>
      <t>Nm</t>
    </r>
    <r>
      <rPr>
        <vertAlign val="superscript"/>
        <sz val="11"/>
        <color theme="1"/>
        <rFont val="Calibri"/>
        <family val="2"/>
        <scheme val="minor"/>
      </rPr>
      <t>3</t>
    </r>
    <r>
      <rPr>
        <sz val="11"/>
        <color rgb="FF000000"/>
        <rFont val="Calibri"/>
        <family val="2"/>
      </rPr>
      <t>/d | base 52*12=312 dias</t>
    </r>
  </si>
  <si>
    <t>Quant. RSU (Ano 1)</t>
  </si>
  <si>
    <t>Alíquota Imposto Federal PIS COFINS - Imposto Sobre Serviços e Mercadorias</t>
  </si>
  <si>
    <t>Quant. RSU Médio Total</t>
  </si>
  <si>
    <t>Quantitativo Evaporação</t>
  </si>
  <si>
    <t>Quantitativo Rejeitos</t>
  </si>
  <si>
    <t>QUANTITATIVOS VALORIZAÇÃO</t>
  </si>
  <si>
    <t>Materiais Recicláveis</t>
  </si>
  <si>
    <t>Biocombustível | Diesel Equivalente</t>
  </si>
  <si>
    <r>
      <t>Nm</t>
    </r>
    <r>
      <rPr>
        <vertAlign val="superscript"/>
        <sz val="11"/>
        <color theme="1"/>
        <rFont val="Calibri"/>
        <family val="2"/>
        <scheme val="minor"/>
      </rPr>
      <t>3</t>
    </r>
    <r>
      <rPr>
        <sz val="11"/>
        <color rgb="FF000000"/>
        <rFont val="Calibri"/>
        <family val="2"/>
      </rPr>
      <t>/a</t>
    </r>
  </si>
  <si>
    <t>Consumo Total Energia Elétrica na Nova Rota Tecnológica</t>
  </si>
  <si>
    <t>Preço Custo | Compra Energia Elétrica p/ Consumo da Nova Rota Tecnológica</t>
  </si>
  <si>
    <t>Kl (Diesel Eq)/a</t>
  </si>
  <si>
    <t>Combustível Derivado de Resíduos</t>
  </si>
  <si>
    <t>Nova Rota Tecnológica: CÁLCULO DOS GANHOS INDIRETOS</t>
  </si>
  <si>
    <t>Nova Rota Tecnológica: BALANÇO DE MASSA</t>
  </si>
  <si>
    <t>Nova Rota Tecnológica: FLUXO DE CAIXA LIVRE | Prazo Contrato</t>
  </si>
  <si>
    <t>R$/
t RSU</t>
  </si>
  <si>
    <t>Quant. RSU Médio Total (Prazo Contrato)</t>
  </si>
  <si>
    <t>Ecoparque COMPOSTAGEM: Materiais Reciclávevis, CDR e Composto Orgânico</t>
  </si>
  <si>
    <t>Ecoparque INCINERAÇÃO (Mass Burning): Materiais Recicláveis e Energia Elétrica</t>
  </si>
  <si>
    <r>
      <rPr>
        <b/>
        <i/>
        <u/>
        <sz val="11"/>
        <color theme="0"/>
        <rFont val="Calibri"/>
        <family val="2"/>
      </rPr>
      <t>Ecoparque BIODIGESTÃO</t>
    </r>
    <r>
      <rPr>
        <sz val="11"/>
        <color theme="0"/>
        <rFont val="Calibri"/>
        <family val="2"/>
      </rPr>
      <t>: Materiais Reciclávevis, Energia Elétrica, Biometano/BioCombustível, CDR e Composto Orgânico</t>
    </r>
  </si>
  <si>
    <t>Ecoparque BIOSECAGEM: Materiais Recicláveis e BioCDR</t>
  </si>
  <si>
    <t>Proporção Utilização do biogás</t>
  </si>
  <si>
    <r>
      <rPr>
        <b/>
        <i/>
        <u/>
        <sz val="16"/>
        <color theme="1"/>
        <rFont val="Calibri"/>
        <family val="2"/>
      </rPr>
      <t>CENÁRIO</t>
    </r>
    <r>
      <rPr>
        <b/>
        <sz val="16"/>
        <color theme="1"/>
        <rFont val="Calibri"/>
        <family val="2"/>
      </rPr>
      <t xml:space="preserve"> Nova Rota Tecnológica
DADOS MODELO SIMPLIFICADO SIMULAÇÃO</t>
    </r>
  </si>
  <si>
    <t>CASO SIMULAÇÃO</t>
  </si>
  <si>
    <t>% Fração Orgânica no RSU</t>
  </si>
  <si>
    <r>
      <t>Nm</t>
    </r>
    <r>
      <rPr>
        <vertAlign val="superscript"/>
        <sz val="11"/>
        <color theme="1"/>
        <rFont val="Calibri"/>
        <family val="2"/>
        <scheme val="minor"/>
      </rPr>
      <t>3</t>
    </r>
    <r>
      <rPr>
        <sz val="11"/>
        <color rgb="FF000000"/>
        <rFont val="Calibri"/>
        <family val="2"/>
      </rPr>
      <t>/t</t>
    </r>
    <r>
      <rPr>
        <sz val="11"/>
        <color theme="1"/>
        <rFont val="Calibri"/>
        <family val="2"/>
        <scheme val="minor"/>
      </rPr>
      <t xml:space="preserve"> FORSU</t>
    </r>
  </si>
  <si>
    <t>RDO</t>
  </si>
  <si>
    <t>RPU</t>
  </si>
  <si>
    <t xml:space="preserve">  </t>
  </si>
  <si>
    <t>Acionista</t>
  </si>
  <si>
    <t>Projeto</t>
  </si>
  <si>
    <t>Preço da Tarifa de Destinação do RSU - PROJETO</t>
  </si>
  <si>
    <t>Preço da Tarifa de Destinação do RSU - ACIONISTA</t>
  </si>
  <si>
    <t>Caixa</t>
  </si>
  <si>
    <t>Quantidade RPU Limpeza Pública p/ Disposição</t>
  </si>
  <si>
    <r>
      <t xml:space="preserve">Estimativa Preliminar da Tarifa — </t>
    </r>
    <r>
      <rPr>
        <b/>
        <sz val="14"/>
        <color rgb="FFFF0000"/>
        <rFont val="Calibri"/>
        <family val="2"/>
      </rPr>
      <t>PROJETO</t>
    </r>
  </si>
  <si>
    <r>
      <t>R$/Imov.</t>
    </r>
    <r>
      <rPr>
        <b/>
        <vertAlign val="superscript"/>
        <sz val="14"/>
        <rFont val="Calibri"/>
        <family val="2"/>
      </rPr>
      <t>-1</t>
    </r>
    <r>
      <rPr>
        <b/>
        <sz val="14"/>
        <rFont val="Calibri"/>
        <family val="2"/>
      </rPr>
      <t>.m</t>
    </r>
    <r>
      <rPr>
        <b/>
        <vertAlign val="superscript"/>
        <sz val="14"/>
        <rFont val="Calibri"/>
        <family val="2"/>
      </rPr>
      <t>-1</t>
    </r>
  </si>
  <si>
    <r>
      <t xml:space="preserve">Estimativa Preliminar de Tarifa — </t>
    </r>
    <r>
      <rPr>
        <b/>
        <sz val="14"/>
        <color rgb="FFFF0000"/>
        <rFont val="Calibri"/>
        <family val="2"/>
      </rPr>
      <t>ACIONISTA</t>
    </r>
  </si>
  <si>
    <r>
      <rPr>
        <b/>
        <sz val="11"/>
        <rFont val="Calibri"/>
        <family val="2"/>
      </rPr>
      <t>CMPC</t>
    </r>
    <r>
      <rPr>
        <sz val="11"/>
        <rFont val="Calibri"/>
        <family val="2"/>
      </rPr>
      <t xml:space="preserve"> — Custo Médio Pond. Capital </t>
    </r>
    <r>
      <rPr>
        <b/>
        <sz val="11"/>
        <rFont val="Calibri"/>
        <family val="2"/>
      </rPr>
      <t>(WACC)</t>
    </r>
  </si>
  <si>
    <r>
      <t xml:space="preserve">Despesa Anual </t>
    </r>
    <r>
      <rPr>
        <b/>
        <sz val="11"/>
        <rFont val="Calibri"/>
        <family val="2"/>
      </rPr>
      <t>Gestão/Administração do Contrato</t>
    </r>
  </si>
  <si>
    <r>
      <t xml:space="preserve">Custos de Investimento | </t>
    </r>
    <r>
      <rPr>
        <b/>
        <sz val="11"/>
        <rFont val="Calibri"/>
        <family val="2"/>
      </rPr>
      <t>Programas Socioambientais</t>
    </r>
  </si>
  <si>
    <r>
      <t>Custos de Investimento |</t>
    </r>
    <r>
      <rPr>
        <b/>
        <sz val="11"/>
        <rFont val="Calibri"/>
        <family val="2"/>
      </rPr>
      <t xml:space="preserve"> Itens Específicos do Contrato</t>
    </r>
  </si>
  <si>
    <t>Receita Acessória — Tratamento RSU p/ Concessionária</t>
  </si>
  <si>
    <t>VBC — Valor Bás.Cálculo: Rec. Diretas/Nr Econ.</t>
  </si>
  <si>
    <r>
      <rPr>
        <b/>
        <sz val="10.5"/>
        <rFont val="Calibri"/>
        <family val="2"/>
      </rPr>
      <t>Incineração</t>
    </r>
    <r>
      <rPr>
        <sz val="10.5"/>
        <rFont val="Calibri"/>
        <family val="2"/>
      </rPr>
      <t>: Degrau Conversão Base Tecnol.: EUR -&gt; BRA</t>
    </r>
  </si>
  <si>
    <t>Cons. Água de Limp.Caldeira: Soluções de HCl e NaOH (Kg Solução / t RSU)</t>
  </si>
  <si>
    <t>R$/Kg</t>
  </si>
  <si>
    <t>Cons. Água de Limp.Caldeira: Soluções de HCl e NaOH</t>
  </si>
  <si>
    <t>Estimativa Valor TARIFA BRUTA PROJETO</t>
  </si>
  <si>
    <t>Est. Valor TARIFA BRUTA ACIONISTA</t>
  </si>
  <si>
    <t>Qt Médio de Geração de RSU no Prazo do Contrato</t>
  </si>
  <si>
    <t>KWh/t RSU</t>
  </si>
  <si>
    <t>Energia Elétrica - INCINERAÇÃO</t>
  </si>
  <si>
    <t>Energia Elétrica - BIODIGESTÃO</t>
  </si>
  <si>
    <t>Gestão Atual RSU</t>
  </si>
  <si>
    <t>Geração per Capita RSU</t>
  </si>
  <si>
    <r>
      <t>Kg RSU.habt</t>
    </r>
    <r>
      <rPr>
        <vertAlign val="superscript"/>
        <sz val="11"/>
        <color rgb="FF000000"/>
        <rFont val="Calibri"/>
        <family val="2"/>
      </rPr>
      <t>-1</t>
    </r>
    <r>
      <rPr>
        <sz val="11"/>
        <color rgb="FF000000"/>
        <rFont val="Calibri"/>
        <family val="2"/>
      </rPr>
      <t>.d</t>
    </r>
    <r>
      <rPr>
        <vertAlign val="superscript"/>
        <sz val="11"/>
        <color rgb="FF000000"/>
        <rFont val="Calibri"/>
        <family val="2"/>
      </rPr>
      <t>-1</t>
    </r>
  </si>
  <si>
    <t>Custo Médio Solo/Argila para Cobertura Aterro Sanit.</t>
  </si>
  <si>
    <r>
      <t>R$/m</t>
    </r>
    <r>
      <rPr>
        <vertAlign val="superscript"/>
        <sz val="10.5"/>
        <rFont val="Calibri"/>
        <family val="2"/>
      </rPr>
      <t>3</t>
    </r>
  </si>
  <si>
    <t>Introdução</t>
  </si>
  <si>
    <t>A Calculadora original foi desenvolvida no ano 2009 pelo ifeu-Institut Heidelberg, patrocinada pelo KfW Development Bank em cooperação com a GIZ,</t>
  </si>
  <si>
    <t>e financiada com fundos fornecidos pelo Ministério para Cooperação e Desenvolvimento Econômico da Alemanha (BMZ).</t>
  </si>
  <si>
    <t xml:space="preserve">A adaptação para o uso no Brasil foi financiada pelo projeto ProteGEEr com fundus fornecidos pela Iniciativa International do Clima (IKI) do Ministério do Meio </t>
  </si>
  <si>
    <t xml:space="preserve">Ambiente, Proteção da Natureza e Segurança Nuclear da Alemanha (BMU). </t>
  </si>
  <si>
    <t>Com esta ferramenta, você pode estimar o efeito climático de diferentes opções de gerenciamento de resíduos.</t>
  </si>
  <si>
    <t>Informações detalhadas sobre como usar a ferramenta e sobre os dados a inserir são fornecidas no Manual, disponível para download no site:</t>
  </si>
  <si>
    <t xml:space="preserve"> https://www.gov.br/mdr/pt-br/assuntos/saneamento/protegeer</t>
  </si>
  <si>
    <t>A ferramenta é composta pelas seguintes abas:</t>
  </si>
  <si>
    <t>Início</t>
  </si>
  <si>
    <t>Especificação da quantidade de resíduos, composição dos resíduos, características dos resíduos e fator de emissão específico para a rede elétrica</t>
  </si>
  <si>
    <t>Reciclagem</t>
  </si>
  <si>
    <t>Especificações para reciclagem de resíduos. Até 4 cenários podem ser comparados</t>
  </si>
  <si>
    <t>Destinação</t>
  </si>
  <si>
    <t>Especificações para tratamento e disposição final de resíduos. Até 4 cenários podem ser comparados</t>
  </si>
  <si>
    <t>Abas de resultados</t>
  </si>
  <si>
    <t>Os resultados são mostrados para cada cenário e na visão geral de até 4 cenários</t>
  </si>
  <si>
    <t>Aba de cálculo</t>
  </si>
  <si>
    <t>Contém todos os cálculos feitos — somente leitura</t>
  </si>
  <si>
    <t>Traduzido por:</t>
  </si>
  <si>
    <t>Tathiana Almeida Seraval Colturato</t>
  </si>
  <si>
    <t>Contato ifeu:</t>
  </si>
  <si>
    <t>ifeu - Institut für Energie- und Umweltforschung Heidelberg gGmbH</t>
  </si>
  <si>
    <t>(Instituto de Energia e Pesquisa Ambiental)</t>
  </si>
  <si>
    <t>e-mail: juergen.giegrich@ifeu.de</t>
  </si>
  <si>
    <t>Atualização:</t>
  </si>
  <si>
    <t>Julho de 2021 (adaptada para o uso no Brasil)</t>
  </si>
  <si>
    <t>Elaborado por:</t>
  </si>
  <si>
    <t>Ministério do Desenvolvimento Regional</t>
  </si>
  <si>
    <t xml:space="preserve">Por meio do: </t>
  </si>
  <si>
    <t>Projeto de Cooperação para Proteção do Clima na Gestão de Resíduos Sólidos Urbanos (ProteGEEr) financiado pelo Ministério do Meio Ambiente, Proteção da Natureza e Segurança Nuclear da Alemanha (BMU)</t>
  </si>
  <si>
    <t>e implementado pela Deutsche Gesellschaft für Internationale Zusammenarbeit (GIZ) GmbH</t>
  </si>
  <si>
    <t xml:space="preserve">Desenvolvedor (IFEU): </t>
  </si>
  <si>
    <t>Jürgen Giegrich</t>
  </si>
  <si>
    <t>Consultoria Técnica para adaptação ao Brasil:</t>
  </si>
  <si>
    <t>Tathiana Almeida Seraval Colturato (Methanum)</t>
  </si>
  <si>
    <t>Equipe Técnica ProteGEEr:</t>
  </si>
  <si>
    <t>Jan Janssen, Guilherme Gonçalves e Rebeca Borges de Oliveira (Consórcio GOPAInfra - adelphi),  Hélinah Cardoso Moreira (GIZ ) e Christiane Pereira (TUBs).</t>
  </si>
  <si>
    <t>Revisão Técnica SNS/MDR:</t>
  </si>
  <si>
    <t>Ernani Ciríaco de Miranda, Dogival de Oliveira Costa Júnior,  Karina Araújo Souza e Sérgio Luis da Silva Cotrim</t>
  </si>
  <si>
    <t>Consultoria Técnica:</t>
  </si>
  <si>
    <t>Francisco Javier Contreras Pineda</t>
  </si>
  <si>
    <t xml:space="preserve">Contato: </t>
  </si>
  <si>
    <t xml:space="preserve">sanearbrasil@mdr.gov.br </t>
  </si>
  <si>
    <t>Acesse o Manual do Usuário para mais informações.</t>
  </si>
  <si>
    <r>
      <rPr>
        <sz val="10.5"/>
        <color theme="1"/>
        <rFont val="Calibri"/>
        <family val="2"/>
      </rPr>
      <t>Disponível para download no site:</t>
    </r>
    <r>
      <rPr>
        <sz val="10.5"/>
        <color theme="10"/>
        <rFont val="Calibri"/>
        <family val="2"/>
      </rPr>
      <t xml:space="preserve"> </t>
    </r>
    <r>
      <rPr>
        <u/>
        <sz val="10.5"/>
        <color theme="10"/>
        <rFont val="Calibri"/>
        <family val="2"/>
      </rPr>
      <t>https://www.gov.br/mdr/pt-br/assuntos/saneamento/protegeer</t>
    </r>
  </si>
  <si>
    <t>Por favor, preencha as células verdes</t>
  </si>
  <si>
    <t>Quantidade total de resíduos</t>
  </si>
  <si>
    <t>A quantidade total de resíduos refere-se ao total de resíduos gerados por ano (que não é apenas o resíduo coletado pelos municípios, mas a quantidade total)</t>
  </si>
  <si>
    <t>Dependendo dos dados disponíveis, a quantidade total de resíduos pode ser inserida no campo verde, em toneladas por ano, ou...</t>
  </si>
  <si>
    <t>toneladas/ano</t>
  </si>
  <si>
    <r>
      <t xml:space="preserve">…como quantidade </t>
    </r>
    <r>
      <rPr>
        <i/>
        <sz val="10.5"/>
        <color theme="1" tint="0.14999847407452621"/>
        <rFont val="Calibri"/>
        <family val="2"/>
      </rPr>
      <t>per capita</t>
    </r>
    <r>
      <rPr>
        <sz val="10.5"/>
        <color theme="1" tint="0.14999847407452621"/>
        <rFont val="Calibri"/>
        <family val="2"/>
      </rPr>
      <t xml:space="preserve"> de resíduos (em kg/cap/ano ou kg/cap/dia) combinada com o número de habitantes:</t>
    </r>
  </si>
  <si>
    <t>Taxa de geração específica de resíduos sólidos urbanos</t>
  </si>
  <si>
    <t>Em vez da quantidade total de resíduos, você pode inserir a quantidade específica de resíduos em quilogramas</t>
  </si>
  <si>
    <t>per capita e ano (kg/cap/ano) ou em quilogramas per capita e dia (kg/cap/dia) nos campos verdes.</t>
  </si>
  <si>
    <t>Se não houver dados disponíveis, o valor padrão do Brasil é recomendado para preencher os campos verdes.</t>
  </si>
  <si>
    <t>Padrão do Brasil</t>
  </si>
  <si>
    <t>kg/cap/ano</t>
  </si>
  <si>
    <t>Quantidade anual de resíduos per capita</t>
  </si>
  <si>
    <t>kg/cap/dia</t>
  </si>
  <si>
    <t>Resultado/informação intermediária</t>
  </si>
  <si>
    <t>Quantidade diária de resíduos per capita</t>
  </si>
  <si>
    <t xml:space="preserve">Sua entrada resulta em uma quantidade total de resíduos </t>
  </si>
  <si>
    <t>População</t>
  </si>
  <si>
    <t>Resultado — quantidade total de resíduos</t>
  </si>
  <si>
    <t>N° de habitantes</t>
  </si>
  <si>
    <t>População total (capita)</t>
  </si>
  <si>
    <t>Composição de resíduos em porcentagens de peso úmido</t>
  </si>
  <si>
    <t>Utilize como referência o percentual dos resíduos úmidos na quantidade total de resíduos.</t>
  </si>
  <si>
    <t>Se houver dados sobre a composição total de resíduos, digite a porcentagem — caso contrário, você pode usar o padrão do Brasil.</t>
  </si>
  <si>
    <t>em % de resíduos úmidos</t>
  </si>
  <si>
    <t>Resíduos de alimentos</t>
  </si>
  <si>
    <t>Resíduos de jardins e parques</t>
  </si>
  <si>
    <t>Papel, papelão</t>
  </si>
  <si>
    <t>Plásticos</t>
  </si>
  <si>
    <t>Metais ferrosos</t>
  </si>
  <si>
    <t>Alumínio</t>
  </si>
  <si>
    <t>Têxteis</t>
  </si>
  <si>
    <t>Borracha, couro</t>
  </si>
  <si>
    <t>Fraldas (descartáveis)</t>
  </si>
  <si>
    <t>Madeira</t>
  </si>
  <si>
    <t>Resíduos minerais</t>
  </si>
  <si>
    <t>Outros</t>
  </si>
  <si>
    <t>Características dos resíduos</t>
  </si>
  <si>
    <t>Os resíduos podem diferir significativamente no teor de água e, consequentemente, no poder calorífico (para mais explicações, consulte o manual).</t>
  </si>
  <si>
    <r>
      <t xml:space="preserve">Aqui você pode escolher entre um teor de água baixo ou alto. </t>
    </r>
    <r>
      <rPr>
        <b/>
        <sz val="10.5"/>
        <color theme="1" tint="0.14999847407452621"/>
        <rFont val="Calibri"/>
        <family val="2"/>
      </rPr>
      <t>Digite "1"</t>
    </r>
    <r>
      <rPr>
        <sz val="10.5"/>
        <color theme="1" tint="0.14999847407452621"/>
        <rFont val="Calibri"/>
        <family val="2"/>
      </rPr>
      <t xml:space="preserve"> para sua escolha</t>
    </r>
  </si>
  <si>
    <t>Classificação do teor de água</t>
  </si>
  <si>
    <t>Baixo teor de água</t>
  </si>
  <si>
    <t>Alto teor de água</t>
  </si>
  <si>
    <t>A composição de resíduos e o teor de água que você definiu</t>
  </si>
  <si>
    <t>Fator de emissão de GEE específico para geração de eletricidade</t>
  </si>
  <si>
    <t>levam às seguintes propriedades físicas do total de resíduos:</t>
  </si>
  <si>
    <t>A produção de eletricidade resulta em emissões de GEE variáveis, conforme a fonte.</t>
  </si>
  <si>
    <t>Resultado — valor calorífico e teor de carbono do total de resíduos</t>
  </si>
  <si>
    <t>Se conhecido, insira o fator de emissão específico para a produção de eletricidade em g CO2-eq/kWh.</t>
  </si>
  <si>
    <t>Poder calorífico</t>
  </si>
  <si>
    <t>em MJ/kg</t>
  </si>
  <si>
    <t>Teor total de carbono</t>
  </si>
  <si>
    <t>Teor de carbono fóssil</t>
  </si>
  <si>
    <t>Teor de carbono regenerativo</t>
  </si>
  <si>
    <t>Mix de eletricidade</t>
  </si>
  <si>
    <t>Padrão do Brasil 2018</t>
  </si>
  <si>
    <t>g CO2-eq/kWh</t>
  </si>
  <si>
    <t>Brasil</t>
  </si>
  <si>
    <t>Média dos ultimos 5 anos</t>
  </si>
  <si>
    <t>Reciclagem, compostagem e digestão</t>
  </si>
  <si>
    <t>Você pode calcular até 4 cenários com base na composição de resíduos definida na página "Início". Se você deseja alterar a composição de resíduos, é necessário iniciar um novo cálculo em uma cópia.</t>
  </si>
  <si>
    <t>Indique nos campos marcados em verde a parcela de cada fração de resíduos reciclada — em porcentagem da fração de resíduos correspondente.</t>
  </si>
  <si>
    <t>As taxas de reciclagem devem incluir todo o material reciclado, seja de coleta seletiva, seja do setor informal ou de estações de tratamento mecânico.</t>
  </si>
  <si>
    <t>Você pode alterar os nomes dos cenários</t>
  </si>
  <si>
    <t>Cenário-Base</t>
  </si>
  <si>
    <t>Rota Tecnol. 1A</t>
  </si>
  <si>
    <t>Rota Tecnol. 1C</t>
  </si>
  <si>
    <t>Rota Tecnol. 2</t>
  </si>
  <si>
    <t>Rota Tecnol. 3</t>
  </si>
  <si>
    <t>Rota Tecnol. 4</t>
  </si>
  <si>
    <t>Biodigestão RT1A + CDR TM</t>
  </si>
  <si>
    <t>Biodigestão RT1C + CDR TM</t>
  </si>
  <si>
    <t>Compostagem + CDR TM</t>
  </si>
  <si>
    <t xml:space="preserve">Biosecagem + CDR TMB </t>
  </si>
  <si>
    <t>Materiais secos</t>
  </si>
  <si>
    <t>Indique aqui o percentual de material seco reciclado</t>
  </si>
  <si>
    <t>x% de</t>
  </si>
  <si>
    <t>Tipo de material</t>
  </si>
  <si>
    <t>para reciclagem</t>
  </si>
  <si>
    <t>em %</t>
  </si>
  <si>
    <t>Resíduos orgânicos</t>
  </si>
  <si>
    <t>Indique aqui o percentual de alimentos e resíduos de jardins e parques reciclados que são utilizados na agricultura, em áreas verdes ou no florestamento</t>
  </si>
  <si>
    <t>e que substituem fertilizante mineral/químico.</t>
  </si>
  <si>
    <t>Tipo de resíduo orgânico</t>
  </si>
  <si>
    <t>Tabela auxiliar para determinar taxas de reciclagem</t>
  </si>
  <si>
    <t>Indique a parcela de resíduos orgânicos que são compostados e digeridos</t>
  </si>
  <si>
    <t>Reciclado pelo</t>
  </si>
  <si>
    <t>Soma total dos</t>
  </si>
  <si>
    <t>Potencial total</t>
  </si>
  <si>
    <t>Reciclado</t>
  </si>
  <si>
    <t>em tonelada</t>
  </si>
  <si>
    <t>setor informal</t>
  </si>
  <si>
    <t>setor formal</t>
  </si>
  <si>
    <t>reciclados</t>
  </si>
  <si>
    <t>em resíduos</t>
  </si>
  <si>
    <t>Resíduos orgânicos para reciclagem</t>
  </si>
  <si>
    <t>Resíduo de alimentos</t>
  </si>
  <si>
    <t>Resíduo orgânico</t>
  </si>
  <si>
    <t>Resíduo de poda</t>
  </si>
  <si>
    <t>Digestão anaeróbia (DA)</t>
  </si>
  <si>
    <t>Biogás da digestão anaeróbia para produção de eletricidade</t>
  </si>
  <si>
    <t>Biogás da digestão anaeróbia para produção de biometano</t>
  </si>
  <si>
    <t>A coleta seletiva altera a composição original dos resíduos. As taxas de reciclagem inseridas</t>
  </si>
  <si>
    <t>levam às seguintes propriedades físicas o restante:</t>
  </si>
  <si>
    <t>Características do RSU após a reciclagem</t>
  </si>
  <si>
    <t>em% de resíduos úmidos</t>
  </si>
  <si>
    <t xml:space="preserve">Opções de tratamento e disposição final do RSU </t>
  </si>
  <si>
    <t>Indique aqui o que acontece com o RSU remanecente (= quantidade restante de resíduos após a reciclagem).</t>
  </si>
  <si>
    <t>Para uma explicação das opções de tratamento, consulte o manual.</t>
  </si>
  <si>
    <t>Tipo de tratamento e disposição final de resíduos</t>
  </si>
  <si>
    <t>Evitar!</t>
  </si>
  <si>
    <t>Resíduos dispersos não queimados</t>
  </si>
  <si>
    <t>Queima aberta de resíduos dispersos</t>
  </si>
  <si>
    <t>Disposição no solo</t>
  </si>
  <si>
    <t xml:space="preserve">Lixão </t>
  </si>
  <si>
    <t>Aterro controlado sem coleta de gás</t>
  </si>
  <si>
    <t>Aterro sanitário com possibilidade de coleta de gás</t>
  </si>
  <si>
    <t>Outras opções de recuperação e disposição final</t>
  </si>
  <si>
    <t>Se o tratamento biológico for digestão anaeróbica em vez de compostagem,</t>
  </si>
  <si>
    <t>Tratamento biológico + cobertura de aterro</t>
  </si>
  <si>
    <t>preencha nas linhas 46/47</t>
  </si>
  <si>
    <t>CDR seco + cimenteira + rejeito para aterro</t>
  </si>
  <si>
    <t>CDR seco + cimenteira + trat. biol.+ cobertura de aterro</t>
  </si>
  <si>
    <t>preencha nas linhas 51/52</t>
  </si>
  <si>
    <r>
      <t>CDR seco +</t>
    </r>
    <r>
      <rPr>
        <sz val="10.5"/>
        <color rgb="FF04272E"/>
        <rFont val="Calibri"/>
        <family val="2"/>
      </rPr>
      <t xml:space="preserve"> biosecagem</t>
    </r>
    <r>
      <rPr>
        <sz val="10.5"/>
        <color theme="1" tint="0.14999847407452621"/>
        <rFont val="Calibri"/>
        <family val="2"/>
      </rPr>
      <t xml:space="preserve"> CDR org. + cimenteira</t>
    </r>
  </si>
  <si>
    <t>Incineração de RSU</t>
  </si>
  <si>
    <t>Informação sobre o aterro sanitário — Coleta e uso do biogás</t>
  </si>
  <si>
    <t>Aqui você pode especificar as tecnologias de disposição de aterros.</t>
  </si>
  <si>
    <t>Para os fins do ProteGEEr, opções específicas de coleta e tratamento de gases são definidas para o Brasil e podem ser encontradas no manual.</t>
  </si>
  <si>
    <t>No caso de aterro sanitário, insira aqui a parte geral do gás de aterro coletado como valor médio durante a vida útil do aterro sanitário (para mais explicações, vide comentário ou manual).</t>
  </si>
  <si>
    <t>Mín</t>
  </si>
  <si>
    <t>Máx</t>
  </si>
  <si>
    <t>Eficiência na coleta de gás</t>
  </si>
  <si>
    <t>Defina aqui o tratamento do gás de aterro coletado geral (para mais explicações sobre as opções de tratamento, consulte o manual).</t>
  </si>
  <si>
    <t>Tratamento e tipo de uso do gás de aterro coletado</t>
  </si>
  <si>
    <t>Sem queima (teste de emissão do aterro sanitário)</t>
  </si>
  <si>
    <t>Queimador Flare</t>
  </si>
  <si>
    <t>Geração da eletricidade</t>
  </si>
  <si>
    <t>Produção de biometano</t>
  </si>
  <si>
    <t>Se uma camada de oxidação aprimorada de metano for aplicada, preencha a eficiência de oxidação superior à eficácia padrão de oxidação de metano do IPCC 2006 de 10% de uma cobertura normal de aterro.</t>
  </si>
  <si>
    <t>Efeito da oxidação da cobertura do aterro</t>
  </si>
  <si>
    <t>Padrão IPCC 10%</t>
  </si>
  <si>
    <t>Eficiência da oxidação de metano pela camada de oxidação</t>
  </si>
  <si>
    <t>Outras opções de tratamento</t>
  </si>
  <si>
    <r>
      <t xml:space="preserve">Se a </t>
    </r>
    <r>
      <rPr>
        <sz val="10.5"/>
        <color rgb="FF04272E"/>
        <rFont val="Calibri"/>
        <family val="2"/>
      </rPr>
      <t>digestão anaeróbia</t>
    </r>
    <r>
      <rPr>
        <sz val="10.5"/>
        <color theme="1" tint="0.14999847407452621"/>
        <rFont val="Calibri"/>
        <family val="2"/>
      </rPr>
      <t xml:space="preserve"> for aplicada em vez de tratamento biológico aeróbico simples, insira um valor para o uso do biogás gerado (o total deve ser de 100%)</t>
    </r>
  </si>
  <si>
    <t>Produção de eletricidade a partir do biogás</t>
  </si>
  <si>
    <t>Produção de biometano a partir do biogás</t>
  </si>
  <si>
    <t>Total (deve ser 100% ou 0%)</t>
  </si>
  <si>
    <t>CDR seco + cimenteira + trat. biol. + cobertura de aterro</t>
  </si>
  <si>
    <t>Informação sobre a planta de incineração</t>
  </si>
  <si>
    <t>Indique aqui a eficiência líquida da utilização de energia através da incineração de resíduos — use dados próprios ou valores-padrão (para explicações adicionais, consulte o comentário ou o manual)</t>
  </si>
  <si>
    <t>Padrão</t>
  </si>
  <si>
    <t>Eletricidade</t>
  </si>
  <si>
    <t>Térmica</t>
  </si>
  <si>
    <t>Resíduos tratados em t/ano</t>
  </si>
  <si>
    <t>Resíduos totais</t>
  </si>
  <si>
    <t>Resíduos reciclados</t>
  </si>
  <si>
    <t>Resíduo total em t/ano</t>
  </si>
  <si>
    <t xml:space="preserve">Tratamento e Disposição Final </t>
  </si>
  <si>
    <t>Descarte de resíduos</t>
  </si>
  <si>
    <t>Resíduos dispersos</t>
  </si>
  <si>
    <t>Queima a céu aberto</t>
  </si>
  <si>
    <t>Lixão não controlado</t>
  </si>
  <si>
    <t>Aterro controlado</t>
  </si>
  <si>
    <t>Trat. biol + cobertura at.</t>
  </si>
  <si>
    <t>CDR seco + rejeito aterro</t>
  </si>
  <si>
    <t>CDR seco + trat. biol.</t>
  </si>
  <si>
    <t>CDR seco + CDR org.</t>
  </si>
  <si>
    <t>Resultados — Emissões de GEE na reciclagem e no descarte em t CO2-eq/ano</t>
  </si>
  <si>
    <t>Emissões</t>
  </si>
  <si>
    <t>Emissões evitadas</t>
  </si>
  <si>
    <t>Resultados líquidos</t>
  </si>
  <si>
    <t>Resíduo reciclado</t>
  </si>
  <si>
    <t>RSU total</t>
  </si>
  <si>
    <t>Débitos</t>
  </si>
  <si>
    <t>Créditos</t>
  </si>
  <si>
    <t>Líquido</t>
  </si>
  <si>
    <t>Resultados — Emissões de GEE na reciclagem em t CO2-eq/ano</t>
  </si>
  <si>
    <t>Resultados — Emissões de GEE no Descarte em t CO2-eq/ano</t>
  </si>
  <si>
    <t>Resíduos descartados</t>
  </si>
  <si>
    <t>Líquidos</t>
  </si>
  <si>
    <t>Resíduos totais em t/ano</t>
  </si>
  <si>
    <t>Tratamento e disposição final de resíduos</t>
  </si>
  <si>
    <t>Resultados — Emissões de GEE na reciclagem e na destinação em t CO2-eq/ano</t>
  </si>
  <si>
    <t>Destinação de resíduos</t>
  </si>
  <si>
    <t>Resultados — Emissões de GEE no Destinação em t CO2-eq/ano</t>
  </si>
  <si>
    <t>Resíduo tratado em t/ano</t>
  </si>
  <si>
    <t>Destinação de resíduo</t>
  </si>
  <si>
    <t>Resultados — Emissões de GEE na Destinação em t CO2-eq/ano</t>
  </si>
  <si>
    <t>Tratamento e Disposição final  de resíduos</t>
  </si>
  <si>
    <t>Tratamento total de RSU</t>
  </si>
  <si>
    <t>Fatores de emissão para demanda de energia</t>
  </si>
  <si>
    <t>Fatores de emissão para reciclagem</t>
  </si>
  <si>
    <t>Resultados da reciclagem do Potencial de Aquecimento Global (GWP)</t>
  </si>
  <si>
    <t>Rede de eletricidade</t>
  </si>
  <si>
    <t>g CO2-eq/kWh de eletricidade</t>
  </si>
  <si>
    <t>valor variável</t>
  </si>
  <si>
    <t>Valores arredondados para o Brasil (setembro de 2019)</t>
  </si>
  <si>
    <t>Calor (Mistura 50% de óleo; 50% de gás natural)</t>
  </si>
  <si>
    <t>g CO2-eq/kWh de calor</t>
  </si>
  <si>
    <t>valor fixo</t>
  </si>
  <si>
    <t xml:space="preserve"> </t>
  </si>
  <si>
    <t>kg CO2-eq/t resíduo</t>
  </si>
  <si>
    <t>Papel</t>
  </si>
  <si>
    <t>Metais (aço)</t>
  </si>
  <si>
    <t>Quantidade de resíduos</t>
  </si>
  <si>
    <t>t/ano</t>
  </si>
  <si>
    <t>Energia mecânica</t>
  </si>
  <si>
    <t>Digestão</t>
  </si>
  <si>
    <t xml:space="preserve">Destintagem </t>
  </si>
  <si>
    <t>Derretimento</t>
  </si>
  <si>
    <t>Diesel</t>
  </si>
  <si>
    <t>diesel</t>
  </si>
  <si>
    <t>Teor de carbono para frações de resíduos</t>
  </si>
  <si>
    <t>Valores originais do IPCC</t>
  </si>
  <si>
    <t>Resultado líquido</t>
  </si>
  <si>
    <t>Fonte: IPCC 2006</t>
  </si>
  <si>
    <t>C total</t>
  </si>
  <si>
    <t>teor de matéria seca</t>
  </si>
  <si>
    <t>Fração</t>
  </si>
  <si>
    <t>C fóssil</t>
  </si>
  <si>
    <t>% de resíduos secos</t>
  </si>
  <si>
    <t>% de resíduo úmido</t>
  </si>
  <si>
    <t>Digestão anaeróbica de crédito</t>
  </si>
  <si>
    <t>Rendimento médio de gás</t>
  </si>
  <si>
    <t>Nm³/t resíduos biológicos</t>
  </si>
  <si>
    <t>Teor médio de metano</t>
  </si>
  <si>
    <t>vol%</t>
  </si>
  <si>
    <t>Eficiência líquida de eletricidade</t>
  </si>
  <si>
    <t>Produção média de eletricidade</t>
  </si>
  <si>
    <t>kWh/t resíduos biológicos</t>
  </si>
  <si>
    <t>Reciclagem total</t>
  </si>
  <si>
    <t>Produção média do biometano</t>
  </si>
  <si>
    <t>t CO2-eq/ano</t>
  </si>
  <si>
    <t>Metais Ferrosos</t>
  </si>
  <si>
    <t>Fatores de emissão para opções de tratamento e disposição final de resíduos</t>
  </si>
  <si>
    <t>Borrachas, couro</t>
  </si>
  <si>
    <t>Carbono fóssil em resíduos dispersos</t>
  </si>
  <si>
    <t>Fraldas</t>
  </si>
  <si>
    <t>CO2 emitido por queima aberta</t>
  </si>
  <si>
    <t>kg CO2-eq/t</t>
  </si>
  <si>
    <t>Cálculo do gás de aterro formado</t>
  </si>
  <si>
    <t>Carbono regenerativo em resíduos depositados em aterros</t>
  </si>
  <si>
    <t>t C/t res</t>
  </si>
  <si>
    <t>Poder calorífico das frações</t>
  </si>
  <si>
    <t>Carbono degradado e liberado do carbono regenerativo</t>
  </si>
  <si>
    <t>% carbono regenerativo</t>
  </si>
  <si>
    <t>Gás de aterro com teor de metano</t>
  </si>
  <si>
    <t>Fonte: AEA Technology 2001, p. 114; wood IFEU estimate</t>
  </si>
  <si>
    <t>Quantidade de gás de aterro por tonelada de resíduo</t>
  </si>
  <si>
    <t>m³/t de resíduo</t>
  </si>
  <si>
    <t>poder calorífico</t>
  </si>
  <si>
    <t>Aterro não gerenciado</t>
  </si>
  <si>
    <t>Residuos orgânicos (baixo teor de água)</t>
  </si>
  <si>
    <t>MJ/kg de resíduos úmidos</t>
  </si>
  <si>
    <t>Quantidade de gás de aterro difuso</t>
  </si>
  <si>
    <t>Residuos orgânicos (alto teor de água)</t>
  </si>
  <si>
    <t>Quantidade de metano emitido</t>
  </si>
  <si>
    <t>Aterro sanitário (aterro gerenciado)</t>
  </si>
  <si>
    <t>Gás de aterro coletado</t>
  </si>
  <si>
    <t>Não tratados, apenas ventilados</t>
  </si>
  <si>
    <t>Quantidade de metano difuso</t>
  </si>
  <si>
    <t>m³ CH4/t de resíduo</t>
  </si>
  <si>
    <t>Têxteis, borracha, couro</t>
  </si>
  <si>
    <t>Oxidado a CO2 na camada de cobertura padrão IPCC</t>
  </si>
  <si>
    <t>Quantidade total de emissões de metano em kg</t>
  </si>
  <si>
    <t>kg CH4/t de resíduo</t>
  </si>
  <si>
    <t>Quantidade total de emissões de metano em CO2-eq</t>
  </si>
  <si>
    <t xml:space="preserve">kg CO2-eq/t </t>
  </si>
  <si>
    <t>Outros (baixo teor de água)</t>
  </si>
  <si>
    <t>Gás de aterro coletado queimado</t>
  </si>
  <si>
    <t>Outros (alto teor de água)</t>
  </si>
  <si>
    <t>Gás de aterro coletado para eletricidade</t>
  </si>
  <si>
    <t>Gás de aterro coletado para biometano</t>
  </si>
  <si>
    <t>Quantidades totais de resíduos, poder calorífico e teor de carbono</t>
  </si>
  <si>
    <t>Verificar o total de gás de aterro coletado</t>
  </si>
  <si>
    <t>kWh/t de resíduo</t>
  </si>
  <si>
    <t>em toneladas/ano</t>
  </si>
  <si>
    <t>Dem. de eletricidade</t>
  </si>
  <si>
    <t>kWh/t</t>
  </si>
  <si>
    <t>Resultados do tratamento de resíduo restante da GWP</t>
  </si>
  <si>
    <t>D. energia térmica</t>
  </si>
  <si>
    <t>Disso:</t>
  </si>
  <si>
    <t>D. energia mecânica</t>
  </si>
  <si>
    <t>Emissões totais</t>
  </si>
  <si>
    <t>Emissões evitadas por eletricidade e biometano</t>
  </si>
  <si>
    <t>Incineração de resíduos sólidos urbanos (RSU)</t>
  </si>
  <si>
    <t>Cálculo de emissões</t>
  </si>
  <si>
    <t xml:space="preserve">Teor de carbono fóssil em resíduo </t>
  </si>
  <si>
    <t>Emissão de CO2 por incineração</t>
  </si>
  <si>
    <t>kg CO2/t de resíduo</t>
  </si>
  <si>
    <t>Poder calorífico de resíduos</t>
  </si>
  <si>
    <t>Borracha e couro</t>
  </si>
  <si>
    <t>Eletricidade líquida produzida</t>
  </si>
  <si>
    <t>Benefício para a produção de eletricidade</t>
  </si>
  <si>
    <t>Calor líquido produzido</t>
  </si>
  <si>
    <t>Benefício para a produção de calor</t>
  </si>
  <si>
    <t>Descarte total</t>
  </si>
  <si>
    <t>Emissões evitadas por resíduos incinerados</t>
  </si>
  <si>
    <t>Verifique o desperdício total</t>
  </si>
  <si>
    <t>Verifique o total</t>
  </si>
  <si>
    <t>Teor calculado de carbono no total de resíduos gerados</t>
  </si>
  <si>
    <t>Tratamento aeróbio simples</t>
  </si>
  <si>
    <t>Carbono total no total de resíduos gerados</t>
  </si>
  <si>
    <t xml:space="preserve">Degradação do carbono regenerativo </t>
  </si>
  <si>
    <t>Carbono fóssil no total de resíduos gerados</t>
  </si>
  <si>
    <t>Emissões diretas do tratamento aeróbio</t>
  </si>
  <si>
    <t>Carbono regenerativo no total de resíduos gerados</t>
  </si>
  <si>
    <t>Demanda de energia do tratamento aeróbio</t>
  </si>
  <si>
    <t>kWh/t resíduo</t>
  </si>
  <si>
    <t xml:space="preserve">Emissões da demanda de energia do tratamento </t>
  </si>
  <si>
    <t>Poder calorífico calculado no total de resíduos gerados</t>
  </si>
  <si>
    <t>Emissões totais do tratamento aeróbio simples</t>
  </si>
  <si>
    <t>Poder calorífico total de resíduos com baixo teor de água</t>
  </si>
  <si>
    <t>MJ/kg de resíduo úmido</t>
  </si>
  <si>
    <t xml:space="preserve">Digestão anaeróbia </t>
  </si>
  <si>
    <t>Poder calorífico total de resíduos com alto teor de água</t>
  </si>
  <si>
    <t>Eficiência de formação do biogás (degrad. carb. regenerativo)</t>
  </si>
  <si>
    <t>Produção do biogás</t>
  </si>
  <si>
    <t>m³/t resíduo</t>
  </si>
  <si>
    <t>Percentagem de reciclagem, resíduo restante; valor calorífico, teor de carbono</t>
  </si>
  <si>
    <t xml:space="preserve">Participação meia do metano </t>
  </si>
  <si>
    <t>Vol. %</t>
  </si>
  <si>
    <t xml:space="preserve">Biogás para produção elétrica </t>
  </si>
  <si>
    <t>Quantidades de resíduos para reciclagem</t>
  </si>
  <si>
    <t xml:space="preserve">Biogás para produção do biometano </t>
  </si>
  <si>
    <t xml:space="preserve">Produção de eletricidade </t>
  </si>
  <si>
    <t xml:space="preserve">Emissões diretas da digestão anaeróbia </t>
  </si>
  <si>
    <t>Demanda de energia da digestão anaeróbia</t>
  </si>
  <si>
    <t>Emissões da demanda energética da digestão</t>
  </si>
  <si>
    <t>Emissões totais da digestão anaeróbia</t>
  </si>
  <si>
    <t>Disposição final de resíduos tratados biologicamente</t>
  </si>
  <si>
    <t xml:space="preserve">não usado </t>
  </si>
  <si>
    <t xml:space="preserve">Demanda de energia do aterro sanitário </t>
  </si>
  <si>
    <t xml:space="preserve">Teor de carbono regenerativo nos resíduos depositados </t>
  </si>
  <si>
    <t>% resíduo úmido</t>
  </si>
  <si>
    <t>Resíduos restantes</t>
  </si>
  <si>
    <t xml:space="preserve">Quantidade de biogás dos resíduos tratados </t>
  </si>
  <si>
    <t>m³/t resíduo úmido</t>
  </si>
  <si>
    <t>Emissões de metano do aterro sem coleta do gás</t>
  </si>
  <si>
    <t>Emissões de metano do aterro com coleta do gás</t>
  </si>
  <si>
    <t>Emissão evitada por uso do biogás</t>
  </si>
  <si>
    <t>Emissões do tratamento mecânico</t>
  </si>
  <si>
    <t>CDR incinerado em forno de cimento</t>
  </si>
  <si>
    <t>Borrachas e couro</t>
  </si>
  <si>
    <t>Quantidade de gás de aterro de resíduo residual</t>
  </si>
  <si>
    <t xml:space="preserve">Emissão de demanda de energia — aterro sanitário </t>
  </si>
  <si>
    <t>Emissão de metano de aterro sanitário em CO2-eq</t>
  </si>
  <si>
    <t>Gás de aterro coletado para produção da eletricidade</t>
  </si>
  <si>
    <t>Composição calculada dos rejeitos</t>
  </si>
  <si>
    <t>Emissão evitada de gás de aterro (eletricidade e biometano)</t>
  </si>
  <si>
    <t>Resíduo</t>
  </si>
  <si>
    <t>Emissão evitada de CDR em forno de cimento (coque de gasolina)</t>
  </si>
  <si>
    <t>Total de emissões evitadas</t>
  </si>
  <si>
    <t>CDR seco + cimenteira + tratamento biológico + cobertura de aterro</t>
  </si>
  <si>
    <t xml:space="preserve">CDR incinerado em forno de cimento </t>
  </si>
  <si>
    <t xml:space="preserve">Tratamento aeróbio simples </t>
  </si>
  <si>
    <t>Emissões da demanda de energia do tratamento</t>
  </si>
  <si>
    <t xml:space="preserve">Emissões totais do tratamento aeróbio simples </t>
  </si>
  <si>
    <t xml:space="preserve">% carbono regenerativo </t>
  </si>
  <si>
    <t xml:space="preserve">Produção do biogás </t>
  </si>
  <si>
    <t xml:space="preserve">Participação do metano </t>
  </si>
  <si>
    <t>Teor de carbono calculado — poder calorífico em resíduo</t>
  </si>
  <si>
    <t>Teor de carbono calculado em resíduos</t>
  </si>
  <si>
    <t xml:space="preserve">Biogás para biometano </t>
  </si>
  <si>
    <t>Carbono total nos resíduos para disposição final</t>
  </si>
  <si>
    <t>Carbono fóssil nos resíduos para disposição final</t>
  </si>
  <si>
    <t>Carbono regenerativo nos resíduos para disposição final</t>
  </si>
  <si>
    <t>Poder calorífico calculado em resíduo remanesente</t>
  </si>
  <si>
    <t>Resíduos de poder calorífico para descarte — baixo teor de água</t>
  </si>
  <si>
    <t>Resíduos de poder calorífico para descarte — alto teor de água</t>
  </si>
  <si>
    <t>Disposição final — resíduos tratados biologicamente</t>
  </si>
  <si>
    <t xml:space="preserve">% resíduo úmido </t>
  </si>
  <si>
    <t>Quantidade do gás de aterro do resto tratado</t>
  </si>
  <si>
    <t xml:space="preserve">m³/t resíduo </t>
  </si>
  <si>
    <t>Composição calculada de CDR &gt; 50 mm</t>
  </si>
  <si>
    <t xml:space="preserve">Gás do aterro coletado </t>
  </si>
  <si>
    <t>Emissões de metano do aterro em CO2-eq</t>
  </si>
  <si>
    <t>cota &gt; 50mm</t>
  </si>
  <si>
    <t>Emissões evitadas de gás de aterro</t>
  </si>
  <si>
    <t>CDR seco + biosecagem CDR orgânico + cimenteira</t>
  </si>
  <si>
    <t xml:space="preserve">Emissões — separação do CDR </t>
  </si>
  <si>
    <t>CDR seco incinerado em forno de cimento</t>
  </si>
  <si>
    <t xml:space="preserve">Perda do carbono regenerativo deb. à biosecagem </t>
  </si>
  <si>
    <t>Carbono regenerativo no resto após biosecagem</t>
  </si>
  <si>
    <t>Carbono fóssil no resto após biosecagem</t>
  </si>
  <si>
    <t xml:space="preserve">Demanda de eletricidade para biosecagem e produção de CDR </t>
  </si>
  <si>
    <t xml:space="preserve">kWh/t resíduo </t>
  </si>
  <si>
    <t xml:space="preserve">Demanda de calor para biosecagem e produção de CDR </t>
  </si>
  <si>
    <t>Demanda de energia mecânica</t>
  </si>
  <si>
    <t>Teor de carbono calculado — poder calorífico na fração CDR &gt; 50 mm</t>
  </si>
  <si>
    <t xml:space="preserve">Emissões da energia para biosecagem </t>
  </si>
  <si>
    <t>Teor de carbono calculado em resíduo</t>
  </si>
  <si>
    <t xml:space="preserve">Emissões do metano por biosecagem </t>
  </si>
  <si>
    <t>Carbono total em CDR &gt; 50 mm</t>
  </si>
  <si>
    <t xml:space="preserve">Eficiência da biosecagem </t>
  </si>
  <si>
    <t>% valor calorífico</t>
  </si>
  <si>
    <t>Carbono fóssil em CDR &gt; 50 mm</t>
  </si>
  <si>
    <t>Poder calorífico do CDR orgânico</t>
  </si>
  <si>
    <t xml:space="preserve">MJ/t resíduo </t>
  </si>
  <si>
    <t>Carbono regenerativo em CDR</t>
  </si>
  <si>
    <t>CDR orgânico incinerado em forno de cimento</t>
  </si>
  <si>
    <t>Poder calorífico calculado no resíduo remanescente</t>
  </si>
  <si>
    <t xml:space="preserve">Emissões evitadas — coincineração do CDR seco </t>
  </si>
  <si>
    <t>Resíduos de valor calorífico para descarte — baixo teor de água</t>
  </si>
  <si>
    <t xml:space="preserve">Emissões evitadas — coincineração do CDR orgânico </t>
  </si>
  <si>
    <t>Resíduos de valor calorífico para descarte — alto teor de água</t>
  </si>
  <si>
    <t>Composição calculada do resíduo sem CDR &gt; 50 mm</t>
  </si>
  <si>
    <t>Merais ferrosos</t>
  </si>
  <si>
    <t>Teor de carbono calculado, poder calorífico em resíduo sem CDR &gt; 50 mm</t>
  </si>
  <si>
    <t>Resíduos de poder calorífico para disposição final — baixo teor de água</t>
  </si>
  <si>
    <t>Resíduos de poder calorífico para disposição final — alto teor de água</t>
  </si>
  <si>
    <t>Rota Tecnol. 1B</t>
  </si>
  <si>
    <t>Rota Tecnol. 5</t>
  </si>
  <si>
    <t>Biodigestão RT1B + CDR TM</t>
  </si>
  <si>
    <t>Incineração Mass Burning</t>
  </si>
  <si>
    <t>Incineração Mass Burn. Descentralizada</t>
  </si>
  <si>
    <t>Nr Empregos Diretos</t>
  </si>
  <si>
    <t>Emissão CO2 (Cenário Base)</t>
  </si>
  <si>
    <t>Emissão CO2 (Cenário Futuro)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</si>
</sst>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164" formatCode="#,##0.0"/>
    <numFmt numFmtId="165" formatCode="0.0"/>
    <numFmt numFmtId="166" formatCode="0.0%"/>
    <numFmt numFmtId="167" formatCode="0.000"/>
    <numFmt numFmtId="168" formatCode="#,##0.000"/>
    <numFmt numFmtId="169" formatCode="#,##0_ ;[Red]\-#,##0\ "/>
    <numFmt numFmtId="170" formatCode="#,##0.000_ ;[Red]\-#,##0.000\ "/>
    <numFmt numFmtId="171" formatCode="#,##0.00_ ;[Red]\-#,##0.00\ "/>
    <numFmt numFmtId="172" formatCode="0.00_ ;[Red]\-0.00\ "/>
    <numFmt numFmtId="173" formatCode="#,##0.0_ ;[Red]\-#,##0.0\ "/>
    <numFmt numFmtId="174" formatCode="&quot;R$&quot;#,##0"/>
    <numFmt numFmtId="175" formatCode="&quot;R$&quot;#,##0.00"/>
    <numFmt numFmtId="176" formatCode="#,##0.0_ ;\-#,##0.0\ "/>
    <numFmt numFmtId="177" formatCode="#,##0_ ;\-#,##0\ "/>
    <numFmt numFmtId="178" formatCode="#,##0.000_ ;\-#,##0.000\ "/>
    <numFmt numFmtId="179" formatCode="_-* #,##0_-;\-* #,##0_-;_-* &quot;-&quot;??_-;_-@"/>
    <numFmt numFmtId="180" formatCode="0.0000"/>
    <numFmt numFmtId="181" formatCode="#,##0.00000_ ;[Red]\-#,##0.00000\ "/>
    <numFmt numFmtId="182" formatCode="_-* #,##0.00\ _€_-;\-* #,##0.00\ _€_-;_-* &quot;-&quot;??\ _€_-;_-@_-"/>
  </numFmts>
  <fonts count="356" x14ac:knownFonts="1">
    <font>
      <sz val="11"/>
      <color rgb="FF000000"/>
      <name val="Calibri"/>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2"/>
      <color rgb="FF000000"/>
      <name val="Calibri"/>
      <family val="2"/>
    </font>
    <font>
      <b/>
      <sz val="11"/>
      <color rgb="FF000000"/>
      <name val="Calibri"/>
      <family val="2"/>
    </font>
    <font>
      <b/>
      <i/>
      <sz val="11"/>
      <color rgb="FF000000"/>
      <name val="Calibri"/>
      <family val="2"/>
    </font>
    <font>
      <b/>
      <sz val="9"/>
      <color rgb="FF000000"/>
      <name val="Calibri"/>
      <family val="2"/>
    </font>
    <font>
      <sz val="9"/>
      <color rgb="FF000000"/>
      <name val="Calibri"/>
      <family val="2"/>
    </font>
    <font>
      <sz val="10"/>
      <color rgb="FF000000"/>
      <name val="Calibri"/>
      <family val="2"/>
    </font>
    <font>
      <i/>
      <sz val="11"/>
      <color rgb="FF000000"/>
      <name val="Calibri"/>
      <family val="2"/>
    </font>
    <font>
      <sz val="10"/>
      <color rgb="FF000000"/>
      <name val="Arial"/>
      <family val="2"/>
    </font>
    <font>
      <b/>
      <sz val="9"/>
      <color rgb="FF000000"/>
      <name val="Arial"/>
      <family val="2"/>
    </font>
    <font>
      <sz val="9"/>
      <color rgb="FF000000"/>
      <name val="Arial"/>
      <family val="2"/>
    </font>
    <font>
      <sz val="11"/>
      <name val="Calibri"/>
      <family val="2"/>
    </font>
    <font>
      <i/>
      <sz val="10"/>
      <color rgb="FF006699"/>
      <name val="Arial"/>
      <family val="2"/>
    </font>
    <font>
      <i/>
      <sz val="9"/>
      <color rgb="FFFF0000"/>
      <name val="Arial"/>
      <family val="2"/>
    </font>
    <font>
      <b/>
      <sz val="10"/>
      <color rgb="FF000000"/>
      <name val="Arial"/>
      <family val="2"/>
    </font>
    <font>
      <sz val="9"/>
      <color rgb="FFFFFFFF"/>
      <name val="Calibri"/>
      <family val="2"/>
    </font>
    <font>
      <sz val="9"/>
      <name val="Calibri"/>
      <family val="2"/>
    </font>
    <font>
      <sz val="8"/>
      <color rgb="FF000000"/>
      <name val="Calibri"/>
      <family val="2"/>
    </font>
    <font>
      <sz val="11"/>
      <color rgb="FFFF0000"/>
      <name val="Calibri"/>
      <family val="2"/>
    </font>
    <font>
      <b/>
      <sz val="12"/>
      <name val="Calibri"/>
      <family val="2"/>
    </font>
    <font>
      <sz val="12"/>
      <color rgb="FF000000"/>
      <name val="Calibri"/>
      <family val="2"/>
    </font>
    <font>
      <b/>
      <sz val="10"/>
      <name val="Calibri"/>
      <family val="2"/>
    </font>
    <font>
      <b/>
      <sz val="11"/>
      <name val="Calibri"/>
      <family val="2"/>
    </font>
    <font>
      <sz val="11"/>
      <color rgb="FF000000"/>
      <name val="Calibri"/>
      <family val="2"/>
    </font>
    <font>
      <sz val="11"/>
      <color rgb="FF000000"/>
      <name val="Calibri"/>
      <family val="2"/>
    </font>
    <font>
      <sz val="11"/>
      <color theme="0"/>
      <name val="Calibri"/>
      <family val="2"/>
    </font>
    <font>
      <sz val="16"/>
      <name val="Calibri"/>
      <family val="2"/>
    </font>
    <font>
      <sz val="10"/>
      <name val="Arial"/>
      <family val="2"/>
    </font>
    <font>
      <b/>
      <vertAlign val="superscript"/>
      <sz val="12"/>
      <name val="Calibri"/>
      <family val="2"/>
    </font>
    <font>
      <sz val="12"/>
      <name val="Calibri"/>
      <family val="2"/>
    </font>
    <font>
      <b/>
      <sz val="11"/>
      <color theme="0"/>
      <name val="Calibri"/>
      <family val="2"/>
    </font>
    <font>
      <sz val="10.5"/>
      <color rgb="FF000000"/>
      <name val="Calibri"/>
      <family val="1"/>
    </font>
    <font>
      <b/>
      <sz val="10.5"/>
      <color rgb="FF000000"/>
      <name val="Calibri"/>
      <family val="1"/>
    </font>
    <font>
      <sz val="10.5"/>
      <name val="Calibri"/>
      <family val="1"/>
    </font>
    <font>
      <b/>
      <sz val="10.5"/>
      <color rgb="FF000000"/>
      <name val="Calibri"/>
      <family val="2"/>
    </font>
    <font>
      <i/>
      <sz val="10.5"/>
      <name val="Calibri"/>
      <family val="2"/>
    </font>
    <font>
      <sz val="10.5"/>
      <name val="Calibri"/>
      <family val="2"/>
    </font>
    <font>
      <i/>
      <sz val="10.5"/>
      <color rgb="FF000000"/>
      <name val="Calibri"/>
      <family val="1"/>
    </font>
    <font>
      <b/>
      <sz val="10.5"/>
      <color rgb="FF002060"/>
      <name val="Calibri"/>
      <family val="1"/>
    </font>
    <font>
      <sz val="10.5"/>
      <color rgb="FF002060"/>
      <name val="Calibri"/>
      <family val="1"/>
    </font>
    <font>
      <sz val="10.5"/>
      <color rgb="FF000000"/>
      <name val="Calibri"/>
      <family val="2"/>
    </font>
    <font>
      <b/>
      <sz val="10.5"/>
      <color rgb="FF04272E"/>
      <name val="Calibri"/>
      <family val="2"/>
    </font>
    <font>
      <sz val="10.5"/>
      <color theme="1" tint="0.14999847407452621"/>
      <name val="Calibri"/>
      <family val="2"/>
    </font>
    <font>
      <b/>
      <sz val="10.5"/>
      <color theme="1" tint="0.14999847407452621"/>
      <name val="Calibri"/>
      <family val="2"/>
    </font>
    <font>
      <i/>
      <sz val="10.5"/>
      <color theme="1" tint="0.14999847407452621"/>
      <name val="Calibri"/>
      <family val="2"/>
    </font>
    <font>
      <sz val="14"/>
      <color theme="1" tint="0.14999847407452621"/>
      <name val="Calibri"/>
      <family val="2"/>
    </font>
    <font>
      <b/>
      <i/>
      <sz val="10.5"/>
      <color theme="1" tint="0.14999847407452621"/>
      <name val="Calibri"/>
      <family val="2"/>
    </font>
    <font>
      <i/>
      <sz val="14"/>
      <color rgb="FFF49426"/>
      <name val="Calibri"/>
      <family val="2"/>
    </font>
    <font>
      <sz val="14"/>
      <color rgb="FFF49426"/>
      <name val="Calibri"/>
      <family val="2"/>
    </font>
    <font>
      <sz val="10.5"/>
      <color theme="0" tint="-4.9989318521683403E-2"/>
      <name val="Calibri"/>
      <family val="2"/>
    </font>
    <font>
      <sz val="10.5"/>
      <color rgb="FFCCDCCF"/>
      <name val="Calibri"/>
      <family val="2"/>
    </font>
    <font>
      <b/>
      <sz val="14"/>
      <color rgb="FF95D6D3"/>
      <name val="Calibri"/>
      <family val="2"/>
    </font>
    <font>
      <b/>
      <sz val="10.5"/>
      <color rgb="FF005A6E"/>
      <name val="Calibri"/>
      <family val="2"/>
    </font>
    <font>
      <sz val="14"/>
      <color rgb="FF95D6D3"/>
      <name val="Calibri"/>
      <family val="2"/>
    </font>
    <font>
      <b/>
      <sz val="12"/>
      <color rgb="FF04272E"/>
      <name val="Calibri"/>
      <family val="2"/>
    </font>
    <font>
      <sz val="12"/>
      <color rgb="FF04272E"/>
      <name val="Calibri"/>
      <family val="2"/>
    </font>
    <font>
      <b/>
      <sz val="10.5"/>
      <name val="Calibri"/>
      <family val="2"/>
    </font>
    <font>
      <b/>
      <i/>
      <sz val="10.5"/>
      <color rgb="FF000000"/>
      <name val="Calibri"/>
      <family val="2"/>
    </font>
    <font>
      <sz val="10.5"/>
      <color rgb="FFFF0000"/>
      <name val="Calibri"/>
      <family val="2"/>
    </font>
    <font>
      <i/>
      <sz val="10.5"/>
      <color rgb="FFFF0000"/>
      <name val="Calibri"/>
      <family val="2"/>
    </font>
    <font>
      <b/>
      <sz val="10.5"/>
      <color rgb="FFFF0000"/>
      <name val="Calibri"/>
      <family val="2"/>
    </font>
    <font>
      <sz val="10.5"/>
      <color rgb="FF548135"/>
      <name val="Calibri"/>
      <family val="2"/>
    </font>
    <font>
      <i/>
      <sz val="10.5"/>
      <color rgb="FF548135"/>
      <name val="Calibri"/>
      <family val="2"/>
    </font>
    <font>
      <b/>
      <sz val="10.5"/>
      <color rgb="FF4B4B4B"/>
      <name val="Calibri"/>
      <family val="2"/>
    </font>
    <font>
      <b/>
      <sz val="12"/>
      <color theme="1" tint="0.14999847407452621"/>
      <name val="Calibri"/>
      <family val="2"/>
    </font>
    <font>
      <sz val="12"/>
      <color theme="1" tint="0.14999847407452621"/>
      <name val="Calibri"/>
      <family val="2"/>
    </font>
    <font>
      <sz val="14"/>
      <color rgb="FF95D6D3"/>
      <name val="Arial"/>
      <family val="1"/>
    </font>
    <font>
      <b/>
      <sz val="14"/>
      <color rgb="FF95D6D3"/>
      <name val="Calibri"/>
      <family val="1"/>
    </font>
    <font>
      <sz val="14"/>
      <color rgb="FF95D6D3"/>
      <name val="Calibri"/>
      <family val="1"/>
    </font>
    <font>
      <b/>
      <i/>
      <sz val="14"/>
      <color rgb="FF95D6D3"/>
      <name val="Calibri"/>
      <family val="1"/>
    </font>
    <font>
      <b/>
      <i/>
      <sz val="12"/>
      <color theme="1" tint="0.14999847407452621"/>
      <name val="Calibri"/>
      <family val="2"/>
    </font>
    <font>
      <b/>
      <i/>
      <sz val="10.5"/>
      <color rgb="FF005A6E"/>
      <name val="Calibri"/>
      <family val="2"/>
    </font>
    <font>
      <sz val="10"/>
      <color rgb="FF04272E"/>
      <name val="Arial"/>
      <family val="1"/>
    </font>
    <font>
      <sz val="10.5"/>
      <color rgb="FF04272E"/>
      <name val="Calibri"/>
      <family val="1"/>
    </font>
    <font>
      <b/>
      <i/>
      <sz val="10.5"/>
      <color rgb="FF04272E"/>
      <name val="Calibri"/>
      <family val="1"/>
    </font>
    <font>
      <b/>
      <i/>
      <sz val="10.5"/>
      <color rgb="FF04272E"/>
      <name val="Calibri"/>
      <family val="2"/>
    </font>
    <font>
      <sz val="12"/>
      <color rgb="FFF49426"/>
      <name val="Calibri"/>
      <family val="2"/>
    </font>
    <font>
      <b/>
      <i/>
      <sz val="12"/>
      <color rgb="FF04272E"/>
      <name val="Calibri"/>
      <family val="2"/>
    </font>
    <font>
      <b/>
      <i/>
      <sz val="12"/>
      <color rgb="FF04272E"/>
      <name val="Calibri"/>
      <family val="1"/>
    </font>
    <font>
      <sz val="10.5"/>
      <color rgb="FFE32914"/>
      <name val="Calibri"/>
      <family val="2"/>
    </font>
    <font>
      <sz val="10.5"/>
      <color rgb="FFFFFFFF"/>
      <name val="Calibri"/>
      <family val="2"/>
    </font>
    <font>
      <b/>
      <sz val="10.5"/>
      <color rgb="FFFFFFFF"/>
      <name val="Calibri"/>
      <family val="1"/>
    </font>
    <font>
      <sz val="10.5"/>
      <color rgb="FFFFFFFF"/>
      <name val="Calibri"/>
      <family val="1"/>
    </font>
    <font>
      <sz val="10.5"/>
      <color theme="0"/>
      <name val="Calibri"/>
      <family val="1"/>
    </font>
    <font>
      <sz val="10.5"/>
      <color rgb="FFFF0000"/>
      <name val="Calibri"/>
      <family val="1"/>
    </font>
    <font>
      <sz val="10.5"/>
      <color theme="0" tint="-4.9989318521683403E-2"/>
      <name val="Calibri"/>
      <family val="1"/>
    </font>
    <font>
      <sz val="10.5"/>
      <color rgb="FF95D6D3"/>
      <name val="Calibri"/>
      <family val="1"/>
    </font>
    <font>
      <sz val="10.5"/>
      <color rgb="FF000000"/>
      <name val="Arial"/>
      <family val="1"/>
    </font>
    <font>
      <sz val="10.5"/>
      <name val="Arial"/>
      <family val="1"/>
    </font>
    <font>
      <sz val="10.5"/>
      <name val="Arial"/>
      <family val="2"/>
    </font>
    <font>
      <b/>
      <sz val="10.5"/>
      <color rgb="FF04272E"/>
      <name val="Arial"/>
      <family val="1"/>
    </font>
    <font>
      <sz val="10.5"/>
      <color rgb="FF04272E"/>
      <name val="Arial"/>
      <family val="1"/>
    </font>
    <font>
      <b/>
      <sz val="10.5"/>
      <color rgb="FF005A6E"/>
      <name val="Arial"/>
      <family val="1"/>
    </font>
    <font>
      <sz val="10.5"/>
      <color rgb="FF04272E"/>
      <name val="Calibri"/>
      <family val="2"/>
    </font>
    <font>
      <sz val="10.5"/>
      <color rgb="FFF49426"/>
      <name val="Calibri"/>
      <family val="1"/>
    </font>
    <font>
      <b/>
      <sz val="10.5"/>
      <color rgb="FFF49426"/>
      <name val="Calibri"/>
      <family val="1"/>
    </font>
    <font>
      <b/>
      <i/>
      <sz val="10.5"/>
      <color rgb="FFF49426"/>
      <name val="Arial"/>
      <family val="1"/>
    </font>
    <font>
      <b/>
      <sz val="10.5"/>
      <color rgb="FF005A6E"/>
      <name val="Arial"/>
      <family val="2"/>
    </font>
    <font>
      <sz val="12"/>
      <color rgb="FF04272E"/>
      <name val="Calibri"/>
      <family val="1"/>
    </font>
    <font>
      <b/>
      <vertAlign val="subscript"/>
      <sz val="10.5"/>
      <color rgb="FF005A6E"/>
      <name val="Arial"/>
      <family val="2"/>
    </font>
    <font>
      <b/>
      <sz val="10.5"/>
      <color rgb="FF005A6E"/>
      <name val="Calibri"/>
      <family val="1"/>
    </font>
    <font>
      <b/>
      <vertAlign val="subscript"/>
      <sz val="10.5"/>
      <color rgb="FF005A6E"/>
      <name val="Calibri"/>
      <family val="2"/>
    </font>
    <font>
      <sz val="10.5"/>
      <color rgb="FFF49426"/>
      <name val="Calibri"/>
      <family val="2"/>
    </font>
    <font>
      <sz val="10"/>
      <color theme="0" tint="-0.499984740745262"/>
      <name val="CalibrI"/>
      <family val="2"/>
    </font>
    <font>
      <i/>
      <sz val="10"/>
      <color theme="0" tint="-0.499984740745262"/>
      <name val="CalibrI"/>
      <family val="2"/>
    </font>
    <font>
      <b/>
      <vertAlign val="superscript"/>
      <sz val="10.5"/>
      <color rgb="FF005A6E"/>
      <name val="Calibri"/>
      <family val="2"/>
    </font>
    <font>
      <b/>
      <sz val="10.5"/>
      <color rgb="FFFFFFFF"/>
      <name val="Calibri"/>
      <family val="2"/>
    </font>
    <font>
      <i/>
      <sz val="10.5"/>
      <color rgb="FF000000"/>
      <name val="Calibri"/>
      <family val="2"/>
    </font>
    <font>
      <vertAlign val="superscript"/>
      <sz val="10.5"/>
      <name val="Calibri"/>
      <family val="2"/>
    </font>
    <font>
      <b/>
      <i/>
      <sz val="10.5"/>
      <name val="Calibri"/>
      <family val="2"/>
    </font>
    <font>
      <b/>
      <i/>
      <u/>
      <sz val="10.5"/>
      <name val="Calibri"/>
      <family val="2"/>
    </font>
    <font>
      <i/>
      <u/>
      <sz val="10.5"/>
      <name val="Calibri"/>
      <family val="2"/>
    </font>
    <font>
      <b/>
      <sz val="10.5"/>
      <name val="Arial"/>
      <family val="2"/>
    </font>
    <font>
      <b/>
      <u/>
      <sz val="10.5"/>
      <name val="Arial"/>
      <family val="2"/>
    </font>
    <font>
      <b/>
      <sz val="10.5"/>
      <name val="Calibri"/>
      <family val="1"/>
    </font>
    <font>
      <b/>
      <u/>
      <sz val="14"/>
      <color rgb="FF95D6D3"/>
      <name val="Calibri"/>
      <family val="2"/>
    </font>
    <font>
      <b/>
      <sz val="10.5"/>
      <color rgb="FF04272E"/>
      <name val="Calibri"/>
      <family val="1"/>
    </font>
    <font>
      <b/>
      <sz val="12"/>
      <color rgb="FF04272E"/>
      <name val="Calibri"/>
      <family val="1"/>
    </font>
    <font>
      <b/>
      <sz val="10.5"/>
      <color theme="0" tint="-4.9989318521683403E-2"/>
      <name val="Calibri"/>
      <family val="2"/>
    </font>
    <font>
      <b/>
      <sz val="12"/>
      <color rgb="FF95D6D3"/>
      <name val="Calibri"/>
      <family val="2"/>
    </font>
    <font>
      <i/>
      <sz val="10.5"/>
      <color rgb="FFF49426"/>
      <name val="Calibri"/>
      <family val="2"/>
    </font>
    <font>
      <b/>
      <i/>
      <sz val="10.5"/>
      <color rgb="FF000000"/>
      <name val="Calibri"/>
      <family val="1"/>
    </font>
    <font>
      <sz val="10.5"/>
      <color theme="1" tint="0.14999847407452621"/>
      <name val="Calibri"/>
      <family val="1"/>
    </font>
    <font>
      <b/>
      <sz val="10.5"/>
      <color theme="1" tint="0.14999847407452621"/>
      <name val="Calibri"/>
      <family val="1"/>
    </font>
    <font>
      <b/>
      <i/>
      <sz val="10.5"/>
      <color theme="1" tint="0.14999847407452621"/>
      <name val="Calibri"/>
      <family val="1"/>
    </font>
    <font>
      <i/>
      <sz val="10.5"/>
      <color theme="1" tint="0.14999847407452621"/>
      <name val="Calibri"/>
      <family val="1"/>
    </font>
    <font>
      <sz val="10.5"/>
      <color rgb="FF005A6E"/>
      <name val="Calibri"/>
      <family val="2"/>
    </font>
    <font>
      <b/>
      <sz val="10.5"/>
      <color rgb="FFFF0000"/>
      <name val="Calibri"/>
      <family val="1"/>
    </font>
    <font>
      <b/>
      <i/>
      <sz val="14"/>
      <color rgb="FFF49426"/>
      <name val="Calibri"/>
      <family val="1"/>
    </font>
    <font>
      <sz val="14"/>
      <color rgb="FFF49426"/>
      <name val="Calibri"/>
      <family val="1"/>
    </font>
    <font>
      <sz val="10.5"/>
      <color theme="1" tint="0.499984740745262"/>
      <name val="Calibri"/>
      <family val="2"/>
    </font>
    <font>
      <i/>
      <sz val="10.5"/>
      <color theme="1" tint="0.499984740745262"/>
      <name val="Calibri"/>
      <family val="2"/>
    </font>
    <font>
      <i/>
      <sz val="12"/>
      <color rgb="FF04272E"/>
      <name val="Calibri"/>
      <family val="1"/>
    </font>
    <font>
      <i/>
      <sz val="10.5"/>
      <color rgb="FFF49426"/>
      <name val="Calibri"/>
      <family val="1"/>
    </font>
    <font>
      <b/>
      <sz val="14"/>
      <color rgb="FFF49426"/>
      <name val="Calibri"/>
      <family val="2"/>
    </font>
    <font>
      <b/>
      <i/>
      <sz val="14"/>
      <color rgb="FFF49426"/>
      <name val="Calibri"/>
      <family val="2"/>
    </font>
    <font>
      <sz val="10.5"/>
      <color theme="4"/>
      <name val="Calibri"/>
      <family val="2"/>
    </font>
    <font>
      <sz val="10.5"/>
      <color rgb="FFC00000"/>
      <name val="Calibri"/>
      <family val="2"/>
    </font>
    <font>
      <b/>
      <sz val="12"/>
      <color rgb="FF04272E"/>
      <name val="Calibri"/>
      <family val="2"/>
      <scheme val="minor"/>
    </font>
    <font>
      <u/>
      <sz val="12"/>
      <color rgb="FF04272E"/>
      <name val="Calibri"/>
      <family val="2"/>
      <scheme val="minor"/>
    </font>
    <font>
      <b/>
      <sz val="14"/>
      <color theme="1" tint="0.14999847407452621"/>
      <name val="Calibri"/>
      <family val="2"/>
    </font>
    <font>
      <b/>
      <i/>
      <sz val="10.5"/>
      <color theme="9" tint="0.39997558519241921"/>
      <name val="Calibri"/>
      <family val="1"/>
    </font>
    <font>
      <b/>
      <i/>
      <sz val="12"/>
      <color rgb="FFF49426"/>
      <name val="Arial"/>
      <family val="1"/>
    </font>
    <font>
      <sz val="10"/>
      <color theme="0" tint="-4.9989318521683403E-2"/>
      <name val="Arial"/>
      <family val="1"/>
    </font>
    <font>
      <sz val="9"/>
      <color indexed="81"/>
      <name val="Segoe UI"/>
      <family val="2"/>
    </font>
    <font>
      <b/>
      <i/>
      <sz val="10.5"/>
      <color rgb="FFFF0000"/>
      <name val="Calibri"/>
      <family val="2"/>
    </font>
    <font>
      <b/>
      <sz val="12"/>
      <color theme="0"/>
      <name val="Calibri"/>
      <family val="2"/>
    </font>
    <font>
      <b/>
      <sz val="10"/>
      <color theme="0"/>
      <name val="Calibri"/>
      <family val="2"/>
    </font>
    <font>
      <sz val="10"/>
      <color theme="0"/>
      <name val="Calibri"/>
      <family val="2"/>
    </font>
    <font>
      <sz val="12"/>
      <color theme="0"/>
      <name val="Calibri"/>
      <family val="2"/>
    </font>
    <font>
      <sz val="10.5"/>
      <color theme="0"/>
      <name val="Calibri"/>
      <family val="2"/>
    </font>
    <font>
      <b/>
      <sz val="12"/>
      <color rgb="FF005A6E"/>
      <name val="Calibri"/>
      <family val="2"/>
    </font>
    <font>
      <b/>
      <sz val="10.5"/>
      <color theme="0"/>
      <name val="Calibri"/>
      <family val="2"/>
    </font>
    <font>
      <b/>
      <i/>
      <sz val="10.5"/>
      <color rgb="FFFFC305"/>
      <name val="Calibri"/>
      <family val="1"/>
    </font>
    <font>
      <b/>
      <sz val="14"/>
      <color rgb="FF04272E"/>
      <name val="Calibri"/>
      <family val="1"/>
    </font>
    <font>
      <b/>
      <sz val="14"/>
      <color rgb="FF04272E"/>
      <name val="Calibri"/>
      <family val="2"/>
    </font>
    <font>
      <sz val="14"/>
      <color rgb="FF04272E"/>
      <name val="Calibri"/>
      <family val="2"/>
    </font>
    <font>
      <u/>
      <sz val="14"/>
      <color rgb="FF04272E"/>
      <name val="Calibri"/>
      <family val="2"/>
    </font>
    <font>
      <b/>
      <sz val="14"/>
      <color rgb="FF04272E"/>
      <name val="Calibri"/>
      <family val="2"/>
      <scheme val="minor"/>
    </font>
    <font>
      <u/>
      <sz val="14"/>
      <color rgb="FF04272E"/>
      <name val="Calibri"/>
      <family val="2"/>
      <scheme val="minor"/>
    </font>
    <font>
      <b/>
      <u/>
      <sz val="14"/>
      <color rgb="FF04272E"/>
      <name val="Calibri"/>
      <family val="2"/>
    </font>
    <font>
      <sz val="14"/>
      <color rgb="FF04272E"/>
      <name val="Calibri"/>
      <family val="2"/>
      <scheme val="minor"/>
    </font>
    <font>
      <b/>
      <i/>
      <sz val="18"/>
      <color rgb="FF95D6D3"/>
      <name val="Calibri"/>
      <family val="2"/>
    </font>
    <font>
      <b/>
      <i/>
      <sz val="18"/>
      <color rgb="FF95D6D3"/>
      <name val="Calibri"/>
      <family val="1"/>
    </font>
    <font>
      <b/>
      <vertAlign val="superscript"/>
      <sz val="12"/>
      <color rgb="FF005A6E"/>
      <name val="Calibri"/>
      <family val="2"/>
    </font>
    <font>
      <b/>
      <sz val="14"/>
      <name val="Calibri"/>
      <family val="2"/>
    </font>
    <font>
      <b/>
      <i/>
      <sz val="12"/>
      <color rgb="FF005A6E"/>
      <name val="Calibri"/>
      <family val="2"/>
    </font>
    <font>
      <i/>
      <sz val="12"/>
      <color theme="1" tint="0.14999847407452621"/>
      <name val="Calibri"/>
      <family val="2"/>
    </font>
    <font>
      <b/>
      <i/>
      <sz val="14"/>
      <color theme="1" tint="0.14999847407452621"/>
      <name val="Calibri"/>
      <family val="2"/>
    </font>
    <font>
      <sz val="14"/>
      <color rgb="FF000000"/>
      <name val="Calibri"/>
      <family val="2"/>
    </font>
    <font>
      <b/>
      <i/>
      <u/>
      <sz val="12"/>
      <color rgb="FF005A6E"/>
      <name val="Calibri"/>
      <family val="2"/>
    </font>
    <font>
      <b/>
      <u/>
      <sz val="18"/>
      <name val="Calibri"/>
      <family val="2"/>
    </font>
    <font>
      <sz val="18"/>
      <name val="Calibri"/>
      <family val="2"/>
    </font>
    <font>
      <sz val="14"/>
      <name val="Calibri"/>
      <family val="2"/>
    </font>
    <font>
      <b/>
      <i/>
      <sz val="18"/>
      <color theme="0"/>
      <name val="Calibri"/>
      <family val="2"/>
    </font>
    <font>
      <b/>
      <sz val="14"/>
      <color rgb="FF000000"/>
      <name val="Calibri"/>
      <family val="2"/>
    </font>
    <font>
      <b/>
      <sz val="12"/>
      <color theme="1" tint="0.14999847407452621"/>
      <name val="Calibri"/>
      <family val="1"/>
    </font>
    <font>
      <b/>
      <i/>
      <sz val="12"/>
      <color theme="1" tint="0.14999847407452621"/>
      <name val="Calibri"/>
      <family val="1"/>
    </font>
    <font>
      <b/>
      <sz val="18"/>
      <color theme="0"/>
      <name val="Calibri"/>
      <family val="2"/>
    </font>
    <font>
      <sz val="12"/>
      <color rgb="FF000000"/>
      <name val="Calibri"/>
      <family val="1"/>
    </font>
    <font>
      <b/>
      <sz val="14"/>
      <color rgb="FF000000"/>
      <name val="Calibri"/>
      <family val="1"/>
    </font>
    <font>
      <b/>
      <sz val="14"/>
      <color theme="1" tint="0.14999847407452621"/>
      <name val="Calibri"/>
      <family val="1"/>
    </font>
    <font>
      <sz val="14"/>
      <color rgb="FF000000"/>
      <name val="Calibri"/>
      <family val="1"/>
    </font>
    <font>
      <b/>
      <i/>
      <sz val="20"/>
      <color theme="0"/>
      <name val="Calibri"/>
      <family val="2"/>
    </font>
    <font>
      <b/>
      <sz val="22"/>
      <color rgb="FF95D6D3"/>
      <name val="Calibri"/>
      <family val="1"/>
    </font>
    <font>
      <b/>
      <sz val="22"/>
      <color theme="0"/>
      <name val="Calibri"/>
      <family val="2"/>
    </font>
    <font>
      <b/>
      <sz val="22"/>
      <color rgb="FF95D6D3"/>
      <name val="Calibri"/>
      <family val="2"/>
    </font>
    <font>
      <sz val="10.5"/>
      <color theme="1"/>
      <name val="Calibri"/>
      <family val="1"/>
    </font>
    <font>
      <sz val="11"/>
      <color theme="1"/>
      <name val="Calibri"/>
      <family val="2"/>
    </font>
    <font>
      <b/>
      <sz val="11"/>
      <color theme="1"/>
      <name val="Calibri"/>
      <family val="2"/>
    </font>
    <font>
      <sz val="18"/>
      <color rgb="FF04272E"/>
      <name val="Calibri"/>
      <family val="1"/>
    </font>
    <font>
      <sz val="18"/>
      <name val="Calibri"/>
      <family val="1"/>
    </font>
    <font>
      <sz val="15"/>
      <name val="Calibri"/>
      <family val="2"/>
    </font>
    <font>
      <b/>
      <sz val="8"/>
      <name val="Calibri"/>
      <family val="2"/>
    </font>
    <font>
      <sz val="8"/>
      <name val="Calibri"/>
      <family val="2"/>
    </font>
    <font>
      <sz val="11"/>
      <color theme="0"/>
      <name val="Calibri"/>
      <family val="2"/>
      <scheme val="minor"/>
    </font>
    <font>
      <b/>
      <sz val="14"/>
      <color theme="1"/>
      <name val="Calibri"/>
      <family val="2"/>
    </font>
    <font>
      <sz val="11"/>
      <color theme="0"/>
      <name val="Arial"/>
      <family val="1"/>
    </font>
    <font>
      <b/>
      <sz val="18"/>
      <color rgb="FF95D6D3"/>
      <name val="Calibri"/>
      <family val="2"/>
    </font>
    <font>
      <b/>
      <sz val="16"/>
      <color rgb="FF04272E"/>
      <name val="Calibri"/>
      <family val="2"/>
    </font>
    <font>
      <b/>
      <sz val="18"/>
      <color rgb="FF04272E"/>
      <name val="Calibri"/>
      <family val="2"/>
    </font>
    <font>
      <sz val="18"/>
      <color rgb="FF04272E"/>
      <name val="Calibri"/>
      <family val="2"/>
    </font>
    <font>
      <b/>
      <u/>
      <sz val="11"/>
      <color rgb="FF000000"/>
      <name val="Calibri"/>
      <family val="2"/>
    </font>
    <font>
      <b/>
      <u/>
      <sz val="12"/>
      <color rgb="FF000000"/>
      <name val="Calibri"/>
      <family val="2"/>
    </font>
    <font>
      <b/>
      <sz val="9"/>
      <color indexed="81"/>
      <name val="Segoe UI"/>
      <family val="2"/>
    </font>
    <font>
      <b/>
      <i/>
      <sz val="12"/>
      <color rgb="FF95D6D3"/>
      <name val="Calibri"/>
      <family val="2"/>
    </font>
    <font>
      <b/>
      <i/>
      <sz val="9"/>
      <color indexed="81"/>
      <name val="Segoe UI"/>
      <family val="2"/>
    </font>
    <font>
      <b/>
      <sz val="10"/>
      <color theme="1"/>
      <name val="Calibri"/>
      <family val="2"/>
    </font>
    <font>
      <b/>
      <sz val="12"/>
      <color theme="1"/>
      <name val="Calibri"/>
      <family val="2"/>
    </font>
    <font>
      <sz val="10"/>
      <color theme="1"/>
      <name val="Calibri"/>
      <family val="2"/>
    </font>
    <font>
      <sz val="12"/>
      <color theme="1"/>
      <name val="Calibri"/>
      <family val="2"/>
    </font>
    <font>
      <b/>
      <sz val="12"/>
      <color rgb="FF000000"/>
      <name val="Calibri"/>
      <family val="1"/>
    </font>
    <font>
      <b/>
      <vertAlign val="subscript"/>
      <sz val="18"/>
      <color rgb="FF04272E"/>
      <name val="Calibri"/>
      <family val="2"/>
    </font>
    <font>
      <b/>
      <sz val="20"/>
      <color rgb="FF04272E"/>
      <name val="Calibri"/>
      <family val="2"/>
    </font>
    <font>
      <sz val="20"/>
      <color rgb="FF04272E"/>
      <name val="Calibri"/>
      <family val="2"/>
    </font>
    <font>
      <b/>
      <sz val="20"/>
      <color rgb="FF95D6D3"/>
      <name val="Calibri"/>
      <family val="2"/>
    </font>
    <font>
      <b/>
      <sz val="20"/>
      <color theme="0"/>
      <name val="Calibri"/>
      <family val="2"/>
    </font>
    <font>
      <b/>
      <u/>
      <sz val="22"/>
      <color theme="0"/>
      <name val="Calibri"/>
      <family val="2"/>
    </font>
    <font>
      <sz val="22"/>
      <color rgb="FF95D6D3"/>
      <name val="Calibri"/>
      <family val="2"/>
    </font>
    <font>
      <b/>
      <sz val="16"/>
      <color rgb="FF04272E"/>
      <name val="Arial"/>
      <family val="2"/>
    </font>
    <font>
      <b/>
      <sz val="16"/>
      <name val="Calibri"/>
      <family val="2"/>
    </font>
    <font>
      <b/>
      <sz val="24"/>
      <color rgb="FF04272E"/>
      <name val="Calibri"/>
      <family val="2"/>
    </font>
    <font>
      <sz val="24"/>
      <color rgb="FF04272E"/>
      <name val="Calibri"/>
      <family val="2"/>
    </font>
    <font>
      <vertAlign val="superscript"/>
      <sz val="12"/>
      <name val="Calibri"/>
      <family val="2"/>
    </font>
    <font>
      <sz val="22"/>
      <name val="Calibri"/>
      <family val="2"/>
    </font>
    <font>
      <sz val="22"/>
      <name val="Arial"/>
      <family val="2"/>
    </font>
    <font>
      <b/>
      <sz val="22"/>
      <name val="Calibri"/>
      <family val="2"/>
    </font>
    <font>
      <b/>
      <sz val="12"/>
      <name val="Calibri"/>
      <family val="2"/>
      <scheme val="minor"/>
    </font>
    <font>
      <b/>
      <u/>
      <sz val="12"/>
      <name val="Calibri"/>
      <family val="2"/>
    </font>
    <font>
      <sz val="12"/>
      <name val="Calibri"/>
      <family val="2"/>
      <scheme val="minor"/>
    </font>
    <font>
      <vertAlign val="superscript"/>
      <sz val="10.5"/>
      <color rgb="FF000000"/>
      <name val="Calibri"/>
      <family val="2"/>
    </font>
    <font>
      <b/>
      <sz val="14"/>
      <color theme="0"/>
      <name val="Calibri"/>
      <family val="2"/>
    </font>
    <font>
      <b/>
      <sz val="11"/>
      <color theme="1"/>
      <name val="Calibri"/>
      <family val="2"/>
      <scheme val="minor"/>
    </font>
    <font>
      <b/>
      <sz val="12"/>
      <color theme="1"/>
      <name val="Calibri"/>
      <family val="2"/>
      <scheme val="minor"/>
    </font>
    <font>
      <sz val="11"/>
      <color theme="2"/>
      <name val="Calibri"/>
      <family val="2"/>
    </font>
    <font>
      <b/>
      <u/>
      <sz val="14"/>
      <color rgb="FF000000"/>
      <name val="Calibri"/>
      <family val="2"/>
    </font>
    <font>
      <vertAlign val="superscript"/>
      <sz val="11"/>
      <color theme="1"/>
      <name val="Calibri"/>
      <family val="2"/>
      <scheme val="minor"/>
    </font>
    <font>
      <b/>
      <sz val="14"/>
      <color theme="1"/>
      <name val="Calibri"/>
      <family val="2"/>
      <scheme val="minor"/>
    </font>
    <font>
      <b/>
      <sz val="16"/>
      <color theme="1"/>
      <name val="Calibri"/>
      <family val="2"/>
      <scheme val="minor"/>
    </font>
    <font>
      <b/>
      <i/>
      <u/>
      <sz val="11"/>
      <color theme="0"/>
      <name val="Calibri"/>
      <family val="2"/>
    </font>
    <font>
      <sz val="14"/>
      <color theme="1"/>
      <name val="Calibri"/>
      <family val="2"/>
    </font>
    <font>
      <b/>
      <sz val="16"/>
      <color theme="1"/>
      <name val="Calibri"/>
      <family val="2"/>
    </font>
    <font>
      <b/>
      <i/>
      <u/>
      <sz val="16"/>
      <color theme="1"/>
      <name val="Calibri"/>
      <family val="2"/>
    </font>
    <font>
      <b/>
      <sz val="16"/>
      <color rgb="FF000000"/>
      <name val="Calibri"/>
      <family val="2"/>
    </font>
    <font>
      <b/>
      <sz val="14"/>
      <color rgb="FFFF0000"/>
      <name val="Calibri"/>
      <family val="2"/>
    </font>
    <font>
      <b/>
      <vertAlign val="superscript"/>
      <sz val="14"/>
      <name val="Calibri"/>
      <family val="2"/>
    </font>
    <font>
      <b/>
      <sz val="11"/>
      <color rgb="FF04272E"/>
      <name val="Calibri"/>
      <family val="2"/>
    </font>
    <font>
      <vertAlign val="superscript"/>
      <sz val="11"/>
      <color rgb="FF000000"/>
      <name val="Calibri"/>
      <family val="2"/>
    </font>
    <font>
      <b/>
      <sz val="14"/>
      <color rgb="FFF49426"/>
      <name val="Calibri"/>
      <family val="2"/>
      <scheme val="minor"/>
    </font>
    <font>
      <b/>
      <sz val="16"/>
      <color rgb="FFF49426"/>
      <name val="Calibri"/>
      <family val="2"/>
      <scheme val="minor"/>
    </font>
    <font>
      <sz val="10"/>
      <name val="Calibri"/>
      <family val="2"/>
      <scheme val="minor"/>
    </font>
    <font>
      <sz val="14"/>
      <color theme="0"/>
      <name val="Calibri"/>
      <family val="2"/>
      <scheme val="minor"/>
    </font>
    <font>
      <sz val="10"/>
      <color rgb="FF04272E"/>
      <name val="Calibri"/>
      <family val="2"/>
      <scheme val="minor"/>
    </font>
    <font>
      <b/>
      <sz val="10.5"/>
      <color rgb="FF04272E"/>
      <name val="Calibri"/>
      <family val="2"/>
      <scheme val="minor"/>
    </font>
    <font>
      <sz val="10.5"/>
      <color rgb="FF04272E"/>
      <name val="Calibri"/>
      <family val="2"/>
      <scheme val="minor"/>
    </font>
    <font>
      <sz val="10"/>
      <color rgb="FF005A6E"/>
      <name val="Calibri"/>
      <family val="2"/>
      <scheme val="minor"/>
    </font>
    <font>
      <sz val="14"/>
      <color theme="0"/>
      <name val="Calibri"/>
      <family val="2"/>
    </font>
    <font>
      <sz val="10"/>
      <color theme="0"/>
      <name val="Arial"/>
      <family val="2"/>
    </font>
    <font>
      <sz val="10.5"/>
      <color theme="1" tint="0.34998626667073579"/>
      <name val="Calibri"/>
      <family val="2"/>
    </font>
    <font>
      <sz val="12"/>
      <color theme="1" tint="0.14999847407452621"/>
      <name val="Calibri"/>
      <family val="2"/>
      <scheme val="minor"/>
    </font>
    <font>
      <sz val="10"/>
      <color theme="0" tint="-0.499984740745262"/>
      <name val="Arial"/>
      <family val="2"/>
    </font>
    <font>
      <b/>
      <sz val="10.5"/>
      <color theme="0" tint="-0.499984740745262"/>
      <name val="Calibri"/>
      <family val="2"/>
    </font>
    <font>
      <sz val="10.5"/>
      <color theme="0" tint="-0.499984740745262"/>
      <name val="Calibri"/>
      <family val="2"/>
    </font>
    <font>
      <sz val="10.5"/>
      <color theme="0" tint="-0.499984740745262"/>
      <name val="Calibri"/>
      <family val="1"/>
    </font>
    <font>
      <b/>
      <sz val="10"/>
      <color theme="0" tint="-0.499984740745262"/>
      <name val="Arial"/>
      <family val="2"/>
    </font>
    <font>
      <sz val="10.5"/>
      <color rgb="FF005A6E"/>
      <name val="Calibri"/>
      <family val="1"/>
    </font>
    <font>
      <sz val="10"/>
      <color rgb="FF005A6E"/>
      <name val="Arial"/>
      <family val="2"/>
    </font>
    <font>
      <sz val="12"/>
      <color rgb="FF005A6E"/>
      <name val="Calibri"/>
      <family val="2"/>
      <scheme val="minor"/>
    </font>
    <font>
      <b/>
      <sz val="12"/>
      <color rgb="FF005A6E"/>
      <name val="Arial"/>
      <family val="2"/>
    </font>
    <font>
      <u/>
      <sz val="10"/>
      <color theme="10"/>
      <name val="Arial"/>
      <family val="2"/>
    </font>
    <font>
      <u/>
      <sz val="10"/>
      <color theme="10"/>
      <name val="Calibri"/>
      <family val="2"/>
      <scheme val="minor"/>
    </font>
    <font>
      <sz val="14"/>
      <color rgb="FF005A6E"/>
      <name val="Calibri"/>
      <family val="2"/>
      <scheme val="minor"/>
    </font>
    <font>
      <b/>
      <sz val="10.5"/>
      <color rgb="FF005A6E"/>
      <name val="Calibri"/>
      <family val="2"/>
      <scheme val="minor"/>
    </font>
    <font>
      <sz val="10.5"/>
      <color rgb="FF005A6E"/>
      <name val="Calibri"/>
      <family val="2"/>
      <scheme val="minor"/>
    </font>
    <font>
      <b/>
      <sz val="12"/>
      <color rgb="FF005A6E"/>
      <name val="Calibri"/>
      <family val="1"/>
    </font>
    <font>
      <u/>
      <sz val="10.5"/>
      <color theme="10"/>
      <name val="Calibri"/>
      <family val="2"/>
    </font>
    <font>
      <sz val="10.5"/>
      <color theme="1"/>
      <name val="Calibri"/>
      <family val="2"/>
    </font>
    <font>
      <sz val="10.5"/>
      <color theme="10"/>
      <name val="Calibri"/>
      <family val="2"/>
    </font>
    <font>
      <sz val="10"/>
      <name val="Calibri"/>
      <family val="2"/>
    </font>
    <font>
      <b/>
      <i/>
      <sz val="10"/>
      <color theme="1" tint="0.14999847407452621"/>
      <name val="Calibri"/>
      <family val="2"/>
    </font>
    <font>
      <b/>
      <sz val="13"/>
      <color theme="1" tint="0.14999847407452621"/>
      <name val="Calibri"/>
      <family val="2"/>
    </font>
    <font>
      <b/>
      <sz val="10"/>
      <color theme="1" tint="0.14999847407452621"/>
      <name val="Calibri"/>
      <family val="2"/>
    </font>
    <font>
      <sz val="10"/>
      <color rgb="FFF49426"/>
      <name val="Calibri"/>
      <family val="2"/>
    </font>
    <font>
      <b/>
      <i/>
      <sz val="10"/>
      <color indexed="12"/>
      <name val="Calibri"/>
      <family val="2"/>
    </font>
    <font>
      <sz val="10"/>
      <color theme="1" tint="0.14999847407452621"/>
      <name val="Calibri"/>
      <family val="2"/>
    </font>
    <font>
      <sz val="10"/>
      <color indexed="12"/>
      <name val="Calibri"/>
      <family val="2"/>
    </font>
    <font>
      <sz val="12"/>
      <color rgb="FF005A6E"/>
      <name val="Calibri"/>
      <family val="2"/>
    </font>
    <font>
      <i/>
      <sz val="10"/>
      <color indexed="10"/>
      <name val="Calibri"/>
      <family val="2"/>
    </font>
    <font>
      <i/>
      <sz val="10"/>
      <color indexed="12"/>
      <name val="Calibri"/>
      <family val="2"/>
    </font>
    <font>
      <sz val="10"/>
      <color indexed="17"/>
      <name val="Calibri"/>
      <family val="2"/>
    </font>
    <font>
      <b/>
      <sz val="10"/>
      <color indexed="14"/>
      <name val="Calibri"/>
      <family val="2"/>
    </font>
    <font>
      <sz val="10"/>
      <color indexed="10"/>
      <name val="Calibri"/>
      <family val="2"/>
    </font>
    <font>
      <i/>
      <sz val="11"/>
      <color theme="1"/>
      <name val="Calibri"/>
      <family val="2"/>
      <scheme val="minor"/>
    </font>
    <font>
      <sz val="10.5"/>
      <color indexed="10"/>
      <name val="Calibri"/>
      <family val="2"/>
    </font>
    <font>
      <i/>
      <sz val="10"/>
      <color indexed="10"/>
      <name val="Arial"/>
      <family val="2"/>
    </font>
    <font>
      <b/>
      <sz val="10"/>
      <color indexed="12"/>
      <name val="Calibri"/>
      <family val="2"/>
    </font>
    <font>
      <sz val="9"/>
      <color rgb="FF000000"/>
      <name val="Tahoma"/>
      <family val="2"/>
    </font>
    <font>
      <b/>
      <sz val="11"/>
      <color rgb="FFF9B100"/>
      <name val="Arial"/>
      <family val="2"/>
    </font>
    <font>
      <sz val="10"/>
      <color rgb="FFF9B100"/>
      <name val="Arial"/>
      <family val="2"/>
    </font>
    <font>
      <b/>
      <sz val="11"/>
      <color indexed="50"/>
      <name val="Arial"/>
      <family val="2"/>
    </font>
    <font>
      <b/>
      <sz val="10.5"/>
      <color indexed="50"/>
      <name val="Calibri"/>
      <family val="2"/>
    </font>
    <font>
      <b/>
      <sz val="12"/>
      <color indexed="12"/>
      <name val="Arial"/>
      <family val="2"/>
    </font>
    <font>
      <sz val="10"/>
      <color indexed="12"/>
      <name val="Arial"/>
      <family val="2"/>
    </font>
    <font>
      <sz val="12"/>
      <name val="Arial"/>
      <family val="2"/>
    </font>
    <font>
      <sz val="10"/>
      <color theme="1" tint="0.14999847407452621"/>
      <name val="Arial"/>
      <family val="2"/>
    </font>
    <font>
      <b/>
      <sz val="12"/>
      <name val="Arial"/>
      <family val="2"/>
    </font>
    <font>
      <sz val="10"/>
      <color rgb="FF04272E"/>
      <name val="Arial"/>
      <family val="2"/>
    </font>
    <font>
      <b/>
      <sz val="10"/>
      <color rgb="FF04272E"/>
      <name val="Arial"/>
      <family val="2"/>
    </font>
    <font>
      <b/>
      <sz val="10"/>
      <name val="Arial"/>
      <family val="2"/>
    </font>
    <font>
      <sz val="8"/>
      <name val="Arial"/>
      <family val="2"/>
    </font>
    <font>
      <sz val="9"/>
      <name val="Arial"/>
      <family val="2"/>
    </font>
    <font>
      <i/>
      <sz val="10.5"/>
      <color indexed="10"/>
      <name val="Calibri"/>
      <family val="2"/>
    </font>
    <font>
      <sz val="10.5"/>
      <color indexed="12"/>
      <name val="Calibri"/>
      <family val="2"/>
    </font>
    <font>
      <sz val="10.5"/>
      <color indexed="17"/>
      <name val="Calibri"/>
      <family val="2"/>
    </font>
    <font>
      <b/>
      <sz val="10.5"/>
      <color indexed="14"/>
      <name val="Calibri"/>
      <family val="2"/>
    </font>
    <font>
      <sz val="10"/>
      <color rgb="FF95D6D3"/>
      <name val="CalibrI"/>
      <family val="2"/>
    </font>
    <font>
      <sz val="10"/>
      <color indexed="9"/>
      <name val="Arial"/>
      <family val="2"/>
    </font>
    <font>
      <b/>
      <sz val="12"/>
      <color indexed="17"/>
      <name val="Arial"/>
      <family val="2"/>
    </font>
    <font>
      <b/>
      <sz val="14"/>
      <name val="Arial"/>
      <family val="2"/>
    </font>
    <font>
      <sz val="10"/>
      <color indexed="20"/>
      <name val="Arial"/>
      <family val="2"/>
    </font>
    <font>
      <b/>
      <sz val="10.5"/>
      <color rgb="FFC00000"/>
      <name val="Calibri"/>
      <family val="2"/>
    </font>
    <font>
      <sz val="10"/>
      <color indexed="17"/>
      <name val="Arial"/>
      <family val="2"/>
    </font>
    <font>
      <b/>
      <i/>
      <sz val="10.5"/>
      <color rgb="FFF49426"/>
      <name val="Calibri"/>
      <family val="2"/>
    </font>
    <font>
      <sz val="10"/>
      <color rgb="FFFF0000"/>
      <name val="Arial"/>
      <family val="2"/>
    </font>
    <font>
      <i/>
      <sz val="10"/>
      <color indexed="20"/>
      <name val="Arial"/>
      <family val="2"/>
    </font>
    <font>
      <b/>
      <sz val="10"/>
      <color indexed="14"/>
      <name val="Arial"/>
      <family val="2"/>
    </font>
    <font>
      <b/>
      <sz val="9"/>
      <color rgb="FF000000"/>
      <name val="Tahoma"/>
      <family val="2"/>
    </font>
    <font>
      <b/>
      <sz val="10"/>
      <color rgb="FFFF0000"/>
      <name val="Arial"/>
      <family val="2"/>
    </font>
    <font>
      <sz val="10.5"/>
      <name val="Calibri"/>
      <family val="2"/>
      <scheme val="minor"/>
    </font>
    <font>
      <b/>
      <sz val="10.5"/>
      <color theme="0"/>
      <name val="Calibri"/>
      <family val="2"/>
      <scheme val="minor"/>
    </font>
    <font>
      <sz val="10.5"/>
      <color theme="0"/>
      <name val="Calibri"/>
      <family val="2"/>
      <scheme val="minor"/>
    </font>
    <font>
      <sz val="10.5"/>
      <color indexed="10"/>
      <name val="Calibri"/>
      <family val="2"/>
      <scheme val="minor"/>
    </font>
    <font>
      <b/>
      <sz val="10.5"/>
      <name val="Calibri"/>
      <family val="2"/>
      <scheme val="minor"/>
    </font>
    <font>
      <b/>
      <sz val="10.5"/>
      <color rgb="FF005A6E"/>
      <name val="Calibri"/>
      <family val="1"/>
      <scheme val="minor"/>
    </font>
    <font>
      <b/>
      <sz val="10"/>
      <name val="Arial"/>
      <family val="1"/>
    </font>
    <font>
      <sz val="10"/>
      <color indexed="10"/>
      <name val="Arial"/>
      <family val="2"/>
    </font>
    <font>
      <sz val="10"/>
      <color indexed="22"/>
      <name val="Arial"/>
      <family val="2"/>
    </font>
    <font>
      <sz val="8.5"/>
      <name val="Arial"/>
      <family val="2"/>
    </font>
    <font>
      <b/>
      <sz val="10.5"/>
      <name val="Arial"/>
      <family val="1"/>
    </font>
    <font>
      <sz val="10.5"/>
      <color indexed="22"/>
      <name val="Arial"/>
      <family val="1"/>
    </font>
    <font>
      <sz val="10.5"/>
      <color indexed="22"/>
      <name val="Calibri"/>
      <family val="2"/>
    </font>
    <font>
      <sz val="8.5"/>
      <color indexed="10"/>
      <name val="Arial"/>
      <family val="2"/>
    </font>
    <font>
      <b/>
      <sz val="12"/>
      <color indexed="10"/>
      <name val="Arial"/>
      <family val="2"/>
    </font>
    <font>
      <b/>
      <sz val="10.5"/>
      <color rgb="FF95D6D3"/>
      <name val="Calibri"/>
      <family val="2"/>
    </font>
    <font>
      <sz val="10.5"/>
      <color rgb="FF95D6D3"/>
      <name val="Calibri"/>
      <family val="2"/>
    </font>
    <font>
      <sz val="10.5"/>
      <color indexed="23"/>
      <name val="Calibri"/>
      <family val="2"/>
    </font>
    <font>
      <i/>
      <sz val="10.5"/>
      <color indexed="23"/>
      <name val="Calibri"/>
      <family val="2"/>
    </font>
    <font>
      <i/>
      <sz val="10.5"/>
      <color theme="0" tint="-0.499984740745262"/>
      <name val="Calibri"/>
      <family val="2"/>
    </font>
    <font>
      <sz val="9"/>
      <color indexed="81"/>
      <name val="Tahoma"/>
      <family val="2"/>
    </font>
  </fonts>
  <fills count="77">
    <fill>
      <patternFill patternType="none"/>
    </fill>
    <fill>
      <patternFill patternType="gray125"/>
    </fill>
    <fill>
      <patternFill patternType="solid">
        <fgColor rgb="FFC5E0B3"/>
        <bgColor rgb="FFC5E0B3"/>
      </patternFill>
    </fill>
    <fill>
      <patternFill patternType="solid">
        <fgColor rgb="FFFFFFFF"/>
        <bgColor rgb="FFFFFFFF"/>
      </patternFill>
    </fill>
    <fill>
      <patternFill patternType="solid">
        <fgColor rgb="FFF7CAAC"/>
        <bgColor rgb="FFF7CAAC"/>
      </patternFill>
    </fill>
    <fill>
      <patternFill patternType="solid">
        <fgColor rgb="FFD8D8D8"/>
        <bgColor rgb="FFD8D8D8"/>
      </patternFill>
    </fill>
    <fill>
      <patternFill patternType="solid">
        <fgColor rgb="FFE2EFD9"/>
        <bgColor rgb="FFE2EFD9"/>
      </patternFill>
    </fill>
    <fill>
      <patternFill patternType="solid">
        <fgColor rgb="FF000000"/>
        <bgColor rgb="FF000000"/>
      </patternFill>
    </fill>
    <fill>
      <patternFill patternType="solid">
        <fgColor rgb="FF00B050"/>
        <bgColor rgb="FF00B050"/>
      </patternFill>
    </fill>
    <fill>
      <patternFill patternType="solid">
        <fgColor rgb="FFDEEAF6"/>
        <bgColor rgb="FFDEEAF6"/>
      </patternFill>
    </fill>
    <fill>
      <patternFill patternType="solid">
        <fgColor rgb="FFFFC000"/>
        <bgColor rgb="FFFFC000"/>
      </patternFill>
    </fill>
    <fill>
      <patternFill patternType="solid">
        <fgColor theme="9" tint="0.59999389629810485"/>
        <bgColor indexed="64"/>
      </patternFill>
    </fill>
    <fill>
      <patternFill patternType="solid">
        <fgColor theme="5" tint="0.59999389629810485"/>
        <bgColor indexed="64"/>
      </patternFill>
    </fill>
    <fill>
      <patternFill patternType="solid">
        <fgColor rgb="FFB7C4FF"/>
        <bgColor rgb="FFB4C6E7"/>
      </patternFill>
    </fill>
    <fill>
      <patternFill patternType="solid">
        <fgColor theme="0"/>
        <bgColor indexed="64"/>
      </patternFill>
    </fill>
    <fill>
      <patternFill patternType="solid">
        <fgColor rgb="FF04272E"/>
        <bgColor indexed="64"/>
      </patternFill>
    </fill>
    <fill>
      <patternFill patternType="solid">
        <fgColor rgb="FF95D6D3"/>
        <bgColor indexed="64"/>
      </patternFill>
    </fill>
    <fill>
      <patternFill patternType="solid">
        <fgColor rgb="FFE32915"/>
        <bgColor indexed="64"/>
      </patternFill>
    </fill>
    <fill>
      <patternFill patternType="solid">
        <fgColor rgb="FFF9C300"/>
        <bgColor indexed="64"/>
      </patternFill>
    </fill>
    <fill>
      <patternFill patternType="solid">
        <fgColor rgb="FFF9C300"/>
        <bgColor rgb="FFFFFF00"/>
      </patternFill>
    </fill>
    <fill>
      <patternFill patternType="solid">
        <fgColor rgb="FF95D6D3"/>
        <bgColor rgb="FFFFFFFF"/>
      </patternFill>
    </fill>
    <fill>
      <patternFill patternType="solid">
        <fgColor rgb="FFC6E0B3"/>
        <bgColor rgb="FFFFFFFF"/>
      </patternFill>
    </fill>
    <fill>
      <patternFill patternType="solid">
        <fgColor rgb="FFC6E0B3"/>
        <bgColor rgb="FF548135"/>
      </patternFill>
    </fill>
    <fill>
      <patternFill patternType="solid">
        <fgColor rgb="FFC6E0B3"/>
        <bgColor indexed="64"/>
      </patternFill>
    </fill>
    <fill>
      <patternFill patternType="solid">
        <fgColor rgb="FFC6E0B3"/>
        <bgColor rgb="FFC5E0B3"/>
      </patternFill>
    </fill>
    <fill>
      <patternFill patternType="solid">
        <fgColor rgb="FFE32914"/>
        <bgColor indexed="64"/>
      </patternFill>
    </fill>
    <fill>
      <patternFill patternType="solid">
        <fgColor rgb="FF04272E"/>
        <bgColor rgb="FFFF0000"/>
      </patternFill>
    </fill>
    <fill>
      <patternFill patternType="solid">
        <fgColor rgb="FFC6E0B3"/>
        <bgColor rgb="FFE2EFD9"/>
      </patternFill>
    </fill>
    <fill>
      <patternFill patternType="solid">
        <fgColor rgb="FF04272E"/>
        <bgColor rgb="FFFFFF00"/>
      </patternFill>
    </fill>
    <fill>
      <patternFill patternType="solid">
        <fgColor rgb="FF95D6D3"/>
        <bgColor rgb="FFFFFF00"/>
      </patternFill>
    </fill>
    <fill>
      <patternFill patternType="solid">
        <fgColor theme="0" tint="-0.249977111117893"/>
        <bgColor indexed="64"/>
      </patternFill>
    </fill>
    <fill>
      <patternFill patternType="solid">
        <fgColor rgb="FF95D6D3"/>
        <bgColor rgb="FF7F7F7F"/>
      </patternFill>
    </fill>
    <fill>
      <patternFill patternType="solid">
        <fgColor rgb="FF95D6D3"/>
        <bgColor rgb="FF3CB2F4"/>
      </patternFill>
    </fill>
    <fill>
      <patternFill patternType="solid">
        <fgColor rgb="FFF9C300"/>
        <bgColor rgb="FF00B050"/>
      </patternFill>
    </fill>
    <fill>
      <patternFill patternType="solid">
        <fgColor rgb="FFCBDDDF"/>
        <bgColor rgb="FF9CC2E5"/>
      </patternFill>
    </fill>
    <fill>
      <patternFill patternType="solid">
        <fgColor rgb="FFCBDDDF"/>
        <bgColor rgb="FFDEEAF6"/>
      </patternFill>
    </fill>
    <fill>
      <patternFill patternType="solid">
        <fgColor rgb="FF95D6D3"/>
        <bgColor rgb="FFA5A5A5"/>
      </patternFill>
    </fill>
    <fill>
      <patternFill patternType="solid">
        <fgColor rgb="FF04272E"/>
        <bgColor rgb="FF7F7F7F"/>
      </patternFill>
    </fill>
    <fill>
      <patternFill patternType="solid">
        <fgColor theme="0"/>
        <bgColor rgb="FFFFFFFF"/>
      </patternFill>
    </fill>
    <fill>
      <patternFill patternType="solid">
        <fgColor theme="0" tint="-4.9989318521683403E-2"/>
        <bgColor indexed="64"/>
      </patternFill>
    </fill>
    <fill>
      <patternFill patternType="solid">
        <fgColor theme="0" tint="-0.14999847407452621"/>
        <bgColor rgb="FFD8D8D8"/>
      </patternFill>
    </fill>
    <fill>
      <patternFill patternType="solid">
        <fgColor rgb="FF95D6D3"/>
        <bgColor rgb="FFC5E0B3"/>
      </patternFill>
    </fill>
    <fill>
      <patternFill patternType="solid">
        <fgColor rgb="FFFFC000"/>
        <bgColor indexed="64"/>
      </patternFill>
    </fill>
    <fill>
      <patternFill patternType="solid">
        <fgColor theme="1"/>
        <bgColor rgb="FFD8D8D8"/>
      </patternFill>
    </fill>
    <fill>
      <patternFill patternType="solid">
        <fgColor theme="9" tint="0.59999389629810485"/>
        <bgColor rgb="FFFFFFFF"/>
      </patternFill>
    </fill>
    <fill>
      <patternFill patternType="solid">
        <fgColor theme="0"/>
        <bgColor rgb="FFC5E0B3"/>
      </patternFill>
    </fill>
    <fill>
      <patternFill patternType="solid">
        <fgColor rgb="FF8BC7D5"/>
        <bgColor indexed="64"/>
      </patternFill>
    </fill>
    <fill>
      <patternFill patternType="solid">
        <fgColor rgb="FFF9B100"/>
        <bgColor rgb="FFFFE598"/>
      </patternFill>
    </fill>
    <fill>
      <patternFill patternType="solid">
        <fgColor rgb="FFF9B100"/>
        <bgColor indexed="64"/>
      </patternFill>
    </fill>
    <fill>
      <patternFill patternType="solid">
        <fgColor rgb="FFF9B100"/>
        <bgColor rgb="FFFF0000"/>
      </patternFill>
    </fill>
    <fill>
      <patternFill patternType="solid">
        <fgColor rgb="FFF9B100"/>
        <bgColor rgb="FFFEF2CB"/>
      </patternFill>
    </fill>
    <fill>
      <patternFill patternType="solid">
        <fgColor rgb="FF005A6E"/>
        <bgColor indexed="64"/>
      </patternFill>
    </fill>
    <fill>
      <patternFill patternType="solid">
        <fgColor rgb="FF005A6E"/>
        <bgColor rgb="FFFFFF00"/>
      </patternFill>
    </fill>
    <fill>
      <patternFill patternType="solid">
        <fgColor rgb="FF002060"/>
        <bgColor indexed="64"/>
      </patternFill>
    </fill>
    <fill>
      <patternFill patternType="solid">
        <fgColor theme="9" tint="0.59999389629810485"/>
        <bgColor rgb="FFE2EFD9"/>
      </patternFill>
    </fill>
    <fill>
      <patternFill patternType="solid">
        <fgColor rgb="FFFF0000"/>
        <bgColor indexed="64"/>
      </patternFill>
    </fill>
    <fill>
      <patternFill patternType="solid">
        <fgColor theme="7" tint="0.39997558519241921"/>
        <bgColor indexed="64"/>
      </patternFill>
    </fill>
    <fill>
      <patternFill patternType="solid">
        <fgColor theme="8" tint="0.79998168889431442"/>
        <bgColor indexed="64"/>
      </patternFill>
    </fill>
    <fill>
      <patternFill patternType="solid">
        <fgColor rgb="FFFFC000"/>
        <bgColor rgb="FFFFFF00"/>
      </patternFill>
    </fill>
    <fill>
      <patternFill patternType="solid">
        <fgColor rgb="FFFFFF00"/>
        <bgColor rgb="FFC5E0B3"/>
      </patternFill>
    </fill>
    <fill>
      <patternFill patternType="solid">
        <fgColor theme="8" tint="0.79998168889431442"/>
        <bgColor rgb="FFFFFF00"/>
      </patternFill>
    </fill>
    <fill>
      <patternFill patternType="solid">
        <fgColor theme="8" tint="-0.499984740745262"/>
        <bgColor rgb="FFFFFF00"/>
      </patternFill>
    </fill>
    <fill>
      <patternFill patternType="solid">
        <fgColor rgb="FFFFFF00"/>
        <bgColor indexed="64"/>
      </patternFill>
    </fill>
    <fill>
      <patternFill patternType="solid">
        <fgColor theme="7" tint="0.79998168889431442"/>
        <bgColor indexed="64"/>
      </patternFill>
    </fill>
    <fill>
      <patternFill patternType="solid">
        <fgColor indexed="9"/>
        <bgColor indexed="64"/>
      </patternFill>
    </fill>
    <fill>
      <patternFill patternType="solid">
        <fgColor rgb="FF368B95"/>
        <bgColor indexed="64"/>
      </patternFill>
    </fill>
    <fill>
      <patternFill patternType="solid">
        <fgColor rgb="FFE7FFE7"/>
        <bgColor indexed="64"/>
      </patternFill>
    </fill>
    <fill>
      <patternFill patternType="solid">
        <fgColor indexed="42"/>
        <bgColor indexed="64"/>
      </patternFill>
    </fill>
    <fill>
      <patternFill patternType="solid">
        <fgColor rgb="FFCCFFCC"/>
        <bgColor indexed="64"/>
      </patternFill>
    </fill>
    <fill>
      <patternFill patternType="solid">
        <fgColor rgb="FFEA4E1B"/>
        <bgColor indexed="64"/>
      </patternFill>
    </fill>
    <fill>
      <patternFill patternType="solid">
        <fgColor rgb="FFF49426"/>
        <bgColor indexed="64"/>
      </patternFill>
    </fill>
    <fill>
      <patternFill patternType="solid">
        <fgColor indexed="54"/>
        <bgColor indexed="64"/>
      </patternFill>
    </fill>
    <fill>
      <patternFill patternType="solid">
        <fgColor rgb="FFFFC1C1"/>
        <bgColor indexed="64"/>
      </patternFill>
    </fill>
    <fill>
      <patternFill patternType="solid">
        <fgColor rgb="FFFDE9D9"/>
        <bgColor indexed="64"/>
      </patternFill>
    </fill>
    <fill>
      <patternFill patternType="solid">
        <fgColor theme="9" tint="0.79998168889431442"/>
        <bgColor indexed="64"/>
      </patternFill>
    </fill>
    <fill>
      <patternFill patternType="solid">
        <fgColor rgb="FFDAEEF3"/>
        <bgColor indexed="64"/>
      </patternFill>
    </fill>
    <fill>
      <patternFill patternType="solid">
        <fgColor theme="6" tint="0.59999389629810485"/>
        <bgColor indexed="64"/>
      </patternFill>
    </fill>
  </fills>
  <borders count="256">
    <border>
      <left/>
      <right/>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right/>
      <top/>
      <bottom/>
      <diagonal/>
    </border>
    <border>
      <left/>
      <right/>
      <top style="medium">
        <color rgb="FFFFFFFF"/>
      </top>
      <bottom/>
      <diagonal/>
    </border>
    <border>
      <left/>
      <right/>
      <top style="thick">
        <color rgb="FFFFFFFF"/>
      </top>
      <bottom/>
      <diagonal/>
    </border>
    <border>
      <left style="thick">
        <color rgb="FF000000"/>
      </left>
      <right/>
      <top style="thick">
        <color rgb="FF000000"/>
      </top>
      <bottom/>
      <diagonal/>
    </border>
    <border>
      <left/>
      <right/>
      <top style="thick">
        <color rgb="FF000000"/>
      </top>
      <bottom/>
      <diagonal/>
    </border>
    <border>
      <left/>
      <right/>
      <top style="thick">
        <color rgb="FF000000"/>
      </top>
      <bottom/>
      <diagonal/>
    </border>
    <border>
      <left/>
      <right/>
      <top style="thick">
        <color rgb="FF000000"/>
      </top>
      <bottom/>
      <diagonal/>
    </border>
    <border>
      <left/>
      <right/>
      <top style="thick">
        <color rgb="FF000000"/>
      </top>
      <bottom/>
      <diagonal/>
    </border>
    <border>
      <left/>
      <right style="thick">
        <color rgb="FF000000"/>
      </right>
      <top style="thick">
        <color rgb="FF000000"/>
      </top>
      <bottom/>
      <diagonal/>
    </border>
    <border>
      <left style="thick">
        <color rgb="FF000000"/>
      </left>
      <right/>
      <top/>
      <bottom/>
      <diagonal/>
    </border>
    <border>
      <left/>
      <right/>
      <top/>
      <bottom/>
      <diagonal/>
    </border>
    <border>
      <left/>
      <right/>
      <top/>
      <bottom/>
      <diagonal/>
    </border>
    <border>
      <left/>
      <right/>
      <top/>
      <bottom/>
      <diagonal/>
    </border>
    <border>
      <left/>
      <right style="thick">
        <color rgb="FF000000"/>
      </right>
      <top/>
      <bottom/>
      <diagonal/>
    </border>
    <border>
      <left style="thick">
        <color rgb="FF000000"/>
      </left>
      <right/>
      <top/>
      <bottom/>
      <diagonal/>
    </border>
    <border>
      <left/>
      <right style="thick">
        <color rgb="FF000000"/>
      </right>
      <top/>
      <bottom/>
      <diagonal/>
    </border>
    <border>
      <left/>
      <right/>
      <top/>
      <bottom/>
      <diagonal/>
    </border>
    <border>
      <left/>
      <right/>
      <top/>
      <bottom/>
      <diagonal/>
    </border>
    <border>
      <left/>
      <right/>
      <top/>
      <bottom/>
      <diagonal/>
    </border>
    <border>
      <left style="thick">
        <color rgb="FF000000"/>
      </left>
      <right/>
      <top/>
      <bottom style="thick">
        <color rgb="FF000000"/>
      </bottom>
      <diagonal/>
    </border>
    <border>
      <left/>
      <right/>
      <top/>
      <bottom style="thick">
        <color rgb="FF000000"/>
      </bottom>
      <diagonal/>
    </border>
    <border>
      <left/>
      <right style="thick">
        <color rgb="FF000000"/>
      </right>
      <top/>
      <bottom style="thick">
        <color rgb="FF000000"/>
      </bottom>
      <diagonal/>
    </border>
    <border>
      <left/>
      <right/>
      <top/>
      <bottom style="thin">
        <color theme="0" tint="-0.499984740745262"/>
      </bottom>
      <diagonal/>
    </border>
    <border>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top style="thin">
        <color theme="0" tint="-0.499984740745262"/>
      </top>
      <bottom style="thin">
        <color theme="0" tint="-0.499984740745262"/>
      </bottom>
      <diagonal/>
    </border>
    <border>
      <left style="thin">
        <color rgb="FF000000"/>
      </left>
      <right style="thin">
        <color rgb="FF000000"/>
      </right>
      <top style="thin">
        <color theme="0" tint="-0.499984740745262"/>
      </top>
      <bottom style="thin">
        <color theme="0" tint="-0.499984740745262"/>
      </bottom>
      <diagonal/>
    </border>
    <border>
      <left/>
      <right style="thin">
        <color theme="0" tint="-0.499984740745262"/>
      </right>
      <top/>
      <bottom style="thin">
        <color theme="0" tint="-0.499984740745262"/>
      </bottom>
      <diagonal/>
    </border>
    <border>
      <left style="thin">
        <color theme="0" tint="-0.499984740745262"/>
      </left>
      <right style="thin">
        <color theme="0" tint="-0.499984740745262"/>
      </right>
      <top/>
      <bottom style="thin">
        <color theme="0" tint="-0.499984740745262"/>
      </bottom>
      <diagonal/>
    </border>
    <border>
      <left/>
      <right/>
      <top style="thin">
        <color theme="0" tint="-0.499984740745262"/>
      </top>
      <bottom/>
      <diagonal/>
    </border>
    <border>
      <left/>
      <right style="thin">
        <color theme="0" tint="-0.499984740745262"/>
      </right>
      <top style="thin">
        <color theme="0" tint="-0.499984740745262"/>
      </top>
      <bottom/>
      <diagonal/>
    </border>
    <border>
      <left style="thin">
        <color theme="0" tint="-0.499984740745262"/>
      </left>
      <right/>
      <top style="thin">
        <color theme="0" tint="-0.499984740745262"/>
      </top>
      <bottom/>
      <diagonal/>
    </border>
    <border>
      <left style="thin">
        <color theme="0" tint="-0.499984740745262"/>
      </left>
      <right/>
      <top/>
      <bottom/>
      <diagonal/>
    </border>
    <border>
      <left style="thin">
        <color theme="0" tint="-0.499984740745262"/>
      </left>
      <right style="thin">
        <color theme="0" tint="-0.499984740745262"/>
      </right>
      <top style="thin">
        <color theme="0" tint="-0.499984740745262"/>
      </top>
      <bottom/>
      <diagonal/>
    </border>
    <border>
      <left style="thin">
        <color theme="0" tint="-0.499984740745262"/>
      </left>
      <right/>
      <top/>
      <bottom style="thin">
        <color theme="0" tint="-0.499984740745262"/>
      </bottom>
      <diagonal/>
    </border>
    <border>
      <left/>
      <right style="thin">
        <color theme="0" tint="-0.499984740745262"/>
      </right>
      <top/>
      <bottom/>
      <diagonal/>
    </border>
    <border>
      <left style="thin">
        <color rgb="FF000000"/>
      </left>
      <right style="thin">
        <color theme="0" tint="-0.499984740745262"/>
      </right>
      <top style="thin">
        <color theme="0" tint="-0.499984740745262"/>
      </top>
      <bottom style="thin">
        <color theme="0" tint="-0.499984740745262"/>
      </bottom>
      <diagonal/>
    </border>
    <border>
      <left/>
      <right/>
      <top/>
      <bottom style="medium">
        <color rgb="FFFFFFFF"/>
      </bottom>
      <diagonal/>
    </border>
    <border>
      <left style="thin">
        <color theme="0" tint="-0.499984740745262"/>
      </left>
      <right style="thin">
        <color theme="0" tint="-0.499984740745262"/>
      </right>
      <top/>
      <bottom/>
      <diagonal/>
    </border>
    <border>
      <left style="thin">
        <color theme="0" tint="-0.499984740745262"/>
      </left>
      <right style="thin">
        <color theme="0" tint="-0.499984740745262"/>
      </right>
      <top style="thin">
        <color theme="0" tint="-0.499984740745262"/>
      </top>
      <bottom style="thin">
        <color rgb="FF000000"/>
      </bottom>
      <diagonal/>
    </border>
    <border>
      <left style="thin">
        <color theme="0" tint="-0.499984740745262"/>
      </left>
      <right style="thin">
        <color theme="0" tint="-0.499984740745262"/>
      </right>
      <top style="thin">
        <color rgb="FF000000"/>
      </top>
      <bottom style="thin">
        <color rgb="FF000000"/>
      </bottom>
      <diagonal/>
    </border>
    <border>
      <left style="thin">
        <color theme="0" tint="-0.499984740745262"/>
      </left>
      <right style="thin">
        <color theme="0" tint="-0.499984740745262"/>
      </right>
      <top style="thin">
        <color rgb="FF000000"/>
      </top>
      <bottom style="thin">
        <color theme="0" tint="-0.499984740745262"/>
      </bottom>
      <diagonal/>
    </border>
    <border>
      <left style="thick">
        <color theme="0" tint="-0.499984740745262"/>
      </left>
      <right style="thick">
        <color theme="0" tint="-0.499984740745262"/>
      </right>
      <top style="thick">
        <color theme="0" tint="-0.499984740745262"/>
      </top>
      <bottom style="thick">
        <color theme="0" tint="-0.499984740745262"/>
      </bottom>
      <diagonal/>
    </border>
    <border>
      <left style="thin">
        <color indexed="64"/>
      </left>
      <right style="thin">
        <color indexed="64"/>
      </right>
      <top style="thin">
        <color indexed="64"/>
      </top>
      <bottom style="thin">
        <color indexed="64"/>
      </bottom>
      <diagonal/>
    </border>
    <border>
      <left style="thin">
        <color indexed="64"/>
      </left>
      <right/>
      <top style="thin">
        <color theme="0" tint="-0.499984740745262"/>
      </top>
      <bottom style="thin">
        <color theme="0" tint="-0.499984740745262"/>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theme="0" tint="-0.499984740745262"/>
      </right>
      <top style="thin">
        <color theme="0" tint="-0.499984740745262"/>
      </top>
      <bottom style="thin">
        <color theme="0" tint="-0.499984740745262"/>
      </bottom>
      <diagonal/>
    </border>
    <border>
      <left/>
      <right/>
      <top style="thin">
        <color theme="0" tint="-0.499984740745262"/>
      </top>
      <bottom style="thin">
        <color indexed="64"/>
      </bottom>
      <diagonal/>
    </border>
    <border>
      <left style="thin">
        <color indexed="64"/>
      </left>
      <right style="thin">
        <color indexed="64"/>
      </right>
      <top style="thin">
        <color indexed="64"/>
      </top>
      <bottom/>
      <diagonal/>
    </border>
    <border>
      <left style="thick">
        <color theme="1"/>
      </left>
      <right style="thick">
        <color theme="1"/>
      </right>
      <top style="thick">
        <color theme="1"/>
      </top>
      <bottom style="thin">
        <color theme="0" tint="-0.499984740745262"/>
      </bottom>
      <diagonal/>
    </border>
    <border>
      <left style="thick">
        <color theme="1"/>
      </left>
      <right style="thick">
        <color theme="1"/>
      </right>
      <top style="thin">
        <color theme="0" tint="-0.499984740745262"/>
      </top>
      <bottom style="thin">
        <color theme="0" tint="-0.499984740745262"/>
      </bottom>
      <diagonal/>
    </border>
    <border>
      <left style="thick">
        <color theme="1"/>
      </left>
      <right style="thick">
        <color theme="1"/>
      </right>
      <top style="thin">
        <color theme="0" tint="-0.499984740745262"/>
      </top>
      <bottom style="thick">
        <color theme="1"/>
      </bottom>
      <diagonal/>
    </border>
    <border>
      <left style="thick">
        <color theme="1"/>
      </left>
      <right style="thin">
        <color theme="0" tint="-0.499984740745262"/>
      </right>
      <top style="thin">
        <color theme="0" tint="-0.499984740745262"/>
      </top>
      <bottom style="thin">
        <color theme="0" tint="-0.499984740745262"/>
      </bottom>
      <diagonal/>
    </border>
    <border>
      <left style="thin">
        <color theme="0" tint="-0.499984740745262"/>
      </left>
      <right style="thick">
        <color theme="1"/>
      </right>
      <top style="thin">
        <color theme="0" tint="-0.499984740745262"/>
      </top>
      <bottom style="thin">
        <color theme="0" tint="-0.499984740745262"/>
      </bottom>
      <diagonal/>
    </border>
    <border>
      <left style="thick">
        <color theme="1"/>
      </left>
      <right style="thin">
        <color theme="0" tint="-0.499984740745262"/>
      </right>
      <top style="thin">
        <color theme="0" tint="-0.499984740745262"/>
      </top>
      <bottom style="thick">
        <color theme="1"/>
      </bottom>
      <diagonal/>
    </border>
    <border>
      <left style="thin">
        <color theme="0" tint="-0.499984740745262"/>
      </left>
      <right style="thin">
        <color theme="0" tint="-0.499984740745262"/>
      </right>
      <top style="thin">
        <color theme="0" tint="-0.499984740745262"/>
      </top>
      <bottom style="thick">
        <color theme="1"/>
      </bottom>
      <diagonal/>
    </border>
    <border>
      <left style="thin">
        <color theme="0" tint="-0.499984740745262"/>
      </left>
      <right style="thick">
        <color theme="1"/>
      </right>
      <top style="thin">
        <color theme="0" tint="-0.499984740745262"/>
      </top>
      <bottom style="thick">
        <color theme="1"/>
      </bottom>
      <diagonal/>
    </border>
    <border>
      <left style="thick">
        <color auto="1"/>
      </left>
      <right style="thick">
        <color auto="1"/>
      </right>
      <top style="thin">
        <color theme="0" tint="-0.499984740745262"/>
      </top>
      <bottom style="thin">
        <color theme="0" tint="-0.499984740745262"/>
      </bottom>
      <diagonal/>
    </border>
    <border>
      <left style="thick">
        <color auto="1"/>
      </left>
      <right style="thick">
        <color auto="1"/>
      </right>
      <top style="thin">
        <color theme="0" tint="-0.499984740745262"/>
      </top>
      <bottom style="thick">
        <color auto="1"/>
      </bottom>
      <diagonal/>
    </border>
    <border>
      <left style="thick">
        <color auto="1"/>
      </left>
      <right style="thin">
        <color theme="0" tint="-0.499984740745262"/>
      </right>
      <top style="thin">
        <color theme="0" tint="-0.499984740745262"/>
      </top>
      <bottom style="thin">
        <color theme="0" tint="-0.499984740745262"/>
      </bottom>
      <diagonal/>
    </border>
    <border>
      <left style="thin">
        <color theme="0" tint="-0.499984740745262"/>
      </left>
      <right style="thick">
        <color auto="1"/>
      </right>
      <top style="thin">
        <color theme="0" tint="-0.499984740745262"/>
      </top>
      <bottom style="thin">
        <color theme="0" tint="-0.499984740745262"/>
      </bottom>
      <diagonal/>
    </border>
    <border>
      <left style="thick">
        <color auto="1"/>
      </left>
      <right/>
      <top style="thin">
        <color theme="0" tint="-0.499984740745262"/>
      </top>
      <bottom style="thin">
        <color theme="0" tint="-0.499984740745262"/>
      </bottom>
      <diagonal/>
    </border>
    <border>
      <left/>
      <right style="thick">
        <color auto="1"/>
      </right>
      <top style="thin">
        <color theme="0" tint="-0.499984740745262"/>
      </top>
      <bottom style="thin">
        <color theme="0" tint="-0.499984740745262"/>
      </bottom>
      <diagonal/>
    </border>
    <border>
      <left style="thick">
        <color auto="1"/>
      </left>
      <right/>
      <top style="thin">
        <color theme="0" tint="-0.499984740745262"/>
      </top>
      <bottom style="thick">
        <color auto="1"/>
      </bottom>
      <diagonal/>
    </border>
    <border>
      <left style="thick">
        <color theme="0" tint="-0.499984740745262"/>
      </left>
      <right style="thick">
        <color theme="0" tint="-0.499984740745262"/>
      </right>
      <top style="thick">
        <color theme="0" tint="-0.499984740745262"/>
      </top>
      <bottom style="thick">
        <color auto="1"/>
      </bottom>
      <diagonal/>
    </border>
    <border>
      <left/>
      <right style="thick">
        <color auto="1"/>
      </right>
      <top style="thin">
        <color theme="0" tint="-0.499984740745262"/>
      </top>
      <bottom style="thick">
        <color auto="1"/>
      </bottom>
      <diagonal/>
    </border>
    <border>
      <left style="thick">
        <color auto="1"/>
      </left>
      <right style="thin">
        <color theme="0" tint="-0.499984740745262"/>
      </right>
      <top style="thin">
        <color theme="0" tint="-0.499984740745262"/>
      </top>
      <bottom style="thick">
        <color auto="1"/>
      </bottom>
      <diagonal/>
    </border>
    <border>
      <left style="thin">
        <color theme="0" tint="-0.499984740745262"/>
      </left>
      <right style="thin">
        <color theme="0" tint="-0.499984740745262"/>
      </right>
      <top style="thin">
        <color theme="0" tint="-0.499984740745262"/>
      </top>
      <bottom style="thick">
        <color auto="1"/>
      </bottom>
      <diagonal/>
    </border>
    <border>
      <left style="thin">
        <color theme="0" tint="-0.499984740745262"/>
      </left>
      <right style="thick">
        <color auto="1"/>
      </right>
      <top style="thin">
        <color theme="0" tint="-0.499984740745262"/>
      </top>
      <bottom style="thick">
        <color auto="1"/>
      </bottom>
      <diagonal/>
    </border>
    <border>
      <left style="thick">
        <color theme="1"/>
      </left>
      <right style="thick">
        <color theme="1"/>
      </right>
      <top/>
      <bottom style="thin">
        <color theme="0" tint="-0.499984740745262"/>
      </bottom>
      <diagonal/>
    </border>
    <border>
      <left style="thick">
        <color auto="1"/>
      </left>
      <right style="thick">
        <color auto="1"/>
      </right>
      <top/>
      <bottom style="thin">
        <color theme="0" tint="-0.499984740745262"/>
      </bottom>
      <diagonal/>
    </border>
    <border>
      <left style="thick">
        <color theme="1"/>
      </left>
      <right style="thin">
        <color theme="0" tint="-0.499984740745262"/>
      </right>
      <top/>
      <bottom style="thin">
        <color theme="0" tint="-0.499984740745262"/>
      </bottom>
      <diagonal/>
    </border>
    <border>
      <left style="thin">
        <color theme="0" tint="-0.499984740745262"/>
      </left>
      <right style="thick">
        <color theme="1"/>
      </right>
      <top/>
      <bottom style="thin">
        <color theme="0" tint="-0.499984740745262"/>
      </bottom>
      <diagonal/>
    </border>
    <border>
      <left style="thick">
        <color auto="1"/>
      </left>
      <right style="thin">
        <color theme="0" tint="-0.499984740745262"/>
      </right>
      <top/>
      <bottom style="thin">
        <color theme="0" tint="-0.499984740745262"/>
      </bottom>
      <diagonal/>
    </border>
    <border>
      <left style="thin">
        <color theme="0" tint="-0.499984740745262"/>
      </left>
      <right style="thick">
        <color auto="1"/>
      </right>
      <top/>
      <bottom style="thin">
        <color theme="0" tint="-0.499984740745262"/>
      </bottom>
      <diagonal/>
    </border>
    <border>
      <left style="thick">
        <color theme="1"/>
      </left>
      <right style="thick">
        <color theme="1"/>
      </right>
      <top style="thick">
        <color theme="1"/>
      </top>
      <bottom style="medium">
        <color auto="1"/>
      </bottom>
      <diagonal/>
    </border>
    <border>
      <left style="thick">
        <color auto="1"/>
      </left>
      <right style="thick">
        <color auto="1"/>
      </right>
      <top style="thick">
        <color auto="1"/>
      </top>
      <bottom style="medium">
        <color auto="1"/>
      </bottom>
      <diagonal/>
    </border>
    <border>
      <left style="thick">
        <color theme="1"/>
      </left>
      <right style="thin">
        <color theme="0" tint="-0.499984740745262"/>
      </right>
      <top style="thick">
        <color theme="1"/>
      </top>
      <bottom style="medium">
        <color auto="1"/>
      </bottom>
      <diagonal/>
    </border>
    <border>
      <left style="thin">
        <color theme="0" tint="-0.499984740745262"/>
      </left>
      <right style="thin">
        <color theme="0" tint="-0.499984740745262"/>
      </right>
      <top style="thick">
        <color theme="1"/>
      </top>
      <bottom style="medium">
        <color auto="1"/>
      </bottom>
      <diagonal/>
    </border>
    <border>
      <left style="thin">
        <color theme="0" tint="-0.499984740745262"/>
      </left>
      <right style="thick">
        <color theme="1"/>
      </right>
      <top style="thick">
        <color theme="1"/>
      </top>
      <bottom style="medium">
        <color auto="1"/>
      </bottom>
      <diagonal/>
    </border>
    <border>
      <left style="thick">
        <color auto="1"/>
      </left>
      <right/>
      <top style="thick">
        <color auto="1"/>
      </top>
      <bottom style="medium">
        <color auto="1"/>
      </bottom>
      <diagonal/>
    </border>
    <border>
      <left style="thin">
        <color auto="1"/>
      </left>
      <right style="thin">
        <color auto="1"/>
      </right>
      <top style="thick">
        <color auto="1"/>
      </top>
      <bottom style="medium">
        <color auto="1"/>
      </bottom>
      <diagonal/>
    </border>
    <border>
      <left/>
      <right style="thick">
        <color auto="1"/>
      </right>
      <top style="thick">
        <color auto="1"/>
      </top>
      <bottom style="medium">
        <color auto="1"/>
      </bottom>
      <diagonal/>
    </border>
    <border>
      <left style="thick">
        <color auto="1"/>
      </left>
      <right style="thin">
        <color theme="0" tint="-0.499984740745262"/>
      </right>
      <top style="thick">
        <color auto="1"/>
      </top>
      <bottom style="medium">
        <color auto="1"/>
      </bottom>
      <diagonal/>
    </border>
    <border>
      <left style="thin">
        <color theme="0" tint="-0.499984740745262"/>
      </left>
      <right style="thin">
        <color theme="0" tint="-0.499984740745262"/>
      </right>
      <top style="thick">
        <color auto="1"/>
      </top>
      <bottom style="medium">
        <color auto="1"/>
      </bottom>
      <diagonal/>
    </border>
    <border>
      <left style="thin">
        <color theme="0" tint="-0.499984740745262"/>
      </left>
      <right style="thick">
        <color auto="1"/>
      </right>
      <top style="thick">
        <color auto="1"/>
      </top>
      <bottom style="medium">
        <color auto="1"/>
      </bottom>
      <diagonal/>
    </border>
    <border>
      <left style="medium">
        <color theme="1"/>
      </left>
      <right style="medium">
        <color theme="1"/>
      </right>
      <top style="medium">
        <color theme="1"/>
      </top>
      <bottom style="medium">
        <color theme="1"/>
      </bottom>
      <diagonal/>
    </border>
    <border>
      <left style="thick">
        <color theme="1"/>
      </left>
      <right style="thin">
        <color theme="0" tint="-0.499984740745262"/>
      </right>
      <top style="thick">
        <color theme="1"/>
      </top>
      <bottom style="medium">
        <color theme="0" tint="-0.499984740745262"/>
      </bottom>
      <diagonal/>
    </border>
    <border>
      <left style="thin">
        <color theme="0" tint="-0.499984740745262"/>
      </left>
      <right style="thin">
        <color theme="0" tint="-0.499984740745262"/>
      </right>
      <top style="thick">
        <color theme="1"/>
      </top>
      <bottom style="medium">
        <color theme="0" tint="-0.499984740745262"/>
      </bottom>
      <diagonal/>
    </border>
    <border>
      <left style="thin">
        <color theme="0" tint="-0.499984740745262"/>
      </left>
      <right style="thick">
        <color theme="1"/>
      </right>
      <top style="thick">
        <color theme="1"/>
      </top>
      <bottom style="medium">
        <color theme="0" tint="-0.499984740745262"/>
      </bottom>
      <diagonal/>
    </border>
    <border>
      <left style="thin">
        <color theme="0" tint="-0.499984740745262"/>
      </left>
      <right style="thin">
        <color theme="0" tint="-0.499984740745262"/>
      </right>
      <top/>
      <bottom style="thick">
        <color theme="1"/>
      </bottom>
      <diagonal/>
    </border>
    <border>
      <left style="thick">
        <color theme="1"/>
      </left>
      <right style="thick">
        <color theme="1"/>
      </right>
      <top style="thick">
        <color theme="1"/>
      </top>
      <bottom style="medium">
        <color theme="1"/>
      </bottom>
      <diagonal/>
    </border>
    <border>
      <left style="thick">
        <color theme="1"/>
      </left>
      <right style="thin">
        <color theme="0" tint="-0.499984740745262"/>
      </right>
      <top style="thick">
        <color theme="1"/>
      </top>
      <bottom style="medium">
        <color theme="1"/>
      </bottom>
      <diagonal/>
    </border>
    <border>
      <left style="thin">
        <color theme="0" tint="-0.499984740745262"/>
      </left>
      <right style="thin">
        <color theme="0" tint="-0.499984740745262"/>
      </right>
      <top style="thick">
        <color theme="1"/>
      </top>
      <bottom style="medium">
        <color theme="1"/>
      </bottom>
      <diagonal/>
    </border>
    <border>
      <left style="thin">
        <color theme="0" tint="-0.499984740745262"/>
      </left>
      <right style="thick">
        <color theme="1"/>
      </right>
      <top style="thick">
        <color theme="1"/>
      </top>
      <bottom style="medium">
        <color theme="1"/>
      </bottom>
      <diagonal/>
    </border>
    <border>
      <left style="thin">
        <color theme="0"/>
      </left>
      <right style="thin">
        <color theme="0"/>
      </right>
      <top/>
      <bottom/>
      <diagonal/>
    </border>
    <border>
      <left/>
      <right style="thin">
        <color theme="0"/>
      </right>
      <top/>
      <bottom/>
      <diagonal/>
    </border>
    <border>
      <left/>
      <right style="thin">
        <color theme="0"/>
      </right>
      <top style="thin">
        <color theme="0"/>
      </top>
      <bottom/>
      <diagonal/>
    </border>
    <border>
      <left/>
      <right style="thin">
        <color theme="0"/>
      </right>
      <top/>
      <bottom style="thin">
        <color theme="0"/>
      </bottom>
      <diagonal/>
    </border>
    <border>
      <left style="thin">
        <color theme="0" tint="-0.499984740745262"/>
      </left>
      <right style="thin">
        <color theme="1"/>
      </right>
      <top style="thin">
        <color theme="0" tint="-0.499984740745262"/>
      </top>
      <bottom style="thin">
        <color theme="0" tint="-0.499984740745262"/>
      </bottom>
      <diagonal/>
    </border>
    <border>
      <left style="medium">
        <color theme="1"/>
      </left>
      <right style="thin">
        <color theme="1"/>
      </right>
      <top style="medium">
        <color theme="1"/>
      </top>
      <bottom style="medium">
        <color theme="1"/>
      </bottom>
      <diagonal/>
    </border>
    <border>
      <left/>
      <right style="thick">
        <color theme="1"/>
      </right>
      <top style="thin">
        <color theme="0" tint="-0.499984740745262"/>
      </top>
      <bottom style="thin">
        <color theme="0" tint="-0.499984740745262"/>
      </bottom>
      <diagonal/>
    </border>
    <border>
      <left style="medium">
        <color theme="0" tint="-0.499984740745262"/>
      </left>
      <right style="thick">
        <color theme="1"/>
      </right>
      <top style="thin">
        <color theme="0" tint="-0.499984740745262"/>
      </top>
      <bottom style="thin">
        <color theme="0" tint="-0.499984740745262"/>
      </bottom>
      <diagonal/>
    </border>
    <border>
      <left/>
      <right style="thick">
        <color theme="1"/>
      </right>
      <top/>
      <bottom style="thin">
        <color theme="0" tint="-0.499984740745262"/>
      </bottom>
      <diagonal/>
    </border>
    <border>
      <left/>
      <right style="thick">
        <color theme="1"/>
      </right>
      <top style="thin">
        <color theme="0" tint="-0.499984740745262"/>
      </top>
      <bottom style="thick">
        <color theme="1"/>
      </bottom>
      <diagonal/>
    </border>
    <border>
      <left style="thick">
        <color theme="1"/>
      </left>
      <right style="thin">
        <color theme="0" tint="-0.499984740745262"/>
      </right>
      <top style="thick">
        <color theme="1"/>
      </top>
      <bottom style="thin">
        <color theme="0" tint="-0.499984740745262"/>
      </bottom>
      <diagonal/>
    </border>
    <border>
      <left style="thin">
        <color theme="0" tint="-0.499984740745262"/>
      </left>
      <right style="thick">
        <color theme="1"/>
      </right>
      <top style="thick">
        <color theme="1"/>
      </top>
      <bottom style="thin">
        <color theme="0" tint="-0.499984740745262"/>
      </bottom>
      <diagonal/>
    </border>
    <border>
      <left style="thick">
        <color theme="1"/>
      </left>
      <right/>
      <top/>
      <bottom/>
      <diagonal/>
    </border>
    <border>
      <left/>
      <right style="thick">
        <color theme="1"/>
      </right>
      <top/>
      <bottom/>
      <diagonal/>
    </border>
    <border>
      <left style="thin">
        <color theme="0" tint="-0.499984740745262"/>
      </left>
      <right style="thin">
        <color theme="0" tint="-0.499984740745262"/>
      </right>
      <top style="thick">
        <color theme="1"/>
      </top>
      <bottom style="thin">
        <color theme="0" tint="-0.499984740745262"/>
      </bottom>
      <diagonal/>
    </border>
    <border>
      <left/>
      <right/>
      <top style="thick">
        <color theme="1"/>
      </top>
      <bottom/>
      <diagonal/>
    </border>
    <border>
      <left/>
      <right style="thin">
        <color theme="0" tint="-0.499984740745262"/>
      </right>
      <top style="thick">
        <color theme="1"/>
      </top>
      <bottom/>
      <diagonal/>
    </border>
    <border>
      <left/>
      <right style="thick">
        <color theme="1"/>
      </right>
      <top style="thick">
        <color theme="1"/>
      </top>
      <bottom/>
      <diagonal/>
    </border>
    <border>
      <left style="thick">
        <color theme="1"/>
      </left>
      <right/>
      <top style="thin">
        <color theme="0" tint="-0.499984740745262"/>
      </top>
      <bottom style="thin">
        <color theme="0" tint="-0.499984740745262"/>
      </bottom>
      <diagonal/>
    </border>
    <border>
      <left style="thick">
        <color theme="1"/>
      </left>
      <right/>
      <top/>
      <bottom style="thick">
        <color theme="1"/>
      </bottom>
      <diagonal/>
    </border>
    <border>
      <left/>
      <right/>
      <top/>
      <bottom style="thick">
        <color theme="1"/>
      </bottom>
      <diagonal/>
    </border>
    <border>
      <left/>
      <right style="thick">
        <color theme="1"/>
      </right>
      <top/>
      <bottom style="thick">
        <color theme="1"/>
      </bottom>
      <diagonal/>
    </border>
    <border>
      <left style="thin">
        <color theme="0" tint="-0.499984740745262"/>
      </left>
      <right style="thick">
        <color theme="1"/>
      </right>
      <top/>
      <bottom/>
      <diagonal/>
    </border>
    <border>
      <left style="thick">
        <color theme="1"/>
      </left>
      <right/>
      <top style="thick">
        <color theme="1"/>
      </top>
      <bottom style="thick">
        <color theme="1"/>
      </bottom>
      <diagonal/>
    </border>
    <border>
      <left style="medium">
        <color theme="0" tint="-0.499984740745262"/>
      </left>
      <right style="medium">
        <color theme="0" tint="-0.499984740745262"/>
      </right>
      <top style="medium">
        <color theme="1"/>
      </top>
      <bottom style="thick">
        <color theme="1"/>
      </bottom>
      <diagonal/>
    </border>
    <border>
      <left style="thick">
        <color theme="1"/>
      </left>
      <right/>
      <top style="medium">
        <color theme="1"/>
      </top>
      <bottom style="thick">
        <color theme="1"/>
      </bottom>
      <diagonal/>
    </border>
    <border>
      <left style="thick">
        <color theme="1"/>
      </left>
      <right/>
      <top/>
      <bottom style="thin">
        <color theme="0" tint="-0.499984740745262"/>
      </bottom>
      <diagonal/>
    </border>
    <border>
      <left style="thick">
        <color theme="1"/>
      </left>
      <right/>
      <top style="thin">
        <color theme="0" tint="-0.499984740745262"/>
      </top>
      <bottom style="thick">
        <color theme="1"/>
      </bottom>
      <diagonal/>
    </border>
    <border>
      <left/>
      <right style="thick">
        <color theme="1"/>
      </right>
      <top style="medium">
        <color theme="1"/>
      </top>
      <bottom style="thick">
        <color theme="1"/>
      </bottom>
      <diagonal/>
    </border>
    <border>
      <left style="medium">
        <color theme="0" tint="-0.499984740745262"/>
      </left>
      <right style="medium">
        <color theme="0" tint="-0.499984740745262"/>
      </right>
      <top/>
      <bottom style="thin">
        <color theme="0" tint="-0.499984740745262"/>
      </bottom>
      <diagonal/>
    </border>
    <border>
      <left style="medium">
        <color theme="0" tint="-0.499984740745262"/>
      </left>
      <right style="medium">
        <color theme="0" tint="-0.499984740745262"/>
      </right>
      <top style="thin">
        <color theme="0" tint="-0.499984740745262"/>
      </top>
      <bottom style="thin">
        <color theme="0" tint="-0.499984740745262"/>
      </bottom>
      <diagonal/>
    </border>
    <border>
      <left style="medium">
        <color theme="0" tint="-0.499984740745262"/>
      </left>
      <right style="medium">
        <color theme="0" tint="-0.499984740745262"/>
      </right>
      <top style="thin">
        <color theme="0" tint="-0.499984740745262"/>
      </top>
      <bottom style="thick">
        <color theme="1"/>
      </bottom>
      <diagonal/>
    </border>
    <border>
      <left style="thick">
        <color theme="1"/>
      </left>
      <right/>
      <top style="thick">
        <color theme="1"/>
      </top>
      <bottom style="thin">
        <color theme="0" tint="-0.499984740745262"/>
      </bottom>
      <diagonal/>
    </border>
    <border>
      <left/>
      <right style="thick">
        <color theme="1"/>
      </right>
      <top style="thick">
        <color theme="1"/>
      </top>
      <bottom style="thin">
        <color theme="0" tint="-0.499984740745262"/>
      </bottom>
      <diagonal/>
    </border>
    <border>
      <left style="medium">
        <color theme="0" tint="-0.499984740745262"/>
      </left>
      <right style="medium">
        <color theme="0" tint="-0.499984740745262"/>
      </right>
      <top style="thick">
        <color theme="1"/>
      </top>
      <bottom style="thin">
        <color theme="0" tint="-0.499984740745262"/>
      </bottom>
      <diagonal/>
    </border>
    <border>
      <left/>
      <right/>
      <top style="thick">
        <color theme="1"/>
      </top>
      <bottom style="thick">
        <color theme="1"/>
      </bottom>
      <diagonal/>
    </border>
    <border>
      <left/>
      <right style="thick">
        <color theme="1"/>
      </right>
      <top style="thick">
        <color theme="1"/>
      </top>
      <bottom style="thick">
        <color theme="1"/>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right style="thick">
        <color auto="1"/>
      </right>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right/>
      <top style="thin">
        <color auto="1"/>
      </top>
      <bottom/>
      <diagonal/>
    </border>
    <border>
      <left/>
      <right/>
      <top/>
      <bottom style="thin">
        <color auto="1"/>
      </bottom>
      <diagonal/>
    </border>
    <border>
      <left style="thick">
        <color theme="1"/>
      </left>
      <right/>
      <top style="thin">
        <color theme="0" tint="-0.499984740745262"/>
      </top>
      <bottom/>
      <diagonal/>
    </border>
    <border>
      <left/>
      <right style="thin">
        <color theme="0" tint="-0.499984740745262"/>
      </right>
      <top style="thick">
        <color theme="1"/>
      </top>
      <bottom style="thin">
        <color theme="0" tint="-0.499984740745262"/>
      </bottom>
      <diagonal/>
    </border>
    <border>
      <left style="thin">
        <color theme="0" tint="-0.499984740745262"/>
      </left>
      <right/>
      <top style="thick">
        <color theme="1"/>
      </top>
      <bottom style="thin">
        <color theme="0" tint="-0.499984740745262"/>
      </bottom>
      <diagonal/>
    </border>
    <border>
      <left style="thin">
        <color theme="1"/>
      </left>
      <right style="thin">
        <color theme="1"/>
      </right>
      <top style="thin">
        <color theme="1"/>
      </top>
      <bottom style="thin">
        <color theme="1"/>
      </bottom>
      <diagonal/>
    </border>
    <border>
      <left/>
      <right style="thick">
        <color theme="1"/>
      </right>
      <top style="thin">
        <color theme="0" tint="-0.499984740745262"/>
      </top>
      <bottom/>
      <diagonal/>
    </border>
    <border>
      <left style="medium">
        <color theme="1"/>
      </left>
      <right style="thin">
        <color theme="1"/>
      </right>
      <top style="medium">
        <color theme="1"/>
      </top>
      <bottom style="thin">
        <color theme="1"/>
      </bottom>
      <diagonal/>
    </border>
    <border>
      <left style="thin">
        <color theme="1"/>
      </left>
      <right style="thin">
        <color theme="1"/>
      </right>
      <top style="medium">
        <color theme="1"/>
      </top>
      <bottom style="thin">
        <color theme="1"/>
      </bottom>
      <diagonal/>
    </border>
    <border>
      <left style="thin">
        <color theme="1"/>
      </left>
      <right style="medium">
        <color theme="1"/>
      </right>
      <top style="medium">
        <color theme="1"/>
      </top>
      <bottom style="thin">
        <color theme="1"/>
      </bottom>
      <diagonal/>
    </border>
    <border>
      <left style="medium">
        <color theme="1"/>
      </left>
      <right style="thin">
        <color theme="1"/>
      </right>
      <top style="thin">
        <color theme="1"/>
      </top>
      <bottom style="medium">
        <color theme="1"/>
      </bottom>
      <diagonal/>
    </border>
    <border>
      <left style="thin">
        <color theme="1"/>
      </left>
      <right style="thin">
        <color theme="1"/>
      </right>
      <top style="thin">
        <color theme="1"/>
      </top>
      <bottom style="medium">
        <color theme="1"/>
      </bottom>
      <diagonal/>
    </border>
    <border>
      <left style="thin">
        <color theme="1"/>
      </left>
      <right style="medium">
        <color theme="1"/>
      </right>
      <top style="thin">
        <color theme="1"/>
      </top>
      <bottom style="medium">
        <color theme="1"/>
      </bottom>
      <diagonal/>
    </border>
    <border>
      <left style="thick">
        <color theme="1"/>
      </left>
      <right style="thin">
        <color theme="0" tint="-0.499984740745262"/>
      </right>
      <top style="thin">
        <color theme="0" tint="-0.499984740745262"/>
      </top>
      <bottom/>
      <diagonal/>
    </border>
    <border>
      <left style="thin">
        <color theme="0" tint="-0.499984740745262"/>
      </left>
      <right style="thick">
        <color theme="1"/>
      </right>
      <top style="thin">
        <color theme="0" tint="-0.499984740745262"/>
      </top>
      <bottom/>
      <diagonal/>
    </border>
    <border>
      <left style="thick">
        <color theme="1"/>
      </left>
      <right style="thin">
        <color indexed="64"/>
      </right>
      <top style="thin">
        <color theme="0" tint="-0.499984740745262"/>
      </top>
      <bottom style="thin">
        <color theme="0" tint="-0.499984740745262"/>
      </bottom>
      <diagonal/>
    </border>
    <border>
      <left/>
      <right/>
      <top/>
      <bottom style="dashDotDot">
        <color auto="1"/>
      </bottom>
      <diagonal/>
    </border>
    <border>
      <left/>
      <right/>
      <top style="dashDotDot">
        <color auto="1"/>
      </top>
      <bottom/>
      <diagonal/>
    </border>
    <border>
      <left/>
      <right style="thick">
        <color auto="1"/>
      </right>
      <top/>
      <bottom style="dashDotDot">
        <color auto="1"/>
      </bottom>
      <diagonal/>
    </border>
    <border>
      <left style="thick">
        <color auto="1"/>
      </left>
      <right style="medium">
        <color auto="1"/>
      </right>
      <top/>
      <bottom/>
      <diagonal/>
    </border>
    <border>
      <left style="thick">
        <color auto="1"/>
      </left>
      <right style="medium">
        <color auto="1"/>
      </right>
      <top/>
      <bottom style="dashDotDot">
        <color auto="1"/>
      </bottom>
      <diagonal/>
    </border>
    <border>
      <left style="thick">
        <color auto="1"/>
      </left>
      <right style="medium">
        <color auto="1"/>
      </right>
      <top style="thick">
        <color auto="1"/>
      </top>
      <bottom/>
      <diagonal/>
    </border>
    <border>
      <left/>
      <right/>
      <top style="dashDotDot">
        <color auto="1"/>
      </top>
      <bottom style="dashDotDot">
        <color auto="1"/>
      </bottom>
      <diagonal/>
    </border>
    <border>
      <left/>
      <right style="thick">
        <color auto="1"/>
      </right>
      <top style="dashDotDot">
        <color auto="1"/>
      </top>
      <bottom style="dashDotDot">
        <color auto="1"/>
      </bottom>
      <diagonal/>
    </border>
    <border>
      <left style="thick">
        <color auto="1"/>
      </left>
      <right style="medium">
        <color auto="1"/>
      </right>
      <top style="dashDotDot">
        <color auto="1"/>
      </top>
      <bottom style="dashDotDot">
        <color auto="1"/>
      </bottom>
      <diagonal/>
    </border>
    <border>
      <left/>
      <right style="thick">
        <color auto="1"/>
      </right>
      <top style="dashDotDot">
        <color auto="1"/>
      </top>
      <bottom/>
      <diagonal/>
    </border>
    <border>
      <left style="thick">
        <color auto="1"/>
      </left>
      <right style="medium">
        <color auto="1"/>
      </right>
      <top style="dashDotDot">
        <color auto="1"/>
      </top>
      <bottom/>
      <diagonal/>
    </border>
    <border>
      <left/>
      <right/>
      <top style="dashDotDot">
        <color auto="1"/>
      </top>
      <bottom style="thick">
        <color auto="1"/>
      </bottom>
      <diagonal/>
    </border>
    <border>
      <left style="thick">
        <color auto="1"/>
      </left>
      <right style="thick">
        <color auto="1"/>
      </right>
      <top style="thick">
        <color auto="1"/>
      </top>
      <bottom style="thick">
        <color auto="1"/>
      </bottom>
      <diagonal/>
    </border>
    <border>
      <left style="thick">
        <color auto="1"/>
      </left>
      <right style="thick">
        <color auto="1"/>
      </right>
      <top style="thick">
        <color auto="1"/>
      </top>
      <bottom/>
      <diagonal/>
    </border>
    <border>
      <left style="thick">
        <color auto="1"/>
      </left>
      <right style="thick">
        <color auto="1"/>
      </right>
      <top/>
      <bottom style="thick">
        <color auto="1"/>
      </bottom>
      <diagonal/>
    </border>
    <border>
      <left style="thick">
        <color auto="1"/>
      </left>
      <right style="medium">
        <color auto="1"/>
      </right>
      <top/>
      <bottom style="thick">
        <color auto="1"/>
      </bottom>
      <diagonal/>
    </border>
    <border>
      <left/>
      <right/>
      <top style="thick">
        <color auto="1"/>
      </top>
      <bottom style="thick">
        <color auto="1"/>
      </bottom>
      <diagonal/>
    </border>
    <border>
      <left/>
      <right style="thick">
        <color auto="1"/>
      </right>
      <top style="thick">
        <color auto="1"/>
      </top>
      <bottom style="thick">
        <color auto="1"/>
      </bottom>
      <diagonal/>
    </border>
    <border>
      <left/>
      <right style="medium">
        <color auto="1"/>
      </right>
      <top/>
      <bottom/>
      <diagonal/>
    </border>
    <border>
      <left style="medium">
        <color auto="1"/>
      </left>
      <right/>
      <top/>
      <bottom/>
      <diagonal/>
    </border>
    <border>
      <left style="thick">
        <color auto="1"/>
      </left>
      <right style="medium">
        <color auto="1"/>
      </right>
      <top style="thin">
        <color auto="1"/>
      </top>
      <bottom/>
      <diagonal/>
    </border>
    <border>
      <left style="thick">
        <color auto="1"/>
      </left>
      <right style="medium">
        <color auto="1"/>
      </right>
      <top/>
      <bottom style="thin">
        <color auto="1"/>
      </bottom>
      <diagonal/>
    </border>
    <border>
      <left style="thick">
        <color auto="1"/>
      </left>
      <right/>
      <top style="thick">
        <color auto="1"/>
      </top>
      <bottom style="thick">
        <color auto="1"/>
      </bottom>
      <diagonal/>
    </border>
    <border>
      <left style="thick">
        <color theme="1"/>
      </left>
      <right/>
      <top style="thick">
        <color theme="1"/>
      </top>
      <bottom/>
      <diagonal/>
    </border>
    <border>
      <left/>
      <right style="thick">
        <color auto="1"/>
      </right>
      <top style="thin">
        <color auto="1"/>
      </top>
      <bottom/>
      <diagonal/>
    </border>
    <border>
      <left/>
      <right style="thick">
        <color auto="1"/>
      </right>
      <top/>
      <bottom style="thin">
        <color auto="1"/>
      </bottom>
      <diagonal/>
    </border>
    <border>
      <left style="thick">
        <color auto="1"/>
      </left>
      <right style="thick">
        <color auto="1"/>
      </right>
      <top style="dashDotDot">
        <color auto="1"/>
      </top>
      <bottom style="dashDotDot">
        <color auto="1"/>
      </bottom>
      <diagonal/>
    </border>
    <border>
      <left style="thick">
        <color auto="1"/>
      </left>
      <right/>
      <top style="dashDotDot">
        <color auto="1"/>
      </top>
      <bottom style="dashDotDot">
        <color auto="1"/>
      </bottom>
      <diagonal/>
    </border>
    <border>
      <left style="thick">
        <color auto="1"/>
      </left>
      <right style="medium">
        <color auto="1"/>
      </right>
      <top style="dashDotDot">
        <color auto="1"/>
      </top>
      <bottom style="thick">
        <color auto="1"/>
      </bottom>
      <diagonal/>
    </border>
    <border>
      <left/>
      <right style="thick">
        <color theme="1"/>
      </right>
      <top style="thick">
        <color theme="1"/>
      </top>
      <bottom style="medium">
        <color theme="1"/>
      </bottom>
      <diagonal/>
    </border>
    <border>
      <left style="thick">
        <color theme="1"/>
      </left>
      <right style="medium">
        <color theme="0" tint="-0.499984740745262"/>
      </right>
      <top style="thick">
        <color theme="1"/>
      </top>
      <bottom/>
      <diagonal/>
    </border>
    <border>
      <left style="thick">
        <color theme="1"/>
      </left>
      <right style="medium">
        <color theme="0" tint="-0.499984740745262"/>
      </right>
      <top/>
      <bottom/>
      <diagonal/>
    </border>
    <border>
      <left style="thick">
        <color theme="1"/>
      </left>
      <right style="medium">
        <color theme="0" tint="-0.499984740745262"/>
      </right>
      <top/>
      <bottom style="thick">
        <color theme="1"/>
      </bottom>
      <diagonal/>
    </border>
    <border>
      <left style="thick">
        <color theme="1"/>
      </left>
      <right style="thick">
        <color theme="1"/>
      </right>
      <top/>
      <bottom/>
      <diagonal/>
    </border>
    <border>
      <left style="thick">
        <color indexed="64"/>
      </left>
      <right style="medium">
        <color indexed="64"/>
      </right>
      <top style="thick">
        <color indexed="64"/>
      </top>
      <bottom style="medium">
        <color theme="1"/>
      </bottom>
      <diagonal/>
    </border>
    <border>
      <left style="thick">
        <color indexed="64"/>
      </left>
      <right style="medium">
        <color indexed="64"/>
      </right>
      <top style="thick">
        <color theme="1"/>
      </top>
      <bottom style="thin">
        <color theme="0" tint="-0.499984740745262"/>
      </bottom>
      <diagonal/>
    </border>
    <border>
      <left style="thick">
        <color indexed="64"/>
      </left>
      <right style="medium">
        <color indexed="64"/>
      </right>
      <top style="thin">
        <color theme="0" tint="-0.499984740745262"/>
      </top>
      <bottom style="thin">
        <color theme="0" tint="-0.499984740745262"/>
      </bottom>
      <diagonal/>
    </border>
    <border>
      <left style="thick">
        <color indexed="64"/>
      </left>
      <right style="medium">
        <color indexed="64"/>
      </right>
      <top style="thick">
        <color theme="1"/>
      </top>
      <bottom style="medium">
        <color theme="1"/>
      </bottom>
      <diagonal/>
    </border>
    <border>
      <left style="thick">
        <color indexed="64"/>
      </left>
      <right style="medium">
        <color indexed="64"/>
      </right>
      <top style="thin">
        <color theme="0" tint="-0.499984740745262"/>
      </top>
      <bottom style="thick">
        <color theme="1"/>
      </bottom>
      <diagonal/>
    </border>
    <border>
      <left style="thick">
        <color indexed="64"/>
      </left>
      <right style="medium">
        <color indexed="64"/>
      </right>
      <top style="thin">
        <color theme="0" tint="-0.499984740745262"/>
      </top>
      <bottom style="thick">
        <color auto="1"/>
      </bottom>
      <diagonal/>
    </border>
    <border>
      <left style="medium">
        <color theme="0" tint="-0.499984740745262"/>
      </left>
      <right style="medium">
        <color theme="0" tint="-0.499984740745262"/>
      </right>
      <top style="thin">
        <color theme="0" tint="-0.499984740745262"/>
      </top>
      <bottom/>
      <diagonal/>
    </border>
    <border>
      <left style="medium">
        <color theme="0" tint="-0.499984740745262"/>
      </left>
      <right style="thick">
        <color theme="1"/>
      </right>
      <top style="thin">
        <color theme="0" tint="-0.499984740745262"/>
      </top>
      <bottom/>
      <diagonal/>
    </border>
    <border>
      <left style="medium">
        <color theme="0" tint="-0.499984740745262"/>
      </left>
      <right style="thick">
        <color theme="1"/>
      </right>
      <top/>
      <bottom style="thin">
        <color theme="0" tint="-0.499984740745262"/>
      </bottom>
      <diagonal/>
    </border>
    <border>
      <left style="thick">
        <color theme="1"/>
      </left>
      <right/>
      <top style="thick">
        <color theme="1"/>
      </top>
      <bottom style="medium">
        <color theme="1"/>
      </bottom>
      <diagonal/>
    </border>
    <border>
      <left/>
      <right/>
      <top style="thick">
        <color theme="1"/>
      </top>
      <bottom style="medium">
        <color theme="1"/>
      </bottom>
      <diagonal/>
    </border>
    <border>
      <left style="thick">
        <color theme="1"/>
      </left>
      <right/>
      <top style="thin">
        <color theme="1"/>
      </top>
      <bottom style="thick">
        <color theme="1"/>
      </bottom>
      <diagonal/>
    </border>
    <border>
      <left/>
      <right style="thin">
        <color theme="0" tint="-0.499984740745262"/>
      </right>
      <top style="thin">
        <color theme="1"/>
      </top>
      <bottom style="thick">
        <color theme="1"/>
      </bottom>
      <diagonal/>
    </border>
    <border>
      <left style="thin">
        <color theme="0" tint="-0.499984740745262"/>
      </left>
      <right style="thin">
        <color theme="0" tint="-0.499984740745262"/>
      </right>
      <top style="thin">
        <color theme="1"/>
      </top>
      <bottom style="thick">
        <color theme="1"/>
      </bottom>
      <diagonal/>
    </border>
    <border>
      <left/>
      <right/>
      <top style="thin">
        <color theme="1"/>
      </top>
      <bottom style="thick">
        <color theme="1"/>
      </bottom>
      <diagonal/>
    </border>
    <border>
      <left/>
      <right style="thick">
        <color theme="1"/>
      </right>
      <top style="thin">
        <color theme="1"/>
      </top>
      <bottom style="thick">
        <color theme="1"/>
      </bottom>
      <diagonal/>
    </border>
    <border>
      <left style="thin">
        <color theme="0" tint="-0.499984740745262"/>
      </left>
      <right style="thick">
        <color theme="1"/>
      </right>
      <top style="thin">
        <color theme="0" tint="-0.499984740745262"/>
      </top>
      <bottom style="thick">
        <color theme="0" tint="-0.499984740745262"/>
      </bottom>
      <diagonal/>
    </border>
    <border>
      <left style="thick">
        <color theme="1"/>
      </left>
      <right style="thin">
        <color theme="0" tint="-0.499984740745262"/>
      </right>
      <top style="thick">
        <color theme="1"/>
      </top>
      <bottom style="thin">
        <color theme="1"/>
      </bottom>
      <diagonal/>
    </border>
    <border>
      <left style="thin">
        <color theme="0" tint="-0.499984740745262"/>
      </left>
      <right style="thin">
        <color theme="0" tint="-0.499984740745262"/>
      </right>
      <top style="thick">
        <color theme="1"/>
      </top>
      <bottom style="thin">
        <color theme="1"/>
      </bottom>
      <diagonal/>
    </border>
    <border>
      <left style="thin">
        <color theme="0" tint="-0.499984740745262"/>
      </left>
      <right style="thick">
        <color theme="1"/>
      </right>
      <top style="thick">
        <color theme="1"/>
      </top>
      <bottom style="thin">
        <color theme="1"/>
      </bottom>
      <diagonal/>
    </border>
    <border>
      <left style="thick">
        <color theme="1"/>
      </left>
      <right style="thin">
        <color theme="0" tint="-0.499984740745262"/>
      </right>
      <top style="thin">
        <color theme="1"/>
      </top>
      <bottom style="thin">
        <color theme="1"/>
      </bottom>
      <diagonal/>
    </border>
    <border>
      <left style="thin">
        <color theme="0" tint="-0.499984740745262"/>
      </left>
      <right style="thin">
        <color theme="0" tint="-0.499984740745262"/>
      </right>
      <top style="thin">
        <color theme="1"/>
      </top>
      <bottom style="thin">
        <color theme="1"/>
      </bottom>
      <diagonal/>
    </border>
    <border>
      <left style="thin">
        <color theme="0" tint="-0.499984740745262"/>
      </left>
      <right style="thick">
        <color theme="1"/>
      </right>
      <top style="thin">
        <color theme="1"/>
      </top>
      <bottom style="thin">
        <color theme="1"/>
      </bottom>
      <diagonal/>
    </border>
    <border>
      <left style="thick">
        <color theme="1"/>
      </left>
      <right style="thin">
        <color theme="0" tint="-0.499984740745262"/>
      </right>
      <top style="thin">
        <color theme="1"/>
      </top>
      <bottom style="thick">
        <color theme="1"/>
      </bottom>
      <diagonal/>
    </border>
    <border>
      <left style="thin">
        <color theme="0" tint="-0.499984740745262"/>
      </left>
      <right style="thick">
        <color theme="1"/>
      </right>
      <top style="thin">
        <color theme="1"/>
      </top>
      <bottom style="thick">
        <color theme="1"/>
      </bottom>
      <diagonal/>
    </border>
    <border>
      <left style="thick">
        <color theme="1"/>
      </left>
      <right style="thin">
        <color theme="0" tint="-0.499984740745262"/>
      </right>
      <top style="thin">
        <color indexed="64"/>
      </top>
      <bottom style="thick">
        <color theme="1"/>
      </bottom>
      <diagonal/>
    </border>
    <border>
      <left style="thin">
        <color theme="0" tint="-0.499984740745262"/>
      </left>
      <right style="thin">
        <color theme="0" tint="-0.499984740745262"/>
      </right>
      <top style="thin">
        <color indexed="64"/>
      </top>
      <bottom style="thick">
        <color theme="1"/>
      </bottom>
      <diagonal/>
    </border>
    <border>
      <left style="thin">
        <color theme="0" tint="-0.499984740745262"/>
      </left>
      <right style="thick">
        <color theme="1"/>
      </right>
      <top style="thin">
        <color indexed="64"/>
      </top>
      <bottom style="thick">
        <color theme="1"/>
      </bottom>
      <diagonal/>
    </border>
    <border>
      <left style="thick">
        <color theme="1"/>
      </left>
      <right style="thin">
        <color theme="0" tint="-0.499984740745262"/>
      </right>
      <top style="thin">
        <color theme="0" tint="-0.499984740745262"/>
      </top>
      <bottom style="medium">
        <color theme="1"/>
      </bottom>
      <diagonal/>
    </border>
    <border>
      <left style="thin">
        <color theme="0" tint="-0.499984740745262"/>
      </left>
      <right style="thin">
        <color theme="0" tint="-0.499984740745262"/>
      </right>
      <top style="thin">
        <color theme="0" tint="-0.499984740745262"/>
      </top>
      <bottom style="medium">
        <color theme="1"/>
      </bottom>
      <diagonal/>
    </border>
    <border>
      <left style="thin">
        <color theme="0" tint="-0.499984740745262"/>
      </left>
      <right style="thick">
        <color theme="1"/>
      </right>
      <top style="thin">
        <color theme="0" tint="-0.499984740745262"/>
      </top>
      <bottom style="medium">
        <color theme="1"/>
      </bottom>
      <diagonal/>
    </border>
    <border>
      <left style="thick">
        <color theme="1"/>
      </left>
      <right style="thin">
        <color theme="0" tint="-0.499984740745262"/>
      </right>
      <top style="medium">
        <color theme="1"/>
      </top>
      <bottom style="thin">
        <color theme="1"/>
      </bottom>
      <diagonal/>
    </border>
    <border>
      <left style="thin">
        <color theme="0" tint="-0.499984740745262"/>
      </left>
      <right style="thin">
        <color theme="0" tint="-0.499984740745262"/>
      </right>
      <top style="medium">
        <color theme="1"/>
      </top>
      <bottom style="thin">
        <color theme="1"/>
      </bottom>
      <diagonal/>
    </border>
    <border>
      <left style="thin">
        <color theme="0" tint="-0.499984740745262"/>
      </left>
      <right style="thick">
        <color theme="1"/>
      </right>
      <top style="medium">
        <color theme="1"/>
      </top>
      <bottom style="thin">
        <color theme="1"/>
      </bottom>
      <diagonal/>
    </border>
    <border>
      <left style="thick">
        <color auto="1"/>
      </left>
      <right style="medium">
        <color auto="1"/>
      </right>
      <top style="thin">
        <color auto="1"/>
      </top>
      <bottom style="dashDotDot">
        <color auto="1"/>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style="thin">
        <color rgb="FF95D6D3"/>
      </left>
      <right/>
      <top style="thin">
        <color rgb="FF95D6D3"/>
      </top>
      <bottom/>
      <diagonal/>
    </border>
    <border>
      <left/>
      <right/>
      <top style="thin">
        <color rgb="FF95D6D3"/>
      </top>
      <bottom/>
      <diagonal/>
    </border>
    <border>
      <left/>
      <right style="thin">
        <color rgb="FF95D6D3"/>
      </right>
      <top style="thin">
        <color rgb="FF95D6D3"/>
      </top>
      <bottom/>
      <diagonal/>
    </border>
    <border>
      <left style="thin">
        <color rgb="FF95D6D3"/>
      </left>
      <right/>
      <top/>
      <bottom/>
      <diagonal/>
    </border>
    <border>
      <left/>
      <right style="thin">
        <color rgb="FF95D6D3"/>
      </right>
      <top/>
      <bottom/>
      <diagonal/>
    </border>
    <border>
      <left style="thin">
        <color rgb="FF95D6D3"/>
      </left>
      <right/>
      <top/>
      <bottom style="thin">
        <color rgb="FF95D6D3"/>
      </bottom>
      <diagonal/>
    </border>
    <border>
      <left/>
      <right/>
      <top/>
      <bottom style="thin">
        <color rgb="FF95D6D3"/>
      </bottom>
      <diagonal/>
    </border>
    <border>
      <left/>
      <right style="thin">
        <color rgb="FF95D6D3"/>
      </right>
      <top/>
      <bottom style="thin">
        <color rgb="FF95D6D3"/>
      </bottom>
      <diagonal/>
    </border>
    <border>
      <left style="thin">
        <color indexed="64"/>
      </left>
      <right style="thin">
        <color indexed="64"/>
      </right>
      <top/>
      <bottom/>
      <diagonal/>
    </border>
    <border>
      <left style="thin">
        <color rgb="FF95D6D3"/>
      </left>
      <right/>
      <top style="thin">
        <color rgb="FF95D6D3"/>
      </top>
      <bottom style="thin">
        <color indexed="64"/>
      </bottom>
      <diagonal/>
    </border>
    <border>
      <left/>
      <right/>
      <top style="thin">
        <color rgb="FF95D6D3"/>
      </top>
      <bottom style="thin">
        <color indexed="64"/>
      </bottom>
      <diagonal/>
    </border>
    <border>
      <left/>
      <right style="thin">
        <color rgb="FF95D6D3"/>
      </right>
      <top style="thin">
        <color rgb="FF95D6D3"/>
      </top>
      <bottom style="thin">
        <color indexed="64"/>
      </bottom>
      <diagonal/>
    </border>
    <border>
      <left style="thin">
        <color rgb="FF95D6D3"/>
      </left>
      <right style="thin">
        <color indexed="64"/>
      </right>
      <top style="thin">
        <color indexed="64"/>
      </top>
      <bottom style="thin">
        <color auto="1"/>
      </bottom>
      <diagonal/>
    </border>
    <border>
      <left style="thin">
        <color indexed="64"/>
      </left>
      <right/>
      <top style="thin">
        <color indexed="64"/>
      </top>
      <bottom/>
      <diagonal/>
    </border>
    <border>
      <left style="thin">
        <color indexed="64"/>
      </left>
      <right style="thin">
        <color rgb="FF95D6D3"/>
      </right>
      <top style="thin">
        <color indexed="64"/>
      </top>
      <bottom/>
      <diagonal/>
    </border>
    <border>
      <left style="thin">
        <color indexed="64"/>
      </left>
      <right style="thin">
        <color rgb="FF95D6D3"/>
      </right>
      <top/>
      <bottom/>
      <diagonal/>
    </border>
    <border>
      <left style="thin">
        <color rgb="FF95D6D3"/>
      </left>
      <right style="thin">
        <color indexed="64"/>
      </right>
      <top style="thin">
        <color indexed="64"/>
      </top>
      <bottom style="thin">
        <color rgb="FF95D6D3"/>
      </bottom>
      <diagonal/>
    </border>
    <border>
      <left style="thin">
        <color indexed="64"/>
      </left>
      <right style="thin">
        <color indexed="64"/>
      </right>
      <top style="thin">
        <color indexed="64"/>
      </top>
      <bottom style="thin">
        <color rgb="FF95D6D3"/>
      </bottom>
      <diagonal/>
    </border>
    <border>
      <left style="thin">
        <color indexed="64"/>
      </left>
      <right/>
      <top style="thin">
        <color indexed="64"/>
      </top>
      <bottom style="thin">
        <color rgb="FF95D6D3"/>
      </bottom>
      <diagonal/>
    </border>
    <border>
      <left/>
      <right style="thin">
        <color indexed="64"/>
      </right>
      <top style="thin">
        <color indexed="64"/>
      </top>
      <bottom/>
      <diagonal/>
    </border>
    <border>
      <left style="thin">
        <color indexed="64"/>
      </left>
      <right/>
      <top/>
      <bottom/>
      <diagonal/>
    </border>
  </borders>
  <cellStyleXfs count="12">
    <xf numFmtId="0" fontId="0" fillId="0" borderId="0"/>
    <xf numFmtId="9" fontId="31" fillId="0" borderId="0" applyFont="0" applyFill="0" applyBorder="0" applyAlignment="0" applyProtection="0"/>
    <xf numFmtId="0" fontId="7" fillId="0" borderId="23"/>
    <xf numFmtId="9" fontId="7" fillId="0" borderId="23" applyFont="0" applyFill="0" applyBorder="0" applyAlignment="0" applyProtection="0"/>
    <xf numFmtId="0" fontId="6" fillId="0" borderId="23"/>
    <xf numFmtId="9" fontId="6" fillId="0" borderId="23" applyFont="0" applyFill="0" applyBorder="0" applyAlignment="0" applyProtection="0"/>
    <xf numFmtId="0" fontId="34" fillId="0" borderId="23"/>
    <xf numFmtId="0" fontId="276" fillId="0" borderId="23" applyNumberFormat="0" applyFill="0" applyBorder="0" applyAlignment="0" applyProtection="0"/>
    <xf numFmtId="9" fontId="3" fillId="0" borderId="23" applyFont="0" applyFill="0" applyBorder="0" applyAlignment="0" applyProtection="0"/>
    <xf numFmtId="9" fontId="34" fillId="0" borderId="23" applyFont="0" applyFill="0" applyBorder="0" applyAlignment="0" applyProtection="0"/>
    <xf numFmtId="182" fontId="34" fillId="0" borderId="23" applyFont="0" applyFill="0" applyBorder="0" applyAlignment="0" applyProtection="0"/>
    <xf numFmtId="9" fontId="2" fillId="0" borderId="23" applyFont="0" applyFill="0" applyBorder="0" applyAlignment="0" applyProtection="0"/>
  </cellStyleXfs>
  <cellXfs count="2990">
    <xf numFmtId="0" fontId="0" fillId="0" borderId="0" xfId="0"/>
    <xf numFmtId="0" fontId="9" fillId="0" borderId="0" xfId="0" applyFont="1"/>
    <xf numFmtId="0" fontId="15" fillId="0" borderId="0" xfId="0" applyFont="1"/>
    <xf numFmtId="0" fontId="17" fillId="0" borderId="0" xfId="0" applyFont="1"/>
    <xf numFmtId="0" fontId="17" fillId="0" borderId="0" xfId="0" applyFont="1" applyAlignment="1">
      <alignment horizontal="center"/>
    </xf>
    <xf numFmtId="0" fontId="17" fillId="0" borderId="0" xfId="0" applyFont="1" applyAlignment="1">
      <alignment horizontal="right"/>
    </xf>
    <xf numFmtId="0" fontId="15" fillId="0" borderId="0" xfId="0" applyFont="1" applyAlignment="1">
      <alignment horizontal="center"/>
    </xf>
    <xf numFmtId="0" fontId="15" fillId="0" borderId="0" xfId="0" applyFont="1" applyAlignment="1">
      <alignment horizontal="left"/>
    </xf>
    <xf numFmtId="0" fontId="20" fillId="0" borderId="0" xfId="0" applyFont="1"/>
    <xf numFmtId="4" fontId="17" fillId="0" borderId="0" xfId="0" applyNumberFormat="1" applyFont="1"/>
    <xf numFmtId="2" fontId="17" fillId="0" borderId="0" xfId="0" applyNumberFormat="1" applyFont="1" applyAlignment="1">
      <alignment horizontal="center"/>
    </xf>
    <xf numFmtId="0" fontId="15" fillId="0" borderId="0" xfId="0" applyFont="1" applyAlignment="1">
      <alignment horizontal="right"/>
    </xf>
    <xf numFmtId="0" fontId="21" fillId="0" borderId="0" xfId="0" applyFont="1"/>
    <xf numFmtId="0" fontId="16" fillId="0" borderId="0" xfId="0" applyFont="1" applyAlignment="1">
      <alignment horizontal="center" vertical="center"/>
    </xf>
    <xf numFmtId="4" fontId="15" fillId="0" borderId="0" xfId="0" applyNumberFormat="1" applyFont="1" applyAlignment="1">
      <alignment horizontal="center"/>
    </xf>
    <xf numFmtId="2" fontId="15" fillId="0" borderId="0" xfId="0" applyNumberFormat="1" applyFont="1" applyAlignment="1">
      <alignment horizontal="center" vertical="center"/>
    </xf>
    <xf numFmtId="2" fontId="17" fillId="0" borderId="0" xfId="0" applyNumberFormat="1" applyFont="1" applyAlignment="1">
      <alignment horizontal="center" vertical="center"/>
    </xf>
    <xf numFmtId="165" fontId="15" fillId="0" borderId="0" xfId="0" applyNumberFormat="1" applyFont="1" applyAlignment="1">
      <alignment horizontal="center" vertical="center"/>
    </xf>
    <xf numFmtId="2" fontId="15" fillId="0" borderId="0" xfId="0" applyNumberFormat="1" applyFont="1" applyAlignment="1">
      <alignment horizontal="right"/>
    </xf>
    <xf numFmtId="4" fontId="15" fillId="0" borderId="0" xfId="0" applyNumberFormat="1" applyFont="1"/>
    <xf numFmtId="4" fontId="17" fillId="0" borderId="0" xfId="0" applyNumberFormat="1" applyFont="1" applyAlignment="1">
      <alignment horizontal="center" vertical="center"/>
    </xf>
    <xf numFmtId="2" fontId="15" fillId="0" borderId="0" xfId="0" applyNumberFormat="1" applyFont="1"/>
    <xf numFmtId="0" fontId="15" fillId="0" borderId="0" xfId="0" applyFont="1" applyAlignment="1">
      <alignment vertical="center"/>
    </xf>
    <xf numFmtId="0" fontId="12" fillId="0" borderId="0" xfId="0" applyFont="1" applyAlignment="1">
      <alignment horizontal="right" vertical="center"/>
    </xf>
    <xf numFmtId="4" fontId="17" fillId="0" borderId="0" xfId="0" applyNumberFormat="1" applyFont="1" applyAlignment="1">
      <alignment horizontal="center"/>
    </xf>
    <xf numFmtId="4" fontId="16" fillId="0" borderId="0" xfId="0" applyNumberFormat="1" applyFont="1" applyAlignment="1">
      <alignment vertical="center"/>
    </xf>
    <xf numFmtId="0" fontId="16" fillId="0" borderId="0" xfId="0" applyFont="1" applyAlignment="1">
      <alignment vertical="center"/>
    </xf>
    <xf numFmtId="2" fontId="17" fillId="0" borderId="0" xfId="0" applyNumberFormat="1" applyFont="1"/>
    <xf numFmtId="4" fontId="17" fillId="0" borderId="0" xfId="0" applyNumberFormat="1" applyFont="1" applyAlignment="1">
      <alignment horizontal="right" vertical="center"/>
    </xf>
    <xf numFmtId="0" fontId="0" fillId="0" borderId="0" xfId="0" applyAlignment="1">
      <alignment horizontal="center" vertical="center"/>
    </xf>
    <xf numFmtId="0" fontId="12" fillId="0" borderId="0" xfId="0" applyFont="1" applyAlignment="1">
      <alignment horizontal="center" vertical="center"/>
    </xf>
    <xf numFmtId="0" fontId="12" fillId="0" borderId="0" xfId="0" applyFont="1" applyAlignment="1">
      <alignment vertical="center"/>
    </xf>
    <xf numFmtId="0" fontId="22" fillId="0" borderId="0" xfId="0" applyFont="1" applyAlignment="1">
      <alignment vertical="center"/>
    </xf>
    <xf numFmtId="0" fontId="0" fillId="0" borderId="0" xfId="0" applyAlignment="1">
      <alignment vertical="center"/>
    </xf>
    <xf numFmtId="0" fontId="13" fillId="0" borderId="0" xfId="0" applyFont="1" applyAlignment="1">
      <alignment vertical="center"/>
    </xf>
    <xf numFmtId="0" fontId="9" fillId="0" borderId="0" xfId="0" applyFont="1" applyAlignment="1">
      <alignment horizontal="center" vertical="center"/>
    </xf>
    <xf numFmtId="1" fontId="0" fillId="0" borderId="0" xfId="0" applyNumberFormat="1" applyAlignment="1">
      <alignment horizontal="center" vertical="center"/>
    </xf>
    <xf numFmtId="3" fontId="0" fillId="0" borderId="0" xfId="0" applyNumberFormat="1" applyAlignment="1">
      <alignment horizontal="center" vertical="center"/>
    </xf>
    <xf numFmtId="0" fontId="27" fillId="0" borderId="0" xfId="0" applyFont="1" applyAlignment="1">
      <alignment vertical="center"/>
    </xf>
    <xf numFmtId="0" fontId="8" fillId="0" borderId="0" xfId="0" applyFont="1" applyAlignment="1">
      <alignment vertical="center"/>
    </xf>
    <xf numFmtId="0" fontId="11" fillId="0" borderId="0" xfId="0" applyFont="1" applyAlignment="1">
      <alignment vertical="center"/>
    </xf>
    <xf numFmtId="4" fontId="11" fillId="0" borderId="0" xfId="0" applyNumberFormat="1" applyFont="1" applyAlignment="1">
      <alignment vertical="center"/>
    </xf>
    <xf numFmtId="0" fontId="9" fillId="0" borderId="0" xfId="0" applyFont="1" applyAlignment="1">
      <alignment vertical="center"/>
    </xf>
    <xf numFmtId="0" fontId="11" fillId="0" borderId="0" xfId="0" applyFont="1"/>
    <xf numFmtId="4" fontId="12" fillId="0" borderId="0" xfId="0" applyNumberFormat="1" applyFont="1" applyAlignment="1">
      <alignment vertical="center"/>
    </xf>
    <xf numFmtId="0" fontId="28" fillId="0" borderId="0" xfId="0" applyFont="1" applyAlignment="1">
      <alignment horizontal="center"/>
    </xf>
    <xf numFmtId="168" fontId="9" fillId="0" borderId="0" xfId="0" applyNumberFormat="1" applyFont="1" applyAlignment="1">
      <alignment horizontal="center" vertical="center"/>
    </xf>
    <xf numFmtId="0" fontId="10" fillId="0" borderId="0" xfId="0" applyFont="1" applyAlignment="1">
      <alignment vertical="center"/>
    </xf>
    <xf numFmtId="168" fontId="0" fillId="0" borderId="0" xfId="0" applyNumberFormat="1" applyAlignment="1">
      <alignment horizontal="center" vertical="center"/>
    </xf>
    <xf numFmtId="9" fontId="25" fillId="0" borderId="0" xfId="0" applyNumberFormat="1" applyFont="1" applyAlignment="1">
      <alignment horizontal="center" vertical="center"/>
    </xf>
    <xf numFmtId="167" fontId="9" fillId="0" borderId="0" xfId="0" applyNumberFormat="1" applyFont="1" applyAlignment="1">
      <alignment horizontal="center" vertical="center"/>
    </xf>
    <xf numFmtId="1" fontId="9" fillId="0" borderId="0" xfId="0" applyNumberFormat="1" applyFont="1" applyAlignment="1">
      <alignment vertical="center"/>
    </xf>
    <xf numFmtId="0" fontId="23" fillId="0" borderId="0" xfId="0" applyFont="1" applyAlignment="1">
      <alignment vertical="center"/>
    </xf>
    <xf numFmtId="0" fontId="10" fillId="0" borderId="0" xfId="0" applyFont="1"/>
    <xf numFmtId="9" fontId="25" fillId="0" borderId="0" xfId="0" applyNumberFormat="1" applyFont="1" applyAlignment="1">
      <alignment horizontal="center"/>
    </xf>
    <xf numFmtId="179" fontId="0" fillId="0" borderId="0" xfId="0" applyNumberFormat="1" applyAlignment="1">
      <alignment horizontal="center"/>
    </xf>
    <xf numFmtId="179" fontId="24" fillId="0" borderId="0" xfId="0" applyNumberFormat="1" applyFont="1" applyAlignment="1">
      <alignment horizontal="center"/>
    </xf>
    <xf numFmtId="177" fontId="0" fillId="0" borderId="0" xfId="0" applyNumberFormat="1" applyAlignment="1">
      <alignment horizontal="center"/>
    </xf>
    <xf numFmtId="168" fontId="0" fillId="0" borderId="0" xfId="0" applyNumberFormat="1"/>
    <xf numFmtId="0" fontId="18" fillId="0" borderId="0" xfId="0" applyFont="1"/>
    <xf numFmtId="0" fontId="34" fillId="0" borderId="0" xfId="0" applyFont="1"/>
    <xf numFmtId="0" fontId="18" fillId="0" borderId="0" xfId="0" applyFont="1" applyAlignment="1">
      <alignment vertical="center"/>
    </xf>
    <xf numFmtId="0" fontId="18" fillId="0" borderId="0" xfId="0" applyFont="1" applyAlignment="1">
      <alignment horizontal="center" vertical="center"/>
    </xf>
    <xf numFmtId="3" fontId="18" fillId="0" borderId="0" xfId="0" applyNumberFormat="1" applyFont="1" applyAlignment="1">
      <alignment horizontal="center" vertical="center"/>
    </xf>
    <xf numFmtId="9" fontId="18" fillId="0" borderId="0" xfId="0" applyNumberFormat="1" applyFont="1" applyAlignment="1">
      <alignment horizontal="center" vertical="center"/>
    </xf>
    <xf numFmtId="170" fontId="18" fillId="0" borderId="0" xfId="0" applyNumberFormat="1" applyFont="1" applyAlignment="1">
      <alignment horizontal="center" vertical="center"/>
    </xf>
    <xf numFmtId="170" fontId="18" fillId="0" borderId="0" xfId="0" applyNumberFormat="1" applyFont="1" applyAlignment="1">
      <alignment vertical="center"/>
    </xf>
    <xf numFmtId="0" fontId="29" fillId="0" borderId="0" xfId="0" applyFont="1" applyAlignment="1">
      <alignment horizontal="right" vertical="center"/>
    </xf>
    <xf numFmtId="0" fontId="38" fillId="0" borderId="0" xfId="0" applyFont="1"/>
    <xf numFmtId="0" fontId="39" fillId="0" borderId="0" xfId="0" applyFont="1"/>
    <xf numFmtId="0" fontId="40" fillId="0" borderId="0" xfId="0" applyFont="1"/>
    <xf numFmtId="0" fontId="39" fillId="0" borderId="0" xfId="0" applyFont="1" applyAlignment="1">
      <alignment horizontal="right"/>
    </xf>
    <xf numFmtId="0" fontId="38" fillId="0" borderId="0" xfId="0" applyFont="1" applyAlignment="1">
      <alignment horizontal="right"/>
    </xf>
    <xf numFmtId="0" fontId="40" fillId="0" borderId="0" xfId="0" applyFont="1" applyAlignment="1">
      <alignment wrapText="1"/>
    </xf>
    <xf numFmtId="0" fontId="44" fillId="0" borderId="0" xfId="0" applyFont="1"/>
    <xf numFmtId="0" fontId="45" fillId="0" borderId="0" xfId="0" applyFont="1" applyAlignment="1">
      <alignment horizontal="left" vertical="center"/>
    </xf>
    <xf numFmtId="0" fontId="46" fillId="0" borderId="0" xfId="0" applyFont="1" applyAlignment="1">
      <alignment horizontal="left" vertical="center"/>
    </xf>
    <xf numFmtId="0" fontId="47" fillId="0" borderId="0" xfId="0" applyFont="1"/>
    <xf numFmtId="0" fontId="49" fillId="0" borderId="0" xfId="0" applyFont="1"/>
    <xf numFmtId="0" fontId="49" fillId="0" borderId="0" xfId="0" applyFont="1" applyAlignment="1">
      <alignment horizontal="center"/>
    </xf>
    <xf numFmtId="0" fontId="49" fillId="0" borderId="0" xfId="0" applyFont="1" applyAlignment="1">
      <alignment horizontal="right"/>
    </xf>
    <xf numFmtId="0" fontId="51" fillId="0" borderId="0" xfId="0" applyFont="1"/>
    <xf numFmtId="0" fontId="52" fillId="15" borderId="0" xfId="0" applyFont="1" applyFill="1"/>
    <xf numFmtId="0" fontId="49" fillId="15" borderId="0" xfId="0" applyFont="1" applyFill="1"/>
    <xf numFmtId="0" fontId="49" fillId="0" borderId="30" xfId="0" applyFont="1" applyBorder="1"/>
    <xf numFmtId="0" fontId="58" fillId="15" borderId="0" xfId="0" applyFont="1" applyFill="1" applyAlignment="1">
      <alignment vertical="center"/>
    </xf>
    <xf numFmtId="165" fontId="50" fillId="19" borderId="30" xfId="0" applyNumberFormat="1" applyFont="1" applyFill="1" applyBorder="1" applyAlignment="1">
      <alignment horizontal="center" vertical="center"/>
    </xf>
    <xf numFmtId="165" fontId="49" fillId="3" borderId="30" xfId="0" applyNumberFormat="1" applyFont="1" applyFill="1" applyBorder="1" applyAlignment="1">
      <alignment horizontal="center" vertical="center"/>
    </xf>
    <xf numFmtId="165" fontId="50" fillId="3" borderId="30" xfId="0" applyNumberFormat="1" applyFont="1" applyFill="1" applyBorder="1" applyAlignment="1">
      <alignment horizontal="center" vertical="center"/>
    </xf>
    <xf numFmtId="4" fontId="50" fillId="19" borderId="30" xfId="0" applyNumberFormat="1" applyFont="1" applyFill="1" applyBorder="1" applyAlignment="1">
      <alignment horizontal="center" vertical="center"/>
    </xf>
    <xf numFmtId="4" fontId="49" fillId="19" borderId="30" xfId="0" applyNumberFormat="1" applyFont="1" applyFill="1" applyBorder="1" applyAlignment="1">
      <alignment horizontal="center" vertical="center"/>
    </xf>
    <xf numFmtId="165" fontId="50" fillId="0" borderId="30" xfId="0" applyNumberFormat="1" applyFont="1" applyBorder="1" applyAlignment="1">
      <alignment horizontal="center" vertical="center"/>
    </xf>
    <xf numFmtId="0" fontId="60" fillId="15" borderId="0" xfId="0" applyFont="1" applyFill="1" applyAlignment="1">
      <alignment vertical="center"/>
    </xf>
    <xf numFmtId="165" fontId="49" fillId="2" borderId="30" xfId="0" applyNumberFormat="1" applyFont="1" applyFill="1" applyBorder="1" applyAlignment="1" applyProtection="1">
      <alignment horizontal="center" vertical="center"/>
      <protection locked="0"/>
    </xf>
    <xf numFmtId="4" fontId="49" fillId="0" borderId="30" xfId="0" applyNumberFormat="1" applyFont="1" applyBorder="1"/>
    <xf numFmtId="4" fontId="49" fillId="19" borderId="30" xfId="0" applyNumberFormat="1" applyFont="1" applyFill="1" applyBorder="1" applyAlignment="1">
      <alignment horizontal="center"/>
    </xf>
    <xf numFmtId="0" fontId="41" fillId="0" borderId="0" xfId="0" applyFont="1"/>
    <xf numFmtId="4" fontId="47" fillId="0" borderId="0" xfId="0" applyNumberFormat="1" applyFont="1" applyAlignment="1">
      <alignment horizontal="center"/>
    </xf>
    <xf numFmtId="0" fontId="47" fillId="0" borderId="0" xfId="0" applyFont="1" applyAlignment="1">
      <alignment horizontal="center" vertical="center"/>
    </xf>
    <xf numFmtId="4" fontId="47" fillId="0" borderId="0" xfId="0" applyNumberFormat="1" applyFont="1" applyAlignment="1">
      <alignment horizontal="center" vertical="center"/>
    </xf>
    <xf numFmtId="0" fontId="75" fillId="15" borderId="0" xfId="0" applyFont="1" applyFill="1" applyAlignment="1">
      <alignment vertical="center"/>
    </xf>
    <xf numFmtId="0" fontId="74" fillId="15" borderId="0" xfId="0" applyFont="1" applyFill="1" applyAlignment="1">
      <alignment horizontal="left" vertical="center"/>
    </xf>
    <xf numFmtId="0" fontId="75" fillId="15" borderId="0" xfId="0" applyFont="1" applyFill="1" applyAlignment="1">
      <alignment horizontal="center" vertical="center"/>
    </xf>
    <xf numFmtId="0" fontId="59" fillId="0" borderId="0" xfId="0" applyFont="1" applyAlignment="1">
      <alignment horizontal="right"/>
    </xf>
    <xf numFmtId="0" fontId="59" fillId="0" borderId="0" xfId="0" applyFont="1" applyAlignment="1">
      <alignment horizontal="right" vertical="center"/>
    </xf>
    <xf numFmtId="4" fontId="49" fillId="4" borderId="32" xfId="0" applyNumberFormat="1" applyFont="1" applyFill="1" applyBorder="1" applyAlignment="1">
      <alignment horizontal="center" vertical="center"/>
    </xf>
    <xf numFmtId="4" fontId="49" fillId="3" borderId="32" xfId="0" applyNumberFormat="1" applyFont="1" applyFill="1" applyBorder="1" applyAlignment="1">
      <alignment horizontal="center" vertical="center"/>
    </xf>
    <xf numFmtId="4" fontId="50" fillId="4" borderId="32" xfId="0" applyNumberFormat="1" applyFont="1" applyFill="1" applyBorder="1" applyAlignment="1">
      <alignment horizontal="center" vertical="center"/>
    </xf>
    <xf numFmtId="0" fontId="78" fillId="0" borderId="30" xfId="0" applyFont="1" applyBorder="1" applyAlignment="1">
      <alignment horizontal="right" vertical="center"/>
    </xf>
    <xf numFmtId="0" fontId="59" fillId="0" borderId="30" xfId="0" applyFont="1" applyBorder="1" applyAlignment="1">
      <alignment horizontal="right" vertical="center"/>
    </xf>
    <xf numFmtId="0" fontId="59" fillId="0" borderId="0" xfId="0" applyFont="1" applyAlignment="1">
      <alignment vertical="center"/>
    </xf>
    <xf numFmtId="0" fontId="49" fillId="0" borderId="0" xfId="0" applyFont="1" applyAlignment="1">
      <alignment vertical="center"/>
    </xf>
    <xf numFmtId="4" fontId="49" fillId="5" borderId="30" xfId="0" applyNumberFormat="1" applyFont="1" applyFill="1" applyBorder="1" applyAlignment="1">
      <alignment horizontal="center" vertical="center"/>
    </xf>
    <xf numFmtId="4" fontId="49" fillId="3" borderId="30" xfId="0" applyNumberFormat="1" applyFont="1" applyFill="1" applyBorder="1" applyAlignment="1">
      <alignment horizontal="center" vertical="center"/>
    </xf>
    <xf numFmtId="0" fontId="61" fillId="16" borderId="29" xfId="0" applyFont="1" applyFill="1" applyBorder="1" applyAlignment="1">
      <alignment vertical="center"/>
    </xf>
    <xf numFmtId="0" fontId="49" fillId="0" borderId="31" xfId="0" applyFont="1" applyBorder="1" applyAlignment="1">
      <alignment vertical="center"/>
    </xf>
    <xf numFmtId="0" fontId="59" fillId="0" borderId="28" xfId="0" applyFont="1" applyBorder="1" applyAlignment="1">
      <alignment horizontal="right" vertical="center"/>
    </xf>
    <xf numFmtId="0" fontId="61" fillId="16" borderId="28" xfId="0" applyFont="1" applyFill="1" applyBorder="1" applyAlignment="1">
      <alignment vertical="center"/>
    </xf>
    <xf numFmtId="0" fontId="61" fillId="16" borderId="35" xfId="0" applyFont="1" applyFill="1" applyBorder="1" applyAlignment="1">
      <alignment vertical="center"/>
    </xf>
    <xf numFmtId="0" fontId="61" fillId="16" borderId="35" xfId="0" applyFont="1" applyFill="1" applyBorder="1" applyAlignment="1">
      <alignment horizontal="right" vertical="center"/>
    </xf>
    <xf numFmtId="0" fontId="49" fillId="3" borderId="30" xfId="0" applyFont="1" applyFill="1" applyBorder="1" applyAlignment="1" applyProtection="1">
      <alignment horizontal="center" vertical="center"/>
      <protection locked="0"/>
    </xf>
    <xf numFmtId="165" fontId="49" fillId="3" borderId="30" xfId="0" applyNumberFormat="1" applyFont="1" applyFill="1" applyBorder="1" applyAlignment="1" applyProtection="1">
      <alignment horizontal="center" vertical="center"/>
      <protection locked="0"/>
    </xf>
    <xf numFmtId="0" fontId="49" fillId="0" borderId="30" xfId="0" applyFont="1" applyBorder="1" applyAlignment="1">
      <alignment vertical="center"/>
    </xf>
    <xf numFmtId="0" fontId="67" fillId="5" borderId="30" xfId="0" applyFont="1" applyFill="1" applyBorder="1" applyAlignment="1">
      <alignment horizontal="center" vertical="center"/>
    </xf>
    <xf numFmtId="0" fontId="67" fillId="5" borderId="30" xfId="0" applyFont="1" applyFill="1" applyBorder="1" applyAlignment="1">
      <alignment horizontal="center" vertical="center" wrapText="1"/>
    </xf>
    <xf numFmtId="4" fontId="43" fillId="3" borderId="30" xfId="0" applyNumberFormat="1" applyFont="1" applyFill="1" applyBorder="1" applyAlignment="1">
      <alignment horizontal="center" vertical="center"/>
    </xf>
    <xf numFmtId="0" fontId="41" fillId="3" borderId="28" xfId="0" applyFont="1" applyFill="1" applyBorder="1" applyAlignment="1">
      <alignment horizontal="center" vertical="center"/>
    </xf>
    <xf numFmtId="0" fontId="41" fillId="3" borderId="28" xfId="0" applyFont="1" applyFill="1" applyBorder="1" applyAlignment="1">
      <alignment horizontal="center" vertical="center" wrapText="1"/>
    </xf>
    <xf numFmtId="0" fontId="78" fillId="0" borderId="28" xfId="0" applyFont="1" applyBorder="1" applyAlignment="1">
      <alignment horizontal="right" vertical="center"/>
    </xf>
    <xf numFmtId="0" fontId="43" fillId="0" borderId="28" xfId="0" applyFont="1" applyBorder="1" applyAlignment="1">
      <alignment vertical="center"/>
    </xf>
    <xf numFmtId="4" fontId="68" fillId="5" borderId="30" xfId="0" applyNumberFormat="1" applyFont="1" applyFill="1" applyBorder="1" applyAlignment="1">
      <alignment horizontal="center" vertical="center"/>
    </xf>
    <xf numFmtId="4" fontId="47" fillId="3" borderId="28" xfId="0" applyNumberFormat="1" applyFont="1" applyFill="1" applyBorder="1" applyAlignment="1">
      <alignment horizontal="center" vertical="center"/>
    </xf>
    <xf numFmtId="4" fontId="65" fillId="5" borderId="30" xfId="0" applyNumberFormat="1" applyFont="1" applyFill="1" applyBorder="1" applyAlignment="1">
      <alignment horizontal="center" vertical="center"/>
    </xf>
    <xf numFmtId="0" fontId="47" fillId="0" borderId="0" xfId="0" applyFont="1" applyAlignment="1">
      <alignment vertical="center"/>
    </xf>
    <xf numFmtId="0" fontId="41" fillId="0" borderId="0" xfId="0" applyFont="1" applyAlignment="1">
      <alignment horizontal="right" vertical="center"/>
    </xf>
    <xf numFmtId="0" fontId="82" fillId="16" borderId="28" xfId="0" applyFont="1" applyFill="1" applyBorder="1" applyAlignment="1">
      <alignment horizontal="right" vertical="center"/>
    </xf>
    <xf numFmtId="0" fontId="47" fillId="0" borderId="0" xfId="0" applyFont="1" applyAlignment="1">
      <alignment horizontal="right" vertical="center"/>
    </xf>
    <xf numFmtId="0" fontId="47" fillId="0" borderId="30" xfId="0" applyFont="1" applyBorder="1" applyAlignment="1">
      <alignment vertical="center"/>
    </xf>
    <xf numFmtId="165" fontId="43" fillId="3" borderId="30" xfId="0" applyNumberFormat="1" applyFont="1" applyFill="1" applyBorder="1" applyAlignment="1" applyProtection="1">
      <alignment horizontal="center" vertical="center"/>
      <protection locked="0"/>
    </xf>
    <xf numFmtId="0" fontId="43" fillId="0" borderId="0" xfId="0" applyFont="1" applyAlignment="1">
      <alignment vertical="center"/>
    </xf>
    <xf numFmtId="1" fontId="47" fillId="2" borderId="30" xfId="0" applyNumberFormat="1" applyFont="1" applyFill="1" applyBorder="1" applyAlignment="1" applyProtection="1">
      <alignment horizontal="center" vertical="center"/>
      <protection locked="0"/>
    </xf>
    <xf numFmtId="4" fontId="49" fillId="3" borderId="30" xfId="0" applyNumberFormat="1" applyFont="1" applyFill="1" applyBorder="1" applyAlignment="1">
      <alignment vertical="center"/>
    </xf>
    <xf numFmtId="4" fontId="50" fillId="20" borderId="30" xfId="0" applyNumberFormat="1" applyFont="1" applyFill="1" applyBorder="1" applyAlignment="1">
      <alignment horizontal="center" vertical="center"/>
    </xf>
    <xf numFmtId="0" fontId="84" fillId="16" borderId="28" xfId="0" applyFont="1" applyFill="1" applyBorder="1" applyAlignment="1">
      <alignment horizontal="right" vertical="center"/>
    </xf>
    <xf numFmtId="4" fontId="86" fillId="5" borderId="30" xfId="0" applyNumberFormat="1" applyFont="1" applyFill="1" applyBorder="1" applyAlignment="1">
      <alignment horizontal="center" vertical="center"/>
    </xf>
    <xf numFmtId="4" fontId="49" fillId="19" borderId="4" xfId="0" applyNumberFormat="1" applyFont="1" applyFill="1" applyBorder="1" applyAlignment="1">
      <alignment horizontal="center" vertical="center"/>
    </xf>
    <xf numFmtId="164" fontId="38" fillId="3" borderId="4" xfId="0" applyNumberFormat="1" applyFont="1" applyFill="1" applyBorder="1" applyAlignment="1">
      <alignment horizontal="center" vertical="center"/>
    </xf>
    <xf numFmtId="4" fontId="38" fillId="5" borderId="5" xfId="0" applyNumberFormat="1" applyFont="1" applyFill="1" applyBorder="1" applyAlignment="1">
      <alignment vertical="center"/>
    </xf>
    <xf numFmtId="0" fontId="38" fillId="5" borderId="5" xfId="0" applyFont="1" applyFill="1" applyBorder="1" applyAlignment="1">
      <alignment horizontal="center" vertical="center"/>
    </xf>
    <xf numFmtId="164" fontId="40" fillId="3" borderId="4" xfId="0" applyNumberFormat="1" applyFont="1" applyFill="1" applyBorder="1" applyAlignment="1">
      <alignment horizontal="center" vertical="center"/>
    </xf>
    <xf numFmtId="164" fontId="38" fillId="5" borderId="5" xfId="0" applyNumberFormat="1" applyFont="1" applyFill="1" applyBorder="1" applyAlignment="1">
      <alignment horizontal="center" vertical="center"/>
    </xf>
    <xf numFmtId="165" fontId="39" fillId="5" borderId="5" xfId="0" applyNumberFormat="1" applyFont="1" applyFill="1" applyBorder="1" applyAlignment="1">
      <alignment horizontal="center" vertical="center"/>
    </xf>
    <xf numFmtId="0" fontId="38" fillId="0" borderId="0" xfId="0" applyFont="1" applyAlignment="1">
      <alignment vertical="center"/>
    </xf>
    <xf numFmtId="0" fontId="39" fillId="0" borderId="0" xfId="0" applyFont="1" applyAlignment="1">
      <alignment vertical="center"/>
    </xf>
    <xf numFmtId="0" fontId="38" fillId="5" borderId="5" xfId="0" applyFont="1" applyFill="1" applyBorder="1" applyAlignment="1">
      <alignment vertical="center"/>
    </xf>
    <xf numFmtId="0" fontId="39" fillId="5" borderId="19" xfId="0" applyFont="1" applyFill="1" applyBorder="1" applyAlignment="1">
      <alignment horizontal="center" vertical="center"/>
    </xf>
    <xf numFmtId="0" fontId="39" fillId="5" borderId="5" xfId="0" applyFont="1" applyFill="1" applyBorder="1" applyAlignment="1">
      <alignment horizontal="center" vertical="center"/>
    </xf>
    <xf numFmtId="0" fontId="39" fillId="5" borderId="20" xfId="0" applyFont="1" applyFill="1" applyBorder="1" applyAlignment="1">
      <alignment horizontal="center" vertical="center"/>
    </xf>
    <xf numFmtId="0" fontId="38" fillId="0" borderId="23" xfId="0" applyFont="1" applyBorder="1" applyAlignment="1">
      <alignment vertical="center"/>
    </xf>
    <xf numFmtId="0" fontId="38" fillId="5" borderId="19" xfId="0" applyFont="1" applyFill="1" applyBorder="1" applyAlignment="1">
      <alignment vertical="center"/>
    </xf>
    <xf numFmtId="0" fontId="38" fillId="5" borderId="20" xfId="0" applyFont="1" applyFill="1" applyBorder="1" applyAlignment="1">
      <alignment vertical="center"/>
    </xf>
    <xf numFmtId="0" fontId="38" fillId="0" borderId="23" xfId="0" applyFont="1" applyBorder="1" applyAlignment="1">
      <alignment horizontal="right" vertical="center"/>
    </xf>
    <xf numFmtId="0" fontId="38" fillId="0" borderId="23" xfId="0" applyFont="1" applyBorder="1" applyAlignment="1">
      <alignment horizontal="center" vertical="center"/>
    </xf>
    <xf numFmtId="0" fontId="39" fillId="0" borderId="23" xfId="0" applyFont="1" applyBorder="1" applyAlignment="1">
      <alignment vertical="center"/>
    </xf>
    <xf numFmtId="4" fontId="39" fillId="0" borderId="0" xfId="0" applyNumberFormat="1" applyFont="1" applyAlignment="1">
      <alignment vertical="center"/>
    </xf>
    <xf numFmtId="2" fontId="38" fillId="0" borderId="23" xfId="0" applyNumberFormat="1" applyFont="1" applyBorder="1" applyAlignment="1">
      <alignment vertical="center"/>
    </xf>
    <xf numFmtId="4" fontId="38" fillId="0" borderId="23" xfId="0" applyNumberFormat="1" applyFont="1" applyBorder="1" applyAlignment="1">
      <alignment vertical="center"/>
    </xf>
    <xf numFmtId="2" fontId="38" fillId="5" borderId="5" xfId="0" applyNumberFormat="1" applyFont="1" applyFill="1" applyBorder="1" applyAlignment="1">
      <alignment vertical="center"/>
    </xf>
    <xf numFmtId="4" fontId="38" fillId="0" borderId="0" xfId="0" applyNumberFormat="1" applyFont="1" applyAlignment="1">
      <alignment vertical="center"/>
    </xf>
    <xf numFmtId="0" fontId="38" fillId="0" borderId="0" xfId="0" applyFont="1" applyAlignment="1">
      <alignment horizontal="right" vertical="center"/>
    </xf>
    <xf numFmtId="0" fontId="38" fillId="0" borderId="0" xfId="0" applyFont="1" applyAlignment="1">
      <alignment horizontal="center" vertical="center"/>
    </xf>
    <xf numFmtId="2" fontId="38" fillId="0" borderId="0" xfId="0" applyNumberFormat="1" applyFont="1" applyAlignment="1">
      <alignment vertical="center"/>
    </xf>
    <xf numFmtId="0" fontId="91" fillId="5" borderId="5" xfId="0" applyFont="1" applyFill="1" applyBorder="1" applyAlignment="1">
      <alignment vertical="center"/>
    </xf>
    <xf numFmtId="164" fontId="38" fillId="0" borderId="0" xfId="0" applyNumberFormat="1" applyFont="1" applyAlignment="1">
      <alignment horizontal="right" vertical="center"/>
    </xf>
    <xf numFmtId="0" fontId="40" fillId="5" borderId="5" xfId="0" applyFont="1" applyFill="1" applyBorder="1" applyAlignment="1">
      <alignment vertical="center"/>
    </xf>
    <xf numFmtId="0" fontId="40" fillId="5" borderId="5" xfId="0" applyFont="1" applyFill="1" applyBorder="1" applyAlignment="1">
      <alignment horizontal="right" vertical="center"/>
    </xf>
    <xf numFmtId="3" fontId="38" fillId="5" borderId="5" xfId="0" applyNumberFormat="1" applyFont="1" applyFill="1" applyBorder="1" applyAlignment="1">
      <alignment vertical="center"/>
    </xf>
    <xf numFmtId="167" fontId="38" fillId="0" borderId="0" xfId="0" applyNumberFormat="1" applyFont="1" applyAlignment="1">
      <alignment vertical="center"/>
    </xf>
    <xf numFmtId="0" fontId="38" fillId="5" borderId="24" xfId="0" applyFont="1" applyFill="1" applyBorder="1" applyAlignment="1">
      <alignment vertical="center"/>
    </xf>
    <xf numFmtId="0" fontId="38" fillId="5" borderId="25" xfId="0" applyFont="1" applyFill="1" applyBorder="1" applyAlignment="1">
      <alignment vertical="center"/>
    </xf>
    <xf numFmtId="0" fontId="40" fillId="5" borderId="25" xfId="0" applyFont="1" applyFill="1" applyBorder="1" applyAlignment="1">
      <alignment vertical="center"/>
    </xf>
    <xf numFmtId="0" fontId="38" fillId="5" borderId="26" xfId="0" applyFont="1" applyFill="1" applyBorder="1" applyAlignment="1">
      <alignment vertical="center"/>
    </xf>
    <xf numFmtId="0" fontId="61" fillId="16" borderId="31" xfId="0" applyFont="1" applyFill="1" applyBorder="1" applyAlignment="1">
      <alignment vertical="center"/>
    </xf>
    <xf numFmtId="0" fontId="61" fillId="16" borderId="30" xfId="0" applyFont="1" applyFill="1" applyBorder="1" applyAlignment="1">
      <alignment vertical="center"/>
    </xf>
    <xf numFmtId="164" fontId="49" fillId="21" borderId="23" xfId="0" applyNumberFormat="1" applyFont="1" applyFill="1" applyBorder="1" applyAlignment="1" applyProtection="1">
      <alignment horizontal="center" vertical="center"/>
      <protection locked="0"/>
    </xf>
    <xf numFmtId="4" fontId="50" fillId="19" borderId="32" xfId="0" applyNumberFormat="1" applyFont="1" applyFill="1" applyBorder="1" applyAlignment="1">
      <alignment horizontal="center" vertical="center"/>
    </xf>
    <xf numFmtId="4" fontId="47" fillId="19" borderId="30" xfId="0" applyNumberFormat="1" applyFont="1" applyFill="1" applyBorder="1" applyAlignment="1">
      <alignment horizontal="center" vertical="center"/>
    </xf>
    <xf numFmtId="165" fontId="43" fillId="19" borderId="30" xfId="0" applyNumberFormat="1" applyFont="1" applyFill="1" applyBorder="1" applyAlignment="1">
      <alignment horizontal="center" vertical="center"/>
    </xf>
    <xf numFmtId="3" fontId="47" fillId="19" borderId="30" xfId="0" applyNumberFormat="1" applyFont="1" applyFill="1" applyBorder="1" applyAlignment="1">
      <alignment horizontal="center" vertical="center"/>
    </xf>
    <xf numFmtId="0" fontId="93" fillId="15" borderId="0" xfId="0" applyFont="1" applyFill="1" applyAlignment="1">
      <alignment vertical="center"/>
    </xf>
    <xf numFmtId="0" fontId="58" fillId="15" borderId="0" xfId="0" applyFont="1" applyFill="1" applyAlignment="1">
      <alignment horizontal="left" vertical="center"/>
    </xf>
    <xf numFmtId="0" fontId="40" fillId="15" borderId="0" xfId="0" applyFont="1" applyFill="1" applyAlignment="1">
      <alignment vertical="center"/>
    </xf>
    <xf numFmtId="0" fontId="40" fillId="0" borderId="0" xfId="0" applyFont="1" applyAlignment="1">
      <alignment vertical="center"/>
    </xf>
    <xf numFmtId="0" fontId="63" fillId="0" borderId="0" xfId="0" applyFont="1" applyAlignment="1">
      <alignment horizontal="right" vertical="center"/>
    </xf>
    <xf numFmtId="0" fontId="94" fillId="0" borderId="0" xfId="0" applyFont="1" applyAlignment="1">
      <alignment vertical="center"/>
    </xf>
    <xf numFmtId="165" fontId="47" fillId="27" borderId="30" xfId="0" applyNumberFormat="1" applyFont="1" applyFill="1" applyBorder="1" applyAlignment="1" applyProtection="1">
      <alignment horizontal="center" vertical="center"/>
      <protection locked="0"/>
    </xf>
    <xf numFmtId="0" fontId="100" fillId="16" borderId="31" xfId="0" applyFont="1" applyFill="1" applyBorder="1" applyAlignment="1">
      <alignment vertical="center"/>
    </xf>
    <xf numFmtId="0" fontId="61" fillId="16" borderId="0" xfId="0" applyFont="1" applyFill="1" applyAlignment="1">
      <alignment horizontal="left" vertical="center"/>
    </xf>
    <xf numFmtId="165" fontId="95" fillId="3" borderId="23" xfId="0" applyNumberFormat="1" applyFont="1" applyFill="1" applyBorder="1" applyAlignment="1">
      <alignment horizontal="right" vertical="center"/>
    </xf>
    <xf numFmtId="165" fontId="95" fillId="27" borderId="30" xfId="0" applyNumberFormat="1" applyFont="1" applyFill="1" applyBorder="1" applyAlignment="1" applyProtection="1">
      <alignment horizontal="center" vertical="center"/>
      <protection locked="0"/>
    </xf>
    <xf numFmtId="165" fontId="104" fillId="3" borderId="30" xfId="0" applyNumberFormat="1" applyFont="1" applyFill="1" applyBorder="1" applyAlignment="1">
      <alignment horizontal="center" vertical="center"/>
    </xf>
    <xf numFmtId="164" fontId="94" fillId="27" borderId="30" xfId="0" applyNumberFormat="1" applyFont="1" applyFill="1" applyBorder="1" applyAlignment="1" applyProtection="1">
      <alignment horizontal="center" vertical="center"/>
      <protection locked="0"/>
    </xf>
    <xf numFmtId="4" fontId="95" fillId="27" borderId="30" xfId="0" applyNumberFormat="1" applyFont="1" applyFill="1" applyBorder="1" applyAlignment="1" applyProtection="1">
      <alignment horizontal="center" vertical="center"/>
      <protection locked="0"/>
    </xf>
    <xf numFmtId="0" fontId="41" fillId="5" borderId="5" xfId="0" applyFont="1" applyFill="1" applyBorder="1" applyAlignment="1">
      <alignment vertical="center"/>
    </xf>
    <xf numFmtId="0" fontId="41" fillId="5" borderId="5" xfId="0" applyFont="1" applyFill="1" applyBorder="1" applyAlignment="1">
      <alignment horizontal="right" vertical="center"/>
    </xf>
    <xf numFmtId="0" fontId="41" fillId="16" borderId="30" xfId="0" applyFont="1" applyFill="1" applyBorder="1" applyAlignment="1">
      <alignment horizontal="center" vertical="center"/>
    </xf>
    <xf numFmtId="4" fontId="41" fillId="16" borderId="31" xfId="0" applyNumberFormat="1" applyFont="1" applyFill="1" applyBorder="1" applyAlignment="1">
      <alignment horizontal="center" vertical="center"/>
    </xf>
    <xf numFmtId="4" fontId="47" fillId="0" borderId="30" xfId="0" applyNumberFormat="1" applyFont="1" applyBorder="1" applyAlignment="1">
      <alignment horizontal="center" vertical="center"/>
    </xf>
    <xf numFmtId="4" fontId="47" fillId="16" borderId="30" xfId="0" applyNumberFormat="1" applyFont="1" applyFill="1" applyBorder="1" applyAlignment="1">
      <alignment horizontal="center" vertical="center"/>
    </xf>
    <xf numFmtId="0" fontId="48" fillId="16" borderId="29" xfId="0" applyFont="1" applyFill="1" applyBorder="1" applyAlignment="1">
      <alignment horizontal="center" vertical="center"/>
    </xf>
    <xf numFmtId="0" fontId="63" fillId="0" borderId="30" xfId="0" applyFont="1" applyBorder="1" applyAlignment="1">
      <alignment horizontal="center" vertical="center"/>
    </xf>
    <xf numFmtId="0" fontId="43" fillId="0" borderId="30" xfId="0" applyFont="1" applyBorder="1" applyAlignment="1">
      <alignment horizontal="left" vertical="center"/>
    </xf>
    <xf numFmtId="4" fontId="41" fillId="0" borderId="23" xfId="0" applyNumberFormat="1" applyFont="1" applyBorder="1" applyAlignment="1">
      <alignment horizontal="center" vertical="center"/>
    </xf>
    <xf numFmtId="4" fontId="47" fillId="0" borderId="23" xfId="0" applyNumberFormat="1" applyFont="1" applyBorder="1" applyAlignment="1">
      <alignment horizontal="center" vertical="center"/>
    </xf>
    <xf numFmtId="4" fontId="41" fillId="0" borderId="0" xfId="0" applyNumberFormat="1" applyFont="1" applyAlignment="1">
      <alignment horizontal="center" vertical="center"/>
    </xf>
    <xf numFmtId="4" fontId="47" fillId="0" borderId="0" xfId="0" applyNumberFormat="1" applyFont="1" applyAlignment="1">
      <alignment horizontal="right"/>
    </xf>
    <xf numFmtId="0" fontId="47" fillId="0" borderId="0" xfId="0" applyFont="1" applyAlignment="1">
      <alignment horizontal="center"/>
    </xf>
    <xf numFmtId="0" fontId="59" fillId="0" borderId="30" xfId="0" applyFont="1" applyBorder="1" applyAlignment="1">
      <alignment horizontal="left" vertical="center"/>
    </xf>
    <xf numFmtId="2" fontId="100" fillId="16" borderId="30" xfId="0" applyNumberFormat="1" applyFont="1" applyFill="1" applyBorder="1" applyAlignment="1">
      <alignment horizontal="center" vertical="center"/>
    </xf>
    <xf numFmtId="4" fontId="100" fillId="16" borderId="30" xfId="0" applyNumberFormat="1" applyFont="1" applyFill="1" applyBorder="1" applyAlignment="1">
      <alignment horizontal="center" vertical="center"/>
    </xf>
    <xf numFmtId="0" fontId="59" fillId="0" borderId="30" xfId="0" applyFont="1" applyBorder="1" applyAlignment="1">
      <alignment vertical="center" wrapText="1"/>
    </xf>
    <xf numFmtId="0" fontId="110" fillId="0" borderId="0" xfId="0" applyFont="1"/>
    <xf numFmtId="2" fontId="111" fillId="0" borderId="0" xfId="0" applyNumberFormat="1" applyFont="1"/>
    <xf numFmtId="4" fontId="47" fillId="3" borderId="30" xfId="0" applyNumberFormat="1" applyFont="1" applyFill="1" applyBorder="1" applyAlignment="1">
      <alignment horizontal="center" vertical="center"/>
    </xf>
    <xf numFmtId="4" fontId="48" fillId="16" borderId="30" xfId="0" applyNumberFormat="1" applyFont="1" applyFill="1" applyBorder="1" applyAlignment="1">
      <alignment horizontal="center" vertical="center"/>
    </xf>
    <xf numFmtId="4" fontId="48" fillId="20" borderId="30" xfId="0" applyNumberFormat="1" applyFont="1" applyFill="1" applyBorder="1" applyAlignment="1">
      <alignment horizontal="center" vertical="center"/>
    </xf>
    <xf numFmtId="4" fontId="100" fillId="20" borderId="30" xfId="0" applyNumberFormat="1" applyFont="1" applyFill="1" applyBorder="1" applyAlignment="1">
      <alignment horizontal="center" vertical="center"/>
    </xf>
    <xf numFmtId="0" fontId="43" fillId="0" borderId="0" xfId="0" applyFont="1" applyAlignment="1">
      <alignment horizontal="center" vertical="center"/>
    </xf>
    <xf numFmtId="0" fontId="59" fillId="0" borderId="0" xfId="0" applyFont="1" applyAlignment="1">
      <alignment horizontal="center" vertical="center"/>
    </xf>
    <xf numFmtId="0" fontId="50" fillId="16" borderId="30" xfId="0" applyFont="1" applyFill="1" applyBorder="1" applyAlignment="1">
      <alignment vertical="center"/>
    </xf>
    <xf numFmtId="4" fontId="49" fillId="0" borderId="30" xfId="0" applyNumberFormat="1" applyFont="1" applyBorder="1" applyAlignment="1">
      <alignment horizontal="center" vertical="center"/>
    </xf>
    <xf numFmtId="0" fontId="49" fillId="0" borderId="30" xfId="0" applyFont="1" applyBorder="1" applyAlignment="1">
      <alignment horizontal="center" vertical="center"/>
    </xf>
    <xf numFmtId="165" fontId="49" fillId="0" borderId="30" xfId="0" applyNumberFormat="1" applyFont="1" applyBorder="1" applyAlignment="1">
      <alignment horizontal="center" vertical="center"/>
    </xf>
    <xf numFmtId="0" fontId="48" fillId="16" borderId="29" xfId="0" applyFont="1" applyFill="1" applyBorder="1" applyAlignment="1">
      <alignment vertical="center"/>
    </xf>
    <xf numFmtId="0" fontId="48" fillId="16" borderId="31" xfId="0" applyFont="1" applyFill="1" applyBorder="1" applyAlignment="1">
      <alignment vertical="center"/>
    </xf>
    <xf numFmtId="0" fontId="47" fillId="0" borderId="0" xfId="0" applyFont="1" applyAlignment="1">
      <alignment horizontal="left" vertical="center"/>
    </xf>
    <xf numFmtId="0" fontId="87" fillId="0" borderId="0" xfId="0" applyFont="1" applyAlignment="1">
      <alignment vertical="center"/>
    </xf>
    <xf numFmtId="0" fontId="43" fillId="0" borderId="0" xfId="0" applyFont="1"/>
    <xf numFmtId="3" fontId="41" fillId="0" borderId="30" xfId="0" applyNumberFormat="1" applyFont="1" applyBorder="1" applyAlignment="1">
      <alignment horizontal="center" vertical="center"/>
    </xf>
    <xf numFmtId="3" fontId="47" fillId="0" borderId="30" xfId="0" applyNumberFormat="1" applyFont="1" applyBorder="1" applyAlignment="1">
      <alignment horizontal="center" vertical="center"/>
    </xf>
    <xf numFmtId="3" fontId="63" fillId="0" borderId="30" xfId="0" applyNumberFormat="1" applyFont="1" applyBorder="1" applyAlignment="1">
      <alignment horizontal="center" vertical="center"/>
    </xf>
    <xf numFmtId="0" fontId="41" fillId="19" borderId="30" xfId="0" applyFont="1" applyFill="1" applyBorder="1" applyAlignment="1">
      <alignment horizontal="center" vertical="center"/>
    </xf>
    <xf numFmtId="0" fontId="63" fillId="0" borderId="0" xfId="0" applyFont="1" applyAlignment="1">
      <alignment horizontal="center"/>
    </xf>
    <xf numFmtId="168" fontId="43" fillId="0" borderId="0" xfId="0" applyNumberFormat="1" applyFont="1" applyAlignment="1">
      <alignment horizontal="center" vertical="center"/>
    </xf>
    <xf numFmtId="0" fontId="41" fillId="0" borderId="0" xfId="0" applyFont="1" applyAlignment="1">
      <alignment vertical="center"/>
    </xf>
    <xf numFmtId="168" fontId="47" fillId="0" borderId="0" xfId="0" applyNumberFormat="1" applyFont="1" applyAlignment="1">
      <alignment horizontal="center" vertical="center"/>
    </xf>
    <xf numFmtId="168" fontId="43" fillId="0" borderId="30" xfId="0" applyNumberFormat="1" applyFont="1" applyBorder="1" applyAlignment="1">
      <alignment horizontal="center" vertical="center"/>
    </xf>
    <xf numFmtId="0" fontId="43" fillId="3" borderId="30" xfId="0" applyFont="1" applyFill="1" applyBorder="1" applyAlignment="1">
      <alignment horizontal="center" vertical="center"/>
    </xf>
    <xf numFmtId="9" fontId="41" fillId="2" borderId="30" xfId="0" applyNumberFormat="1" applyFont="1" applyFill="1" applyBorder="1" applyAlignment="1" applyProtection="1">
      <alignment horizontal="center" vertical="center"/>
      <protection locked="0"/>
    </xf>
    <xf numFmtId="0" fontId="47" fillId="0" borderId="31" xfId="0" applyFont="1" applyBorder="1" applyAlignment="1">
      <alignment vertical="center"/>
    </xf>
    <xf numFmtId="9" fontId="47" fillId="0" borderId="30" xfId="0" applyNumberFormat="1" applyFont="1" applyBorder="1" applyAlignment="1">
      <alignment horizontal="center" vertical="center"/>
    </xf>
    <xf numFmtId="168" fontId="63" fillId="0" borderId="30" xfId="0" applyNumberFormat="1" applyFont="1" applyBorder="1" applyAlignment="1">
      <alignment horizontal="center" vertical="center"/>
    </xf>
    <xf numFmtId="0" fontId="63" fillId="0" borderId="30" xfId="0" applyFont="1" applyBorder="1" applyAlignment="1">
      <alignment horizontal="right" vertical="center"/>
    </xf>
    <xf numFmtId="167" fontId="43" fillId="0" borderId="30" xfId="0" applyNumberFormat="1" applyFont="1" applyBorder="1" applyAlignment="1">
      <alignment horizontal="center" vertical="center"/>
    </xf>
    <xf numFmtId="168" fontId="114" fillId="0" borderId="30" xfId="0" applyNumberFormat="1" applyFont="1" applyBorder="1" applyAlignment="1">
      <alignment horizontal="center" vertical="center"/>
    </xf>
    <xf numFmtId="0" fontId="47" fillId="0" borderId="23" xfId="0" applyFont="1" applyBorder="1" applyAlignment="1">
      <alignment vertical="center"/>
    </xf>
    <xf numFmtId="0" fontId="41" fillId="0" borderId="23" xfId="0" applyFont="1" applyBorder="1" applyAlignment="1">
      <alignment vertical="center"/>
    </xf>
    <xf numFmtId="0" fontId="63" fillId="0" borderId="0" xfId="0" applyFont="1" applyAlignment="1">
      <alignment horizontal="center" vertical="center"/>
    </xf>
    <xf numFmtId="0" fontId="43" fillId="0" borderId="23" xfId="0" applyFont="1" applyBorder="1" applyAlignment="1">
      <alignment horizontal="center" vertical="center"/>
    </xf>
    <xf numFmtId="1" fontId="43" fillId="0" borderId="0" xfId="0" applyNumberFormat="1" applyFont="1" applyAlignment="1">
      <alignment horizontal="center" vertical="center"/>
    </xf>
    <xf numFmtId="0" fontId="63" fillId="0" borderId="30" xfId="0" applyFont="1" applyBorder="1" applyAlignment="1">
      <alignment horizontal="left" vertical="center"/>
    </xf>
    <xf numFmtId="175" fontId="43" fillId="0" borderId="30" xfId="0" applyNumberFormat="1" applyFont="1" applyBorder="1" applyAlignment="1">
      <alignment horizontal="center" vertical="center"/>
    </xf>
    <xf numFmtId="3" fontId="63" fillId="0" borderId="28" xfId="0" applyNumberFormat="1" applyFont="1" applyBorder="1" applyAlignment="1">
      <alignment horizontal="center" vertical="center"/>
    </xf>
    <xf numFmtId="0" fontId="120" fillId="0" borderId="28" xfId="0" applyFont="1" applyBorder="1" applyAlignment="1">
      <alignment horizontal="left" vertical="center" wrapText="1"/>
    </xf>
    <xf numFmtId="0" fontId="120" fillId="0" borderId="28" xfId="0" applyFont="1" applyBorder="1" applyAlignment="1">
      <alignment vertical="center" wrapText="1"/>
    </xf>
    <xf numFmtId="164" fontId="43" fillId="0" borderId="28" xfId="0" applyNumberFormat="1" applyFont="1" applyBorder="1" applyAlignment="1">
      <alignment horizontal="center" vertical="center"/>
    </xf>
    <xf numFmtId="1" fontId="43" fillId="0" borderId="28" xfId="0" applyNumberFormat="1" applyFont="1" applyBorder="1" applyAlignment="1">
      <alignment horizontal="center" vertical="center"/>
    </xf>
    <xf numFmtId="0" fontId="43" fillId="0" borderId="28" xfId="0" applyFont="1" applyBorder="1" applyAlignment="1">
      <alignment horizontal="center" vertical="center"/>
    </xf>
    <xf numFmtId="0" fontId="40" fillId="0" borderId="0" xfId="0" applyFont="1" applyAlignment="1" applyProtection="1">
      <alignment vertical="center"/>
      <protection locked="0"/>
    </xf>
    <xf numFmtId="0" fontId="40" fillId="0" borderId="0" xfId="0" applyFont="1" applyAlignment="1">
      <alignment vertical="center" wrapText="1"/>
    </xf>
    <xf numFmtId="0" fontId="40" fillId="0" borderId="0" xfId="0" applyFont="1" applyAlignment="1" applyProtection="1">
      <alignment horizontal="center" vertical="center"/>
      <protection locked="0"/>
    </xf>
    <xf numFmtId="165" fontId="40" fillId="0" borderId="0" xfId="0" applyNumberFormat="1" applyFont="1" applyAlignment="1" applyProtection="1">
      <alignment horizontal="center" vertical="center"/>
      <protection locked="0"/>
    </xf>
    <xf numFmtId="9" fontId="40" fillId="0" borderId="0" xfId="0" applyNumberFormat="1" applyFont="1" applyAlignment="1">
      <alignment horizontal="center" vertical="center"/>
    </xf>
    <xf numFmtId="166" fontId="40" fillId="0" borderId="0" xfId="0" applyNumberFormat="1" applyFont="1" applyAlignment="1" applyProtection="1">
      <alignment horizontal="center" vertical="center"/>
      <protection locked="0"/>
    </xf>
    <xf numFmtId="0" fontId="40" fillId="0" borderId="0" xfId="0" applyFont="1" applyAlignment="1">
      <alignment horizontal="center" vertical="center"/>
    </xf>
    <xf numFmtId="0" fontId="121" fillId="0" borderId="0" xfId="0" applyFont="1" applyAlignment="1">
      <alignment vertical="center"/>
    </xf>
    <xf numFmtId="0" fontId="40" fillId="0" borderId="0" xfId="0" applyFont="1" applyAlignment="1">
      <alignment horizontal="left" vertical="center"/>
    </xf>
    <xf numFmtId="0" fontId="121" fillId="0" borderId="0" xfId="0" applyFont="1" applyAlignment="1">
      <alignment horizontal="center" vertical="center"/>
    </xf>
    <xf numFmtId="0" fontId="40" fillId="0" borderId="0" xfId="0" applyFont="1" applyAlignment="1">
      <alignment horizontal="right" vertical="center"/>
    </xf>
    <xf numFmtId="3" fontId="40" fillId="0" borderId="0" xfId="0" applyNumberFormat="1" applyFont="1" applyAlignment="1">
      <alignment horizontal="center" vertical="center"/>
    </xf>
    <xf numFmtId="164" fontId="40" fillId="0" borderId="0" xfId="0" applyNumberFormat="1" applyFont="1" applyAlignment="1">
      <alignment horizontal="center" vertical="center"/>
    </xf>
    <xf numFmtId="168" fontId="40" fillId="0" borderId="0" xfId="0" applyNumberFormat="1" applyFont="1" applyAlignment="1">
      <alignment horizontal="center" vertical="center"/>
    </xf>
    <xf numFmtId="170" fontId="40" fillId="0" borderId="0" xfId="0" applyNumberFormat="1" applyFont="1" applyAlignment="1">
      <alignment horizontal="center" vertical="center"/>
    </xf>
    <xf numFmtId="170" fontId="40" fillId="0" borderId="0" xfId="0" applyNumberFormat="1" applyFont="1" applyAlignment="1">
      <alignment vertical="center"/>
    </xf>
    <xf numFmtId="0" fontId="40" fillId="0" borderId="5" xfId="0" applyFont="1" applyBorder="1" applyAlignment="1">
      <alignment vertical="center"/>
    </xf>
    <xf numFmtId="170" fontId="40" fillId="0" borderId="5" xfId="0" applyNumberFormat="1" applyFont="1" applyBorder="1" applyAlignment="1">
      <alignment horizontal="center" vertical="center"/>
    </xf>
    <xf numFmtId="0" fontId="121" fillId="0" borderId="5" xfId="0" applyFont="1" applyBorder="1" applyAlignment="1">
      <alignment vertical="center"/>
    </xf>
    <xf numFmtId="173" fontId="40" fillId="0" borderId="0" xfId="0" applyNumberFormat="1" applyFont="1" applyAlignment="1">
      <alignment horizontal="center" vertical="center"/>
    </xf>
    <xf numFmtId="0" fontId="121" fillId="0" borderId="0" xfId="0" applyFont="1" applyAlignment="1">
      <alignment horizontal="right" vertical="center"/>
    </xf>
    <xf numFmtId="9" fontId="40" fillId="0" borderId="31" xfId="0" applyNumberFormat="1" applyFont="1" applyBorder="1" applyAlignment="1">
      <alignment horizontal="center" vertical="center"/>
    </xf>
    <xf numFmtId="0" fontId="63" fillId="0" borderId="0" xfId="0" applyFont="1" applyAlignment="1">
      <alignment vertical="center"/>
    </xf>
    <xf numFmtId="3" fontId="121" fillId="0" borderId="30" xfId="0" applyNumberFormat="1" applyFont="1" applyBorder="1" applyAlignment="1">
      <alignment horizontal="center" vertical="center"/>
    </xf>
    <xf numFmtId="9" fontId="40" fillId="0" borderId="30" xfId="0" applyNumberFormat="1" applyFont="1" applyBorder="1" applyAlignment="1">
      <alignment horizontal="center" vertical="center"/>
    </xf>
    <xf numFmtId="164" fontId="40" fillId="0" borderId="30" xfId="0" applyNumberFormat="1" applyFont="1" applyBorder="1" applyAlignment="1">
      <alignment horizontal="center" vertical="center"/>
    </xf>
    <xf numFmtId="3" fontId="40" fillId="0" borderId="30" xfId="0" applyNumberFormat="1" applyFont="1" applyBorder="1" applyAlignment="1">
      <alignment horizontal="center" vertical="center"/>
    </xf>
    <xf numFmtId="164" fontId="40" fillId="0" borderId="31" xfId="0" applyNumberFormat="1" applyFont="1" applyBorder="1" applyAlignment="1">
      <alignment horizontal="center" vertical="center"/>
    </xf>
    <xf numFmtId="3" fontId="40" fillId="0" borderId="31" xfId="0" applyNumberFormat="1" applyFont="1" applyBorder="1" applyAlignment="1">
      <alignment horizontal="center" vertical="center"/>
    </xf>
    <xf numFmtId="9" fontId="40" fillId="0" borderId="29" xfId="0" applyNumberFormat="1" applyFont="1" applyBorder="1" applyAlignment="1">
      <alignment horizontal="center" vertical="center"/>
    </xf>
    <xf numFmtId="168" fontId="40" fillId="0" borderId="29" xfId="0" applyNumberFormat="1" applyFont="1" applyBorder="1" applyAlignment="1">
      <alignment horizontal="center" vertical="center"/>
    </xf>
    <xf numFmtId="168" fontId="40" fillId="0" borderId="30" xfId="0" applyNumberFormat="1" applyFont="1" applyBorder="1" applyAlignment="1">
      <alignment horizontal="center" vertical="center"/>
    </xf>
    <xf numFmtId="168" fontId="40" fillId="0" borderId="31" xfId="0" applyNumberFormat="1" applyFont="1" applyBorder="1" applyAlignment="1">
      <alignment horizontal="center" vertical="center"/>
    </xf>
    <xf numFmtId="0" fontId="40" fillId="0" borderId="28" xfId="0" applyFont="1" applyBorder="1" applyAlignment="1">
      <alignment vertical="center"/>
    </xf>
    <xf numFmtId="168" fontId="121" fillId="0" borderId="30" xfId="0" applyNumberFormat="1" applyFont="1" applyBorder="1" applyAlignment="1">
      <alignment horizontal="center" vertical="center"/>
    </xf>
    <xf numFmtId="3" fontId="39" fillId="0" borderId="30" xfId="0" applyNumberFormat="1" applyFont="1" applyBorder="1" applyAlignment="1">
      <alignment horizontal="center" vertical="center"/>
    </xf>
    <xf numFmtId="3" fontId="38" fillId="0" borderId="30" xfId="0" applyNumberFormat="1" applyFont="1" applyBorder="1" applyAlignment="1">
      <alignment horizontal="center" vertical="center"/>
    </xf>
    <xf numFmtId="1" fontId="38" fillId="0" borderId="30" xfId="0" applyNumberFormat="1" applyFont="1" applyBorder="1" applyAlignment="1">
      <alignment horizontal="center" vertical="center"/>
    </xf>
    <xf numFmtId="0" fontId="38" fillId="0" borderId="30" xfId="0" applyFont="1" applyBorder="1" applyAlignment="1">
      <alignment horizontal="center" vertical="center"/>
    </xf>
    <xf numFmtId="0" fontId="128" fillId="0" borderId="0" xfId="0" applyFont="1" applyAlignment="1">
      <alignment vertical="center"/>
    </xf>
    <xf numFmtId="0" fontId="39" fillId="0" borderId="0" xfId="0" applyFont="1" applyAlignment="1">
      <alignment horizontal="center" vertical="center"/>
    </xf>
    <xf numFmtId="1" fontId="38" fillId="0" borderId="0" xfId="0" applyNumberFormat="1" applyFont="1" applyAlignment="1">
      <alignment horizontal="center" vertical="center"/>
    </xf>
    <xf numFmtId="168" fontId="38" fillId="0" borderId="0" xfId="0" applyNumberFormat="1" applyFont="1" applyAlignment="1">
      <alignment horizontal="center" vertical="center"/>
    </xf>
    <xf numFmtId="3" fontId="38" fillId="0" borderId="0" xfId="0" applyNumberFormat="1" applyFont="1" applyAlignment="1">
      <alignment horizontal="center" vertical="center"/>
    </xf>
    <xf numFmtId="9" fontId="38" fillId="0" borderId="0" xfId="0" applyNumberFormat="1" applyFont="1" applyAlignment="1">
      <alignment horizontal="center" vertical="center"/>
    </xf>
    <xf numFmtId="168" fontId="39" fillId="0" borderId="0" xfId="0" applyNumberFormat="1" applyFont="1" applyAlignment="1">
      <alignment horizontal="center" vertical="center"/>
    </xf>
    <xf numFmtId="9" fontId="91" fillId="0" borderId="0" xfId="0" applyNumberFormat="1" applyFont="1" applyAlignment="1">
      <alignment horizontal="center" vertical="center"/>
    </xf>
    <xf numFmtId="165" fontId="38" fillId="0" borderId="0" xfId="0" applyNumberFormat="1" applyFont="1" applyAlignment="1">
      <alignment horizontal="center" vertical="center"/>
    </xf>
    <xf numFmtId="0" fontId="129" fillId="0" borderId="0" xfId="0" applyFont="1" applyAlignment="1">
      <alignment vertical="center"/>
    </xf>
    <xf numFmtId="0" fontId="130" fillId="0" borderId="0" xfId="0" applyFont="1" applyAlignment="1">
      <alignment vertical="center"/>
    </xf>
    <xf numFmtId="0" fontId="129" fillId="0" borderId="0" xfId="0" applyFont="1"/>
    <xf numFmtId="0" fontId="131" fillId="0" borderId="0" xfId="0" applyFont="1" applyAlignment="1">
      <alignment vertical="center"/>
    </xf>
    <xf numFmtId="9" fontId="129" fillId="0" borderId="0" xfId="0" applyNumberFormat="1" applyFont="1" applyAlignment="1">
      <alignment horizontal="center" vertical="center"/>
    </xf>
    <xf numFmtId="1" fontId="49" fillId="0" borderId="30" xfId="0" applyNumberFormat="1" applyFont="1" applyBorder="1" applyAlignment="1">
      <alignment horizontal="center" vertical="center"/>
    </xf>
    <xf numFmtId="166" fontId="49" fillId="0" borderId="30" xfId="0" applyNumberFormat="1" applyFont="1" applyBorder="1" applyAlignment="1">
      <alignment horizontal="center" vertical="center"/>
    </xf>
    <xf numFmtId="3" fontId="49" fillId="0" borderId="30" xfId="0" applyNumberFormat="1" applyFont="1" applyBorder="1" applyAlignment="1">
      <alignment horizontal="center" vertical="center"/>
    </xf>
    <xf numFmtId="9" fontId="49" fillId="0" borderId="30" xfId="0" applyNumberFormat="1" applyFont="1" applyBorder="1" applyAlignment="1">
      <alignment horizontal="center" vertical="center"/>
    </xf>
    <xf numFmtId="167" fontId="49" fillId="0" borderId="30" xfId="0" applyNumberFormat="1" applyFont="1" applyBorder="1" applyAlignment="1">
      <alignment horizontal="center" vertical="center"/>
    </xf>
    <xf numFmtId="164" fontId="49" fillId="0" borderId="30" xfId="0" applyNumberFormat="1" applyFont="1" applyBorder="1" applyAlignment="1">
      <alignment horizontal="center" vertical="center"/>
    </xf>
    <xf numFmtId="0" fontId="128" fillId="0" borderId="0" xfId="0" applyFont="1" applyAlignment="1">
      <alignment horizontal="center" vertical="center"/>
    </xf>
    <xf numFmtId="9" fontId="39" fillId="0" borderId="0" xfId="0" applyNumberFormat="1" applyFont="1" applyAlignment="1">
      <alignment horizontal="center" vertical="center"/>
    </xf>
    <xf numFmtId="167" fontId="39" fillId="0" borderId="0" xfId="0" applyNumberFormat="1" applyFont="1" applyAlignment="1">
      <alignment horizontal="center" vertical="center"/>
    </xf>
    <xf numFmtId="1" fontId="39" fillId="0" borderId="0" xfId="0" applyNumberFormat="1" applyFont="1" applyAlignment="1">
      <alignment horizontal="center" vertical="center"/>
    </xf>
    <xf numFmtId="0" fontId="129" fillId="0" borderId="30" xfId="0" applyFont="1" applyBorder="1" applyAlignment="1">
      <alignment vertical="center"/>
    </xf>
    <xf numFmtId="3" fontId="130" fillId="0" borderId="30" xfId="0" applyNumberFormat="1" applyFont="1" applyBorder="1" applyAlignment="1">
      <alignment horizontal="center" vertical="center"/>
    </xf>
    <xf numFmtId="177" fontId="130" fillId="0" borderId="30" xfId="0" applyNumberFormat="1" applyFont="1" applyBorder="1" applyAlignment="1">
      <alignment horizontal="center" vertical="center"/>
    </xf>
    <xf numFmtId="0" fontId="129" fillId="0" borderId="30" xfId="0" applyFont="1" applyBorder="1" applyAlignment="1">
      <alignment horizontal="center" vertical="center"/>
    </xf>
    <xf numFmtId="3" fontId="129" fillId="0" borderId="30" xfId="0" applyNumberFormat="1" applyFont="1" applyBorder="1" applyAlignment="1">
      <alignment horizontal="center" vertical="center"/>
    </xf>
    <xf numFmtId="9" fontId="129" fillId="0" borderId="30" xfId="0" applyNumberFormat="1" applyFont="1" applyBorder="1" applyAlignment="1">
      <alignment horizontal="center" vertical="center"/>
    </xf>
    <xf numFmtId="168" fontId="129" fillId="0" borderId="30" xfId="0" applyNumberFormat="1" applyFont="1" applyBorder="1" applyAlignment="1">
      <alignment horizontal="center" vertical="center"/>
    </xf>
    <xf numFmtId="1" fontId="129" fillId="0" borderId="30" xfId="0" applyNumberFormat="1" applyFont="1" applyBorder="1" applyAlignment="1">
      <alignment horizontal="center" vertical="center"/>
    </xf>
    <xf numFmtId="167" fontId="129" fillId="0" borderId="30" xfId="0" applyNumberFormat="1" applyFont="1" applyBorder="1" applyAlignment="1">
      <alignment horizontal="center" vertical="center"/>
    </xf>
    <xf numFmtId="166" fontId="129" fillId="0" borderId="30" xfId="0" applyNumberFormat="1" applyFont="1" applyBorder="1" applyAlignment="1">
      <alignment horizontal="center" vertical="center"/>
    </xf>
    <xf numFmtId="3" fontId="130" fillId="18" borderId="30" xfId="0" applyNumberFormat="1" applyFont="1" applyFill="1" applyBorder="1" applyAlignment="1">
      <alignment horizontal="center" vertical="center"/>
    </xf>
    <xf numFmtId="2" fontId="129" fillId="0" borderId="30" xfId="0" applyNumberFormat="1" applyFont="1" applyBorder="1" applyAlignment="1">
      <alignment horizontal="center" vertical="center"/>
    </xf>
    <xf numFmtId="0" fontId="39" fillId="0" borderId="30" xfId="0" applyFont="1" applyBorder="1" applyAlignment="1">
      <alignment vertical="center"/>
    </xf>
    <xf numFmtId="0" fontId="38" fillId="0" borderId="30" xfId="0" applyFont="1" applyBorder="1" applyAlignment="1">
      <alignment vertical="center"/>
    </xf>
    <xf numFmtId="167" fontId="39" fillId="0" borderId="30" xfId="0" applyNumberFormat="1" applyFont="1" applyBorder="1" applyAlignment="1">
      <alignment horizontal="center" vertical="center"/>
    </xf>
    <xf numFmtId="9" fontId="38" fillId="0" borderId="30" xfId="0" applyNumberFormat="1" applyFont="1" applyBorder="1" applyAlignment="1">
      <alignment horizontal="center" vertical="center"/>
    </xf>
    <xf numFmtId="166" fontId="38" fillId="0" borderId="30" xfId="0" applyNumberFormat="1" applyFont="1" applyBorder="1" applyAlignment="1">
      <alignment horizontal="center" vertical="center"/>
    </xf>
    <xf numFmtId="168" fontId="38" fillId="0" borderId="30" xfId="0" applyNumberFormat="1" applyFont="1" applyBorder="1" applyAlignment="1">
      <alignment horizontal="center" vertical="center"/>
    </xf>
    <xf numFmtId="164" fontId="38" fillId="0" borderId="30" xfId="0" applyNumberFormat="1" applyFont="1" applyBorder="1" applyAlignment="1">
      <alignment horizontal="center" vertical="center"/>
    </xf>
    <xf numFmtId="0" fontId="88" fillId="0" borderId="0" xfId="0" applyFont="1" applyAlignment="1">
      <alignment vertical="center"/>
    </xf>
    <xf numFmtId="0" fontId="89" fillId="0" borderId="0" xfId="0" applyFont="1" applyAlignment="1">
      <alignment vertical="center"/>
    </xf>
    <xf numFmtId="1" fontId="89" fillId="0" borderId="30" xfId="0" applyNumberFormat="1" applyFont="1" applyBorder="1" applyAlignment="1">
      <alignment horizontal="center" vertical="center"/>
    </xf>
    <xf numFmtId="165" fontId="38" fillId="0" borderId="30" xfId="0" applyNumberFormat="1" applyFont="1" applyBorder="1" applyAlignment="1">
      <alignment horizontal="center" vertical="center"/>
    </xf>
    <xf numFmtId="4" fontId="38" fillId="0" borderId="30" xfId="0" applyNumberFormat="1" applyFont="1" applyBorder="1" applyAlignment="1">
      <alignment horizontal="center" vertical="center"/>
    </xf>
    <xf numFmtId="0" fontId="38" fillId="9" borderId="5" xfId="0" applyFont="1" applyFill="1" applyBorder="1" applyAlignment="1">
      <alignment horizontal="center" vertical="center"/>
    </xf>
    <xf numFmtId="3" fontId="38" fillId="9" borderId="5" xfId="0" applyNumberFormat="1" applyFont="1" applyFill="1" applyBorder="1" applyAlignment="1">
      <alignment horizontal="center" vertical="center"/>
    </xf>
    <xf numFmtId="1" fontId="38" fillId="9" borderId="5" xfId="0" applyNumberFormat="1" applyFont="1" applyFill="1" applyBorder="1" applyAlignment="1">
      <alignment horizontal="center" vertical="center"/>
    </xf>
    <xf numFmtId="166" fontId="91" fillId="9" borderId="5" xfId="0" applyNumberFormat="1" applyFont="1" applyFill="1" applyBorder="1" applyAlignment="1">
      <alignment horizontal="center" vertical="center"/>
    </xf>
    <xf numFmtId="9" fontId="91" fillId="9" borderId="5" xfId="0" applyNumberFormat="1" applyFont="1" applyFill="1" applyBorder="1" applyAlignment="1">
      <alignment horizontal="center" vertical="center"/>
    </xf>
    <xf numFmtId="164" fontId="91" fillId="9" borderId="5" xfId="0" applyNumberFormat="1" applyFont="1" applyFill="1" applyBorder="1" applyAlignment="1">
      <alignment horizontal="center" vertical="center"/>
    </xf>
    <xf numFmtId="3" fontId="91" fillId="9" borderId="5" xfId="0" applyNumberFormat="1" applyFont="1" applyFill="1" applyBorder="1" applyAlignment="1">
      <alignment horizontal="center" vertical="center"/>
    </xf>
    <xf numFmtId="1" fontId="91" fillId="9" borderId="5" xfId="0" applyNumberFormat="1" applyFont="1" applyFill="1" applyBorder="1" applyAlignment="1">
      <alignment horizontal="center" vertical="center"/>
    </xf>
    <xf numFmtId="9" fontId="38" fillId="10" borderId="5" xfId="0" applyNumberFormat="1" applyFont="1" applyFill="1" applyBorder="1" applyAlignment="1">
      <alignment horizontal="center" vertical="center"/>
    </xf>
    <xf numFmtId="0" fontId="38" fillId="6" borderId="5" xfId="0" applyFont="1" applyFill="1" applyBorder="1" applyAlignment="1">
      <alignment horizontal="left" vertical="center"/>
    </xf>
    <xf numFmtId="0" fontId="38" fillId="6" borderId="5" xfId="0" applyFont="1" applyFill="1" applyBorder="1" applyAlignment="1">
      <alignment horizontal="center" vertical="center"/>
    </xf>
    <xf numFmtId="165" fontId="39" fillId="6" borderId="5" xfId="0" applyNumberFormat="1" applyFont="1" applyFill="1" applyBorder="1" applyAlignment="1">
      <alignment horizontal="center" vertical="center"/>
    </xf>
    <xf numFmtId="1" fontId="39" fillId="6" borderId="5" xfId="0" applyNumberFormat="1" applyFont="1" applyFill="1" applyBorder="1" applyAlignment="1">
      <alignment horizontal="center" vertical="center"/>
    </xf>
    <xf numFmtId="165" fontId="38" fillId="6" borderId="5" xfId="0" applyNumberFormat="1" applyFont="1" applyFill="1" applyBorder="1" applyAlignment="1">
      <alignment horizontal="center" vertical="center"/>
    </xf>
    <xf numFmtId="1" fontId="38" fillId="6" borderId="5" xfId="0" applyNumberFormat="1" applyFont="1" applyFill="1" applyBorder="1" applyAlignment="1">
      <alignment horizontal="center" vertical="center"/>
    </xf>
    <xf numFmtId="166" fontId="91" fillId="6" borderId="5" xfId="0" applyNumberFormat="1" applyFont="1" applyFill="1" applyBorder="1" applyAlignment="1">
      <alignment horizontal="center" vertical="center"/>
    </xf>
    <xf numFmtId="9" fontId="91" fillId="6" borderId="5" xfId="0" applyNumberFormat="1" applyFont="1" applyFill="1" applyBorder="1" applyAlignment="1">
      <alignment horizontal="center" vertical="center"/>
    </xf>
    <xf numFmtId="164" fontId="134" fillId="6" borderId="5" xfId="0" applyNumberFormat="1" applyFont="1" applyFill="1" applyBorder="1" applyAlignment="1">
      <alignment horizontal="center" vertical="center"/>
    </xf>
    <xf numFmtId="9" fontId="134" fillId="6" borderId="5" xfId="0" applyNumberFormat="1" applyFont="1" applyFill="1" applyBorder="1" applyAlignment="1">
      <alignment horizontal="center" vertical="center"/>
    </xf>
    <xf numFmtId="165" fontId="134" fillId="6" borderId="5" xfId="0" applyNumberFormat="1" applyFont="1" applyFill="1" applyBorder="1" applyAlignment="1">
      <alignment horizontal="center" vertical="center"/>
    </xf>
    <xf numFmtId="165" fontId="39" fillId="0" borderId="30" xfId="0" applyNumberFormat="1" applyFont="1" applyBorder="1" applyAlignment="1">
      <alignment horizontal="center" vertical="center"/>
    </xf>
    <xf numFmtId="0" fontId="38" fillId="0" borderId="30" xfId="0" applyFont="1" applyBorder="1"/>
    <xf numFmtId="168" fontId="38" fillId="0" borderId="30" xfId="0" applyNumberFormat="1" applyFont="1" applyBorder="1" applyAlignment="1">
      <alignment horizontal="center"/>
    </xf>
    <xf numFmtId="0" fontId="101" fillId="15" borderId="0" xfId="0" applyFont="1" applyFill="1"/>
    <xf numFmtId="0" fontId="38" fillId="15" borderId="0" xfId="0" applyFont="1" applyFill="1"/>
    <xf numFmtId="0" fontId="92" fillId="15" borderId="0" xfId="0" applyFont="1" applyFill="1"/>
    <xf numFmtId="0" fontId="39" fillId="15" borderId="0" xfId="0" applyFont="1" applyFill="1"/>
    <xf numFmtId="0" fontId="133" fillId="0" borderId="0" xfId="0" applyFont="1" applyAlignment="1">
      <alignment horizontal="right"/>
    </xf>
    <xf numFmtId="0" fontId="124" fillId="16" borderId="0" xfId="0" applyFont="1" applyFill="1" applyAlignment="1">
      <alignment vertical="center"/>
    </xf>
    <xf numFmtId="0" fontId="139" fillId="16" borderId="0" xfId="0" applyFont="1" applyFill="1" applyAlignment="1">
      <alignment vertical="center"/>
    </xf>
    <xf numFmtId="0" fontId="101" fillId="0" borderId="0" xfId="0" applyFont="1" applyAlignment="1">
      <alignment horizontal="right"/>
    </xf>
    <xf numFmtId="0" fontId="102" fillId="0" borderId="0" xfId="0" applyFont="1" applyAlignment="1">
      <alignment horizontal="right"/>
    </xf>
    <xf numFmtId="0" fontId="124" fillId="16" borderId="0" xfId="0" applyFont="1" applyFill="1" applyAlignment="1">
      <alignment horizontal="center" vertical="center"/>
    </xf>
    <xf numFmtId="0" fontId="62" fillId="16" borderId="0" xfId="0" applyFont="1" applyFill="1" applyAlignment="1">
      <alignment horizontal="left" vertical="center"/>
    </xf>
    <xf numFmtId="0" fontId="49" fillId="16" borderId="0" xfId="0" applyFont="1" applyFill="1" applyAlignment="1">
      <alignment horizontal="left" vertical="center"/>
    </xf>
    <xf numFmtId="0" fontId="49" fillId="15" borderId="23" xfId="0" applyFont="1" applyFill="1" applyBorder="1"/>
    <xf numFmtId="0" fontId="49" fillId="15" borderId="23" xfId="0" applyFont="1" applyFill="1" applyBorder="1" applyAlignment="1">
      <alignment horizontal="right"/>
    </xf>
    <xf numFmtId="0" fontId="50" fillId="15" borderId="23" xfId="0" applyFont="1" applyFill="1" applyBorder="1" applyAlignment="1">
      <alignment horizontal="center" vertical="center"/>
    </xf>
    <xf numFmtId="0" fontId="105" fillId="16" borderId="28" xfId="0" applyFont="1" applyFill="1" applyBorder="1" applyAlignment="1">
      <alignment vertical="center"/>
    </xf>
    <xf numFmtId="0" fontId="61" fillId="16" borderId="28" xfId="0" applyFont="1" applyFill="1" applyBorder="1" applyAlignment="1">
      <alignment horizontal="left" vertical="center"/>
    </xf>
    <xf numFmtId="0" fontId="48" fillId="16" borderId="28" xfId="0" applyFont="1" applyFill="1" applyBorder="1" applyAlignment="1">
      <alignment horizontal="center" vertical="center"/>
    </xf>
    <xf numFmtId="0" fontId="41" fillId="16" borderId="28" xfId="0" applyFont="1" applyFill="1" applyBorder="1" applyAlignment="1">
      <alignment horizontal="center" vertical="center"/>
    </xf>
    <xf numFmtId="0" fontId="47" fillId="16" borderId="28" xfId="0" applyFont="1" applyFill="1" applyBorder="1" applyAlignment="1">
      <alignment horizontal="center" vertical="center"/>
    </xf>
    <xf numFmtId="0" fontId="49" fillId="14" borderId="0" xfId="0" applyFont="1" applyFill="1" applyAlignment="1">
      <alignment vertical="center"/>
    </xf>
    <xf numFmtId="0" fontId="49" fillId="14" borderId="0" xfId="0" applyFont="1" applyFill="1"/>
    <xf numFmtId="0" fontId="59" fillId="14" borderId="0" xfId="0" applyFont="1" applyFill="1" applyAlignment="1">
      <alignment horizontal="center" vertical="center"/>
    </xf>
    <xf numFmtId="0" fontId="59" fillId="14" borderId="0" xfId="0" applyFont="1" applyFill="1" applyAlignment="1">
      <alignment vertical="center"/>
    </xf>
    <xf numFmtId="0" fontId="49" fillId="14" borderId="0" xfId="0" applyFont="1" applyFill="1" applyAlignment="1">
      <alignment horizontal="center" vertical="center"/>
    </xf>
    <xf numFmtId="0" fontId="49" fillId="14" borderId="23" xfId="0" applyFont="1" applyFill="1" applyBorder="1" applyAlignment="1">
      <alignment vertical="center"/>
    </xf>
    <xf numFmtId="0" fontId="49" fillId="14" borderId="23" xfId="0" applyFont="1" applyFill="1" applyBorder="1" applyAlignment="1">
      <alignment horizontal="center" vertical="center"/>
    </xf>
    <xf numFmtId="0" fontId="0" fillId="14" borderId="0" xfId="0" applyFill="1"/>
    <xf numFmtId="0" fontId="0" fillId="14" borderId="0" xfId="0" applyFill="1" applyAlignment="1">
      <alignment vertical="center"/>
    </xf>
    <xf numFmtId="0" fontId="9" fillId="14" borderId="0" xfId="0" applyFont="1" applyFill="1" applyAlignment="1">
      <alignment vertical="center"/>
    </xf>
    <xf numFmtId="0" fontId="43" fillId="14" borderId="0" xfId="0" applyFont="1" applyFill="1" applyAlignment="1">
      <alignment vertical="center"/>
    </xf>
    <xf numFmtId="0" fontId="43" fillId="14" borderId="0" xfId="0" applyFont="1" applyFill="1" applyAlignment="1">
      <alignment horizontal="center" vertical="center"/>
    </xf>
    <xf numFmtId="3" fontId="43" fillId="14" borderId="0" xfId="0" applyNumberFormat="1" applyFont="1" applyFill="1" applyAlignment="1">
      <alignment vertical="center"/>
    </xf>
    <xf numFmtId="0" fontId="96" fillId="14" borderId="0" xfId="0" applyFont="1" applyFill="1" applyAlignment="1">
      <alignment vertical="center"/>
    </xf>
    <xf numFmtId="0" fontId="43" fillId="14" borderId="23" xfId="0" applyFont="1" applyFill="1" applyBorder="1" applyAlignment="1">
      <alignment horizontal="center" vertical="center"/>
    </xf>
    <xf numFmtId="10" fontId="43" fillId="14" borderId="0" xfId="0" applyNumberFormat="1" applyFont="1" applyFill="1" applyAlignment="1">
      <alignment vertical="center"/>
    </xf>
    <xf numFmtId="10" fontId="43" fillId="14" borderId="0" xfId="0" applyNumberFormat="1" applyFont="1" applyFill="1" applyAlignment="1">
      <alignment horizontal="center" vertical="center"/>
    </xf>
    <xf numFmtId="0" fontId="63" fillId="14" borderId="0" xfId="0" applyFont="1" applyFill="1" applyAlignment="1">
      <alignment horizontal="right" vertical="center"/>
    </xf>
    <xf numFmtId="3" fontId="63" fillId="14" borderId="0" xfId="0" applyNumberFormat="1" applyFont="1" applyFill="1" applyAlignment="1">
      <alignment horizontal="center" vertical="center"/>
    </xf>
    <xf numFmtId="0" fontId="43" fillId="14" borderId="23" xfId="0" applyFont="1" applyFill="1" applyBorder="1" applyAlignment="1">
      <alignment vertical="center"/>
    </xf>
    <xf numFmtId="3" fontId="43" fillId="14" borderId="0" xfId="0" applyNumberFormat="1" applyFont="1" applyFill="1" applyAlignment="1">
      <alignment horizontal="center" vertical="center"/>
    </xf>
    <xf numFmtId="3" fontId="43" fillId="14" borderId="23" xfId="0" applyNumberFormat="1" applyFont="1" applyFill="1" applyBorder="1" applyAlignment="1">
      <alignment horizontal="center" vertical="center"/>
    </xf>
    <xf numFmtId="0" fontId="43" fillId="14" borderId="23" xfId="0" applyFont="1" applyFill="1" applyBorder="1" applyAlignment="1" applyProtection="1">
      <alignment vertical="center"/>
      <protection locked="0"/>
    </xf>
    <xf numFmtId="165" fontId="43" fillId="14" borderId="0" xfId="0" applyNumberFormat="1" applyFont="1" applyFill="1" applyAlignment="1">
      <alignment horizontal="center" vertical="center"/>
    </xf>
    <xf numFmtId="168" fontId="63" fillId="14" borderId="0" xfId="0" applyNumberFormat="1" applyFont="1" applyFill="1" applyAlignment="1">
      <alignment horizontal="center" vertical="center"/>
    </xf>
    <xf numFmtId="0" fontId="43" fillId="14" borderId="0" xfId="0" applyFont="1" applyFill="1"/>
    <xf numFmtId="0" fontId="118" fillId="14" borderId="0" xfId="0" applyFont="1" applyFill="1" applyAlignment="1">
      <alignment vertical="center"/>
    </xf>
    <xf numFmtId="1" fontId="43" fillId="14" borderId="0" xfId="0" applyNumberFormat="1" applyFont="1" applyFill="1" applyAlignment="1">
      <alignment horizontal="center" vertical="center"/>
    </xf>
    <xf numFmtId="0" fontId="130" fillId="14" borderId="0" xfId="0" applyFont="1" applyFill="1" applyAlignment="1">
      <alignment vertical="center"/>
    </xf>
    <xf numFmtId="0" fontId="129" fillId="14" borderId="0" xfId="0" applyFont="1" applyFill="1" applyAlignment="1">
      <alignment vertical="center"/>
    </xf>
    <xf numFmtId="0" fontId="50" fillId="14" borderId="0" xfId="0" applyFont="1" applyFill="1" applyAlignment="1">
      <alignment vertical="center"/>
    </xf>
    <xf numFmtId="0" fontId="53" fillId="14" borderId="0" xfId="0" applyFont="1" applyFill="1" applyAlignment="1">
      <alignment vertical="center"/>
    </xf>
    <xf numFmtId="0" fontId="53" fillId="38" borderId="5" xfId="0" applyFont="1" applyFill="1" applyBorder="1" applyAlignment="1">
      <alignment vertical="center"/>
    </xf>
    <xf numFmtId="0" fontId="131" fillId="14" borderId="0" xfId="0" applyFont="1" applyFill="1" applyAlignment="1">
      <alignment vertical="center"/>
    </xf>
    <xf numFmtId="0" fontId="39" fillId="14" borderId="0" xfId="0" applyFont="1" applyFill="1" applyAlignment="1">
      <alignment vertical="center"/>
    </xf>
    <xf numFmtId="0" fontId="38" fillId="14" borderId="0" xfId="0" applyFont="1" applyFill="1" applyAlignment="1">
      <alignment vertical="center"/>
    </xf>
    <xf numFmtId="0" fontId="10" fillId="14" borderId="0" xfId="0" applyFont="1" applyFill="1" applyAlignment="1">
      <alignment vertical="center"/>
    </xf>
    <xf numFmtId="0" fontId="8" fillId="14" borderId="0" xfId="0" applyFont="1" applyFill="1" applyAlignment="1">
      <alignment vertical="center"/>
    </xf>
    <xf numFmtId="0" fontId="131" fillId="38" borderId="5" xfId="0" applyFont="1" applyFill="1" applyBorder="1" applyAlignment="1">
      <alignment vertical="center"/>
    </xf>
    <xf numFmtId="0" fontId="132" fillId="14" borderId="0" xfId="0" applyFont="1" applyFill="1" applyAlignment="1">
      <alignment vertical="center"/>
    </xf>
    <xf numFmtId="4" fontId="49" fillId="14" borderId="0" xfId="0" applyNumberFormat="1" applyFont="1" applyFill="1" applyAlignment="1">
      <alignment horizontal="center" vertical="center"/>
    </xf>
    <xf numFmtId="0" fontId="0" fillId="0" borderId="0" xfId="0" applyAlignment="1">
      <alignment horizontal="center"/>
    </xf>
    <xf numFmtId="0" fontId="71" fillId="16" borderId="30" xfId="0" applyFont="1" applyFill="1" applyBorder="1" applyAlignment="1">
      <alignment horizontal="center" vertical="center" wrapText="1"/>
    </xf>
    <xf numFmtId="0" fontId="61" fillId="16" borderId="30" xfId="0" applyFont="1" applyFill="1" applyBorder="1" applyAlignment="1">
      <alignment horizontal="center" vertical="center"/>
    </xf>
    <xf numFmtId="0" fontId="61" fillId="16" borderId="30" xfId="0" applyFont="1" applyFill="1" applyBorder="1" applyAlignment="1">
      <alignment horizontal="center" vertical="center" wrapText="1"/>
    </xf>
    <xf numFmtId="165" fontId="49" fillId="19" borderId="30" xfId="0" applyNumberFormat="1" applyFont="1" applyFill="1" applyBorder="1" applyAlignment="1">
      <alignment horizontal="center" vertical="center"/>
    </xf>
    <xf numFmtId="0" fontId="71" fillId="16" borderId="30" xfId="0" applyFont="1" applyFill="1" applyBorder="1" applyAlignment="1">
      <alignment horizontal="center" vertical="center"/>
    </xf>
    <xf numFmtId="0" fontId="26" fillId="16" borderId="30" xfId="0" applyFont="1" applyFill="1" applyBorder="1" applyAlignment="1">
      <alignment horizontal="center" vertical="center"/>
    </xf>
    <xf numFmtId="0" fontId="26" fillId="16" borderId="30" xfId="0" applyFont="1" applyFill="1" applyBorder="1" applyAlignment="1">
      <alignment horizontal="center" vertical="center" wrapText="1"/>
    </xf>
    <xf numFmtId="0" fontId="59" fillId="0" borderId="30" xfId="0" applyFont="1" applyBorder="1" applyAlignment="1">
      <alignment vertical="center"/>
    </xf>
    <xf numFmtId="0" fontId="105" fillId="16" borderId="29" xfId="0" applyFont="1" applyFill="1" applyBorder="1" applyAlignment="1">
      <alignment vertical="center"/>
    </xf>
    <xf numFmtId="0" fontId="59" fillId="0" borderId="29" xfId="0" applyFont="1" applyBorder="1" applyAlignment="1">
      <alignment horizontal="right" vertical="center"/>
    </xf>
    <xf numFmtId="0" fontId="43" fillId="0" borderId="30" xfId="0" applyFont="1" applyBorder="1" applyAlignment="1">
      <alignment vertical="center"/>
    </xf>
    <xf numFmtId="0" fontId="43" fillId="0" borderId="29" xfId="0" applyFont="1" applyBorder="1" applyAlignment="1">
      <alignment horizontal="center" vertical="center"/>
    </xf>
    <xf numFmtId="0" fontId="62" fillId="16" borderId="29" xfId="0" applyFont="1" applyFill="1" applyBorder="1" applyAlignment="1">
      <alignment vertical="center"/>
    </xf>
    <xf numFmtId="0" fontId="27" fillId="16" borderId="30" xfId="0" applyFont="1" applyFill="1" applyBorder="1" applyAlignment="1">
      <alignment horizontal="center" vertical="center"/>
    </xf>
    <xf numFmtId="0" fontId="48" fillId="16" borderId="30" xfId="0" applyFont="1" applyFill="1" applyBorder="1" applyAlignment="1">
      <alignment horizontal="center" vertical="center"/>
    </xf>
    <xf numFmtId="0" fontId="47" fillId="0" borderId="30" xfId="0" applyFont="1" applyBorder="1" applyAlignment="1">
      <alignment horizontal="center" vertical="center"/>
    </xf>
    <xf numFmtId="0" fontId="100" fillId="16" borderId="30" xfId="0" applyFont="1" applyFill="1" applyBorder="1" applyAlignment="1">
      <alignment horizontal="center" vertical="center"/>
    </xf>
    <xf numFmtId="0" fontId="43" fillId="0" borderId="30" xfId="0" applyFont="1" applyBorder="1" applyAlignment="1">
      <alignment horizontal="center" vertical="center"/>
    </xf>
    <xf numFmtId="0" fontId="43" fillId="0" borderId="23" xfId="0" applyFont="1" applyBorder="1" applyAlignment="1">
      <alignment vertical="center"/>
    </xf>
    <xf numFmtId="0" fontId="105" fillId="0" borderId="0" xfId="0" applyFont="1" applyAlignment="1">
      <alignment vertical="center"/>
    </xf>
    <xf numFmtId="0" fontId="44" fillId="0" borderId="0" xfId="0" applyFont="1" applyAlignment="1">
      <alignment horizontal="left" vertical="center"/>
    </xf>
    <xf numFmtId="0" fontId="140" fillId="0" borderId="0" xfId="0" applyFont="1" applyAlignment="1">
      <alignment horizontal="left" vertical="center"/>
    </xf>
    <xf numFmtId="0" fontId="52" fillId="14" borderId="0" xfId="0" applyFont="1" applyFill="1"/>
    <xf numFmtId="0" fontId="60" fillId="14" borderId="0" xfId="0" applyFont="1" applyFill="1" applyAlignment="1">
      <alignment vertical="center"/>
    </xf>
    <xf numFmtId="0" fontId="58" fillId="14" borderId="0" xfId="0" applyFont="1" applyFill="1" applyAlignment="1">
      <alignment vertical="center"/>
    </xf>
    <xf numFmtId="0" fontId="49" fillId="14" borderId="0" xfId="0" applyFont="1" applyFill="1" applyAlignment="1">
      <alignment horizontal="center"/>
    </xf>
    <xf numFmtId="0" fontId="49" fillId="14" borderId="23" xfId="0" applyFont="1" applyFill="1" applyBorder="1"/>
    <xf numFmtId="0" fontId="50" fillId="14" borderId="0" xfId="0" applyFont="1" applyFill="1" applyAlignment="1">
      <alignment horizontal="right" vertical="center"/>
    </xf>
    <xf numFmtId="0" fontId="50" fillId="14" borderId="0" xfId="0" applyFont="1" applyFill="1"/>
    <xf numFmtId="3" fontId="49" fillId="24" borderId="30" xfId="0" applyNumberFormat="1" applyFont="1" applyFill="1" applyBorder="1" applyAlignment="1" applyProtection="1">
      <alignment horizontal="center" vertical="center"/>
      <protection locked="0"/>
    </xf>
    <xf numFmtId="2" fontId="49" fillId="24" borderId="30" xfId="0" applyNumberFormat="1" applyFont="1" applyFill="1" applyBorder="1" applyAlignment="1" applyProtection="1">
      <alignment horizontal="center" vertical="center"/>
      <protection locked="0"/>
    </xf>
    <xf numFmtId="2" fontId="51" fillId="24" borderId="30" xfId="0" applyNumberFormat="1" applyFont="1" applyFill="1" applyBorder="1" applyAlignment="1" applyProtection="1">
      <alignment horizontal="center" vertical="center"/>
      <protection locked="0"/>
    </xf>
    <xf numFmtId="0" fontId="49" fillId="24" borderId="30" xfId="0" applyFont="1" applyFill="1" applyBorder="1" applyAlignment="1" applyProtection="1">
      <alignment horizontal="center" vertical="center"/>
      <protection locked="0"/>
    </xf>
    <xf numFmtId="0" fontId="49" fillId="19" borderId="30" xfId="0" applyFont="1" applyFill="1" applyBorder="1" applyAlignment="1">
      <alignment horizontal="center" vertical="center"/>
    </xf>
    <xf numFmtId="0" fontId="59" fillId="3" borderId="30" xfId="0" applyFont="1" applyFill="1" applyBorder="1" applyAlignment="1">
      <alignment horizontal="left" vertical="center"/>
    </xf>
    <xf numFmtId="0" fontId="48" fillId="20" borderId="30" xfId="0" applyFont="1" applyFill="1" applyBorder="1" applyAlignment="1">
      <alignment horizontal="center" vertical="center"/>
    </xf>
    <xf numFmtId="0" fontId="58" fillId="15" borderId="37" xfId="0" applyFont="1" applyFill="1" applyBorder="1" applyAlignment="1">
      <alignment vertical="center"/>
    </xf>
    <xf numFmtId="0" fontId="60" fillId="15" borderId="35" xfId="0" applyFont="1" applyFill="1" applyBorder="1" applyAlignment="1">
      <alignment vertical="center"/>
    </xf>
    <xf numFmtId="0" fontId="60" fillId="15" borderId="36" xfId="0" applyFont="1" applyFill="1" applyBorder="1" applyAlignment="1">
      <alignment vertical="center"/>
    </xf>
    <xf numFmtId="0" fontId="49" fillId="14" borderId="0" xfId="0" applyFont="1" applyFill="1" applyAlignment="1">
      <alignment horizontal="right"/>
    </xf>
    <xf numFmtId="0" fontId="51" fillId="14" borderId="0" xfId="0" applyFont="1" applyFill="1"/>
    <xf numFmtId="0" fontId="49" fillId="14" borderId="0" xfId="0" applyFont="1" applyFill="1" applyAlignment="1">
      <alignment horizontal="left"/>
    </xf>
    <xf numFmtId="0" fontId="50" fillId="14" borderId="0" xfId="0" applyFont="1" applyFill="1" applyAlignment="1">
      <alignment horizontal="left"/>
    </xf>
    <xf numFmtId="4" fontId="49" fillId="14" borderId="0" xfId="0" applyNumberFormat="1" applyFont="1" applyFill="1"/>
    <xf numFmtId="0" fontId="49" fillId="14" borderId="0" xfId="0" applyFont="1" applyFill="1" applyAlignment="1">
      <alignment horizontal="right" vertical="center"/>
    </xf>
    <xf numFmtId="0" fontId="49" fillId="16" borderId="30" xfId="0" applyFont="1" applyFill="1" applyBorder="1"/>
    <xf numFmtId="4" fontId="49" fillId="19" borderId="30" xfId="0" applyNumberFormat="1" applyFont="1" applyFill="1" applyBorder="1" applyAlignment="1">
      <alignment vertical="center"/>
    </xf>
    <xf numFmtId="0" fontId="58" fillId="15" borderId="35" xfId="0" applyFont="1" applyFill="1" applyBorder="1" applyAlignment="1">
      <alignment vertical="center"/>
    </xf>
    <xf numFmtId="0" fontId="58" fillId="15" borderId="36" xfId="0" applyFont="1" applyFill="1" applyBorder="1" applyAlignment="1">
      <alignment vertical="center"/>
    </xf>
    <xf numFmtId="0" fontId="50" fillId="15" borderId="38" xfId="0" applyFont="1" applyFill="1" applyBorder="1"/>
    <xf numFmtId="0" fontId="49" fillId="15" borderId="41" xfId="0" applyFont="1" applyFill="1" applyBorder="1"/>
    <xf numFmtId="0" fontId="57" fillId="23" borderId="23" xfId="0" applyFont="1" applyFill="1" applyBorder="1" applyAlignment="1">
      <alignment vertical="center"/>
    </xf>
    <xf numFmtId="0" fontId="49" fillId="17" borderId="23" xfId="0" applyFont="1" applyFill="1" applyBorder="1" applyAlignment="1">
      <alignment vertical="center"/>
    </xf>
    <xf numFmtId="0" fontId="49" fillId="18" borderId="23" xfId="0" applyFont="1" applyFill="1" applyBorder="1" applyAlignment="1">
      <alignment vertical="center"/>
    </xf>
    <xf numFmtId="0" fontId="51" fillId="14" borderId="0" xfId="0" applyFont="1" applyFill="1" applyAlignment="1">
      <alignment horizontal="left" vertical="center"/>
    </xf>
    <xf numFmtId="164" fontId="49" fillId="19" borderId="30" xfId="0" applyNumberFormat="1" applyFont="1" applyFill="1" applyBorder="1" applyAlignment="1">
      <alignment horizontal="center" vertical="center"/>
    </xf>
    <xf numFmtId="0" fontId="59" fillId="14" borderId="0" xfId="0" applyFont="1" applyFill="1" applyAlignment="1">
      <alignment horizontal="right" vertical="center"/>
    </xf>
    <xf numFmtId="0" fontId="133" fillId="14" borderId="0" xfId="0" applyFont="1" applyFill="1"/>
    <xf numFmtId="0" fontId="59" fillId="14" borderId="0" xfId="0" applyFont="1" applyFill="1" applyAlignment="1">
      <alignment horizontal="right"/>
    </xf>
    <xf numFmtId="0" fontId="49" fillId="14" borderId="28" xfId="0" applyFont="1" applyFill="1" applyBorder="1"/>
    <xf numFmtId="0" fontId="59" fillId="14" borderId="28" xfId="0" applyFont="1" applyFill="1" applyBorder="1" applyAlignment="1">
      <alignment horizontal="right" vertical="center"/>
    </xf>
    <xf numFmtId="0" fontId="49" fillId="14" borderId="28" xfId="0" applyFont="1" applyFill="1" applyBorder="1" applyAlignment="1">
      <alignment vertical="center"/>
    </xf>
    <xf numFmtId="0" fontId="50" fillId="14" borderId="0" xfId="0" applyFont="1" applyFill="1" applyAlignment="1">
      <alignment horizontal="center" vertical="center"/>
    </xf>
    <xf numFmtId="0" fontId="47" fillId="14" borderId="0" xfId="0" applyFont="1" applyFill="1"/>
    <xf numFmtId="0" fontId="15" fillId="14" borderId="0" xfId="0" applyFont="1" applyFill="1"/>
    <xf numFmtId="0" fontId="73" fillId="14" borderId="0" xfId="0" applyFont="1" applyFill="1" applyAlignment="1">
      <alignment vertical="center"/>
    </xf>
    <xf numFmtId="0" fontId="15" fillId="14" borderId="0" xfId="0" applyFont="1" applyFill="1" applyAlignment="1">
      <alignment horizontal="center"/>
    </xf>
    <xf numFmtId="0" fontId="73" fillId="14" borderId="0" xfId="0" applyFont="1" applyFill="1" applyAlignment="1">
      <alignment horizontal="center" vertical="center"/>
    </xf>
    <xf numFmtId="0" fontId="34" fillId="14" borderId="0" xfId="0" applyFont="1" applyFill="1"/>
    <xf numFmtId="0" fontId="15" fillId="14" borderId="0" xfId="0" applyFont="1" applyFill="1" applyAlignment="1">
      <alignment vertical="center"/>
    </xf>
    <xf numFmtId="0" fontId="79" fillId="14" borderId="0" xfId="0" applyFont="1" applyFill="1" applyAlignment="1">
      <alignment vertical="center"/>
    </xf>
    <xf numFmtId="0" fontId="81" fillId="14" borderId="0" xfId="0" applyFont="1" applyFill="1" applyAlignment="1">
      <alignment horizontal="right" vertical="center"/>
    </xf>
    <xf numFmtId="0" fontId="47" fillId="14" borderId="0" xfId="0" applyFont="1" applyFill="1" applyAlignment="1">
      <alignment horizontal="right"/>
    </xf>
    <xf numFmtId="4" fontId="83" fillId="14" borderId="0" xfId="0" applyNumberFormat="1" applyFont="1" applyFill="1" applyAlignment="1">
      <alignment horizontal="center" vertical="center"/>
    </xf>
    <xf numFmtId="0" fontId="63" fillId="14" borderId="0" xfId="0" applyFont="1" applyFill="1" applyAlignment="1">
      <alignment horizontal="left" vertical="center"/>
    </xf>
    <xf numFmtId="0" fontId="47" fillId="14" borderId="0" xfId="0" applyFont="1" applyFill="1" applyAlignment="1">
      <alignment vertical="center"/>
    </xf>
    <xf numFmtId="0" fontId="48" fillId="16" borderId="0" xfId="0" applyFont="1" applyFill="1" applyAlignment="1">
      <alignment vertical="center"/>
    </xf>
    <xf numFmtId="0" fontId="100" fillId="16" borderId="0" xfId="0" applyFont="1" applyFill="1"/>
    <xf numFmtId="0" fontId="49" fillId="14" borderId="0" xfId="0" applyFont="1" applyFill="1" applyAlignment="1">
      <alignment horizontal="left" vertical="center"/>
    </xf>
    <xf numFmtId="4" fontId="49" fillId="14" borderId="0" xfId="0" applyNumberFormat="1" applyFont="1" applyFill="1" applyAlignment="1">
      <alignment horizontal="center"/>
    </xf>
    <xf numFmtId="0" fontId="59" fillId="14" borderId="0" xfId="0" applyFont="1" applyFill="1" applyAlignment="1">
      <alignment horizontal="left"/>
    </xf>
    <xf numFmtId="4" fontId="47" fillId="14" borderId="0" xfId="0" applyNumberFormat="1" applyFont="1" applyFill="1" applyAlignment="1">
      <alignment horizontal="left"/>
    </xf>
    <xf numFmtId="4" fontId="47" fillId="14" borderId="0" xfId="0" applyNumberFormat="1" applyFont="1" applyFill="1" applyAlignment="1">
      <alignment horizontal="center"/>
    </xf>
    <xf numFmtId="4" fontId="41" fillId="14" borderId="0" xfId="0" applyNumberFormat="1" applyFont="1" applyFill="1" applyAlignment="1">
      <alignment horizontal="center"/>
    </xf>
    <xf numFmtId="4" fontId="47" fillId="14" borderId="0" xfId="0" applyNumberFormat="1" applyFont="1" applyFill="1"/>
    <xf numFmtId="0" fontId="49" fillId="14" borderId="23" xfId="0" applyFont="1" applyFill="1" applyBorder="1" applyAlignment="1">
      <alignment horizontal="center"/>
    </xf>
    <xf numFmtId="4" fontId="49" fillId="14" borderId="23" xfId="0" applyNumberFormat="1" applyFont="1" applyFill="1" applyBorder="1"/>
    <xf numFmtId="0" fontId="78" fillId="14" borderId="30" xfId="0" applyFont="1" applyFill="1" applyBorder="1" applyAlignment="1">
      <alignment horizontal="right" vertical="center"/>
    </xf>
    <xf numFmtId="0" fontId="59" fillId="14" borderId="30" xfId="0" applyFont="1" applyFill="1" applyBorder="1" applyAlignment="1">
      <alignment horizontal="right" vertical="center"/>
    </xf>
    <xf numFmtId="0" fontId="77" fillId="16" borderId="36" xfId="0" applyFont="1" applyFill="1" applyBorder="1" applyAlignment="1">
      <alignment horizontal="left" vertical="center"/>
    </xf>
    <xf numFmtId="0" fontId="59" fillId="14" borderId="23" xfId="0" applyFont="1" applyFill="1" applyBorder="1" applyAlignment="1">
      <alignment horizontal="right" vertical="center"/>
    </xf>
    <xf numFmtId="0" fontId="77" fillId="16" borderId="35" xfId="0" applyFont="1" applyFill="1" applyBorder="1" applyAlignment="1">
      <alignment horizontal="left" vertical="center"/>
    </xf>
    <xf numFmtId="0" fontId="49" fillId="14" borderId="27" xfId="0" applyFont="1" applyFill="1" applyBorder="1"/>
    <xf numFmtId="0" fontId="59" fillId="14" borderId="27" xfId="0" applyFont="1" applyFill="1" applyBorder="1" applyAlignment="1">
      <alignment horizontal="right" vertical="center"/>
    </xf>
    <xf numFmtId="0" fontId="59" fillId="14" borderId="29" xfId="0" applyFont="1" applyFill="1" applyBorder="1" applyAlignment="1">
      <alignment horizontal="right" vertical="center"/>
    </xf>
    <xf numFmtId="2" fontId="49" fillId="14" borderId="23" xfId="0" applyNumberFormat="1" applyFont="1" applyFill="1" applyBorder="1" applyAlignment="1">
      <alignment horizontal="center"/>
    </xf>
    <xf numFmtId="2" fontId="49" fillId="14" borderId="0" xfId="0" applyNumberFormat="1" applyFont="1" applyFill="1" applyAlignment="1">
      <alignment horizontal="center"/>
    </xf>
    <xf numFmtId="2" fontId="49" fillId="14" borderId="7" xfId="0" applyNumberFormat="1" applyFont="1" applyFill="1" applyBorder="1" applyAlignment="1">
      <alignment horizontal="center" vertical="center"/>
    </xf>
    <xf numFmtId="2" fontId="49" fillId="14" borderId="0" xfId="0" applyNumberFormat="1" applyFont="1" applyFill="1" applyAlignment="1">
      <alignment vertical="center"/>
    </xf>
    <xf numFmtId="0" fontId="53" fillId="14" borderId="0" xfId="0" applyFont="1" applyFill="1" applyAlignment="1">
      <alignment horizontal="right" vertical="center"/>
    </xf>
    <xf numFmtId="0" fontId="65" fillId="14" borderId="0" xfId="0" applyFont="1" applyFill="1"/>
    <xf numFmtId="0" fontId="43" fillId="14" borderId="23" xfId="0" applyFont="1" applyFill="1" applyBorder="1" applyAlignment="1">
      <alignment horizontal="right" vertical="center"/>
    </xf>
    <xf numFmtId="2" fontId="47" fillId="14" borderId="0" xfId="0" applyNumberFormat="1" applyFont="1" applyFill="1" applyAlignment="1">
      <alignment horizontal="center" vertical="center"/>
    </xf>
    <xf numFmtId="0" fontId="64" fillId="14" borderId="0" xfId="0" applyFont="1" applyFill="1" applyAlignment="1">
      <alignment vertical="center"/>
    </xf>
    <xf numFmtId="0" fontId="69" fillId="14" borderId="0" xfId="0" applyFont="1" applyFill="1" applyAlignment="1">
      <alignment horizontal="right"/>
    </xf>
    <xf numFmtId="0" fontId="65" fillId="14" borderId="0" xfId="0" applyFont="1" applyFill="1" applyAlignment="1">
      <alignment vertical="center"/>
    </xf>
    <xf numFmtId="0" fontId="66" fillId="14" borderId="0" xfId="0" applyFont="1" applyFill="1" applyAlignment="1">
      <alignment vertical="center"/>
    </xf>
    <xf numFmtId="0" fontId="47" fillId="14" borderId="0" xfId="0" applyFont="1" applyFill="1" applyAlignment="1">
      <alignment horizontal="right" vertical="center"/>
    </xf>
    <xf numFmtId="0" fontId="70" fillId="14" borderId="0" xfId="0" applyFont="1" applyFill="1" applyAlignment="1">
      <alignment vertical="center"/>
    </xf>
    <xf numFmtId="0" fontId="43" fillId="14" borderId="28" xfId="0" applyFont="1" applyFill="1" applyBorder="1" applyAlignment="1">
      <alignment vertical="center"/>
    </xf>
    <xf numFmtId="0" fontId="47" fillId="14" borderId="28" xfId="0" applyFont="1" applyFill="1" applyBorder="1" applyAlignment="1">
      <alignment vertical="center"/>
    </xf>
    <xf numFmtId="0" fontId="43" fillId="14" borderId="31" xfId="0" applyFont="1" applyFill="1" applyBorder="1" applyAlignment="1">
      <alignment vertical="center"/>
    </xf>
    <xf numFmtId="0" fontId="47" fillId="14" borderId="29" xfId="0" applyFont="1" applyFill="1" applyBorder="1" applyAlignment="1">
      <alignment vertical="center"/>
    </xf>
    <xf numFmtId="164" fontId="47" fillId="19" borderId="30" xfId="0" applyNumberFormat="1" applyFont="1" applyFill="1" applyBorder="1" applyAlignment="1">
      <alignment horizontal="center" vertical="center"/>
    </xf>
    <xf numFmtId="0" fontId="47" fillId="38" borderId="28" xfId="0" applyFont="1" applyFill="1" applyBorder="1" applyAlignment="1">
      <alignment vertical="center"/>
    </xf>
    <xf numFmtId="0" fontId="59" fillId="14" borderId="0" xfId="0" applyFont="1" applyFill="1"/>
    <xf numFmtId="0" fontId="75" fillId="15" borderId="38" xfId="0" applyFont="1" applyFill="1" applyBorder="1" applyAlignment="1">
      <alignment horizontal="center" vertical="center"/>
    </xf>
    <xf numFmtId="0" fontId="75" fillId="15" borderId="23" xfId="0" applyFont="1" applyFill="1" applyBorder="1" applyAlignment="1">
      <alignment vertical="center"/>
    </xf>
    <xf numFmtId="0" fontId="76" fillId="15" borderId="23" xfId="0" applyFont="1" applyFill="1" applyBorder="1" applyAlignment="1">
      <alignment horizontal="center" vertical="center"/>
    </xf>
    <xf numFmtId="0" fontId="59" fillId="0" borderId="31" xfId="0" applyFont="1" applyBorder="1" applyAlignment="1">
      <alignment horizontal="left" vertical="center"/>
    </xf>
    <xf numFmtId="0" fontId="48" fillId="16" borderId="31" xfId="0" applyFont="1" applyFill="1" applyBorder="1" applyAlignment="1">
      <alignment horizontal="left" vertical="center"/>
    </xf>
    <xf numFmtId="0" fontId="75" fillId="15" borderId="41" xfId="0" applyFont="1" applyFill="1" applyBorder="1" applyAlignment="1">
      <alignment vertical="center"/>
    </xf>
    <xf numFmtId="4" fontId="49" fillId="3" borderId="42" xfId="0" applyNumberFormat="1" applyFont="1" applyFill="1" applyBorder="1" applyAlignment="1">
      <alignment horizontal="center" vertical="center"/>
    </xf>
    <xf numFmtId="4" fontId="50" fillId="19" borderId="42" xfId="0" applyNumberFormat="1" applyFont="1" applyFill="1" applyBorder="1" applyAlignment="1">
      <alignment horizontal="center" vertical="center"/>
    </xf>
    <xf numFmtId="0" fontId="77" fillId="16" borderId="37" xfId="0" applyFont="1" applyFill="1" applyBorder="1" applyAlignment="1">
      <alignment horizontal="left" vertical="center"/>
    </xf>
    <xf numFmtId="0" fontId="49" fillId="14" borderId="30" xfId="0" applyFont="1" applyFill="1" applyBorder="1"/>
    <xf numFmtId="0" fontId="49" fillId="14" borderId="31" xfId="0" applyFont="1" applyFill="1" applyBorder="1"/>
    <xf numFmtId="0" fontId="49" fillId="14" borderId="31" xfId="0" applyFont="1" applyFill="1" applyBorder="1" applyAlignment="1">
      <alignment horizontal="center"/>
    </xf>
    <xf numFmtId="0" fontId="50" fillId="19" borderId="30" xfId="0" applyFont="1" applyFill="1" applyBorder="1" applyAlignment="1">
      <alignment horizontal="center" vertical="center"/>
    </xf>
    <xf numFmtId="0" fontId="77" fillId="14" borderId="23" xfId="0" applyFont="1" applyFill="1" applyBorder="1" applyAlignment="1">
      <alignment horizontal="left" vertical="center"/>
    </xf>
    <xf numFmtId="0" fontId="77" fillId="16" borderId="30" xfId="0" applyFont="1" applyFill="1" applyBorder="1" applyAlignment="1">
      <alignment horizontal="left" vertical="center"/>
    </xf>
    <xf numFmtId="0" fontId="49" fillId="14" borderId="27" xfId="0" applyFont="1" applyFill="1" applyBorder="1" applyAlignment="1">
      <alignment vertical="center"/>
    </xf>
    <xf numFmtId="0" fontId="59" fillId="14" borderId="30" xfId="0" applyFont="1" applyFill="1" applyBorder="1" applyAlignment="1">
      <alignment horizontal="right"/>
    </xf>
    <xf numFmtId="4" fontId="49" fillId="14" borderId="30" xfId="0" applyNumberFormat="1" applyFont="1" applyFill="1" applyBorder="1"/>
    <xf numFmtId="0" fontId="59" fillId="0" borderId="30" xfId="0" applyFont="1" applyBorder="1" applyAlignment="1">
      <alignment horizontal="left" vertical="center" wrapText="1"/>
    </xf>
    <xf numFmtId="0" fontId="59" fillId="14" borderId="23" xfId="0" applyFont="1" applyFill="1" applyBorder="1" applyAlignment="1">
      <alignment vertical="center"/>
    </xf>
    <xf numFmtId="0" fontId="59" fillId="14" borderId="38" xfId="0" applyFont="1" applyFill="1" applyBorder="1" applyAlignment="1">
      <alignment horizontal="right" vertical="center"/>
    </xf>
    <xf numFmtId="0" fontId="59" fillId="14" borderId="40" xfId="0" applyFont="1" applyFill="1" applyBorder="1" applyAlignment="1">
      <alignment horizontal="right" vertical="center"/>
    </xf>
    <xf numFmtId="0" fontId="48" fillId="14" borderId="30" xfId="0" applyFont="1" applyFill="1" applyBorder="1" applyAlignment="1">
      <alignment horizontal="right" vertical="center" wrapText="1"/>
    </xf>
    <xf numFmtId="0" fontId="48" fillId="14" borderId="30" xfId="0" applyFont="1" applyFill="1" applyBorder="1" applyAlignment="1">
      <alignment horizontal="right" vertical="center"/>
    </xf>
    <xf numFmtId="0" fontId="61" fillId="14" borderId="41" xfId="0" applyFont="1" applyFill="1" applyBorder="1" applyAlignment="1">
      <alignment vertical="center"/>
    </xf>
    <xf numFmtId="0" fontId="49" fillId="14" borderId="41" xfId="0" applyFont="1" applyFill="1" applyBorder="1"/>
    <xf numFmtId="2" fontId="59" fillId="38" borderId="6" xfId="0" applyNumberFormat="1" applyFont="1" applyFill="1" applyBorder="1" applyAlignment="1">
      <alignment horizontal="center" vertical="center"/>
    </xf>
    <xf numFmtId="0" fontId="59" fillId="14" borderId="23" xfId="0" applyFont="1" applyFill="1" applyBorder="1" applyAlignment="1">
      <alignment horizontal="center" vertical="center"/>
    </xf>
    <xf numFmtId="2" fontId="59" fillId="38" borderId="43" xfId="0" applyNumberFormat="1" applyFont="1" applyFill="1" applyBorder="1" applyAlignment="1">
      <alignment horizontal="center" vertical="center"/>
    </xf>
    <xf numFmtId="0" fontId="49" fillId="15" borderId="27" xfId="0" applyFont="1" applyFill="1" applyBorder="1"/>
    <xf numFmtId="0" fontId="75" fillId="15" borderId="27" xfId="0" applyFont="1" applyFill="1" applyBorder="1" applyAlignment="1">
      <alignment vertical="center"/>
    </xf>
    <xf numFmtId="0" fontId="76" fillId="15" borderId="27" xfId="0" applyFont="1" applyFill="1" applyBorder="1" applyAlignment="1">
      <alignment horizontal="right" vertical="center"/>
    </xf>
    <xf numFmtId="0" fontId="76" fillId="15" borderId="27" xfId="0" applyFont="1" applyFill="1" applyBorder="1" applyAlignment="1">
      <alignment vertical="center"/>
    </xf>
    <xf numFmtId="2" fontId="49" fillId="19" borderId="30" xfId="0" applyNumberFormat="1" applyFont="1" applyFill="1" applyBorder="1" applyAlignment="1">
      <alignment horizontal="center" vertical="center"/>
    </xf>
    <xf numFmtId="0" fontId="61" fillId="16" borderId="30" xfId="0" applyFont="1" applyFill="1" applyBorder="1" applyAlignment="1">
      <alignment horizontal="right" vertical="center"/>
    </xf>
    <xf numFmtId="2" fontId="49" fillId="4" borderId="30" xfId="0" applyNumberFormat="1" applyFont="1" applyFill="1" applyBorder="1" applyAlignment="1">
      <alignment horizontal="center" vertical="center"/>
    </xf>
    <xf numFmtId="3" fontId="49" fillId="4" borderId="30" xfId="0" applyNumberFormat="1" applyFont="1" applyFill="1" applyBorder="1" applyAlignment="1">
      <alignment horizontal="center" vertical="center"/>
    </xf>
    <xf numFmtId="0" fontId="61" fillId="16" borderId="37" xfId="0" applyFont="1" applyFill="1" applyBorder="1" applyAlignment="1">
      <alignment vertical="center"/>
    </xf>
    <xf numFmtId="0" fontId="49" fillId="14" borderId="31" xfId="0" applyFont="1" applyFill="1" applyBorder="1" applyAlignment="1">
      <alignment vertical="center"/>
    </xf>
    <xf numFmtId="0" fontId="61" fillId="16" borderId="39" xfId="0" applyFont="1" applyFill="1" applyBorder="1" applyAlignment="1">
      <alignment vertical="center"/>
    </xf>
    <xf numFmtId="0" fontId="61" fillId="16" borderId="39" xfId="0" applyFont="1" applyFill="1" applyBorder="1" applyAlignment="1">
      <alignment horizontal="right" vertical="center"/>
    </xf>
    <xf numFmtId="0" fontId="61" fillId="16" borderId="34" xfId="0" applyFont="1" applyFill="1" applyBorder="1" applyAlignment="1">
      <alignment vertical="center"/>
    </xf>
    <xf numFmtId="0" fontId="61" fillId="16" borderId="34" xfId="0" applyFont="1" applyFill="1" applyBorder="1" applyAlignment="1">
      <alignment horizontal="right" vertical="center"/>
    </xf>
    <xf numFmtId="4" fontId="43" fillId="19" borderId="30" xfId="0" applyNumberFormat="1" applyFont="1" applyFill="1" applyBorder="1" applyAlignment="1">
      <alignment horizontal="center" vertical="center"/>
    </xf>
    <xf numFmtId="4" fontId="68" fillId="19" borderId="30" xfId="0" applyNumberFormat="1" applyFont="1" applyFill="1" applyBorder="1" applyAlignment="1">
      <alignment horizontal="center" vertical="center"/>
    </xf>
    <xf numFmtId="0" fontId="75" fillId="14" borderId="0" xfId="0" applyFont="1" applyFill="1" applyAlignment="1">
      <alignment vertical="center"/>
    </xf>
    <xf numFmtId="0" fontId="49" fillId="14" borderId="23" xfId="0" applyFont="1" applyFill="1" applyBorder="1" applyAlignment="1">
      <alignment horizontal="right" vertical="center"/>
    </xf>
    <xf numFmtId="0" fontId="47" fillId="14" borderId="23" xfId="0" applyFont="1" applyFill="1" applyBorder="1"/>
    <xf numFmtId="0" fontId="42" fillId="14" borderId="23" xfId="0" applyFont="1" applyFill="1" applyBorder="1" applyAlignment="1">
      <alignment horizontal="right"/>
    </xf>
    <xf numFmtId="0" fontId="75" fillId="14" borderId="23" xfId="0" applyFont="1" applyFill="1" applyBorder="1" applyAlignment="1">
      <alignment vertical="center"/>
    </xf>
    <xf numFmtId="0" fontId="43" fillId="14" borderId="23" xfId="0" applyFont="1" applyFill="1" applyBorder="1"/>
    <xf numFmtId="4" fontId="86" fillId="19" borderId="30" xfId="0" applyNumberFormat="1" applyFont="1" applyFill="1" applyBorder="1" applyAlignment="1">
      <alignment horizontal="center" vertical="center"/>
    </xf>
    <xf numFmtId="4" fontId="67" fillId="0" borderId="30" xfId="0" applyNumberFormat="1" applyFont="1" applyBorder="1" applyAlignment="1">
      <alignment horizontal="center" vertical="center"/>
    </xf>
    <xf numFmtId="0" fontId="47" fillId="14" borderId="23" xfId="0" applyFont="1" applyFill="1" applyBorder="1" applyAlignment="1">
      <alignment vertical="center"/>
    </xf>
    <xf numFmtId="2" fontId="47" fillId="0" borderId="23" xfId="0" applyNumberFormat="1" applyFont="1" applyBorder="1" applyAlignment="1">
      <alignment horizontal="center" vertical="center"/>
    </xf>
    <xf numFmtId="0" fontId="47" fillId="14" borderId="31" xfId="0" applyFont="1" applyFill="1" applyBorder="1" applyAlignment="1">
      <alignment vertical="center"/>
    </xf>
    <xf numFmtId="2" fontId="43" fillId="13" borderId="29" xfId="0" applyNumberFormat="1" applyFont="1" applyFill="1" applyBorder="1" applyAlignment="1">
      <alignment horizontal="center" vertical="center"/>
    </xf>
    <xf numFmtId="0" fontId="84" fillId="16" borderId="29" xfId="0" applyFont="1" applyFill="1" applyBorder="1" applyAlignment="1">
      <alignment horizontal="right" vertical="center"/>
    </xf>
    <xf numFmtId="2" fontId="47" fillId="4" borderId="30" xfId="0" applyNumberFormat="1" applyFont="1" applyFill="1" applyBorder="1" applyAlignment="1">
      <alignment horizontal="center" vertical="center"/>
    </xf>
    <xf numFmtId="164" fontId="47" fillId="4" borderId="30" xfId="0" applyNumberFormat="1" applyFont="1" applyFill="1" applyBorder="1" applyAlignment="1">
      <alignment horizontal="center" vertical="center"/>
    </xf>
    <xf numFmtId="0" fontId="80" fillId="14" borderId="0" xfId="0" applyFont="1" applyFill="1" applyAlignment="1">
      <alignment vertical="center"/>
    </xf>
    <xf numFmtId="0" fontId="47" fillId="2" borderId="30" xfId="0" applyFont="1" applyFill="1" applyBorder="1" applyAlignment="1" applyProtection="1">
      <alignment horizontal="center" vertical="center"/>
      <protection locked="0"/>
    </xf>
    <xf numFmtId="0" fontId="81" fillId="16" borderId="37" xfId="0" applyFont="1" applyFill="1" applyBorder="1" applyAlignment="1">
      <alignment horizontal="right" vertical="center"/>
    </xf>
    <xf numFmtId="0" fontId="85" fillId="16" borderId="35" xfId="0" applyFont="1" applyFill="1" applyBorder="1" applyAlignment="1">
      <alignment horizontal="right" vertical="center"/>
    </xf>
    <xf numFmtId="0" fontId="47" fillId="16" borderId="36" xfId="0" applyFont="1" applyFill="1" applyBorder="1" applyAlignment="1">
      <alignment vertical="center"/>
    </xf>
    <xf numFmtId="3" fontId="47" fillId="3" borderId="30" xfId="0" applyNumberFormat="1" applyFont="1" applyFill="1" applyBorder="1" applyAlignment="1">
      <alignment horizontal="center" vertical="center"/>
    </xf>
    <xf numFmtId="0" fontId="47" fillId="14" borderId="37" xfId="0" applyFont="1" applyFill="1" applyBorder="1"/>
    <xf numFmtId="0" fontId="43" fillId="0" borderId="30" xfId="0" applyFont="1" applyBorder="1"/>
    <xf numFmtId="0" fontId="47" fillId="19" borderId="30" xfId="0" applyFont="1" applyFill="1" applyBorder="1" applyAlignment="1">
      <alignment horizontal="center" vertical="center"/>
    </xf>
    <xf numFmtId="0" fontId="47" fillId="3" borderId="30" xfId="0" applyFont="1" applyFill="1" applyBorder="1" applyAlignment="1" applyProtection="1">
      <alignment horizontal="center" vertical="center"/>
      <protection locked="0"/>
    </xf>
    <xf numFmtId="0" fontId="83" fillId="14" borderId="0" xfId="0" applyFont="1" applyFill="1" applyAlignment="1">
      <alignment vertical="center"/>
    </xf>
    <xf numFmtId="4" fontId="49" fillId="13" borderId="30" xfId="0" applyNumberFormat="1" applyFont="1" applyFill="1" applyBorder="1" applyAlignment="1">
      <alignment horizontal="center" vertical="center"/>
    </xf>
    <xf numFmtId="0" fontId="49" fillId="25" borderId="23" xfId="0" applyFont="1" applyFill="1" applyBorder="1" applyAlignment="1">
      <alignment vertical="center"/>
    </xf>
    <xf numFmtId="0" fontId="49" fillId="12" borderId="23" xfId="0" applyFont="1" applyFill="1" applyBorder="1" applyAlignment="1">
      <alignment vertical="center"/>
    </xf>
    <xf numFmtId="0" fontId="141" fillId="14" borderId="0" xfId="0" applyFont="1" applyFill="1" applyAlignment="1">
      <alignment horizontal="left" vertical="center"/>
    </xf>
    <xf numFmtId="0" fontId="55" fillId="14" borderId="0" xfId="0" applyFont="1" applyFill="1" applyAlignment="1">
      <alignment vertical="center"/>
    </xf>
    <xf numFmtId="0" fontId="83" fillId="14" borderId="0" xfId="0" applyFont="1" applyFill="1" applyAlignment="1">
      <alignment horizontal="left" vertical="center"/>
    </xf>
    <xf numFmtId="0" fontId="74" fillId="15" borderId="37" xfId="0" applyFont="1" applyFill="1" applyBorder="1" applyAlignment="1">
      <alignment horizontal="left" vertical="center"/>
    </xf>
    <xf numFmtId="0" fontId="75" fillId="15" borderId="35" xfId="0" applyFont="1" applyFill="1" applyBorder="1" applyAlignment="1">
      <alignment vertical="center"/>
    </xf>
    <xf numFmtId="0" fontId="49" fillId="15" borderId="36" xfId="0" applyFont="1" applyFill="1" applyBorder="1"/>
    <xf numFmtId="0" fontId="49" fillId="0" borderId="30" xfId="0" applyFont="1" applyBorder="1" applyAlignment="1">
      <alignment horizontal="right" vertical="center"/>
    </xf>
    <xf numFmtId="0" fontId="61" fillId="16" borderId="36" xfId="0" applyFont="1" applyFill="1" applyBorder="1" applyAlignment="1">
      <alignment vertical="center"/>
    </xf>
    <xf numFmtId="0" fontId="75" fillId="15" borderId="36" xfId="0" applyFont="1" applyFill="1" applyBorder="1" applyAlignment="1">
      <alignment vertical="center"/>
    </xf>
    <xf numFmtId="0" fontId="80" fillId="16" borderId="31" xfId="0" applyFont="1" applyFill="1" applyBorder="1" applyAlignment="1">
      <alignment vertical="center"/>
    </xf>
    <xf numFmtId="0" fontId="85" fillId="16" borderId="29" xfId="0" applyFont="1" applyFill="1" applyBorder="1" applyAlignment="1">
      <alignment horizontal="right" vertical="center"/>
    </xf>
    <xf numFmtId="0" fontId="93" fillId="14" borderId="0" xfId="0" applyFont="1" applyFill="1" applyAlignment="1">
      <alignment vertical="center"/>
    </xf>
    <xf numFmtId="0" fontId="105" fillId="14" borderId="0" xfId="0" applyFont="1" applyFill="1" applyAlignment="1">
      <alignment vertical="center"/>
    </xf>
    <xf numFmtId="0" fontId="97" fillId="16" borderId="29" xfId="0" applyFont="1" applyFill="1" applyBorder="1" applyAlignment="1">
      <alignment horizontal="left" vertical="center"/>
    </xf>
    <xf numFmtId="0" fontId="61" fillId="16" borderId="31" xfId="0" applyFont="1" applyFill="1" applyBorder="1" applyAlignment="1">
      <alignment horizontal="left" vertical="center"/>
    </xf>
    <xf numFmtId="0" fontId="61" fillId="16" borderId="29" xfId="0" applyFont="1" applyFill="1" applyBorder="1" applyAlignment="1">
      <alignment horizontal="left" vertical="center"/>
    </xf>
    <xf numFmtId="0" fontId="27" fillId="16" borderId="30" xfId="0" applyFont="1" applyFill="1" applyBorder="1" applyAlignment="1">
      <alignment vertical="center"/>
    </xf>
    <xf numFmtId="0" fontId="105" fillId="16" borderId="31" xfId="0" applyFont="1" applyFill="1" applyBorder="1" applyAlignment="1">
      <alignment vertical="center"/>
    </xf>
    <xf numFmtId="0" fontId="94" fillId="14" borderId="0" xfId="0" applyFont="1" applyFill="1" applyAlignment="1">
      <alignment vertical="center"/>
    </xf>
    <xf numFmtId="0" fontId="94" fillId="14" borderId="0" xfId="0" applyFont="1" applyFill="1" applyAlignment="1">
      <alignment horizontal="right" vertical="center"/>
    </xf>
    <xf numFmtId="0" fontId="44" fillId="14" borderId="0" xfId="0" applyFont="1" applyFill="1" applyAlignment="1">
      <alignment horizontal="right" vertical="center"/>
    </xf>
    <xf numFmtId="0" fontId="95" fillId="14" borderId="0" xfId="0" applyFont="1" applyFill="1" applyAlignment="1">
      <alignment vertical="center"/>
    </xf>
    <xf numFmtId="0" fontId="38" fillId="14" borderId="23" xfId="0" applyFont="1" applyFill="1" applyBorder="1" applyAlignment="1">
      <alignment vertical="center"/>
    </xf>
    <xf numFmtId="0" fontId="27" fillId="0" borderId="23" xfId="0" applyFont="1" applyBorder="1" applyAlignment="1">
      <alignment vertical="center"/>
    </xf>
    <xf numFmtId="0" fontId="61" fillId="16" borderId="40" xfId="0" applyFont="1" applyFill="1" applyBorder="1" applyAlignment="1">
      <alignment horizontal="left" vertical="center"/>
    </xf>
    <xf numFmtId="0" fontId="40" fillId="14" borderId="0" xfId="0" applyFont="1" applyFill="1" applyAlignment="1">
      <alignment vertical="center"/>
    </xf>
    <xf numFmtId="0" fontId="27" fillId="14" borderId="23" xfId="0" applyFont="1" applyFill="1" applyBorder="1" applyAlignment="1">
      <alignment vertical="center"/>
    </xf>
    <xf numFmtId="0" fontId="27" fillId="14" borderId="0" xfId="0" applyFont="1" applyFill="1" applyAlignment="1">
      <alignment vertical="center"/>
    </xf>
    <xf numFmtId="0" fontId="27" fillId="14" borderId="0" xfId="0" applyFont="1" applyFill="1" applyAlignment="1">
      <alignment horizontal="center" vertical="center"/>
    </xf>
    <xf numFmtId="0" fontId="40" fillId="0" borderId="29" xfId="0" applyFont="1" applyBorder="1" applyAlignment="1">
      <alignment vertical="center"/>
    </xf>
    <xf numFmtId="164" fontId="49" fillId="38" borderId="30" xfId="0" applyNumberFormat="1" applyFont="1" applyFill="1" applyBorder="1" applyAlignment="1" applyProtection="1">
      <alignment horizontal="center" vertical="center"/>
      <protection locked="0"/>
    </xf>
    <xf numFmtId="0" fontId="38" fillId="40" borderId="5" xfId="0" applyFont="1" applyFill="1" applyBorder="1" applyAlignment="1">
      <alignment vertical="center"/>
    </xf>
    <xf numFmtId="0" fontId="109" fillId="14" borderId="0" xfId="0" applyFont="1" applyFill="1"/>
    <xf numFmtId="0" fontId="41" fillId="16" borderId="29" xfId="0" applyFont="1" applyFill="1" applyBorder="1" applyAlignment="1">
      <alignment horizontal="center" vertical="center"/>
    </xf>
    <xf numFmtId="0" fontId="48" fillId="16" borderId="31" xfId="0" applyFont="1" applyFill="1" applyBorder="1" applyAlignment="1">
      <alignment horizontal="center" vertical="center"/>
    </xf>
    <xf numFmtId="0" fontId="47" fillId="0" borderId="31" xfId="0" applyFont="1" applyBorder="1" applyAlignment="1">
      <alignment horizontal="center" vertical="center"/>
    </xf>
    <xf numFmtId="4" fontId="59" fillId="0" borderId="30" xfId="0" applyNumberFormat="1" applyFont="1" applyBorder="1" applyAlignment="1">
      <alignment horizontal="center" vertical="center"/>
    </xf>
    <xf numFmtId="0" fontId="47" fillId="16" borderId="30" xfId="0" applyFont="1" applyFill="1" applyBorder="1" applyAlignment="1">
      <alignment vertical="center"/>
    </xf>
    <xf numFmtId="4" fontId="41" fillId="16" borderId="30" xfId="0" applyNumberFormat="1" applyFont="1" applyFill="1" applyBorder="1" applyAlignment="1">
      <alignment horizontal="center" vertical="center"/>
    </xf>
    <xf numFmtId="0" fontId="47" fillId="16" borderId="29" xfId="0" applyFont="1" applyFill="1" applyBorder="1" applyAlignment="1">
      <alignment horizontal="center" vertical="center"/>
    </xf>
    <xf numFmtId="165" fontId="47" fillId="16" borderId="30" xfId="0" applyNumberFormat="1" applyFont="1" applyFill="1" applyBorder="1" applyAlignment="1">
      <alignment horizontal="center" vertical="center"/>
    </xf>
    <xf numFmtId="0" fontId="59" fillId="0" borderId="29" xfId="0" applyFont="1" applyBorder="1" applyAlignment="1">
      <alignment vertical="center"/>
    </xf>
    <xf numFmtId="0" fontId="47" fillId="16" borderId="31" xfId="0" applyFont="1" applyFill="1" applyBorder="1" applyAlignment="1">
      <alignment vertical="center"/>
    </xf>
    <xf numFmtId="0" fontId="41" fillId="16" borderId="29" xfId="0" applyFont="1" applyFill="1" applyBorder="1" applyAlignment="1">
      <alignment horizontal="left" vertical="center"/>
    </xf>
    <xf numFmtId="0" fontId="48" fillId="16" borderId="29" xfId="0" applyFont="1" applyFill="1" applyBorder="1" applyAlignment="1">
      <alignment horizontal="left" vertical="center"/>
    </xf>
    <xf numFmtId="0" fontId="61" fillId="16" borderId="28" xfId="0" applyFont="1" applyFill="1" applyBorder="1" applyAlignment="1">
      <alignment horizontal="center" vertical="center"/>
    </xf>
    <xf numFmtId="4" fontId="49" fillId="16" borderId="30" xfId="0" applyNumberFormat="1" applyFont="1" applyFill="1" applyBorder="1" applyAlignment="1">
      <alignment horizontal="center" vertical="center"/>
    </xf>
    <xf numFmtId="2" fontId="49" fillId="16" borderId="30" xfId="0" applyNumberFormat="1" applyFont="1" applyFill="1" applyBorder="1" applyAlignment="1">
      <alignment horizontal="center" vertical="center"/>
    </xf>
    <xf numFmtId="0" fontId="49" fillId="16" borderId="30" xfId="0" applyFont="1" applyFill="1" applyBorder="1" applyAlignment="1">
      <alignment horizontal="center" vertical="center"/>
    </xf>
    <xf numFmtId="0" fontId="41" fillId="16" borderId="30" xfId="0" applyFont="1" applyFill="1" applyBorder="1" applyAlignment="1">
      <alignment horizontal="left" vertical="center"/>
    </xf>
    <xf numFmtId="0" fontId="48" fillId="16" borderId="30" xfId="0" applyFont="1" applyFill="1" applyBorder="1" applyAlignment="1">
      <alignment horizontal="left" vertical="center"/>
    </xf>
    <xf numFmtId="0" fontId="0" fillId="14" borderId="23" xfId="0" applyFill="1" applyBorder="1"/>
    <xf numFmtId="0" fontId="49" fillId="0" borderId="34" xfId="0" applyFont="1" applyBorder="1" applyAlignment="1">
      <alignment vertical="center"/>
    </xf>
    <xf numFmtId="0" fontId="59" fillId="0" borderId="23" xfId="0" applyFont="1" applyBorder="1" applyAlignment="1">
      <alignment vertical="center"/>
    </xf>
    <xf numFmtId="0" fontId="49" fillId="0" borderId="34" xfId="0" applyFont="1" applyBorder="1" applyAlignment="1">
      <alignment horizontal="center" vertical="center"/>
    </xf>
    <xf numFmtId="0" fontId="49" fillId="14" borderId="44" xfId="0" applyFont="1" applyFill="1" applyBorder="1" applyAlignment="1">
      <alignment vertical="center"/>
    </xf>
    <xf numFmtId="0" fontId="26" fillId="0" borderId="0" xfId="0" applyFont="1" applyAlignment="1">
      <alignment horizontal="center" vertical="center"/>
    </xf>
    <xf numFmtId="0" fontId="26" fillId="14" borderId="0" xfId="0" applyFont="1" applyFill="1" applyAlignment="1">
      <alignment horizontal="center" vertical="center"/>
    </xf>
    <xf numFmtId="0" fontId="8" fillId="0" borderId="0" xfId="0" applyFont="1" applyAlignment="1">
      <alignment horizontal="center"/>
    </xf>
    <xf numFmtId="0" fontId="8" fillId="0" borderId="0" xfId="0" applyFont="1" applyAlignment="1">
      <alignment horizontal="center" vertical="center"/>
    </xf>
    <xf numFmtId="168" fontId="8" fillId="0" borderId="0" xfId="0" applyNumberFormat="1" applyFont="1" applyAlignment="1">
      <alignment horizontal="center" vertical="center"/>
    </xf>
    <xf numFmtId="0" fontId="27" fillId="0" borderId="0" xfId="0" applyFont="1"/>
    <xf numFmtId="0" fontId="43" fillId="0" borderId="0" xfId="0" applyFont="1" applyAlignment="1">
      <alignment horizontal="right" vertical="center"/>
    </xf>
    <xf numFmtId="0" fontId="41" fillId="14" borderId="23" xfId="0" applyFont="1" applyFill="1" applyBorder="1" applyAlignment="1">
      <alignment vertical="center"/>
    </xf>
    <xf numFmtId="0" fontId="61" fillId="29" borderId="30" xfId="0" applyFont="1" applyFill="1" applyBorder="1" applyAlignment="1">
      <alignment horizontal="center" vertical="center"/>
    </xf>
    <xf numFmtId="0" fontId="61" fillId="41" borderId="30" xfId="0" applyFont="1" applyFill="1" applyBorder="1" applyAlignment="1">
      <alignment horizontal="center" vertical="center" wrapText="1"/>
    </xf>
    <xf numFmtId="0" fontId="8" fillId="0" borderId="23" xfId="0" applyFont="1" applyBorder="1" applyAlignment="1">
      <alignment vertical="center"/>
    </xf>
    <xf numFmtId="166" fontId="47" fillId="0" borderId="30" xfId="0" applyNumberFormat="1" applyFont="1" applyBorder="1" applyAlignment="1">
      <alignment horizontal="center" vertical="center"/>
    </xf>
    <xf numFmtId="0" fontId="43" fillId="0" borderId="39" xfId="0" applyFont="1" applyBorder="1" applyAlignment="1">
      <alignment horizontal="center" vertical="center"/>
    </xf>
    <xf numFmtId="1" fontId="43" fillId="0" borderId="30" xfId="0" applyNumberFormat="1" applyFont="1" applyBorder="1" applyAlignment="1">
      <alignment horizontal="center" vertical="center"/>
    </xf>
    <xf numFmtId="9" fontId="43" fillId="0" borderId="30" xfId="0" applyNumberFormat="1" applyFont="1" applyBorder="1" applyAlignment="1">
      <alignment horizontal="center" vertical="center"/>
    </xf>
    <xf numFmtId="0" fontId="144" fillId="0" borderId="30" xfId="0" applyFont="1" applyBorder="1" applyAlignment="1">
      <alignment horizontal="center" vertical="center"/>
    </xf>
    <xf numFmtId="164" fontId="47" fillId="14" borderId="30" xfId="0" applyNumberFormat="1" applyFont="1" applyFill="1" applyBorder="1" applyAlignment="1">
      <alignment horizontal="center" vertical="center"/>
    </xf>
    <xf numFmtId="2" fontId="47" fillId="14" borderId="30" xfId="0" applyNumberFormat="1" applyFont="1" applyFill="1" applyBorder="1" applyAlignment="1">
      <alignment horizontal="center" vertical="center"/>
    </xf>
    <xf numFmtId="4" fontId="47" fillId="14" borderId="30" xfId="0" applyNumberFormat="1" applyFont="1" applyFill="1" applyBorder="1" applyAlignment="1">
      <alignment horizontal="center" vertical="center"/>
    </xf>
    <xf numFmtId="0" fontId="47" fillId="14" borderId="30" xfId="0" applyFont="1" applyFill="1" applyBorder="1" applyAlignment="1">
      <alignment horizontal="center" vertical="center"/>
    </xf>
    <xf numFmtId="2" fontId="47" fillId="0" borderId="30" xfId="0" applyNumberFormat="1" applyFont="1" applyBorder="1" applyAlignment="1">
      <alignment horizontal="center" vertical="center"/>
    </xf>
    <xf numFmtId="2" fontId="41" fillId="0" borderId="30" xfId="0" applyNumberFormat="1" applyFont="1" applyBorder="1" applyAlignment="1">
      <alignment horizontal="center" vertical="center"/>
    </xf>
    <xf numFmtId="0" fontId="41" fillId="0" borderId="30" xfId="0" applyFont="1" applyBorder="1" applyAlignment="1">
      <alignment horizontal="center" vertical="center"/>
    </xf>
    <xf numFmtId="0" fontId="43" fillId="14" borderId="39" xfId="0" applyFont="1" applyFill="1" applyBorder="1" applyAlignment="1">
      <alignment vertical="center"/>
    </xf>
    <xf numFmtId="0" fontId="43" fillId="14" borderId="44" xfId="0" applyFont="1" applyFill="1" applyBorder="1" applyAlignment="1">
      <alignment vertical="center"/>
    </xf>
    <xf numFmtId="0" fontId="43" fillId="0" borderId="44" xfId="0" applyFont="1" applyBorder="1" applyAlignment="1">
      <alignment vertical="center"/>
    </xf>
    <xf numFmtId="0" fontId="96" fillId="14" borderId="23" xfId="0" applyFont="1" applyFill="1" applyBorder="1" applyAlignment="1">
      <alignment vertical="center"/>
    </xf>
    <xf numFmtId="3" fontId="63" fillId="0" borderId="39" xfId="0" applyNumberFormat="1" applyFont="1" applyBorder="1" applyAlignment="1">
      <alignment horizontal="center" vertical="center"/>
    </xf>
    <xf numFmtId="0" fontId="119" fillId="0" borderId="34" xfId="0" applyFont="1" applyBorder="1" applyAlignment="1">
      <alignment vertical="center" wrapText="1"/>
    </xf>
    <xf numFmtId="1" fontId="96" fillId="2" borderId="30" xfId="0" applyNumberFormat="1" applyFont="1" applyFill="1" applyBorder="1" applyAlignment="1" applyProtection="1">
      <alignment horizontal="center" vertical="center" wrapText="1"/>
      <protection locked="0"/>
    </xf>
    <xf numFmtId="0" fontId="96" fillId="0" borderId="44" xfId="0" applyFont="1" applyBorder="1" applyAlignment="1">
      <alignment vertical="center"/>
    </xf>
    <xf numFmtId="174" fontId="119" fillId="0" borderId="30" xfId="0" applyNumberFormat="1" applyFont="1" applyBorder="1" applyAlignment="1">
      <alignment horizontal="center" vertical="center" wrapText="1"/>
    </xf>
    <xf numFmtId="9" fontId="119" fillId="2" borderId="30" xfId="0" applyNumberFormat="1" applyFont="1" applyFill="1" applyBorder="1" applyAlignment="1" applyProtection="1">
      <alignment horizontal="center" vertical="center" wrapText="1"/>
      <protection locked="0"/>
    </xf>
    <xf numFmtId="164" fontId="43" fillId="0" borderId="30" xfId="0" applyNumberFormat="1" applyFont="1" applyBorder="1" applyAlignment="1">
      <alignment horizontal="center" vertical="center"/>
    </xf>
    <xf numFmtId="3" fontId="43" fillId="0" borderId="44" xfId="0" applyNumberFormat="1" applyFont="1" applyBorder="1" applyAlignment="1">
      <alignment horizontal="center" vertical="center"/>
    </xf>
    <xf numFmtId="166" fontId="43" fillId="0" borderId="30" xfId="0" applyNumberFormat="1" applyFont="1" applyBorder="1" applyAlignment="1">
      <alignment horizontal="center" vertical="center"/>
    </xf>
    <xf numFmtId="0" fontId="119" fillId="0" borderId="30" xfId="0" applyFont="1" applyBorder="1" applyAlignment="1">
      <alignment vertical="center" wrapText="1"/>
    </xf>
    <xf numFmtId="174" fontId="119" fillId="0" borderId="34" xfId="0" applyNumberFormat="1" applyFont="1" applyBorder="1" applyAlignment="1">
      <alignment horizontal="center" vertical="center" wrapText="1"/>
    </xf>
    <xf numFmtId="0" fontId="43" fillId="14" borderId="28" xfId="0" applyFont="1" applyFill="1" applyBorder="1" applyAlignment="1">
      <alignment horizontal="center" vertical="center"/>
    </xf>
    <xf numFmtId="1" fontId="43" fillId="0" borderId="23" xfId="0" applyNumberFormat="1" applyFont="1" applyBorder="1" applyAlignment="1">
      <alignment horizontal="center" vertical="center"/>
    </xf>
    <xf numFmtId="1" fontId="43" fillId="0" borderId="45" xfId="0" applyNumberFormat="1" applyFont="1" applyBorder="1" applyAlignment="1">
      <alignment horizontal="center" vertical="center"/>
    </xf>
    <xf numFmtId="1" fontId="43" fillId="0" borderId="46" xfId="0" applyNumberFormat="1" applyFont="1" applyBorder="1" applyAlignment="1">
      <alignment horizontal="center" vertical="center"/>
    </xf>
    <xf numFmtId="1" fontId="43" fillId="0" borderId="47" xfId="0" applyNumberFormat="1" applyFont="1" applyBorder="1" applyAlignment="1">
      <alignment horizontal="center" vertical="center"/>
    </xf>
    <xf numFmtId="0" fontId="43" fillId="14" borderId="23" xfId="0" applyFont="1" applyFill="1" applyBorder="1" applyAlignment="1">
      <alignment vertical="top"/>
    </xf>
    <xf numFmtId="0" fontId="43" fillId="14" borderId="0" xfId="0" applyFont="1" applyFill="1" applyAlignment="1">
      <alignment vertical="top"/>
    </xf>
    <xf numFmtId="0" fontId="43" fillId="0" borderId="0" xfId="0" applyFont="1" applyAlignment="1">
      <alignment vertical="top"/>
    </xf>
    <xf numFmtId="0" fontId="63" fillId="29" borderId="30" xfId="0" applyFont="1" applyFill="1" applyBorder="1" applyAlignment="1">
      <alignment horizontal="left" vertical="center"/>
    </xf>
    <xf numFmtId="0" fontId="48" fillId="29" borderId="30" xfId="0" applyFont="1" applyFill="1" applyBorder="1" applyAlignment="1">
      <alignment horizontal="left" vertical="center"/>
    </xf>
    <xf numFmtId="0" fontId="48" fillId="29" borderId="30" xfId="0" applyFont="1" applyFill="1" applyBorder="1" applyAlignment="1">
      <alignment vertical="center"/>
    </xf>
    <xf numFmtId="1" fontId="121" fillId="0" borderId="30" xfId="0" applyNumberFormat="1" applyFont="1" applyBorder="1" applyAlignment="1" applyProtection="1">
      <alignment horizontal="center" vertical="center"/>
      <protection locked="0"/>
    </xf>
    <xf numFmtId="166" fontId="121" fillId="0" borderId="30" xfId="0" applyNumberFormat="1" applyFont="1" applyBorder="1" applyAlignment="1" applyProtection="1">
      <alignment horizontal="center" vertical="center"/>
      <protection locked="0"/>
    </xf>
    <xf numFmtId="3" fontId="121" fillId="0" borderId="29" xfId="0" applyNumberFormat="1" applyFont="1" applyBorder="1" applyAlignment="1">
      <alignment horizontal="center" vertical="center"/>
    </xf>
    <xf numFmtId="0" fontId="61" fillId="29" borderId="30" xfId="0" applyFont="1" applyFill="1" applyBorder="1" applyAlignment="1">
      <alignment vertical="center"/>
    </xf>
    <xf numFmtId="0" fontId="123" fillId="29" borderId="30" xfId="0" applyFont="1" applyFill="1" applyBorder="1" applyAlignment="1">
      <alignment vertical="center"/>
    </xf>
    <xf numFmtId="0" fontId="40" fillId="0" borderId="41" xfId="0" applyFont="1" applyBorder="1" applyAlignment="1">
      <alignment vertical="center"/>
    </xf>
    <xf numFmtId="0" fontId="50" fillId="14" borderId="44" xfId="0" applyFont="1" applyFill="1" applyBorder="1" applyAlignment="1">
      <alignment vertical="center"/>
    </xf>
    <xf numFmtId="0" fontId="49" fillId="14" borderId="44" xfId="0" applyFont="1" applyFill="1" applyBorder="1" applyAlignment="1">
      <alignment horizontal="center" vertical="center"/>
    </xf>
    <xf numFmtId="3" fontId="49" fillId="0" borderId="39" xfId="0" applyNumberFormat="1" applyFont="1" applyBorder="1" applyAlignment="1">
      <alignment horizontal="center" vertical="center"/>
    </xf>
    <xf numFmtId="164" fontId="49" fillId="0" borderId="39" xfId="0" applyNumberFormat="1" applyFont="1" applyBorder="1" applyAlignment="1">
      <alignment horizontal="center" vertical="center"/>
    </xf>
    <xf numFmtId="9" fontId="49" fillId="0" borderId="39" xfId="0" applyNumberFormat="1" applyFont="1" applyBorder="1" applyAlignment="1">
      <alignment horizontal="center" vertical="center"/>
    </xf>
    <xf numFmtId="166" fontId="49" fillId="0" borderId="34" xfId="0" applyNumberFormat="1" applyFont="1" applyBorder="1" applyAlignment="1">
      <alignment horizontal="center" vertical="center"/>
    </xf>
    <xf numFmtId="3" fontId="49" fillId="0" borderId="34" xfId="0" applyNumberFormat="1" applyFont="1" applyBorder="1" applyAlignment="1">
      <alignment horizontal="center" vertical="center"/>
    </xf>
    <xf numFmtId="165" fontId="129" fillId="0" borderId="30" xfId="0" applyNumberFormat="1" applyFont="1" applyBorder="1" applyAlignment="1">
      <alignment horizontal="center" vertical="center"/>
    </xf>
    <xf numFmtId="0" fontId="0" fillId="0" borderId="23" xfId="0" applyBorder="1" applyAlignment="1">
      <alignment vertical="center"/>
    </xf>
    <xf numFmtId="0" fontId="50" fillId="0" borderId="23" xfId="0" applyFont="1" applyBorder="1" applyAlignment="1">
      <alignment vertical="center"/>
    </xf>
    <xf numFmtId="0" fontId="129" fillId="14" borderId="44" xfId="0" applyFont="1" applyFill="1" applyBorder="1" applyAlignment="1">
      <alignment vertical="center"/>
    </xf>
    <xf numFmtId="0" fontId="129" fillId="14" borderId="44" xfId="0" applyFont="1" applyFill="1" applyBorder="1" applyAlignment="1">
      <alignment horizontal="center" vertical="center"/>
    </xf>
    <xf numFmtId="0" fontId="50" fillId="0" borderId="34" xfId="0" applyFont="1" applyBorder="1" applyAlignment="1">
      <alignment vertical="center"/>
    </xf>
    <xf numFmtId="0" fontId="129" fillId="0" borderId="30" xfId="0" applyFont="1" applyBorder="1" applyAlignment="1">
      <alignment horizontal="left" vertical="center"/>
    </xf>
    <xf numFmtId="0" fontId="130" fillId="0" borderId="30" xfId="0" applyFont="1" applyBorder="1" applyAlignment="1">
      <alignment horizontal="left" vertical="center"/>
    </xf>
    <xf numFmtId="0" fontId="38" fillId="14" borderId="44" xfId="0" applyFont="1" applyFill="1" applyBorder="1" applyAlignment="1">
      <alignment vertical="center"/>
    </xf>
    <xf numFmtId="0" fontId="39" fillId="14" borderId="44" xfId="0" applyFont="1" applyFill="1" applyBorder="1" applyAlignment="1">
      <alignment horizontal="center" vertical="center"/>
    </xf>
    <xf numFmtId="0" fontId="38" fillId="14" borderId="44" xfId="0" applyFont="1" applyFill="1" applyBorder="1" applyAlignment="1">
      <alignment horizontal="center" vertical="center"/>
    </xf>
    <xf numFmtId="3" fontId="38" fillId="14" borderId="44" xfId="0" applyNumberFormat="1" applyFont="1" applyFill="1" applyBorder="1" applyAlignment="1">
      <alignment horizontal="center" vertical="center"/>
    </xf>
    <xf numFmtId="0" fontId="40" fillId="0" borderId="30" xfId="0" applyFont="1" applyBorder="1" applyAlignment="1">
      <alignment horizontal="left" vertical="center"/>
    </xf>
    <xf numFmtId="0" fontId="38" fillId="0" borderId="30" xfId="0" applyFont="1" applyBorder="1" applyAlignment="1">
      <alignment horizontal="left" vertical="center"/>
    </xf>
    <xf numFmtId="0" fontId="0" fillId="39" borderId="0" xfId="0" applyFill="1" applyAlignment="1">
      <alignment vertical="center"/>
    </xf>
    <xf numFmtId="0" fontId="10" fillId="39" borderId="0" xfId="0" applyFont="1" applyFill="1" applyAlignment="1">
      <alignment vertical="center"/>
    </xf>
    <xf numFmtId="0" fontId="0" fillId="39" borderId="0" xfId="0" applyFill="1" applyAlignment="1">
      <alignment horizontal="center" vertical="center"/>
    </xf>
    <xf numFmtId="0" fontId="9" fillId="39" borderId="0" xfId="0" applyFont="1" applyFill="1" applyAlignment="1">
      <alignment vertical="center"/>
    </xf>
    <xf numFmtId="0" fontId="38" fillId="14" borderId="23" xfId="0" applyFont="1" applyFill="1" applyBorder="1" applyAlignment="1">
      <alignment horizontal="center" vertical="center"/>
    </xf>
    <xf numFmtId="1" fontId="38" fillId="14" borderId="44" xfId="0" applyNumberFormat="1" applyFont="1" applyFill="1" applyBorder="1" applyAlignment="1">
      <alignment horizontal="center" vertical="center"/>
    </xf>
    <xf numFmtId="0" fontId="40" fillId="0" borderId="30" xfId="0" applyFont="1" applyBorder="1" applyAlignment="1">
      <alignment horizontal="right" vertical="center"/>
    </xf>
    <xf numFmtId="0" fontId="128" fillId="14" borderId="0" xfId="0" applyFont="1" applyFill="1" applyAlignment="1">
      <alignment vertical="center"/>
    </xf>
    <xf numFmtId="0" fontId="10" fillId="14" borderId="0" xfId="0" applyFont="1" applyFill="1"/>
    <xf numFmtId="0" fontId="38" fillId="14" borderId="44" xfId="0" applyFont="1" applyFill="1" applyBorder="1"/>
    <xf numFmtId="164" fontId="43" fillId="0" borderId="23" xfId="0" applyNumberFormat="1" applyFont="1" applyBorder="1" applyAlignment="1">
      <alignment horizontal="center" vertical="center"/>
    </xf>
    <xf numFmtId="3" fontId="43" fillId="0" borderId="23" xfId="0" applyNumberFormat="1" applyFont="1" applyBorder="1" applyAlignment="1">
      <alignment horizontal="center" vertical="center"/>
    </xf>
    <xf numFmtId="3" fontId="43" fillId="0" borderId="0" xfId="0" applyNumberFormat="1" applyFont="1" applyAlignment="1">
      <alignment horizontal="center" vertical="center"/>
    </xf>
    <xf numFmtId="164" fontId="49" fillId="0" borderId="30" xfId="0" applyNumberFormat="1" applyFont="1" applyBorder="1" applyAlignment="1" applyProtection="1">
      <alignment horizontal="center" vertical="center"/>
      <protection locked="0"/>
    </xf>
    <xf numFmtId="164" fontId="50" fillId="0" borderId="30" xfId="0" applyNumberFormat="1" applyFont="1" applyBorder="1" applyAlignment="1" applyProtection="1">
      <alignment horizontal="center" vertical="center"/>
      <protection locked="0"/>
    </xf>
    <xf numFmtId="0" fontId="38" fillId="43" borderId="5" xfId="0" applyFont="1" applyFill="1" applyBorder="1" applyAlignment="1">
      <alignment vertical="center"/>
    </xf>
    <xf numFmtId="9" fontId="47" fillId="0" borderId="28" xfId="0" applyNumberFormat="1" applyFont="1" applyBorder="1" applyAlignment="1">
      <alignment horizontal="center" vertical="center"/>
    </xf>
    <xf numFmtId="0" fontId="47" fillId="14" borderId="50" xfId="0" applyFont="1" applyFill="1" applyBorder="1" applyAlignment="1">
      <alignment vertical="center"/>
    </xf>
    <xf numFmtId="164" fontId="49" fillId="44" borderId="30" xfId="0" applyNumberFormat="1" applyFont="1" applyFill="1" applyBorder="1" applyAlignment="1" applyProtection="1">
      <alignment horizontal="center" vertical="center"/>
      <protection locked="0"/>
    </xf>
    <xf numFmtId="0" fontId="59" fillId="0" borderId="34" xfId="0" applyFont="1" applyBorder="1" applyAlignment="1">
      <alignment horizontal="right" vertical="center"/>
    </xf>
    <xf numFmtId="2" fontId="49" fillId="19" borderId="34" xfId="0" applyNumberFormat="1" applyFont="1" applyFill="1" applyBorder="1" applyAlignment="1">
      <alignment horizontal="center" vertical="center"/>
    </xf>
    <xf numFmtId="0" fontId="49" fillId="14" borderId="28" xfId="0" applyFont="1" applyFill="1" applyBorder="1" applyAlignment="1">
      <alignment horizontal="right" vertical="center"/>
    </xf>
    <xf numFmtId="164" fontId="49" fillId="3" borderId="30" xfId="0" applyNumberFormat="1" applyFont="1" applyFill="1" applyBorder="1" applyAlignment="1">
      <alignment horizontal="center" vertical="center"/>
    </xf>
    <xf numFmtId="4" fontId="49" fillId="4" borderId="30" xfId="0" applyNumberFormat="1" applyFont="1" applyFill="1" applyBorder="1" applyAlignment="1">
      <alignment horizontal="center" vertical="center"/>
    </xf>
    <xf numFmtId="2" fontId="49" fillId="13" borderId="30" xfId="0" applyNumberFormat="1" applyFont="1" applyFill="1" applyBorder="1" applyAlignment="1">
      <alignment horizontal="center" vertical="center"/>
    </xf>
    <xf numFmtId="3" fontId="50" fillId="38" borderId="30" xfId="0" applyNumberFormat="1" applyFont="1" applyFill="1" applyBorder="1" applyAlignment="1" applyProtection="1">
      <alignment horizontal="center" vertical="center"/>
      <protection locked="0"/>
    </xf>
    <xf numFmtId="4" fontId="49" fillId="13" borderId="23" xfId="0" applyNumberFormat="1" applyFont="1" applyFill="1" applyBorder="1" applyAlignment="1">
      <alignment horizontal="center" vertical="center"/>
    </xf>
    <xf numFmtId="0" fontId="47" fillId="0" borderId="53" xfId="0" applyFont="1" applyBorder="1" applyAlignment="1">
      <alignment vertical="center"/>
    </xf>
    <xf numFmtId="0" fontId="152" fillId="14" borderId="0" xfId="0" applyFont="1" applyFill="1" applyAlignment="1">
      <alignment vertical="center"/>
    </xf>
    <xf numFmtId="164" fontId="49" fillId="45" borderId="30" xfId="0" applyNumberFormat="1" applyFont="1" applyFill="1" applyBorder="1" applyAlignment="1" applyProtection="1">
      <alignment horizontal="center" vertical="center"/>
      <protection locked="0"/>
    </xf>
    <xf numFmtId="0" fontId="47" fillId="0" borderId="34" xfId="0" applyFont="1" applyBorder="1" applyAlignment="1">
      <alignment vertical="center"/>
    </xf>
    <xf numFmtId="4" fontId="47" fillId="0" borderId="31" xfId="0" applyNumberFormat="1" applyFont="1" applyBorder="1" applyAlignment="1">
      <alignment horizontal="center" vertical="center"/>
    </xf>
    <xf numFmtId="0" fontId="48" fillId="16" borderId="54" xfId="0" applyFont="1" applyFill="1" applyBorder="1" applyAlignment="1">
      <alignment horizontal="center" vertical="center"/>
    </xf>
    <xf numFmtId="0" fontId="47" fillId="0" borderId="55" xfId="0" applyFont="1" applyBorder="1" applyAlignment="1">
      <alignment vertical="center"/>
    </xf>
    <xf numFmtId="4" fontId="50" fillId="16" borderId="30" xfId="0" applyNumberFormat="1" applyFont="1" applyFill="1" applyBorder="1" applyAlignment="1">
      <alignment horizontal="center" vertical="center"/>
    </xf>
    <xf numFmtId="0" fontId="66" fillId="14" borderId="0" xfId="0" applyFont="1" applyFill="1" applyAlignment="1">
      <alignment vertical="top"/>
    </xf>
    <xf numFmtId="165" fontId="49" fillId="14" borderId="30" xfId="0" applyNumberFormat="1" applyFont="1" applyFill="1" applyBorder="1" applyAlignment="1" applyProtection="1">
      <alignment horizontal="center" vertical="center"/>
      <protection locked="0"/>
    </xf>
    <xf numFmtId="0" fontId="67" fillId="14" borderId="0" xfId="0" applyFont="1" applyFill="1" applyAlignment="1">
      <alignment horizontal="left"/>
    </xf>
    <xf numFmtId="0" fontId="65" fillId="14" borderId="0" xfId="0" applyFont="1" applyFill="1" applyAlignment="1">
      <alignment horizontal="left"/>
    </xf>
    <xf numFmtId="0" fontId="66" fillId="14" borderId="0" xfId="0" applyFont="1" applyFill="1"/>
    <xf numFmtId="4" fontId="49" fillId="3" borderId="29" xfId="0" applyNumberFormat="1" applyFont="1" applyFill="1" applyBorder="1" applyAlignment="1">
      <alignment horizontal="center" vertical="center"/>
    </xf>
    <xf numFmtId="4" fontId="49" fillId="19" borderId="34" xfId="0" applyNumberFormat="1" applyFont="1" applyFill="1" applyBorder="1" applyAlignment="1">
      <alignment horizontal="center" vertical="center"/>
    </xf>
    <xf numFmtId="0" fontId="59" fillId="14" borderId="49" xfId="0" applyFont="1" applyFill="1" applyBorder="1" applyAlignment="1">
      <alignment horizontal="right" vertical="center"/>
    </xf>
    <xf numFmtId="0" fontId="32" fillId="0" borderId="23" xfId="0" applyFont="1" applyBorder="1" applyAlignment="1">
      <alignment horizontal="right" vertical="center"/>
    </xf>
    <xf numFmtId="0" fontId="32" fillId="0" borderId="23" xfId="0" applyFont="1" applyBorder="1" applyAlignment="1">
      <alignment vertical="center"/>
    </xf>
    <xf numFmtId="0" fontId="37" fillId="0" borderId="23" xfId="0" applyFont="1" applyBorder="1" applyAlignment="1">
      <alignment horizontal="center" vertical="center"/>
    </xf>
    <xf numFmtId="0" fontId="37" fillId="0" borderId="23" xfId="0" applyFont="1" applyBorder="1" applyAlignment="1">
      <alignment horizontal="right" vertical="center"/>
    </xf>
    <xf numFmtId="1" fontId="32" fillId="0" borderId="23" xfId="0" applyNumberFormat="1" applyFont="1" applyBorder="1" applyAlignment="1">
      <alignment horizontal="center" vertical="center"/>
    </xf>
    <xf numFmtId="169" fontId="32" fillId="0" borderId="23" xfId="0" applyNumberFormat="1" applyFont="1" applyBorder="1" applyAlignment="1">
      <alignment horizontal="center" vertical="center"/>
    </xf>
    <xf numFmtId="3" fontId="32" fillId="0" borderId="23" xfId="0" applyNumberFormat="1" applyFont="1" applyBorder="1" applyAlignment="1">
      <alignment horizontal="center" vertical="center"/>
    </xf>
    <xf numFmtId="0" fontId="154" fillId="0" borderId="23" xfId="0" applyFont="1" applyBorder="1" applyAlignment="1">
      <alignment horizontal="right"/>
    </xf>
    <xf numFmtId="0" fontId="154" fillId="0" borderId="23" xfId="0" applyFont="1" applyBorder="1" applyAlignment="1">
      <alignment horizontal="center"/>
    </xf>
    <xf numFmtId="0" fontId="153" fillId="0" borderId="23" xfId="0" applyFont="1" applyBorder="1" applyAlignment="1">
      <alignment horizontal="right"/>
    </xf>
    <xf numFmtId="0" fontId="153" fillId="0" borderId="23" xfId="0" applyFont="1" applyBorder="1" applyAlignment="1">
      <alignment horizontal="center"/>
    </xf>
    <xf numFmtId="0" fontId="37" fillId="0" borderId="23" xfId="0" applyFont="1" applyBorder="1" applyAlignment="1">
      <alignment vertical="center"/>
    </xf>
    <xf numFmtId="0" fontId="155" fillId="0" borderId="23" xfId="0" applyFont="1" applyBorder="1" applyAlignment="1">
      <alignment horizontal="right" vertical="center"/>
    </xf>
    <xf numFmtId="0" fontId="155" fillId="0" borderId="23" xfId="0" applyFont="1" applyBorder="1" applyAlignment="1">
      <alignment vertical="center"/>
    </xf>
    <xf numFmtId="0" fontId="37" fillId="0" borderId="23" xfId="0" applyFont="1" applyBorder="1" applyAlignment="1">
      <alignment horizontal="right"/>
    </xf>
    <xf numFmtId="0" fontId="37" fillId="0" borderId="23" xfId="0" applyFont="1" applyBorder="1"/>
    <xf numFmtId="0" fontId="156" fillId="0" borderId="23" xfId="0" applyFont="1" applyBorder="1" applyAlignment="1">
      <alignment horizontal="right" vertical="center"/>
    </xf>
    <xf numFmtId="0" fontId="156" fillId="0" borderId="23" xfId="0" applyFont="1" applyBorder="1" applyAlignment="1">
      <alignment vertical="center"/>
    </xf>
    <xf numFmtId="0" fontId="157" fillId="0" borderId="23" xfId="0" applyFont="1" applyBorder="1" applyAlignment="1">
      <alignment horizontal="right" vertical="center"/>
    </xf>
    <xf numFmtId="0" fontId="157" fillId="0" borderId="23" xfId="0" applyFont="1" applyBorder="1"/>
    <xf numFmtId="0" fontId="32" fillId="0" borderId="23" xfId="0" applyFont="1" applyBorder="1"/>
    <xf numFmtId="3" fontId="72" fillId="0" borderId="48" xfId="0" applyNumberFormat="1" applyFont="1" applyBorder="1" applyAlignment="1">
      <alignment horizontal="center" vertical="center"/>
    </xf>
    <xf numFmtId="164" fontId="72" fillId="0" borderId="30" xfId="0" applyNumberFormat="1" applyFont="1" applyBorder="1" applyAlignment="1">
      <alignment horizontal="center" vertical="center"/>
    </xf>
    <xf numFmtId="3" fontId="72" fillId="0" borderId="30" xfId="0" applyNumberFormat="1" applyFont="1" applyBorder="1" applyAlignment="1">
      <alignment horizontal="center" vertical="center"/>
    </xf>
    <xf numFmtId="3" fontId="72" fillId="18" borderId="30" xfId="0" applyNumberFormat="1" applyFont="1" applyFill="1" applyBorder="1" applyAlignment="1">
      <alignment horizontal="center" vertical="center"/>
    </xf>
    <xf numFmtId="0" fontId="71" fillId="0" borderId="0" xfId="0" applyFont="1" applyAlignment="1">
      <alignment vertical="center"/>
    </xf>
    <xf numFmtId="0" fontId="72" fillId="0" borderId="0" xfId="0" applyFont="1"/>
    <xf numFmtId="3" fontId="117" fillId="29" borderId="30" xfId="0" applyNumberFormat="1" applyFont="1" applyFill="1" applyBorder="1" applyAlignment="1">
      <alignment horizontal="center" vertical="center"/>
    </xf>
    <xf numFmtId="3" fontId="63" fillId="29" borderId="30" xfId="0" applyNumberFormat="1" applyFont="1" applyFill="1" applyBorder="1" applyAlignment="1">
      <alignment horizontal="center" vertical="center"/>
    </xf>
    <xf numFmtId="0" fontId="131" fillId="0" borderId="49" xfId="0" applyFont="1" applyBorder="1" applyAlignment="1">
      <alignment horizontal="center" vertical="center"/>
    </xf>
    <xf numFmtId="0" fontId="159" fillId="14" borderId="23" xfId="0" applyFont="1" applyFill="1" applyBorder="1" applyAlignment="1">
      <alignment vertical="center"/>
    </xf>
    <xf numFmtId="165" fontId="43" fillId="47" borderId="30" xfId="0" applyNumberFormat="1" applyFont="1" applyFill="1" applyBorder="1" applyAlignment="1">
      <alignment horizontal="center" vertical="center"/>
    </xf>
    <xf numFmtId="0" fontId="18" fillId="48" borderId="30" xfId="0" applyFont="1" applyFill="1" applyBorder="1" applyAlignment="1">
      <alignment horizontal="left" vertical="center"/>
    </xf>
    <xf numFmtId="0" fontId="148" fillId="49" borderId="13" xfId="0" applyFont="1" applyFill="1" applyBorder="1" applyAlignment="1">
      <alignment horizontal="center" vertical="center"/>
    </xf>
    <xf numFmtId="165" fontId="39" fillId="50" borderId="4" xfId="0" applyNumberFormat="1" applyFont="1" applyFill="1" applyBorder="1" applyAlignment="1">
      <alignment horizontal="center" vertical="center"/>
    </xf>
    <xf numFmtId="164" fontId="38" fillId="50" borderId="4" xfId="0" applyNumberFormat="1" applyFont="1" applyFill="1" applyBorder="1" applyAlignment="1">
      <alignment horizontal="center" vertical="center"/>
    </xf>
    <xf numFmtId="0" fontId="160" fillId="49" borderId="11" xfId="0" applyFont="1" applyFill="1" applyBorder="1" applyAlignment="1">
      <alignment horizontal="center" vertical="center"/>
    </xf>
    <xf numFmtId="0" fontId="47" fillId="14" borderId="0" xfId="0" applyFont="1" applyFill="1" applyAlignment="1" applyProtection="1">
      <alignment horizontal="center" vertical="center"/>
      <protection locked="0"/>
    </xf>
    <xf numFmtId="0" fontId="72" fillId="14" borderId="0" xfId="0" applyFont="1" applyFill="1" applyAlignment="1">
      <alignment vertical="center"/>
    </xf>
    <xf numFmtId="178" fontId="72" fillId="0" borderId="48" xfId="0" applyNumberFormat="1" applyFont="1" applyBorder="1" applyAlignment="1">
      <alignment horizontal="center" vertical="center"/>
    </xf>
    <xf numFmtId="178" fontId="72" fillId="0" borderId="30" xfId="0" applyNumberFormat="1" applyFont="1" applyBorder="1" applyAlignment="1">
      <alignment horizontal="center" vertical="center"/>
    </xf>
    <xf numFmtId="178" fontId="72" fillId="18" borderId="30" xfId="0" applyNumberFormat="1" applyFont="1" applyFill="1" applyBorder="1" applyAlignment="1">
      <alignment horizontal="center" vertical="center"/>
    </xf>
    <xf numFmtId="0" fontId="72" fillId="0" borderId="0" xfId="0" applyFont="1" applyAlignment="1">
      <alignment vertical="center"/>
    </xf>
    <xf numFmtId="168" fontId="72" fillId="0" borderId="0" xfId="0" applyNumberFormat="1" applyFont="1" applyAlignment="1">
      <alignment horizontal="center" vertical="center"/>
    </xf>
    <xf numFmtId="0" fontId="147" fillId="14" borderId="0" xfId="0" applyFont="1" applyFill="1" applyAlignment="1">
      <alignment vertical="center"/>
    </xf>
    <xf numFmtId="0" fontId="147" fillId="14" borderId="44" xfId="0" applyFont="1" applyFill="1" applyBorder="1" applyAlignment="1">
      <alignment vertical="center"/>
    </xf>
    <xf numFmtId="178" fontId="147" fillId="18" borderId="30" xfId="0" applyNumberFormat="1" applyFont="1" applyFill="1" applyBorder="1" applyAlignment="1">
      <alignment horizontal="center" vertical="center"/>
    </xf>
    <xf numFmtId="168" fontId="147" fillId="0" borderId="0" xfId="0" applyNumberFormat="1" applyFont="1" applyAlignment="1">
      <alignment horizontal="center" vertical="center"/>
    </xf>
    <xf numFmtId="0" fontId="147" fillId="0" borderId="0" xfId="0" applyFont="1" applyAlignment="1">
      <alignment vertical="center"/>
    </xf>
    <xf numFmtId="0" fontId="147" fillId="0" borderId="0" xfId="0" applyFont="1"/>
    <xf numFmtId="0" fontId="52" fillId="0" borderId="0" xfId="0" applyFont="1"/>
    <xf numFmtId="0" fontId="52" fillId="14" borderId="0" xfId="0" applyFont="1" applyFill="1" applyAlignment="1">
      <alignment vertical="center"/>
    </xf>
    <xf numFmtId="0" fontId="52" fillId="0" borderId="0" xfId="0" applyFont="1" applyAlignment="1">
      <alignment vertical="center"/>
    </xf>
    <xf numFmtId="164" fontId="71" fillId="0" borderId="30" xfId="0" applyNumberFormat="1" applyFont="1" applyBorder="1" applyAlignment="1">
      <alignment horizontal="center" vertical="center"/>
    </xf>
    <xf numFmtId="0" fontId="77" fillId="38" borderId="5" xfId="0" applyFont="1" applyFill="1" applyBorder="1" applyAlignment="1">
      <alignment vertical="center"/>
    </xf>
    <xf numFmtId="3" fontId="77" fillId="0" borderId="30" xfId="0" applyNumberFormat="1" applyFont="1" applyBorder="1" applyAlignment="1">
      <alignment horizontal="center" vertical="center"/>
    </xf>
    <xf numFmtId="0" fontId="77" fillId="0" borderId="0" xfId="0" applyFont="1" applyAlignment="1">
      <alignment vertical="center"/>
    </xf>
    <xf numFmtId="0" fontId="77" fillId="14" borderId="0" xfId="0" applyFont="1" applyFill="1" applyAlignment="1">
      <alignment vertical="center"/>
    </xf>
    <xf numFmtId="0" fontId="72" fillId="0" borderId="23" xfId="0" applyFont="1" applyBorder="1"/>
    <xf numFmtId="0" fontId="71" fillId="16" borderId="30" xfId="0" applyFont="1" applyFill="1" applyBorder="1" applyAlignment="1">
      <alignment horizontal="right" vertical="center"/>
    </xf>
    <xf numFmtId="0" fontId="173" fillId="16" borderId="0" xfId="0" applyFont="1" applyFill="1" applyAlignment="1">
      <alignment horizontal="center" vertical="center"/>
    </xf>
    <xf numFmtId="0" fontId="174" fillId="14" borderId="0" xfId="0" applyFont="1" applyFill="1" applyAlignment="1">
      <alignment vertical="center"/>
    </xf>
    <xf numFmtId="2" fontId="77" fillId="0" borderId="49" xfId="0" applyNumberFormat="1" applyFont="1" applyBorder="1" applyAlignment="1">
      <alignment horizontal="center" vertical="center"/>
    </xf>
    <xf numFmtId="0" fontId="72" fillId="14" borderId="23" xfId="0" applyFont="1" applyFill="1" applyBorder="1"/>
    <xf numFmtId="0" fontId="71" fillId="14" borderId="23" xfId="0" applyFont="1" applyFill="1" applyBorder="1" applyAlignment="1">
      <alignment vertical="center"/>
    </xf>
    <xf numFmtId="0" fontId="77" fillId="36" borderId="30" xfId="0" applyFont="1" applyFill="1" applyBorder="1" applyAlignment="1">
      <alignment horizontal="left" vertical="center"/>
    </xf>
    <xf numFmtId="0" fontId="176" fillId="14" borderId="23" xfId="0" applyFont="1" applyFill="1" applyBorder="1" applyAlignment="1">
      <alignment horizontal="center" vertical="center"/>
    </xf>
    <xf numFmtId="3" fontId="72" fillId="8" borderId="48" xfId="0" applyNumberFormat="1" applyFont="1" applyFill="1" applyBorder="1" applyAlignment="1">
      <alignment horizontal="center" vertical="center"/>
    </xf>
    <xf numFmtId="3" fontId="72" fillId="8" borderId="30" xfId="0" applyNumberFormat="1" applyFont="1" applyFill="1" applyBorder="1" applyAlignment="1">
      <alignment horizontal="center" vertical="center"/>
    </xf>
    <xf numFmtId="3" fontId="72" fillId="33" borderId="30" xfId="0" applyNumberFormat="1" applyFont="1" applyFill="1" applyBorder="1" applyAlignment="1">
      <alignment horizontal="center" vertical="center"/>
    </xf>
    <xf numFmtId="164" fontId="72" fillId="0" borderId="48" xfId="0" applyNumberFormat="1" applyFont="1" applyBorder="1" applyAlignment="1">
      <alignment horizontal="center" vertical="center"/>
    </xf>
    <xf numFmtId="164" fontId="72" fillId="18" borderId="30" xfId="0" applyNumberFormat="1" applyFont="1" applyFill="1" applyBorder="1" applyAlignment="1">
      <alignment horizontal="center" vertical="center"/>
    </xf>
    <xf numFmtId="0" fontId="43" fillId="0" borderId="34" xfId="0" applyFont="1" applyBorder="1" applyAlignment="1">
      <alignment horizontal="center" vertical="center"/>
    </xf>
    <xf numFmtId="3" fontId="43" fillId="0" borderId="34" xfId="0" applyNumberFormat="1" applyFont="1" applyBorder="1" applyAlignment="1">
      <alignment horizontal="center" vertical="center"/>
    </xf>
    <xf numFmtId="0" fontId="182" fillId="14" borderId="0" xfId="0" applyFont="1" applyFill="1" applyAlignment="1">
      <alignment vertical="center"/>
    </xf>
    <xf numFmtId="168" fontId="182" fillId="0" borderId="0" xfId="0" applyNumberFormat="1" applyFont="1" applyAlignment="1">
      <alignment horizontal="center" vertical="center"/>
    </xf>
    <xf numFmtId="0" fontId="182" fillId="0" borderId="0" xfId="0" applyFont="1" applyAlignment="1">
      <alignment vertical="center"/>
    </xf>
    <xf numFmtId="0" fontId="176" fillId="0" borderId="0" xfId="0" applyFont="1"/>
    <xf numFmtId="0" fontId="176" fillId="14" borderId="0" xfId="0" applyFont="1" applyFill="1" applyAlignment="1">
      <alignment vertical="center"/>
    </xf>
    <xf numFmtId="3" fontId="176" fillId="0" borderId="0" xfId="0" applyNumberFormat="1" applyFont="1" applyAlignment="1">
      <alignment horizontal="center" vertical="center"/>
    </xf>
    <xf numFmtId="0" fontId="176" fillId="0" borderId="0" xfId="0" applyFont="1" applyAlignment="1">
      <alignment vertical="center"/>
    </xf>
    <xf numFmtId="178" fontId="147" fillId="0" borderId="30" xfId="0" applyNumberFormat="1" applyFont="1" applyBorder="1" applyAlignment="1">
      <alignment horizontal="center" vertical="center"/>
    </xf>
    <xf numFmtId="3" fontId="147" fillId="0" borderId="30" xfId="0" applyNumberFormat="1" applyFont="1" applyBorder="1" applyAlignment="1">
      <alignment horizontal="center" vertical="center"/>
    </xf>
    <xf numFmtId="164" fontId="147" fillId="18" borderId="30" xfId="0" applyNumberFormat="1" applyFont="1" applyFill="1" applyBorder="1" applyAlignment="1">
      <alignment horizontal="center" vertical="center"/>
    </xf>
    <xf numFmtId="1" fontId="182" fillId="0" borderId="0" xfId="0" applyNumberFormat="1" applyFont="1" applyAlignment="1">
      <alignment vertical="center"/>
    </xf>
    <xf numFmtId="3" fontId="71" fillId="0" borderId="30" xfId="0" applyNumberFormat="1" applyFont="1" applyBorder="1" applyAlignment="1">
      <alignment horizontal="center" vertical="center"/>
    </xf>
    <xf numFmtId="3" fontId="71" fillId="18" borderId="30" xfId="0" applyNumberFormat="1" applyFont="1" applyFill="1" applyBorder="1" applyAlignment="1">
      <alignment horizontal="center" vertical="center"/>
    </xf>
    <xf numFmtId="1" fontId="8" fillId="0" borderId="0" xfId="0" applyNumberFormat="1" applyFont="1" applyAlignment="1">
      <alignment vertical="center"/>
    </xf>
    <xf numFmtId="1" fontId="71" fillId="0" borderId="30" xfId="0" applyNumberFormat="1" applyFont="1" applyBorder="1" applyAlignment="1">
      <alignment horizontal="center" vertical="center"/>
    </xf>
    <xf numFmtId="1" fontId="71" fillId="18" borderId="30" xfId="0" applyNumberFormat="1" applyFont="1" applyFill="1" applyBorder="1" applyAlignment="1">
      <alignment horizontal="center" vertical="center"/>
    </xf>
    <xf numFmtId="178" fontId="71" fillId="0" borderId="30" xfId="0" applyNumberFormat="1" applyFont="1" applyBorder="1" applyAlignment="1">
      <alignment horizontal="center" vertical="center"/>
    </xf>
    <xf numFmtId="178" fontId="71" fillId="18" borderId="30" xfId="0" applyNumberFormat="1" applyFont="1" applyFill="1" applyBorder="1" applyAlignment="1">
      <alignment horizontal="center" vertical="center"/>
    </xf>
    <xf numFmtId="0" fontId="8" fillId="0" borderId="0" xfId="0" applyFont="1"/>
    <xf numFmtId="0" fontId="147" fillId="0" borderId="34" xfId="0" applyFont="1" applyBorder="1" applyAlignment="1">
      <alignment vertical="center"/>
    </xf>
    <xf numFmtId="3" fontId="183" fillId="0" borderId="49" xfId="0" applyNumberFormat="1" applyFont="1" applyBorder="1" applyAlignment="1">
      <alignment horizontal="center" vertical="center"/>
    </xf>
    <xf numFmtId="0" fontId="184" fillId="36" borderId="49" xfId="0" applyFont="1" applyFill="1" applyBorder="1" applyAlignment="1">
      <alignment horizontal="left" vertical="center"/>
    </xf>
    <xf numFmtId="0" fontId="52" fillId="14" borderId="23" xfId="0" applyFont="1" applyFill="1" applyBorder="1" applyAlignment="1">
      <alignment vertical="center"/>
    </xf>
    <xf numFmtId="0" fontId="72" fillId="14" borderId="23" xfId="0" applyFont="1" applyFill="1" applyBorder="1" applyAlignment="1">
      <alignment vertical="center"/>
    </xf>
    <xf numFmtId="0" fontId="129" fillId="14" borderId="23" xfId="0" applyFont="1" applyFill="1" applyBorder="1" applyAlignment="1">
      <alignment vertical="center"/>
    </xf>
    <xf numFmtId="0" fontId="147" fillId="14" borderId="23" xfId="0" applyFont="1" applyFill="1" applyBorder="1" applyAlignment="1">
      <alignment vertical="center"/>
    </xf>
    <xf numFmtId="0" fontId="50" fillId="14" borderId="23" xfId="0" applyFont="1" applyFill="1" applyBorder="1" applyAlignment="1">
      <alignment vertical="center"/>
    </xf>
    <xf numFmtId="0" fontId="129" fillId="0" borderId="23" xfId="0" applyFont="1" applyBorder="1" applyAlignment="1">
      <alignment vertical="center"/>
    </xf>
    <xf numFmtId="168" fontId="72" fillId="0" borderId="23" xfId="0" applyNumberFormat="1" applyFont="1" applyBorder="1" applyAlignment="1">
      <alignment horizontal="center" vertical="center"/>
    </xf>
    <xf numFmtId="168" fontId="147" fillId="0" borderId="23" xfId="0" applyNumberFormat="1" applyFont="1" applyBorder="1" applyAlignment="1">
      <alignment horizontal="center" vertical="center"/>
    </xf>
    <xf numFmtId="0" fontId="50" fillId="0" borderId="41" xfId="0" applyFont="1" applyBorder="1" applyAlignment="1">
      <alignment vertical="center"/>
    </xf>
    <xf numFmtId="0" fontId="50" fillId="0" borderId="44" xfId="0" applyFont="1" applyBorder="1" applyAlignment="1">
      <alignment vertical="center"/>
    </xf>
    <xf numFmtId="0" fontId="130" fillId="0" borderId="44" xfId="0" applyFont="1" applyBorder="1" applyAlignment="1">
      <alignment vertical="center"/>
    </xf>
    <xf numFmtId="0" fontId="43" fillId="0" borderId="34" xfId="0" applyFont="1" applyBorder="1" applyAlignment="1">
      <alignment horizontal="left" vertical="center"/>
    </xf>
    <xf numFmtId="0" fontId="158" fillId="0" borderId="57" xfId="0" applyFont="1" applyBorder="1" applyAlignment="1">
      <alignment horizontal="left" vertical="center"/>
    </xf>
    <xf numFmtId="0" fontId="172" fillId="16" borderId="58" xfId="0" applyFont="1" applyFill="1" applyBorder="1" applyAlignment="1">
      <alignment horizontal="right" vertical="center"/>
    </xf>
    <xf numFmtId="0" fontId="49" fillId="0" borderId="59" xfId="0" applyFont="1" applyBorder="1" applyAlignment="1">
      <alignment vertical="center"/>
    </xf>
    <xf numFmtId="1" fontId="72" fillId="0" borderId="59" xfId="0" applyNumberFormat="1" applyFont="1" applyBorder="1" applyAlignment="1">
      <alignment horizontal="center" vertical="center"/>
    </xf>
    <xf numFmtId="166" fontId="72" fillId="0" borderId="60" xfId="0" applyNumberFormat="1" applyFont="1" applyBorder="1" applyAlignment="1">
      <alignment horizontal="center" vertical="center"/>
    </xf>
    <xf numFmtId="3" fontId="72" fillId="0" borderId="59" xfId="0" applyNumberFormat="1" applyFont="1" applyBorder="1" applyAlignment="1">
      <alignment horizontal="center" vertical="center"/>
    </xf>
    <xf numFmtId="9" fontId="72" fillId="0" borderId="60" xfId="0" applyNumberFormat="1" applyFont="1" applyBorder="1" applyAlignment="1">
      <alignment horizontal="center" vertical="center"/>
    </xf>
    <xf numFmtId="177" fontId="72" fillId="0" borderId="59" xfId="0" applyNumberFormat="1" applyFont="1" applyBorder="1" applyAlignment="1">
      <alignment horizontal="center" vertical="center"/>
    </xf>
    <xf numFmtId="3" fontId="72" fillId="0" borderId="60" xfId="0" applyNumberFormat="1" applyFont="1" applyBorder="1" applyAlignment="1">
      <alignment horizontal="center" vertical="center"/>
    </xf>
    <xf numFmtId="178" fontId="147" fillId="18" borderId="62" xfId="0" applyNumberFormat="1" applyFont="1" applyFill="1" applyBorder="1" applyAlignment="1">
      <alignment horizontal="center" vertical="center"/>
    </xf>
    <xf numFmtId="0" fontId="147" fillId="0" borderId="63" xfId="0" applyFont="1" applyBorder="1" applyAlignment="1">
      <alignment horizontal="center" vertical="center"/>
    </xf>
    <xf numFmtId="0" fontId="129" fillId="0" borderId="60" xfId="0" applyFont="1" applyBorder="1" applyAlignment="1">
      <alignment vertical="center"/>
    </xf>
    <xf numFmtId="0" fontId="130" fillId="14" borderId="23" xfId="0" applyFont="1" applyFill="1" applyBorder="1" applyAlignment="1">
      <alignment vertical="center"/>
    </xf>
    <xf numFmtId="164" fontId="72" fillId="14" borderId="23" xfId="0" applyNumberFormat="1" applyFont="1" applyFill="1" applyBorder="1" applyAlignment="1">
      <alignment horizontal="center" vertical="center"/>
    </xf>
    <xf numFmtId="1" fontId="49" fillId="14" borderId="23" xfId="0" applyNumberFormat="1" applyFont="1" applyFill="1" applyBorder="1" applyAlignment="1">
      <alignment horizontal="center" vertical="center"/>
    </xf>
    <xf numFmtId="0" fontId="72" fillId="14" borderId="23" xfId="0" applyFont="1" applyFill="1" applyBorder="1" applyAlignment="1">
      <alignment horizontal="center" vertical="center"/>
    </xf>
    <xf numFmtId="164" fontId="49" fillId="14" borderId="23" xfId="0" applyNumberFormat="1" applyFont="1" applyFill="1" applyBorder="1" applyAlignment="1">
      <alignment horizontal="center" vertical="center"/>
    </xf>
    <xf numFmtId="0" fontId="71" fillId="0" borderId="23" xfId="0" applyFont="1" applyBorder="1" applyAlignment="1">
      <alignment vertical="center"/>
    </xf>
    <xf numFmtId="0" fontId="72" fillId="0" borderId="23" xfId="0" applyFont="1" applyBorder="1" applyAlignment="1">
      <alignment vertical="center"/>
    </xf>
    <xf numFmtId="0" fontId="130" fillId="0" borderId="23" xfId="0" applyFont="1" applyBorder="1" applyAlignment="1">
      <alignment vertical="center"/>
    </xf>
    <xf numFmtId="0" fontId="147" fillId="0" borderId="23" xfId="0" applyFont="1" applyBorder="1" applyAlignment="1">
      <alignment vertical="center"/>
    </xf>
    <xf numFmtId="0" fontId="130" fillId="0" borderId="36" xfId="0" applyFont="1" applyBorder="1" applyAlignment="1">
      <alignment vertical="center"/>
    </xf>
    <xf numFmtId="0" fontId="129" fillId="0" borderId="39" xfId="0" applyFont="1" applyBorder="1" applyAlignment="1">
      <alignment vertical="center"/>
    </xf>
    <xf numFmtId="0" fontId="9" fillId="0" borderId="23" xfId="0" applyFont="1" applyBorder="1" applyAlignment="1">
      <alignment vertical="center"/>
    </xf>
    <xf numFmtId="0" fontId="158" fillId="0" borderId="64" xfId="0" applyFont="1" applyBorder="1" applyAlignment="1">
      <alignment vertical="center"/>
    </xf>
    <xf numFmtId="0" fontId="49" fillId="0" borderId="64" xfId="0" applyFont="1" applyBorder="1" applyAlignment="1">
      <alignment vertical="center"/>
    </xf>
    <xf numFmtId="0" fontId="147" fillId="31" borderId="64" xfId="0" applyFont="1" applyFill="1" applyBorder="1" applyAlignment="1">
      <alignment horizontal="right" vertical="center"/>
    </xf>
    <xf numFmtId="0" fontId="71" fillId="31" borderId="64" xfId="0" applyFont="1" applyFill="1" applyBorder="1" applyAlignment="1">
      <alignment horizontal="left" vertical="center"/>
    </xf>
    <xf numFmtId="0" fontId="71" fillId="31" borderId="65" xfId="0" applyFont="1" applyFill="1" applyBorder="1" applyAlignment="1">
      <alignment horizontal="left" vertical="center"/>
    </xf>
    <xf numFmtId="0" fontId="49" fillId="0" borderId="66" xfId="0" applyFont="1" applyBorder="1" applyAlignment="1">
      <alignment vertical="center"/>
    </xf>
    <xf numFmtId="0" fontId="72" fillId="0" borderId="68" xfId="0" applyFont="1" applyBorder="1" applyAlignment="1">
      <alignment vertical="center"/>
    </xf>
    <xf numFmtId="164" fontId="72" fillId="0" borderId="69" xfId="0" applyNumberFormat="1" applyFont="1" applyBorder="1" applyAlignment="1">
      <alignment horizontal="center" vertical="center"/>
    </xf>
    <xf numFmtId="167" fontId="49" fillId="0" borderId="66" xfId="0" applyNumberFormat="1" applyFont="1" applyBorder="1" applyAlignment="1">
      <alignment horizontal="center" vertical="center"/>
    </xf>
    <xf numFmtId="167" fontId="49" fillId="0" borderId="67" xfId="0" applyNumberFormat="1" applyFont="1" applyBorder="1" applyAlignment="1">
      <alignment horizontal="center" vertical="center"/>
    </xf>
    <xf numFmtId="1" fontId="49" fillId="0" borderId="67" xfId="0" applyNumberFormat="1" applyFont="1" applyBorder="1" applyAlignment="1">
      <alignment horizontal="center" vertical="center"/>
    </xf>
    <xf numFmtId="0" fontId="49" fillId="0" borderId="67" xfId="0" applyFont="1" applyBorder="1" applyAlignment="1">
      <alignment horizontal="center" vertical="center"/>
    </xf>
    <xf numFmtId="0" fontId="49" fillId="0" borderId="66" xfId="0" applyFont="1" applyBorder="1" applyAlignment="1">
      <alignment horizontal="center" vertical="center"/>
    </xf>
    <xf numFmtId="9" fontId="72" fillId="0" borderId="68" xfId="0" applyNumberFormat="1" applyFont="1" applyBorder="1" applyAlignment="1">
      <alignment horizontal="center" vertical="center"/>
    </xf>
    <xf numFmtId="0" fontId="52" fillId="0" borderId="68" xfId="0" applyFont="1" applyBorder="1" applyAlignment="1">
      <alignment vertical="center"/>
    </xf>
    <xf numFmtId="0" fontId="72" fillId="0" borderId="69" xfId="0" applyFont="1" applyBorder="1" applyAlignment="1">
      <alignment vertical="center"/>
    </xf>
    <xf numFmtId="0" fontId="72" fillId="0" borderId="70" xfId="0" applyFont="1" applyBorder="1" applyAlignment="1">
      <alignment vertical="center"/>
    </xf>
    <xf numFmtId="177" fontId="72" fillId="0" borderId="71" xfId="0" applyNumberFormat="1" applyFont="1" applyBorder="1" applyAlignment="1">
      <alignment horizontal="center" vertical="center"/>
    </xf>
    <xf numFmtId="0" fontId="72" fillId="0" borderId="72" xfId="0" applyFont="1" applyBorder="1" applyAlignment="1">
      <alignment vertical="center"/>
    </xf>
    <xf numFmtId="164" fontId="72" fillId="0" borderId="66" xfId="0" applyNumberFormat="1" applyFont="1" applyBorder="1" applyAlignment="1">
      <alignment horizontal="center" vertical="center"/>
    </xf>
    <xf numFmtId="164" fontId="72" fillId="0" borderId="67" xfId="0" applyNumberFormat="1" applyFont="1" applyBorder="1" applyAlignment="1">
      <alignment horizontal="center" vertical="center"/>
    </xf>
    <xf numFmtId="1" fontId="49" fillId="0" borderId="66" xfId="0" applyNumberFormat="1" applyFont="1" applyBorder="1" applyAlignment="1">
      <alignment horizontal="center" vertical="center"/>
    </xf>
    <xf numFmtId="9" fontId="72" fillId="0" borderId="66" xfId="0" applyNumberFormat="1" applyFont="1" applyBorder="1" applyAlignment="1">
      <alignment horizontal="center" vertical="center"/>
    </xf>
    <xf numFmtId="0" fontId="52" fillId="0" borderId="66" xfId="0" applyFont="1" applyBorder="1" applyAlignment="1">
      <alignment vertical="center"/>
    </xf>
    <xf numFmtId="0" fontId="72" fillId="0" borderId="66" xfId="0" applyFont="1" applyBorder="1" applyAlignment="1">
      <alignment vertical="center"/>
    </xf>
    <xf numFmtId="0" fontId="72" fillId="0" borderId="67" xfId="0" applyFont="1" applyBorder="1" applyAlignment="1">
      <alignment vertical="center"/>
    </xf>
    <xf numFmtId="0" fontId="72" fillId="0" borderId="73" xfId="0" applyFont="1" applyBorder="1" applyAlignment="1">
      <alignment vertical="center"/>
    </xf>
    <xf numFmtId="177" fontId="72" fillId="0" borderId="74" xfId="0" applyNumberFormat="1" applyFont="1" applyBorder="1" applyAlignment="1">
      <alignment horizontal="center" vertical="center"/>
    </xf>
    <xf numFmtId="0" fontId="72" fillId="0" borderId="75" xfId="0" applyFont="1" applyBorder="1" applyAlignment="1">
      <alignment vertical="center"/>
    </xf>
    <xf numFmtId="0" fontId="129" fillId="0" borderId="67" xfId="0" applyFont="1" applyBorder="1" applyAlignment="1">
      <alignment vertical="center"/>
    </xf>
    <xf numFmtId="0" fontId="129" fillId="0" borderId="67" xfId="0" applyFont="1" applyBorder="1" applyAlignment="1">
      <alignment horizontal="center" vertical="center"/>
    </xf>
    <xf numFmtId="177" fontId="72" fillId="18" borderId="74" xfId="0" applyNumberFormat="1" applyFont="1" applyFill="1" applyBorder="1" applyAlignment="1">
      <alignment horizontal="center" vertical="center"/>
    </xf>
    <xf numFmtId="0" fontId="50" fillId="0" borderId="76" xfId="0" applyFont="1" applyBorder="1" applyAlignment="1">
      <alignment vertical="center"/>
    </xf>
    <xf numFmtId="0" fontId="59" fillId="0" borderId="77" xfId="0" applyFont="1" applyBorder="1" applyAlignment="1">
      <alignment vertical="center"/>
    </xf>
    <xf numFmtId="0" fontId="49" fillId="0" borderId="78" xfId="0" applyFont="1" applyBorder="1" applyAlignment="1">
      <alignment vertical="center"/>
    </xf>
    <xf numFmtId="0" fontId="49" fillId="0" borderId="79" xfId="0" applyFont="1" applyBorder="1" applyAlignment="1">
      <alignment vertical="center"/>
    </xf>
    <xf numFmtId="0" fontId="129" fillId="0" borderId="79" xfId="0" applyFont="1" applyBorder="1" applyAlignment="1">
      <alignment vertical="center"/>
    </xf>
    <xf numFmtId="0" fontId="49" fillId="0" borderId="80" xfId="0" applyFont="1" applyBorder="1" applyAlignment="1">
      <alignment vertical="center"/>
    </xf>
    <xf numFmtId="0" fontId="49" fillId="0" borderId="81" xfId="0" applyFont="1" applyBorder="1" applyAlignment="1">
      <alignment vertical="center"/>
    </xf>
    <xf numFmtId="0" fontId="129" fillId="0" borderId="81" xfId="0" applyFont="1" applyBorder="1" applyAlignment="1">
      <alignment vertical="center"/>
    </xf>
    <xf numFmtId="0" fontId="172" fillId="31" borderId="82" xfId="0" applyFont="1" applyFill="1" applyBorder="1" applyAlignment="1">
      <alignment horizontal="center" vertical="center"/>
    </xf>
    <xf numFmtId="0" fontId="172" fillId="31" borderId="83" xfId="0" applyFont="1" applyFill="1" applyBorder="1" applyAlignment="1">
      <alignment horizontal="center" vertical="center"/>
    </xf>
    <xf numFmtId="0" fontId="71" fillId="35" borderId="84" xfId="0" applyFont="1" applyFill="1" applyBorder="1" applyAlignment="1">
      <alignment horizontal="center" vertical="center"/>
    </xf>
    <xf numFmtId="0" fontId="71" fillId="35" borderId="85" xfId="0" applyFont="1" applyFill="1" applyBorder="1" applyAlignment="1">
      <alignment horizontal="center" vertical="center"/>
    </xf>
    <xf numFmtId="0" fontId="71" fillId="35" borderId="86" xfId="0" applyFont="1" applyFill="1" applyBorder="1" applyAlignment="1">
      <alignment horizontal="center" vertical="center"/>
    </xf>
    <xf numFmtId="0" fontId="71" fillId="35" borderId="87" xfId="0" applyFont="1" applyFill="1" applyBorder="1" applyAlignment="1">
      <alignment horizontal="center" vertical="center"/>
    </xf>
    <xf numFmtId="0" fontId="71" fillId="35" borderId="88" xfId="0" applyFont="1" applyFill="1" applyBorder="1" applyAlignment="1">
      <alignment horizontal="center" vertical="center"/>
    </xf>
    <xf numFmtId="0" fontId="71" fillId="35" borderId="89" xfId="0" applyFont="1" applyFill="1" applyBorder="1" applyAlignment="1">
      <alignment horizontal="center" vertical="center"/>
    </xf>
    <xf numFmtId="0" fontId="71" fillId="35" borderId="90" xfId="0" applyFont="1" applyFill="1" applyBorder="1" applyAlignment="1">
      <alignment horizontal="center" vertical="center"/>
    </xf>
    <xf numFmtId="0" fontId="71" fillId="35" borderId="91" xfId="0" applyFont="1" applyFill="1" applyBorder="1" applyAlignment="1">
      <alignment horizontal="center" vertical="center"/>
    </xf>
    <xf numFmtId="0" fontId="71" fillId="35" borderId="92" xfId="0" applyFont="1" applyFill="1" applyBorder="1" applyAlignment="1">
      <alignment horizontal="center" vertical="center"/>
    </xf>
    <xf numFmtId="0" fontId="0" fillId="14" borderId="23" xfId="0" applyFill="1" applyBorder="1" applyAlignment="1">
      <alignment vertical="center"/>
    </xf>
    <xf numFmtId="0" fontId="8" fillId="14" borderId="23" xfId="0" applyFont="1" applyFill="1" applyBorder="1" applyAlignment="1">
      <alignment vertical="center"/>
    </xf>
    <xf numFmtId="0" fontId="182" fillId="14" borderId="23" xfId="0" applyFont="1" applyFill="1" applyBorder="1" applyAlignment="1">
      <alignment vertical="center"/>
    </xf>
    <xf numFmtId="0" fontId="176" fillId="14" borderId="23" xfId="0" applyFont="1" applyFill="1" applyBorder="1" applyAlignment="1">
      <alignment vertical="center"/>
    </xf>
    <xf numFmtId="0" fontId="9" fillId="14" borderId="23" xfId="0" applyFont="1" applyFill="1" applyBorder="1" applyAlignment="1">
      <alignment vertical="center"/>
    </xf>
    <xf numFmtId="0" fontId="71" fillId="14" borderId="23" xfId="0" applyFont="1" applyFill="1" applyBorder="1" applyAlignment="1">
      <alignment horizontal="center" vertical="center"/>
    </xf>
    <xf numFmtId="168" fontId="8" fillId="0" borderId="23" xfId="0" applyNumberFormat="1" applyFont="1" applyBorder="1" applyAlignment="1">
      <alignment horizontal="center" vertical="center"/>
    </xf>
    <xf numFmtId="168" fontId="182" fillId="0" borderId="23" xfId="0" applyNumberFormat="1" applyFont="1" applyBorder="1" applyAlignment="1">
      <alignment horizontal="center" vertical="center"/>
    </xf>
    <xf numFmtId="0" fontId="129" fillId="14" borderId="23" xfId="0" applyFont="1" applyFill="1" applyBorder="1" applyAlignment="1">
      <alignment horizontal="center" vertical="center"/>
    </xf>
    <xf numFmtId="0" fontId="130" fillId="14" borderId="23" xfId="0" applyFont="1" applyFill="1" applyBorder="1" applyAlignment="1">
      <alignment horizontal="center" vertical="center"/>
    </xf>
    <xf numFmtId="1" fontId="129" fillId="14" borderId="23" xfId="0" applyNumberFormat="1" applyFont="1" applyFill="1" applyBorder="1" applyAlignment="1">
      <alignment horizontal="center" vertical="center"/>
    </xf>
    <xf numFmtId="164" fontId="129" fillId="14" borderId="23" xfId="0" applyNumberFormat="1" applyFont="1" applyFill="1" applyBorder="1" applyAlignment="1">
      <alignment horizontal="center" vertical="center"/>
    </xf>
    <xf numFmtId="164" fontId="71" fillId="14" borderId="23" xfId="0" applyNumberFormat="1" applyFont="1" applyFill="1" applyBorder="1" applyAlignment="1">
      <alignment horizontal="center" vertical="center"/>
    </xf>
    <xf numFmtId="166" fontId="129" fillId="14" borderId="23" xfId="0" applyNumberFormat="1" applyFont="1" applyFill="1" applyBorder="1" applyAlignment="1">
      <alignment horizontal="center" vertical="center"/>
    </xf>
    <xf numFmtId="164" fontId="147" fillId="14" borderId="23" xfId="0" applyNumberFormat="1" applyFont="1" applyFill="1" applyBorder="1" applyAlignment="1">
      <alignment horizontal="center" vertical="center"/>
    </xf>
    <xf numFmtId="3" fontId="176" fillId="0" borderId="23" xfId="0" applyNumberFormat="1" applyFont="1" applyBorder="1" applyAlignment="1">
      <alignment horizontal="center" vertical="center"/>
    </xf>
    <xf numFmtId="1" fontId="9" fillId="0" borderId="23" xfId="0" applyNumberFormat="1" applyFont="1" applyBorder="1" applyAlignment="1">
      <alignment vertical="center"/>
    </xf>
    <xf numFmtId="0" fontId="182" fillId="0" borderId="23" xfId="0" applyFont="1" applyBorder="1" applyAlignment="1">
      <alignment vertical="center"/>
    </xf>
    <xf numFmtId="0" fontId="129" fillId="0" borderId="34" xfId="0" applyFont="1" applyBorder="1" applyAlignment="1">
      <alignment horizontal="left" vertical="center"/>
    </xf>
    <xf numFmtId="0" fontId="129" fillId="0" borderId="34" xfId="0" applyFont="1" applyBorder="1" applyAlignment="1">
      <alignment horizontal="center" vertical="center"/>
    </xf>
    <xf numFmtId="3" fontId="129" fillId="0" borderId="34" xfId="0" applyNumberFormat="1" applyFont="1" applyBorder="1" applyAlignment="1">
      <alignment horizontal="center" vertical="center"/>
    </xf>
    <xf numFmtId="0" fontId="130" fillId="0" borderId="57" xfId="0" applyFont="1" applyBorder="1" applyAlignment="1">
      <alignment vertical="center"/>
    </xf>
    <xf numFmtId="0" fontId="107" fillId="0" borderId="57" xfId="0" applyFont="1" applyBorder="1" applyAlignment="1">
      <alignment horizontal="left" vertical="center"/>
    </xf>
    <xf numFmtId="0" fontId="129" fillId="0" borderId="57" xfId="0" applyFont="1" applyBorder="1" applyAlignment="1">
      <alignment horizontal="left" vertical="center"/>
    </xf>
    <xf numFmtId="0" fontId="147" fillId="31" borderId="57" xfId="0" applyFont="1" applyFill="1" applyBorder="1" applyAlignment="1">
      <alignment horizontal="right" vertical="center"/>
    </xf>
    <xf numFmtId="0" fontId="71" fillId="31" borderId="57" xfId="0" applyFont="1" applyFill="1" applyBorder="1" applyAlignment="1">
      <alignment horizontal="left" vertical="center"/>
    </xf>
    <xf numFmtId="0" fontId="71" fillId="31" borderId="58" xfId="0" applyFont="1" applyFill="1" applyBorder="1" applyAlignment="1">
      <alignment horizontal="left" vertical="center"/>
    </xf>
    <xf numFmtId="0" fontId="129" fillId="0" borderId="59" xfId="0" applyFont="1" applyBorder="1" applyAlignment="1">
      <alignment vertical="center"/>
    </xf>
    <xf numFmtId="166" fontId="129" fillId="0" borderId="60" xfId="0" applyNumberFormat="1" applyFont="1" applyBorder="1" applyAlignment="1">
      <alignment horizontal="center" vertical="center"/>
    </xf>
    <xf numFmtId="0" fontId="72" fillId="0" borderId="59" xfId="0" applyFont="1" applyBorder="1" applyAlignment="1">
      <alignment vertical="center"/>
    </xf>
    <xf numFmtId="9" fontId="129" fillId="0" borderId="59" xfId="0" applyNumberFormat="1" applyFont="1" applyBorder="1" applyAlignment="1">
      <alignment vertical="center"/>
    </xf>
    <xf numFmtId="9" fontId="129" fillId="0" borderId="60" xfId="0" applyNumberFormat="1" applyFont="1" applyBorder="1" applyAlignment="1">
      <alignment horizontal="center" vertical="center"/>
    </xf>
    <xf numFmtId="0" fontId="71" fillId="0" borderId="59" xfId="0" applyFont="1" applyBorder="1" applyAlignment="1">
      <alignment vertical="center"/>
    </xf>
    <xf numFmtId="164" fontId="71" fillId="0" borderId="60" xfId="0" applyNumberFormat="1" applyFont="1" applyBorder="1" applyAlignment="1">
      <alignment horizontal="center" vertical="center"/>
    </xf>
    <xf numFmtId="164" fontId="129" fillId="0" borderId="60" xfId="0" applyNumberFormat="1" applyFont="1" applyBorder="1" applyAlignment="1">
      <alignment horizontal="center" vertical="center"/>
    </xf>
    <xf numFmtId="0" fontId="129" fillId="0" borderId="60" xfId="0" applyFont="1" applyBorder="1" applyAlignment="1">
      <alignment horizontal="center" vertical="center"/>
    </xf>
    <xf numFmtId="164" fontId="147" fillId="0" borderId="60" xfId="0" applyNumberFormat="1" applyFont="1" applyBorder="1" applyAlignment="1">
      <alignment horizontal="center" vertical="center"/>
    </xf>
    <xf numFmtId="0" fontId="147" fillId="0" borderId="59" xfId="0" applyFont="1" applyBorder="1" applyAlignment="1">
      <alignment vertical="center"/>
    </xf>
    <xf numFmtId="0" fontId="147" fillId="0" borderId="60" xfId="0" applyFont="1" applyBorder="1" applyAlignment="1">
      <alignment vertical="center"/>
    </xf>
    <xf numFmtId="0" fontId="71" fillId="0" borderId="60" xfId="0" applyFont="1" applyBorder="1" applyAlignment="1">
      <alignment vertical="center"/>
    </xf>
    <xf numFmtId="0" fontId="71" fillId="0" borderId="61" xfId="0" applyFont="1" applyBorder="1" applyAlignment="1">
      <alignment vertical="center"/>
    </xf>
    <xf numFmtId="177" fontId="71" fillId="0" borderId="62" xfId="0" applyNumberFormat="1" applyFont="1" applyBorder="1" applyAlignment="1">
      <alignment horizontal="center" vertical="center"/>
    </xf>
    <xf numFmtId="0" fontId="71" fillId="0" borderId="63" xfId="0" applyFont="1" applyBorder="1" applyAlignment="1">
      <alignment vertical="center"/>
    </xf>
    <xf numFmtId="0" fontId="130" fillId="0" borderId="59" xfId="0" applyFont="1" applyBorder="1" applyAlignment="1">
      <alignment horizontal="center" vertical="center"/>
    </xf>
    <xf numFmtId="0" fontId="71" fillId="0" borderId="59" xfId="0" applyFont="1" applyBorder="1" applyAlignment="1">
      <alignment horizontal="center" vertical="center"/>
    </xf>
    <xf numFmtId="0" fontId="71" fillId="0" borderId="60" xfId="0" applyFont="1" applyBorder="1" applyAlignment="1">
      <alignment horizontal="center" vertical="center"/>
    </xf>
    <xf numFmtId="0" fontId="130" fillId="0" borderId="60" xfId="0" applyFont="1" applyBorder="1" applyAlignment="1">
      <alignment horizontal="center" vertical="center"/>
    </xf>
    <xf numFmtId="1" fontId="129" fillId="0" borderId="60" xfId="0" applyNumberFormat="1" applyFont="1" applyBorder="1" applyAlignment="1">
      <alignment horizontal="center" vertical="center"/>
    </xf>
    <xf numFmtId="0" fontId="129" fillId="0" borderId="59" xfId="0" applyFont="1" applyBorder="1" applyAlignment="1">
      <alignment horizontal="center" vertical="center"/>
    </xf>
    <xf numFmtId="1" fontId="129" fillId="0" borderId="59" xfId="0" applyNumberFormat="1" applyFont="1" applyBorder="1" applyAlignment="1">
      <alignment horizontal="center" vertical="center"/>
    </xf>
    <xf numFmtId="0" fontId="130" fillId="0" borderId="60" xfId="0" applyFont="1" applyBorder="1" applyAlignment="1">
      <alignment vertical="center"/>
    </xf>
    <xf numFmtId="0" fontId="72" fillId="0" borderId="60" xfId="0" applyFont="1" applyBorder="1" applyAlignment="1">
      <alignment vertical="center"/>
    </xf>
    <xf numFmtId="0" fontId="52" fillId="0" borderId="60" xfId="0" applyFont="1" applyBorder="1" applyAlignment="1">
      <alignment vertical="center"/>
    </xf>
    <xf numFmtId="177" fontId="71" fillId="18" borderId="62" xfId="0" applyNumberFormat="1" applyFont="1" applyFill="1" applyBorder="1" applyAlignment="1">
      <alignment horizontal="center" vertical="center"/>
    </xf>
    <xf numFmtId="3" fontId="147" fillId="0" borderId="48" xfId="0" applyNumberFormat="1" applyFont="1" applyBorder="1" applyAlignment="1">
      <alignment horizontal="center" vertical="center"/>
    </xf>
    <xf numFmtId="164" fontId="147" fillId="0" borderId="69" xfId="0" applyNumberFormat="1" applyFont="1" applyBorder="1" applyAlignment="1">
      <alignment horizontal="center" vertical="center"/>
    </xf>
    <xf numFmtId="164" fontId="147" fillId="0" borderId="67" xfId="0" applyNumberFormat="1" applyFont="1" applyBorder="1" applyAlignment="1">
      <alignment horizontal="center" vertical="center"/>
    </xf>
    <xf numFmtId="3" fontId="147" fillId="18" borderId="30" xfId="0" applyNumberFormat="1" applyFont="1" applyFill="1" applyBorder="1" applyAlignment="1">
      <alignment horizontal="center" vertical="center"/>
    </xf>
    <xf numFmtId="0" fontId="147" fillId="0" borderId="67" xfId="0" applyFont="1" applyBorder="1" applyAlignment="1">
      <alignment vertical="center"/>
    </xf>
    <xf numFmtId="178" fontId="147" fillId="0" borderId="48" xfId="0" applyNumberFormat="1" applyFont="1" applyBorder="1" applyAlignment="1">
      <alignment horizontal="center" vertical="center"/>
    </xf>
    <xf numFmtId="0" fontId="147" fillId="0" borderId="69" xfId="0" applyFont="1" applyBorder="1" applyAlignment="1">
      <alignment vertical="center"/>
    </xf>
    <xf numFmtId="0" fontId="147" fillId="0" borderId="66" xfId="0" applyFont="1" applyBorder="1" applyAlignment="1">
      <alignment vertical="center"/>
    </xf>
    <xf numFmtId="166" fontId="72" fillId="0" borderId="61" xfId="0" applyNumberFormat="1" applyFont="1" applyBorder="1" applyAlignment="1">
      <alignment horizontal="center" vertical="center"/>
    </xf>
    <xf numFmtId="0" fontId="52" fillId="0" borderId="63" xfId="0" applyFont="1" applyBorder="1" applyAlignment="1">
      <alignment horizontal="center" vertical="center"/>
    </xf>
    <xf numFmtId="9" fontId="72" fillId="0" borderId="61" xfId="0" applyNumberFormat="1" applyFont="1" applyBorder="1" applyAlignment="1">
      <alignment horizontal="center" vertical="center"/>
    </xf>
    <xf numFmtId="0" fontId="147" fillId="0" borderId="23" xfId="0" applyFont="1" applyBorder="1" applyAlignment="1">
      <alignment horizontal="center" vertical="center"/>
    </xf>
    <xf numFmtId="0" fontId="147" fillId="0" borderId="0" xfId="0" applyFont="1" applyAlignment="1">
      <alignment horizontal="center" vertical="center"/>
    </xf>
    <xf numFmtId="0" fontId="26" fillId="35" borderId="87" xfId="0" applyFont="1" applyFill="1" applyBorder="1" applyAlignment="1">
      <alignment horizontal="center" vertical="center"/>
    </xf>
    <xf numFmtId="0" fontId="26" fillId="35" borderId="88" xfId="0" applyFont="1" applyFill="1" applyBorder="1" applyAlignment="1">
      <alignment horizontal="center" vertical="center"/>
    </xf>
    <xf numFmtId="0" fontId="26" fillId="35" borderId="89" xfId="0" applyFont="1" applyFill="1" applyBorder="1" applyAlignment="1">
      <alignment horizontal="center" vertical="center"/>
    </xf>
    <xf numFmtId="0" fontId="26" fillId="35" borderId="90" xfId="0" applyFont="1" applyFill="1" applyBorder="1" applyAlignment="1">
      <alignment horizontal="center" vertical="center"/>
    </xf>
    <xf numFmtId="0" fontId="26" fillId="35" borderId="91" xfId="0" applyFont="1" applyFill="1" applyBorder="1" applyAlignment="1">
      <alignment horizontal="center" vertical="center"/>
    </xf>
    <xf numFmtId="0" fontId="26" fillId="35" borderId="92" xfId="0" applyFont="1" applyFill="1" applyBorder="1" applyAlignment="1">
      <alignment horizontal="center" vertical="center"/>
    </xf>
    <xf numFmtId="0" fontId="49" fillId="0" borderId="23" xfId="0" applyFont="1" applyBorder="1" applyAlignment="1">
      <alignment vertical="center"/>
    </xf>
    <xf numFmtId="0" fontId="50" fillId="0" borderId="78" xfId="0" applyFont="1" applyBorder="1" applyAlignment="1">
      <alignment vertical="center"/>
    </xf>
    <xf numFmtId="0" fontId="130" fillId="0" borderId="79" xfId="0" applyFont="1" applyBorder="1" applyAlignment="1">
      <alignment vertical="center"/>
    </xf>
    <xf numFmtId="0" fontId="175" fillId="34" borderId="61" xfId="0" applyFont="1" applyFill="1" applyBorder="1" applyAlignment="1">
      <alignment horizontal="center" vertical="center"/>
    </xf>
    <xf numFmtId="0" fontId="77" fillId="34" borderId="62" xfId="0" applyFont="1" applyFill="1" applyBorder="1" applyAlignment="1">
      <alignment horizontal="center" vertical="center"/>
    </xf>
    <xf numFmtId="0" fontId="175" fillId="34" borderId="62" xfId="0" applyFont="1" applyFill="1" applyBorder="1" applyAlignment="1">
      <alignment horizontal="center" vertical="center"/>
    </xf>
    <xf numFmtId="0" fontId="147" fillId="14" borderId="97" xfId="0" applyFont="1" applyFill="1" applyBorder="1" applyAlignment="1">
      <alignment vertical="center"/>
    </xf>
    <xf numFmtId="0" fontId="175" fillId="34" borderId="63" xfId="0" applyFont="1" applyFill="1" applyBorder="1" applyAlignment="1">
      <alignment horizontal="center" vertical="center"/>
    </xf>
    <xf numFmtId="0" fontId="176" fillId="0" borderId="23" xfId="0" applyFont="1" applyBorder="1" applyAlignment="1">
      <alignment vertical="center"/>
    </xf>
    <xf numFmtId="0" fontId="130" fillId="0" borderId="41" xfId="0" applyFont="1" applyBorder="1" applyAlignment="1">
      <alignment vertical="center"/>
    </xf>
    <xf numFmtId="0" fontId="129" fillId="0" borderId="44" xfId="0" applyFont="1" applyBorder="1" applyAlignment="1">
      <alignment vertical="center"/>
    </xf>
    <xf numFmtId="0" fontId="147" fillId="0" borderId="78" xfId="0" applyFont="1" applyBorder="1" applyAlignment="1">
      <alignment vertical="center"/>
    </xf>
    <xf numFmtId="0" fontId="147" fillId="0" borderId="79" xfId="0" applyFont="1" applyBorder="1" applyAlignment="1">
      <alignment vertical="center"/>
    </xf>
    <xf numFmtId="9" fontId="72" fillId="0" borderId="59" xfId="0" applyNumberFormat="1" applyFont="1" applyBorder="1" applyAlignment="1">
      <alignment horizontal="center" vertical="center"/>
    </xf>
    <xf numFmtId="165" fontId="72" fillId="0" borderId="59" xfId="0" applyNumberFormat="1" applyFont="1" applyBorder="1" applyAlignment="1">
      <alignment horizontal="center" vertical="center"/>
    </xf>
    <xf numFmtId="167" fontId="72" fillId="0" borderId="59" xfId="0" applyNumberFormat="1" applyFont="1" applyBorder="1" applyAlignment="1">
      <alignment horizontal="center" vertical="center"/>
    </xf>
    <xf numFmtId="0" fontId="72" fillId="0" borderId="59" xfId="0" applyFont="1" applyBorder="1" applyAlignment="1">
      <alignment horizontal="center" vertical="center"/>
    </xf>
    <xf numFmtId="9" fontId="49" fillId="0" borderId="59" xfId="0" applyNumberFormat="1" applyFont="1" applyBorder="1" applyAlignment="1">
      <alignment horizontal="center" vertical="center"/>
    </xf>
    <xf numFmtId="164" fontId="49" fillId="0" borderId="59" xfId="0" applyNumberFormat="1" applyFont="1" applyBorder="1" applyAlignment="1">
      <alignment horizontal="center" vertical="center"/>
    </xf>
    <xf numFmtId="164" fontId="72" fillId="0" borderId="59" xfId="0" applyNumberFormat="1" applyFont="1" applyBorder="1" applyAlignment="1">
      <alignment horizontal="center" vertical="center"/>
    </xf>
    <xf numFmtId="166" fontId="49" fillId="0" borderId="59" xfId="0" applyNumberFormat="1" applyFont="1" applyBorder="1" applyAlignment="1">
      <alignment horizontal="center" vertical="center"/>
    </xf>
    <xf numFmtId="0" fontId="49" fillId="0" borderId="59" xfId="0" applyFont="1" applyBorder="1" applyAlignment="1">
      <alignment horizontal="center" vertical="center"/>
    </xf>
    <xf numFmtId="0" fontId="52" fillId="0" borderId="59" xfId="0" applyFont="1" applyBorder="1" applyAlignment="1">
      <alignment vertical="center"/>
    </xf>
    <xf numFmtId="0" fontId="129" fillId="0" borderId="76" xfId="0" applyFont="1" applyBorder="1" applyAlignment="1">
      <alignment horizontal="right" vertical="center"/>
    </xf>
    <xf numFmtId="0" fontId="147" fillId="31" borderId="98" xfId="0" applyFont="1" applyFill="1" applyBorder="1" applyAlignment="1">
      <alignment horizontal="center" vertical="center"/>
    </xf>
    <xf numFmtId="0" fontId="182" fillId="14" borderId="23" xfId="0" applyFont="1" applyFill="1" applyBorder="1" applyAlignment="1">
      <alignment horizontal="center" vertical="center"/>
    </xf>
    <xf numFmtId="0" fontId="147" fillId="30" borderId="93" xfId="0" applyFont="1" applyFill="1" applyBorder="1" applyAlignment="1">
      <alignment horizontal="center" vertical="center"/>
    </xf>
    <xf numFmtId="0" fontId="175" fillId="14" borderId="0" xfId="0" applyFont="1" applyFill="1" applyAlignment="1">
      <alignment vertical="center"/>
    </xf>
    <xf numFmtId="0" fontId="147" fillId="18" borderId="93" xfId="0" applyFont="1" applyFill="1" applyBorder="1" applyAlignment="1">
      <alignment horizontal="center" vertical="center"/>
    </xf>
    <xf numFmtId="0" fontId="147" fillId="42" borderId="0" xfId="0" applyFont="1" applyFill="1" applyAlignment="1">
      <alignment horizontal="center" vertical="center"/>
    </xf>
    <xf numFmtId="0" fontId="147" fillId="18" borderId="0" xfId="0" applyFont="1" applyFill="1" applyAlignment="1">
      <alignment horizontal="center" vertical="center"/>
    </xf>
    <xf numFmtId="0" fontId="182" fillId="0" borderId="0" xfId="0" applyFont="1"/>
    <xf numFmtId="0" fontId="72" fillId="0" borderId="102" xfId="0" applyFont="1" applyBorder="1"/>
    <xf numFmtId="0" fontId="72" fillId="0" borderId="103" xfId="0" applyFont="1" applyBorder="1"/>
    <xf numFmtId="0" fontId="72" fillId="0" borderId="104" xfId="0" applyFont="1" applyBorder="1"/>
    <xf numFmtId="0" fontId="72" fillId="0" borderId="105" xfId="0" applyFont="1" applyBorder="1"/>
    <xf numFmtId="0" fontId="77" fillId="36" borderId="106" xfId="0" applyFont="1" applyFill="1" applyBorder="1" applyAlignment="1">
      <alignment horizontal="left" vertical="center"/>
    </xf>
    <xf numFmtId="0" fontId="147" fillId="30" borderId="107" xfId="0" applyFont="1" applyFill="1" applyBorder="1" applyAlignment="1">
      <alignment horizontal="center" vertical="center"/>
    </xf>
    <xf numFmtId="0" fontId="182" fillId="0" borderId="0" xfId="0" applyFont="1" applyAlignment="1">
      <alignment horizontal="center" vertical="center"/>
    </xf>
    <xf numFmtId="0" fontId="172" fillId="14" borderId="0" xfId="0" applyFont="1" applyFill="1" applyAlignment="1">
      <alignment horizontal="center" vertical="center"/>
    </xf>
    <xf numFmtId="0" fontId="172" fillId="0" borderId="0" xfId="0" applyFont="1" applyAlignment="1">
      <alignment horizontal="center" vertical="center"/>
    </xf>
    <xf numFmtId="0" fontId="180" fillId="0" borderId="0" xfId="0" applyFont="1" applyAlignment="1">
      <alignment horizontal="center"/>
    </xf>
    <xf numFmtId="9" fontId="52" fillId="0" borderId="63" xfId="1" applyFont="1" applyBorder="1" applyAlignment="1">
      <alignment horizontal="center" vertical="center"/>
    </xf>
    <xf numFmtId="0" fontId="184" fillId="36" borderId="52" xfId="0" applyFont="1" applyFill="1" applyBorder="1" applyAlignment="1">
      <alignment horizontal="left" vertical="center"/>
    </xf>
    <xf numFmtId="3" fontId="184" fillId="0" borderId="49" xfId="0" applyNumberFormat="1" applyFont="1" applyBorder="1" applyAlignment="1">
      <alignment horizontal="center" vertical="center"/>
    </xf>
    <xf numFmtId="0" fontId="71" fillId="16" borderId="49" xfId="0" applyFont="1" applyFill="1" applyBorder="1" applyAlignment="1">
      <alignment horizontal="right" vertical="center"/>
    </xf>
    <xf numFmtId="0" fontId="182" fillId="39" borderId="0" xfId="0" applyFont="1" applyFill="1" applyAlignment="1">
      <alignment vertical="center"/>
    </xf>
    <xf numFmtId="0" fontId="27" fillId="39" borderId="0" xfId="0" applyFont="1" applyFill="1" applyAlignment="1">
      <alignment vertical="center"/>
    </xf>
    <xf numFmtId="0" fontId="176" fillId="39" borderId="0" xfId="0" applyFont="1" applyFill="1" applyAlignment="1">
      <alignment vertical="center"/>
    </xf>
    <xf numFmtId="2" fontId="131" fillId="0" borderId="49" xfId="0" applyNumberFormat="1" applyFont="1" applyBorder="1" applyAlignment="1">
      <alignment horizontal="center" vertical="center"/>
    </xf>
    <xf numFmtId="167" fontId="182" fillId="0" borderId="0" xfId="0" applyNumberFormat="1" applyFont="1" applyAlignment="1">
      <alignment horizontal="center" vertical="center"/>
    </xf>
    <xf numFmtId="0" fontId="176" fillId="0" borderId="0" xfId="0" applyFont="1" applyAlignment="1">
      <alignment horizontal="center" vertical="center"/>
    </xf>
    <xf numFmtId="9" fontId="176" fillId="0" borderId="0" xfId="0" applyNumberFormat="1" applyFont="1" applyAlignment="1">
      <alignment horizontal="center" vertical="center"/>
    </xf>
    <xf numFmtId="0" fontId="38" fillId="6" borderId="23" xfId="0" applyFont="1" applyFill="1" applyBorder="1" applyAlignment="1">
      <alignment horizontal="center" vertical="center"/>
    </xf>
    <xf numFmtId="165" fontId="38" fillId="6" borderId="23" xfId="0" applyNumberFormat="1" applyFont="1" applyFill="1" applyBorder="1" applyAlignment="1">
      <alignment horizontal="center" vertical="center"/>
    </xf>
    <xf numFmtId="0" fontId="186" fillId="0" borderId="0" xfId="0" applyFont="1"/>
    <xf numFmtId="0" fontId="186" fillId="0" borderId="0" xfId="0" applyFont="1" applyAlignment="1">
      <alignment vertical="center"/>
    </xf>
    <xf numFmtId="3" fontId="187" fillId="18" borderId="30" xfId="0" applyNumberFormat="1" applyFont="1" applyFill="1" applyBorder="1" applyAlignment="1">
      <alignment horizontal="center" vertical="center"/>
    </xf>
    <xf numFmtId="0" fontId="187" fillId="0" borderId="0" xfId="0" applyFont="1" applyAlignment="1">
      <alignment horizontal="center" vertical="center"/>
    </xf>
    <xf numFmtId="0" fontId="187" fillId="0" borderId="0" xfId="0" applyFont="1" applyAlignment="1">
      <alignment vertical="center"/>
    </xf>
    <xf numFmtId="0" fontId="189" fillId="0" borderId="0" xfId="0" applyFont="1"/>
    <xf numFmtId="178" fontId="187" fillId="18" borderId="30" xfId="0" applyNumberFormat="1" applyFont="1" applyFill="1" applyBorder="1" applyAlignment="1">
      <alignment horizontal="center" vertical="center"/>
    </xf>
    <xf numFmtId="0" fontId="189" fillId="14" borderId="0" xfId="0" applyFont="1" applyFill="1" applyAlignment="1">
      <alignment vertical="center"/>
    </xf>
    <xf numFmtId="9" fontId="189" fillId="0" borderId="0" xfId="0" applyNumberFormat="1" applyFont="1" applyAlignment="1">
      <alignment horizontal="center" vertical="center"/>
    </xf>
    <xf numFmtId="0" fontId="189" fillId="0" borderId="0" xfId="0" applyFont="1" applyAlignment="1">
      <alignment vertical="center"/>
    </xf>
    <xf numFmtId="0" fontId="189" fillId="9" borderId="5" xfId="0" applyFont="1" applyFill="1" applyBorder="1" applyAlignment="1">
      <alignment horizontal="left" vertical="center"/>
    </xf>
    <xf numFmtId="0" fontId="189" fillId="9" borderId="5" xfId="0" applyFont="1" applyFill="1" applyBorder="1" applyAlignment="1">
      <alignment horizontal="center" vertical="center"/>
    </xf>
    <xf numFmtId="0" fontId="186" fillId="0" borderId="0" xfId="0" applyFont="1" applyAlignment="1">
      <alignment horizontal="center" vertical="center"/>
    </xf>
    <xf numFmtId="0" fontId="189" fillId="0" borderId="0" xfId="0" applyFont="1" applyAlignment="1">
      <alignment horizontal="center" vertical="center"/>
    </xf>
    <xf numFmtId="3" fontId="182" fillId="9" borderId="5" xfId="0" applyNumberFormat="1" applyFont="1" applyFill="1" applyBorder="1" applyAlignment="1">
      <alignment horizontal="center" vertical="center"/>
    </xf>
    <xf numFmtId="1" fontId="182" fillId="9" borderId="5" xfId="0" applyNumberFormat="1" applyFont="1" applyFill="1" applyBorder="1" applyAlignment="1">
      <alignment horizontal="center" vertical="center"/>
    </xf>
    <xf numFmtId="178" fontId="186" fillId="18" borderId="30" xfId="0" applyNumberFormat="1" applyFont="1" applyFill="1" applyBorder="1" applyAlignment="1">
      <alignment horizontal="center" vertical="center"/>
    </xf>
    <xf numFmtId="0" fontId="90" fillId="14" borderId="0" xfId="0" applyFont="1" applyFill="1" applyAlignment="1">
      <alignment vertical="center"/>
    </xf>
    <xf numFmtId="9" fontId="71" fillId="0" borderId="60" xfId="1" applyFont="1" applyBorder="1" applyAlignment="1">
      <alignment horizontal="center" vertical="center"/>
    </xf>
    <xf numFmtId="9" fontId="72" fillId="0" borderId="60" xfId="1" applyFont="1" applyBorder="1" applyAlignment="1">
      <alignment vertical="center"/>
    </xf>
    <xf numFmtId="0" fontId="39" fillId="14" borderId="23" xfId="0" applyFont="1" applyFill="1" applyBorder="1" applyAlignment="1">
      <alignment vertical="center"/>
    </xf>
    <xf numFmtId="0" fontId="187" fillId="14" borderId="23" xfId="0" applyFont="1" applyFill="1" applyBorder="1" applyAlignment="1">
      <alignment vertical="center"/>
    </xf>
    <xf numFmtId="0" fontId="186" fillId="14" borderId="23" xfId="0" applyFont="1" applyFill="1" applyBorder="1" applyAlignment="1">
      <alignment vertical="center"/>
    </xf>
    <xf numFmtId="164" fontId="39" fillId="14" borderId="23" xfId="0" applyNumberFormat="1" applyFont="1" applyFill="1" applyBorder="1" applyAlignment="1">
      <alignment horizontal="center" vertical="center"/>
    </xf>
    <xf numFmtId="164" fontId="38" fillId="14" borderId="23" xfId="0" applyNumberFormat="1" applyFont="1" applyFill="1" applyBorder="1" applyAlignment="1">
      <alignment horizontal="center" vertical="center"/>
    </xf>
    <xf numFmtId="0" fontId="39" fillId="14" borderId="23" xfId="0" applyFont="1" applyFill="1" applyBorder="1" applyAlignment="1">
      <alignment horizontal="center" vertical="center"/>
    </xf>
    <xf numFmtId="164" fontId="187" fillId="14" borderId="23" xfId="0" applyNumberFormat="1" applyFont="1" applyFill="1" applyBorder="1" applyAlignment="1">
      <alignment horizontal="center" vertical="center"/>
    </xf>
    <xf numFmtId="0" fontId="39" fillId="6" borderId="23" xfId="0" applyFont="1" applyFill="1" applyBorder="1" applyAlignment="1">
      <alignment horizontal="center" vertical="center"/>
    </xf>
    <xf numFmtId="0" fontId="39" fillId="0" borderId="23" xfId="0" applyFont="1" applyBorder="1" applyAlignment="1">
      <alignment horizontal="center" vertical="center"/>
    </xf>
    <xf numFmtId="0" fontId="187" fillId="0" borderId="23" xfId="0" applyFont="1" applyBorder="1" applyAlignment="1">
      <alignment horizontal="center" vertical="center"/>
    </xf>
    <xf numFmtId="0" fontId="186" fillId="0" borderId="23" xfId="0" applyFont="1" applyBorder="1" applyAlignment="1">
      <alignment horizontal="center" vertical="center"/>
    </xf>
    <xf numFmtId="0" fontId="40" fillId="0" borderId="57" xfId="0" applyFont="1" applyBorder="1" applyAlignment="1">
      <alignment horizontal="left" vertical="center"/>
    </xf>
    <xf numFmtId="0" fontId="38" fillId="0" borderId="57" xfId="0" applyFont="1" applyBorder="1" applyAlignment="1">
      <alignment horizontal="left" vertical="center"/>
    </xf>
    <xf numFmtId="0" fontId="188" fillId="31" borderId="57" xfId="0" applyFont="1" applyFill="1" applyBorder="1" applyAlignment="1">
      <alignment horizontal="right" vertical="center"/>
    </xf>
    <xf numFmtId="0" fontId="183" fillId="31" borderId="57" xfId="0" applyFont="1" applyFill="1" applyBorder="1" applyAlignment="1">
      <alignment horizontal="left" vertical="center"/>
    </xf>
    <xf numFmtId="0" fontId="183" fillId="31" borderId="58" xfId="0" applyFont="1" applyFill="1" applyBorder="1" applyAlignment="1">
      <alignment horizontal="left" vertical="center"/>
    </xf>
    <xf numFmtId="0" fontId="47" fillId="0" borderId="59" xfId="0" applyFont="1" applyBorder="1" applyAlignment="1">
      <alignment horizontal="center" vertical="center"/>
    </xf>
    <xf numFmtId="9" fontId="47" fillId="0" borderId="60" xfId="0" applyNumberFormat="1" applyFont="1" applyBorder="1" applyAlignment="1">
      <alignment horizontal="center" vertical="center"/>
    </xf>
    <xf numFmtId="166" fontId="47" fillId="0" borderId="59" xfId="0" applyNumberFormat="1" applyFont="1" applyBorder="1" applyAlignment="1">
      <alignment horizontal="center" vertical="center"/>
    </xf>
    <xf numFmtId="166" fontId="47" fillId="0" borderId="60" xfId="0" applyNumberFormat="1" applyFont="1" applyBorder="1" applyAlignment="1">
      <alignment horizontal="center" vertical="center"/>
    </xf>
    <xf numFmtId="3" fontId="47" fillId="0" borderId="59" xfId="0" applyNumberFormat="1" applyFont="1" applyBorder="1" applyAlignment="1">
      <alignment horizontal="center" vertical="center"/>
    </xf>
    <xf numFmtId="3" fontId="47" fillId="0" borderId="60" xfId="0" applyNumberFormat="1" applyFont="1" applyBorder="1" applyAlignment="1">
      <alignment horizontal="center" vertical="center"/>
    </xf>
    <xf numFmtId="168" fontId="47" fillId="0" borderId="60" xfId="0" applyNumberFormat="1" applyFont="1" applyBorder="1" applyAlignment="1">
      <alignment horizontal="center" vertical="center"/>
    </xf>
    <xf numFmtId="9" fontId="47" fillId="0" borderId="59" xfId="0" applyNumberFormat="1" applyFont="1" applyBorder="1" applyAlignment="1">
      <alignment horizontal="center" vertical="center"/>
    </xf>
    <xf numFmtId="0" fontId="47" fillId="0" borderId="60" xfId="0" applyFont="1" applyBorder="1" applyAlignment="1">
      <alignment horizontal="center" vertical="center"/>
    </xf>
    <xf numFmtId="165" fontId="47" fillId="0" borderId="59" xfId="0" applyNumberFormat="1" applyFont="1" applyBorder="1" applyAlignment="1">
      <alignment horizontal="center" vertical="center"/>
    </xf>
    <xf numFmtId="164" fontId="47" fillId="0" borderId="60" xfId="0" applyNumberFormat="1" applyFont="1" applyBorder="1" applyAlignment="1">
      <alignment horizontal="center" vertical="center"/>
    </xf>
    <xf numFmtId="9" fontId="47" fillId="0" borderId="60" xfId="1" applyFont="1" applyBorder="1" applyAlignment="1">
      <alignment horizontal="center" vertical="center"/>
    </xf>
    <xf numFmtId="9" fontId="27" fillId="0" borderId="60" xfId="0" applyNumberFormat="1" applyFont="1" applyBorder="1" applyAlignment="1">
      <alignment horizontal="center" vertical="center"/>
    </xf>
    <xf numFmtId="0" fontId="176" fillId="0" borderId="59" xfId="0" applyFont="1" applyBorder="1" applyAlignment="1">
      <alignment horizontal="center" vertical="center"/>
    </xf>
    <xf numFmtId="0" fontId="176" fillId="0" borderId="60" xfId="0" applyFont="1" applyBorder="1" applyAlignment="1">
      <alignment horizontal="center" vertical="center"/>
    </xf>
    <xf numFmtId="0" fontId="186" fillId="0" borderId="59" xfId="0" applyFont="1" applyBorder="1" applyAlignment="1">
      <alignment vertical="center"/>
    </xf>
    <xf numFmtId="0" fontId="186" fillId="0" borderId="60" xfId="0" applyFont="1" applyBorder="1" applyAlignment="1">
      <alignment vertical="center"/>
    </xf>
    <xf numFmtId="0" fontId="186" fillId="0" borderId="61" xfId="0" applyFont="1" applyBorder="1" applyAlignment="1">
      <alignment vertical="center"/>
    </xf>
    <xf numFmtId="177" fontId="186" fillId="18" borderId="62" xfId="0" applyNumberFormat="1" applyFont="1" applyFill="1" applyBorder="1" applyAlignment="1">
      <alignment horizontal="center" vertical="center"/>
    </xf>
    <xf numFmtId="0" fontId="186" fillId="0" borderId="63" xfId="0" applyFont="1" applyBorder="1" applyAlignment="1">
      <alignment vertical="center"/>
    </xf>
    <xf numFmtId="164" fontId="47" fillId="0" borderId="59" xfId="0" applyNumberFormat="1" applyFont="1" applyBorder="1" applyAlignment="1">
      <alignment horizontal="center" vertical="center"/>
    </xf>
    <xf numFmtId="9" fontId="47" fillId="0" borderId="59" xfId="1" applyFont="1" applyBorder="1" applyAlignment="1">
      <alignment horizontal="center" vertical="center"/>
    </xf>
    <xf numFmtId="3" fontId="182" fillId="0" borderId="30" xfId="0" applyNumberFormat="1" applyFont="1" applyBorder="1" applyAlignment="1">
      <alignment horizontal="center"/>
    </xf>
    <xf numFmtId="178" fontId="182" fillId="0" borderId="30" xfId="0" applyNumberFormat="1" applyFont="1" applyBorder="1" applyAlignment="1">
      <alignment horizontal="center" vertical="center"/>
    </xf>
    <xf numFmtId="178" fontId="27" fillId="0" borderId="30" xfId="0" applyNumberFormat="1" applyFont="1" applyBorder="1" applyAlignment="1">
      <alignment horizontal="center" vertical="center"/>
    </xf>
    <xf numFmtId="0" fontId="176" fillId="14" borderId="23" xfId="0" applyFont="1" applyFill="1" applyBorder="1"/>
    <xf numFmtId="0" fontId="9" fillId="14" borderId="23" xfId="0" applyFont="1" applyFill="1" applyBorder="1"/>
    <xf numFmtId="0" fontId="182" fillId="14" borderId="23" xfId="0" applyFont="1" applyFill="1" applyBorder="1"/>
    <xf numFmtId="0" fontId="27" fillId="14" borderId="23" xfId="0" applyFont="1" applyFill="1" applyBorder="1"/>
    <xf numFmtId="0" fontId="38" fillId="14" borderId="23" xfId="0" applyFont="1" applyFill="1" applyBorder="1"/>
    <xf numFmtId="0" fontId="39" fillId="14" borderId="23" xfId="0" applyFont="1" applyFill="1" applyBorder="1"/>
    <xf numFmtId="0" fontId="39" fillId="14" borderId="23" xfId="0" applyFont="1" applyFill="1" applyBorder="1" applyAlignment="1">
      <alignment horizontal="center"/>
    </xf>
    <xf numFmtId="164" fontId="38" fillId="14" borderId="23" xfId="0" applyNumberFormat="1" applyFont="1" applyFill="1" applyBorder="1" applyAlignment="1">
      <alignment horizontal="center"/>
    </xf>
    <xf numFmtId="0" fontId="38" fillId="14" borderId="23" xfId="0" applyFont="1" applyFill="1" applyBorder="1" applyAlignment="1">
      <alignment horizontal="center"/>
    </xf>
    <xf numFmtId="164" fontId="39" fillId="14" borderId="23" xfId="0" applyNumberFormat="1" applyFont="1" applyFill="1" applyBorder="1" applyAlignment="1">
      <alignment horizontal="center"/>
    </xf>
    <xf numFmtId="164" fontId="182" fillId="14" borderId="23" xfId="0" applyNumberFormat="1" applyFont="1" applyFill="1" applyBorder="1" applyAlignment="1">
      <alignment horizontal="center"/>
    </xf>
    <xf numFmtId="0" fontId="176" fillId="0" borderId="23" xfId="0" applyFont="1" applyBorder="1"/>
    <xf numFmtId="0" fontId="0" fillId="0" borderId="23" xfId="0" applyBorder="1"/>
    <xf numFmtId="0" fontId="9" fillId="0" borderId="23" xfId="0" applyFont="1" applyBorder="1"/>
    <xf numFmtId="0" fontId="182" fillId="0" borderId="23" xfId="0" applyFont="1" applyBorder="1"/>
    <xf numFmtId="0" fontId="27" fillId="0" borderId="23" xfId="0" applyFont="1" applyBorder="1"/>
    <xf numFmtId="0" fontId="40" fillId="0" borderId="57" xfId="0" applyFont="1" applyBorder="1" applyAlignment="1">
      <alignment horizontal="left"/>
    </xf>
    <xf numFmtId="0" fontId="147" fillId="31" borderId="57" xfId="0" applyFont="1" applyFill="1" applyBorder="1" applyAlignment="1">
      <alignment horizontal="right"/>
    </xf>
    <xf numFmtId="0" fontId="38" fillId="0" borderId="59" xfId="0" applyFont="1" applyBorder="1"/>
    <xf numFmtId="0" fontId="38" fillId="0" borderId="60" xfId="0" applyFont="1" applyBorder="1"/>
    <xf numFmtId="3" fontId="38" fillId="0" borderId="59" xfId="0" applyNumberFormat="1" applyFont="1" applyBorder="1" applyAlignment="1">
      <alignment horizontal="center"/>
    </xf>
    <xf numFmtId="3" fontId="38" fillId="0" borderId="60" xfId="0" applyNumberFormat="1" applyFont="1" applyBorder="1" applyAlignment="1">
      <alignment horizontal="center"/>
    </xf>
    <xf numFmtId="0" fontId="182" fillId="0" borderId="59" xfId="0" applyFont="1" applyBorder="1"/>
    <xf numFmtId="164" fontId="182" fillId="0" borderId="60" xfId="0" applyNumberFormat="1" applyFont="1" applyBorder="1" applyAlignment="1">
      <alignment horizontal="center"/>
    </xf>
    <xf numFmtId="9" fontId="27" fillId="0" borderId="59" xfId="0" applyNumberFormat="1" applyFont="1" applyBorder="1" applyAlignment="1">
      <alignment horizontal="center"/>
    </xf>
    <xf numFmtId="0" fontId="182" fillId="0" borderId="60" xfId="0" applyFont="1" applyBorder="1"/>
    <xf numFmtId="0" fontId="27" fillId="0" borderId="59" xfId="0" applyFont="1" applyBorder="1" applyAlignment="1">
      <alignment vertical="center"/>
    </xf>
    <xf numFmtId="0" fontId="27" fillId="0" borderId="60" xfId="0" applyFont="1" applyBorder="1" applyAlignment="1">
      <alignment vertical="center"/>
    </xf>
    <xf numFmtId="0" fontId="27" fillId="0" borderId="61" xfId="0" applyFont="1" applyBorder="1" applyAlignment="1">
      <alignment vertical="center"/>
    </xf>
    <xf numFmtId="178" fontId="27" fillId="0" borderId="62" xfId="0" applyNumberFormat="1" applyFont="1" applyBorder="1" applyAlignment="1">
      <alignment horizontal="center" vertical="center"/>
    </xf>
    <xf numFmtId="0" fontId="27" fillId="0" borderId="63" xfId="0" applyFont="1" applyBorder="1" applyAlignment="1">
      <alignment vertical="center"/>
    </xf>
    <xf numFmtId="164" fontId="182" fillId="0" borderId="59" xfId="0" applyNumberFormat="1" applyFont="1" applyBorder="1" applyAlignment="1">
      <alignment horizontal="center"/>
    </xf>
    <xf numFmtId="0" fontId="38" fillId="0" borderId="108" xfId="0" applyFont="1" applyBorder="1"/>
    <xf numFmtId="3" fontId="38" fillId="0" borderId="109" xfId="0" applyNumberFormat="1" applyFont="1" applyBorder="1" applyAlignment="1">
      <alignment horizontal="center"/>
    </xf>
    <xf numFmtId="0" fontId="182" fillId="0" borderId="109" xfId="0" applyFont="1" applyBorder="1"/>
    <xf numFmtId="0" fontId="27" fillId="0" borderId="109" xfId="0" applyFont="1" applyBorder="1"/>
    <xf numFmtId="0" fontId="27" fillId="0" borderId="63" xfId="0" applyFont="1" applyBorder="1"/>
    <xf numFmtId="0" fontId="38" fillId="0" borderId="76" xfId="0" applyFont="1" applyBorder="1" applyAlignment="1">
      <alignment horizontal="right"/>
    </xf>
    <xf numFmtId="0" fontId="38" fillId="0" borderId="78" xfId="0" applyFont="1" applyBorder="1"/>
    <xf numFmtId="0" fontId="38" fillId="0" borderId="34" xfId="0" applyFont="1" applyBorder="1"/>
    <xf numFmtId="0" fontId="38" fillId="0" borderId="79" xfId="0" applyFont="1" applyBorder="1"/>
    <xf numFmtId="0" fontId="38" fillId="0" borderId="110" xfId="0" applyFont="1" applyBorder="1"/>
    <xf numFmtId="0" fontId="162" fillId="31" borderId="98" xfId="0" applyFont="1" applyFill="1" applyBorder="1" applyAlignment="1">
      <alignment horizontal="center" vertical="center"/>
    </xf>
    <xf numFmtId="168" fontId="0" fillId="0" borderId="23" xfId="0" applyNumberFormat="1" applyBorder="1" applyAlignment="1">
      <alignment horizontal="center" vertical="center"/>
    </xf>
    <xf numFmtId="3" fontId="0" fillId="0" borderId="23" xfId="0" applyNumberFormat="1" applyBorder="1" applyAlignment="1">
      <alignment horizontal="center" vertical="center"/>
    </xf>
    <xf numFmtId="179" fontId="0" fillId="0" borderId="23" xfId="0" applyNumberFormat="1" applyBorder="1" applyAlignment="1">
      <alignment horizontal="center"/>
    </xf>
    <xf numFmtId="177" fontId="0" fillId="0" borderId="23" xfId="0" applyNumberFormat="1" applyBorder="1" applyAlignment="1">
      <alignment horizontal="center"/>
    </xf>
    <xf numFmtId="0" fontId="38" fillId="0" borderId="44" xfId="0" applyFont="1" applyBorder="1" applyAlignment="1">
      <alignment horizontal="right"/>
    </xf>
    <xf numFmtId="0" fontId="38" fillId="0" borderId="44" xfId="0" applyFont="1" applyBorder="1"/>
    <xf numFmtId="0" fontId="38" fillId="0" borderId="41" xfId="0" applyFont="1" applyBorder="1"/>
    <xf numFmtId="0" fontId="167" fillId="31" borderId="56" xfId="0" applyFont="1" applyFill="1" applyBorder="1" applyAlignment="1">
      <alignment horizontal="center" vertical="center"/>
    </xf>
    <xf numFmtId="0" fontId="39" fillId="0" borderId="57" xfId="0" applyFont="1" applyBorder="1" applyAlignment="1">
      <alignment horizontal="left" vertical="center"/>
    </xf>
    <xf numFmtId="0" fontId="121" fillId="0" borderId="57" xfId="0" applyFont="1" applyBorder="1" applyAlignment="1">
      <alignment horizontal="left" vertical="center"/>
    </xf>
    <xf numFmtId="0" fontId="172" fillId="16" borderId="57" xfId="0" applyFont="1" applyFill="1" applyBorder="1" applyAlignment="1">
      <alignment horizontal="right" vertical="center"/>
    </xf>
    <xf numFmtId="0" fontId="107" fillId="0" borderId="58" xfId="0" applyFont="1" applyBorder="1" applyAlignment="1">
      <alignment horizontal="left" vertical="center"/>
    </xf>
    <xf numFmtId="0" fontId="38" fillId="0" borderId="59" xfId="0" applyFont="1" applyBorder="1" applyAlignment="1">
      <alignment vertical="center"/>
    </xf>
    <xf numFmtId="0" fontId="38" fillId="0" borderId="60" xfId="0" applyFont="1" applyBorder="1" applyAlignment="1">
      <alignment vertical="center"/>
    </xf>
    <xf numFmtId="167" fontId="39" fillId="0" borderId="59" xfId="0" applyNumberFormat="1" applyFont="1" applyBorder="1" applyAlignment="1">
      <alignment horizontal="center" vertical="center"/>
    </xf>
    <xf numFmtId="168" fontId="39" fillId="0" borderId="60" xfId="0" applyNumberFormat="1" applyFont="1" applyBorder="1" applyAlignment="1">
      <alignment horizontal="center" vertical="center"/>
    </xf>
    <xf numFmtId="4" fontId="39" fillId="0" borderId="59" xfId="0" applyNumberFormat="1" applyFont="1" applyBorder="1" applyAlignment="1">
      <alignment horizontal="center" vertical="center"/>
    </xf>
    <xf numFmtId="4" fontId="39" fillId="0" borderId="60" xfId="0" applyNumberFormat="1" applyFont="1" applyBorder="1" applyAlignment="1">
      <alignment horizontal="center" vertical="center"/>
    </xf>
    <xf numFmtId="0" fontId="39" fillId="0" borderId="60" xfId="0" applyFont="1" applyBorder="1" applyAlignment="1">
      <alignment horizontal="center" vertical="center"/>
    </xf>
    <xf numFmtId="0" fontId="38" fillId="0" borderId="59" xfId="0" applyFont="1" applyBorder="1" applyAlignment="1">
      <alignment horizontal="center" vertical="center"/>
    </xf>
    <xf numFmtId="0" fontId="38" fillId="0" borderId="60" xfId="0" applyFont="1" applyBorder="1" applyAlignment="1">
      <alignment horizontal="center" vertical="center"/>
    </xf>
    <xf numFmtId="167" fontId="39" fillId="0" borderId="61" xfId="0" applyNumberFormat="1" applyFont="1" applyBorder="1" applyAlignment="1">
      <alignment horizontal="center" vertical="center"/>
    </xf>
    <xf numFmtId="167" fontId="39" fillId="0" borderId="62" xfId="0" applyNumberFormat="1" applyFont="1" applyBorder="1" applyAlignment="1">
      <alignment horizontal="center" vertical="center"/>
    </xf>
    <xf numFmtId="168" fontId="39" fillId="0" borderId="63" xfId="0" applyNumberFormat="1" applyFont="1" applyBorder="1" applyAlignment="1">
      <alignment horizontal="center" vertical="center"/>
    </xf>
    <xf numFmtId="0" fontId="38" fillId="0" borderId="108" xfId="0" applyFont="1" applyBorder="1" applyAlignment="1">
      <alignment vertical="center"/>
    </xf>
    <xf numFmtId="168" fontId="39" fillId="0" borderId="108" xfId="0" applyNumberFormat="1" applyFont="1" applyBorder="1" applyAlignment="1">
      <alignment horizontal="center" vertical="center"/>
    </xf>
    <xf numFmtId="4" fontId="39" fillId="0" borderId="108" xfId="0" applyNumberFormat="1" applyFont="1" applyBorder="1" applyAlignment="1">
      <alignment horizontal="center" vertical="center"/>
    </xf>
    <xf numFmtId="168" fontId="39" fillId="0" borderId="111" xfId="0" applyNumberFormat="1" applyFont="1" applyBorder="1" applyAlignment="1">
      <alignment horizontal="center" vertical="center"/>
    </xf>
    <xf numFmtId="0" fontId="172" fillId="14" borderId="23" xfId="0" applyFont="1" applyFill="1" applyBorder="1"/>
    <xf numFmtId="0" fontId="172" fillId="14" borderId="23" xfId="0" applyFont="1" applyFill="1" applyBorder="1" applyAlignment="1">
      <alignment vertical="center"/>
    </xf>
    <xf numFmtId="0" fontId="172" fillId="0" borderId="59" xfId="0" applyFont="1" applyBorder="1" applyAlignment="1">
      <alignment horizontal="center" vertical="center"/>
    </xf>
    <xf numFmtId="167" fontId="172" fillId="0" borderId="30" xfId="0" applyNumberFormat="1" applyFont="1" applyBorder="1" applyAlignment="1">
      <alignment horizontal="center" vertical="center"/>
    </xf>
    <xf numFmtId="0" fontId="172" fillId="0" borderId="60" xfId="0" applyFont="1" applyBorder="1" applyAlignment="1">
      <alignment horizontal="center" vertical="center"/>
    </xf>
    <xf numFmtId="0" fontId="172" fillId="0" borderId="59" xfId="0" applyFont="1" applyBorder="1" applyAlignment="1">
      <alignment vertical="center"/>
    </xf>
    <xf numFmtId="0" fontId="172" fillId="0" borderId="60" xfId="0" applyFont="1" applyBorder="1" applyAlignment="1">
      <alignment vertical="center"/>
    </xf>
    <xf numFmtId="0" fontId="172" fillId="0" borderId="108" xfId="0" applyFont="1" applyBorder="1" applyAlignment="1">
      <alignment vertical="center"/>
    </xf>
    <xf numFmtId="168" fontId="172" fillId="0" borderId="23" xfId="0" applyNumberFormat="1" applyFont="1" applyBorder="1" applyAlignment="1">
      <alignment horizontal="center" vertical="center"/>
    </xf>
    <xf numFmtId="168" fontId="172" fillId="0" borderId="0" xfId="0" applyNumberFormat="1" applyFont="1" applyAlignment="1">
      <alignment horizontal="center" vertical="center"/>
    </xf>
    <xf numFmtId="0" fontId="172" fillId="0" borderId="0" xfId="0" applyFont="1"/>
    <xf numFmtId="0" fontId="180" fillId="0" borderId="0" xfId="0" applyFont="1"/>
    <xf numFmtId="0" fontId="63" fillId="0" borderId="59" xfId="0" applyFont="1" applyBorder="1" applyAlignment="1">
      <alignment horizontal="left" vertical="center"/>
    </xf>
    <xf numFmtId="0" fontId="121" fillId="0" borderId="114" xfId="0" applyFont="1" applyBorder="1" applyAlignment="1" applyProtection="1">
      <alignment horizontal="left" vertical="center"/>
      <protection locked="0"/>
    </xf>
    <xf numFmtId="9" fontId="40" fillId="0" borderId="23" xfId="0" applyNumberFormat="1" applyFont="1" applyBorder="1" applyAlignment="1" applyProtection="1">
      <alignment horizontal="center" vertical="center"/>
      <protection locked="0"/>
    </xf>
    <xf numFmtId="9" fontId="40" fillId="0" borderId="115" xfId="0" applyNumberFormat="1" applyFont="1" applyBorder="1" applyAlignment="1" applyProtection="1">
      <alignment horizontal="center" vertical="center"/>
      <protection locked="0"/>
    </xf>
    <xf numFmtId="0" fontId="40" fillId="0" borderId="23" xfId="0" applyFont="1" applyBorder="1" applyAlignment="1" applyProtection="1">
      <alignment vertical="center"/>
      <protection locked="0"/>
    </xf>
    <xf numFmtId="1" fontId="121" fillId="0" borderId="116" xfId="0" applyNumberFormat="1" applyFont="1" applyBorder="1" applyAlignment="1" applyProtection="1">
      <alignment horizontal="center" vertical="center"/>
      <protection locked="0"/>
    </xf>
    <xf numFmtId="164" fontId="121" fillId="0" borderId="116" xfId="0" applyNumberFormat="1" applyFont="1" applyBorder="1" applyAlignment="1" applyProtection="1">
      <alignment horizontal="center" vertical="center"/>
      <protection locked="0"/>
    </xf>
    <xf numFmtId="9" fontId="121" fillId="0" borderId="116" xfId="0" applyNumberFormat="1" applyFont="1" applyBorder="1" applyAlignment="1" applyProtection="1">
      <alignment horizontal="center" vertical="center"/>
      <protection locked="0"/>
    </xf>
    <xf numFmtId="10" fontId="194" fillId="0" borderId="132" xfId="0" applyNumberFormat="1" applyFont="1" applyBorder="1" applyAlignment="1" applyProtection="1">
      <alignment horizontal="center" vertical="center"/>
      <protection locked="0"/>
    </xf>
    <xf numFmtId="10" fontId="194" fillId="0" borderId="108" xfId="0" applyNumberFormat="1" applyFont="1" applyBorder="1" applyAlignment="1" applyProtection="1">
      <alignment horizontal="center" vertical="center"/>
      <protection locked="0"/>
    </xf>
    <xf numFmtId="0" fontId="194" fillId="0" borderId="132" xfId="0" applyFont="1" applyBorder="1" applyAlignment="1" applyProtection="1">
      <alignment horizontal="center" vertical="center"/>
      <protection locked="0"/>
    </xf>
    <xf numFmtId="0" fontId="194" fillId="0" borderId="108" xfId="0" applyFont="1" applyBorder="1" applyAlignment="1" applyProtection="1">
      <alignment horizontal="center" vertical="center"/>
      <protection locked="0"/>
    </xf>
    <xf numFmtId="10" fontId="194" fillId="0" borderId="133" xfId="0" applyNumberFormat="1" applyFont="1" applyBorder="1" applyAlignment="1" applyProtection="1">
      <alignment horizontal="center" vertical="center"/>
      <protection locked="0"/>
    </xf>
    <xf numFmtId="10" fontId="194" fillId="0" borderId="111" xfId="0" applyNumberFormat="1" applyFont="1" applyBorder="1" applyAlignment="1" applyProtection="1">
      <alignment horizontal="center" vertical="center"/>
      <protection locked="0"/>
    </xf>
    <xf numFmtId="0" fontId="40" fillId="0" borderId="23" xfId="0" applyFont="1" applyBorder="1" applyAlignment="1">
      <alignment vertical="center"/>
    </xf>
    <xf numFmtId="0" fontId="40" fillId="0" borderId="23" xfId="0" applyFont="1" applyBorder="1" applyAlignment="1">
      <alignment horizontal="center" vertical="center"/>
    </xf>
    <xf numFmtId="3" fontId="43" fillId="0" borderId="30" xfId="0" applyNumberFormat="1" applyFont="1" applyBorder="1" applyAlignment="1">
      <alignment horizontal="center" vertical="center"/>
    </xf>
    <xf numFmtId="0" fontId="197" fillId="0" borderId="124" xfId="0" applyFont="1" applyBorder="1" applyAlignment="1" applyProtection="1">
      <alignment vertical="center"/>
      <protection locked="0"/>
    </xf>
    <xf numFmtId="0" fontId="198" fillId="0" borderId="23" xfId="0" applyFont="1" applyBorder="1" applyAlignment="1" applyProtection="1">
      <alignment vertical="center"/>
      <protection locked="0"/>
    </xf>
    <xf numFmtId="0" fontId="198" fillId="0" borderId="23" xfId="0" applyFont="1" applyBorder="1" applyAlignment="1" applyProtection="1">
      <alignment horizontal="center" vertical="center"/>
      <protection locked="0"/>
    </xf>
    <xf numFmtId="0" fontId="198" fillId="0" borderId="0" xfId="0" applyFont="1" applyAlignment="1" applyProtection="1">
      <alignment vertical="center"/>
      <protection locked="0"/>
    </xf>
    <xf numFmtId="0" fontId="198" fillId="0" borderId="0" xfId="0" applyFont="1" applyAlignment="1">
      <alignment vertical="center"/>
    </xf>
    <xf numFmtId="0" fontId="61" fillId="29" borderId="113" xfId="0" applyFont="1" applyFill="1" applyBorder="1" applyAlignment="1">
      <alignment horizontal="center" vertical="center"/>
    </xf>
    <xf numFmtId="0" fontId="36" fillId="0" borderId="0" xfId="0" applyFont="1" applyAlignment="1">
      <alignment vertical="center"/>
    </xf>
    <xf numFmtId="0" fontId="36" fillId="0" borderId="0" xfId="0" applyFont="1" applyAlignment="1" applyProtection="1">
      <alignment vertical="center"/>
      <protection locked="0"/>
    </xf>
    <xf numFmtId="170" fontId="36" fillId="0" borderId="0" xfId="0" applyNumberFormat="1" applyFont="1" applyAlignment="1" applyProtection="1">
      <alignment vertical="center"/>
      <protection locked="0"/>
    </xf>
    <xf numFmtId="0" fontId="36" fillId="0" borderId="0" xfId="0" applyFont="1" applyAlignment="1" applyProtection="1">
      <alignment horizontal="center" vertical="center"/>
      <protection locked="0"/>
    </xf>
    <xf numFmtId="0" fontId="199" fillId="0" borderId="0" xfId="0" applyFont="1" applyAlignment="1">
      <alignment vertical="center"/>
    </xf>
    <xf numFmtId="0" fontId="199" fillId="0" borderId="0" xfId="0" applyFont="1" applyAlignment="1" applyProtection="1">
      <alignment vertical="center"/>
      <protection locked="0"/>
    </xf>
    <xf numFmtId="0" fontId="199" fillId="0" borderId="0" xfId="0" applyFont="1" applyAlignment="1" applyProtection="1">
      <alignment horizontal="center" vertical="center"/>
      <protection locked="0"/>
    </xf>
    <xf numFmtId="166" fontId="48" fillId="0" borderId="30" xfId="0" applyNumberFormat="1" applyFont="1" applyBorder="1" applyAlignment="1">
      <alignment horizontal="center" vertical="center"/>
    </xf>
    <xf numFmtId="0" fontId="159" fillId="51" borderId="0" xfId="0" applyFont="1" applyFill="1" applyAlignment="1">
      <alignment horizontal="left" vertical="center"/>
    </xf>
    <xf numFmtId="166" fontId="63" fillId="0" borderId="30" xfId="1" applyNumberFormat="1" applyFont="1" applyFill="1" applyBorder="1" applyAlignment="1">
      <alignment horizontal="center" vertical="center"/>
    </xf>
    <xf numFmtId="166" fontId="63" fillId="0" borderId="34" xfId="0" applyNumberFormat="1" applyFont="1" applyBorder="1" applyAlignment="1">
      <alignment horizontal="center" vertical="center" wrapText="1"/>
    </xf>
    <xf numFmtId="0" fontId="162" fillId="29" borderId="112" xfId="0" applyFont="1" applyFill="1" applyBorder="1" applyAlignment="1">
      <alignment horizontal="left" vertical="center"/>
    </xf>
    <xf numFmtId="0" fontId="162" fillId="29" borderId="116" xfId="0" applyFont="1" applyFill="1" applyBorder="1" applyAlignment="1">
      <alignment horizontal="center" vertical="center"/>
    </xf>
    <xf numFmtId="167" fontId="162" fillId="29" borderId="113" xfId="0" applyNumberFormat="1" applyFont="1" applyFill="1" applyBorder="1" applyAlignment="1">
      <alignment horizontal="center" vertical="center"/>
    </xf>
    <xf numFmtId="167" fontId="63" fillId="0" borderId="60" xfId="0" applyNumberFormat="1" applyFont="1" applyBorder="1" applyAlignment="1">
      <alignment horizontal="center" vertical="center"/>
    </xf>
    <xf numFmtId="0" fontId="43" fillId="0" borderId="59" xfId="0" applyFont="1" applyBorder="1" applyAlignment="1">
      <alignment vertical="center"/>
    </xf>
    <xf numFmtId="167" fontId="43" fillId="0" borderId="60" xfId="0" applyNumberFormat="1" applyFont="1" applyBorder="1" applyAlignment="1">
      <alignment horizontal="center" vertical="center"/>
    </xf>
    <xf numFmtId="0" fontId="43" fillId="0" borderId="61" xfId="0" applyFont="1" applyBorder="1" applyAlignment="1">
      <alignment vertical="center"/>
    </xf>
    <xf numFmtId="0" fontId="43" fillId="0" borderId="62" xfId="0" applyFont="1" applyBorder="1" applyAlignment="1">
      <alignment horizontal="center" vertical="center"/>
    </xf>
    <xf numFmtId="0" fontId="165" fillId="16" borderId="112" xfId="0" applyFont="1" applyFill="1" applyBorder="1" applyAlignment="1">
      <alignment horizontal="left" vertical="center"/>
    </xf>
    <xf numFmtId="0" fontId="165" fillId="29" borderId="116" xfId="0" applyFont="1" applyFill="1" applyBorder="1" applyAlignment="1">
      <alignment horizontal="center" vertical="center"/>
    </xf>
    <xf numFmtId="167" fontId="165" fillId="29" borderId="113" xfId="0" applyNumberFormat="1" applyFont="1" applyFill="1" applyBorder="1" applyAlignment="1">
      <alignment horizontal="center" vertical="center"/>
    </xf>
    <xf numFmtId="0" fontId="145" fillId="16" borderId="134" xfId="0" applyFont="1" applyFill="1" applyBorder="1" applyAlignment="1">
      <alignment horizontal="left" vertical="center"/>
    </xf>
    <xf numFmtId="167" fontId="165" fillId="29" borderId="135" xfId="0" applyNumberFormat="1" applyFont="1" applyFill="1" applyBorder="1" applyAlignment="1">
      <alignment horizontal="center" vertical="center"/>
    </xf>
    <xf numFmtId="0" fontId="162" fillId="29" borderId="112" xfId="0" applyFont="1" applyFill="1" applyBorder="1" applyAlignment="1">
      <alignment horizontal="center" vertical="center"/>
    </xf>
    <xf numFmtId="0" fontId="180" fillId="14" borderId="39" xfId="0" applyFont="1" applyFill="1" applyBorder="1" applyAlignment="1">
      <alignment vertical="center"/>
    </xf>
    <xf numFmtId="0" fontId="180" fillId="14" borderId="44" xfId="0" applyFont="1" applyFill="1" applyBorder="1" applyAlignment="1">
      <alignment vertical="center"/>
    </xf>
    <xf numFmtId="0" fontId="26" fillId="29" borderId="112" xfId="0" applyFont="1" applyFill="1" applyBorder="1" applyAlignment="1">
      <alignment horizontal="center" vertical="center"/>
    </xf>
    <xf numFmtId="0" fontId="8" fillId="29" borderId="116" xfId="0" applyFont="1" applyFill="1" applyBorder="1" applyAlignment="1">
      <alignment horizontal="center" vertical="center"/>
    </xf>
    <xf numFmtId="0" fontId="8" fillId="29" borderId="113" xfId="0" applyFont="1" applyFill="1" applyBorder="1" applyAlignment="1">
      <alignment horizontal="center" vertical="center"/>
    </xf>
    <xf numFmtId="0" fontId="43" fillId="0" borderId="59" xfId="0" applyFont="1" applyBorder="1" applyAlignment="1">
      <alignment horizontal="left" vertical="center"/>
    </xf>
    <xf numFmtId="169" fontId="47" fillId="0" borderId="60" xfId="0" applyNumberFormat="1" applyFont="1" applyBorder="1" applyAlignment="1">
      <alignment horizontal="center" vertical="center"/>
    </xf>
    <xf numFmtId="0" fontId="43" fillId="0" borderId="61" xfId="0" applyFont="1" applyBorder="1" applyAlignment="1">
      <alignment horizontal="left" vertical="center"/>
    </xf>
    <xf numFmtId="0" fontId="61" fillId="29" borderId="112" xfId="0" applyFont="1" applyFill="1" applyBorder="1" applyAlignment="1">
      <alignment horizontal="center" vertical="center"/>
    </xf>
    <xf numFmtId="0" fontId="61" fillId="29" borderId="116" xfId="0" applyFont="1" applyFill="1" applyBorder="1" applyAlignment="1">
      <alignment horizontal="center" vertical="center"/>
    </xf>
    <xf numFmtId="1" fontId="43" fillId="0" borderId="60" xfId="0" applyNumberFormat="1" applyFont="1" applyBorder="1" applyAlignment="1">
      <alignment horizontal="center" vertical="center"/>
    </xf>
    <xf numFmtId="0" fontId="61" fillId="41" borderId="112" xfId="0" applyFont="1" applyFill="1" applyBorder="1" applyAlignment="1">
      <alignment horizontal="center" vertical="center"/>
    </xf>
    <xf numFmtId="0" fontId="61" fillId="41" borderId="116" xfId="0" applyFont="1" applyFill="1" applyBorder="1" applyAlignment="1">
      <alignment horizontal="center" vertical="center"/>
    </xf>
    <xf numFmtId="0" fontId="61" fillId="41" borderId="113" xfId="0" applyFont="1" applyFill="1" applyBorder="1" applyAlignment="1">
      <alignment horizontal="center" vertical="center"/>
    </xf>
    <xf numFmtId="3" fontId="63" fillId="2" borderId="60" xfId="0" applyNumberFormat="1" applyFont="1" applyFill="1" applyBorder="1" applyAlignment="1" applyProtection="1">
      <alignment horizontal="center" vertical="center"/>
      <protection locked="0"/>
    </xf>
    <xf numFmtId="9" fontId="43" fillId="2" borderId="60" xfId="0" applyNumberFormat="1" applyFont="1" applyFill="1" applyBorder="1" applyAlignment="1" applyProtection="1">
      <alignment horizontal="center" vertical="center"/>
      <protection locked="0"/>
    </xf>
    <xf numFmtId="169" fontId="43" fillId="0" borderId="60" xfId="0" applyNumberFormat="1" applyFont="1" applyBorder="1" applyAlignment="1">
      <alignment horizontal="center" vertical="center"/>
    </xf>
    <xf numFmtId="169" fontId="43" fillId="0" borderId="63" xfId="0" applyNumberFormat="1" applyFont="1" applyBorder="1" applyAlignment="1">
      <alignment horizontal="center" vertical="center"/>
    </xf>
    <xf numFmtId="169" fontId="43" fillId="3" borderId="60" xfId="0" applyNumberFormat="1" applyFont="1" applyFill="1" applyBorder="1" applyAlignment="1">
      <alignment horizontal="center" vertical="center"/>
    </xf>
    <xf numFmtId="172" fontId="43" fillId="3" borderId="60" xfId="0" applyNumberFormat="1" applyFont="1" applyFill="1" applyBorder="1" applyAlignment="1">
      <alignment horizontal="center" vertical="center"/>
    </xf>
    <xf numFmtId="9" fontId="43" fillId="0" borderId="60" xfId="0" applyNumberFormat="1" applyFont="1" applyBorder="1" applyAlignment="1">
      <alignment horizontal="center" vertical="center"/>
    </xf>
    <xf numFmtId="3" fontId="43" fillId="0" borderId="62" xfId="0" applyNumberFormat="1" applyFont="1" applyBorder="1" applyAlignment="1">
      <alignment horizontal="center" vertical="center"/>
    </xf>
    <xf numFmtId="169" fontId="63" fillId="0" borderId="60" xfId="0" applyNumberFormat="1" applyFont="1" applyBorder="1" applyAlignment="1">
      <alignment horizontal="center" vertical="center"/>
    </xf>
    <xf numFmtId="169" fontId="43" fillId="0" borderId="60" xfId="0" applyNumberFormat="1" applyFont="1" applyBorder="1" applyAlignment="1">
      <alignment vertical="center"/>
    </xf>
    <xf numFmtId="2" fontId="48" fillId="16" borderId="61" xfId="0" applyNumberFormat="1" applyFont="1" applyFill="1" applyBorder="1" applyAlignment="1">
      <alignment horizontal="left" vertical="center"/>
    </xf>
    <xf numFmtId="168" fontId="48" fillId="16" borderId="62" xfId="0" applyNumberFormat="1" applyFont="1" applyFill="1" applyBorder="1" applyAlignment="1">
      <alignment horizontal="center" vertical="center"/>
    </xf>
    <xf numFmtId="169" fontId="48" fillId="16" borderId="63" xfId="0" applyNumberFormat="1" applyFont="1" applyFill="1" applyBorder="1" applyAlignment="1">
      <alignment horizontal="center" vertical="center"/>
    </xf>
    <xf numFmtId="0" fontId="47" fillId="0" borderId="62" xfId="0" applyFont="1" applyBorder="1" applyAlignment="1">
      <alignment horizontal="center" vertical="center"/>
    </xf>
    <xf numFmtId="170" fontId="43" fillId="0" borderId="60" xfId="0" applyNumberFormat="1" applyFont="1" applyBorder="1" applyAlignment="1">
      <alignment horizontal="center" vertical="center"/>
    </xf>
    <xf numFmtId="0" fontId="43" fillId="0" borderId="60" xfId="0" applyFont="1" applyBorder="1" applyAlignment="1">
      <alignment vertical="center"/>
    </xf>
    <xf numFmtId="0" fontId="63" fillId="19" borderId="59" xfId="0" applyFont="1" applyFill="1" applyBorder="1" applyAlignment="1">
      <alignment horizontal="left" vertical="center"/>
    </xf>
    <xf numFmtId="170" fontId="41" fillId="19" borderId="60" xfId="0" applyNumberFormat="1" applyFont="1" applyFill="1" applyBorder="1" applyAlignment="1">
      <alignment horizontal="center" vertical="center"/>
    </xf>
    <xf numFmtId="173" fontId="43" fillId="0" borderId="63" xfId="0" applyNumberFormat="1" applyFont="1" applyBorder="1" applyAlignment="1">
      <alignment horizontal="center" vertical="center"/>
    </xf>
    <xf numFmtId="1" fontId="116" fillId="0" borderId="60" xfId="0" applyNumberFormat="1" applyFont="1" applyBorder="1" applyAlignment="1">
      <alignment horizontal="center" vertical="center"/>
    </xf>
    <xf numFmtId="0" fontId="42" fillId="0" borderId="59" xfId="0" applyFont="1" applyBorder="1" applyAlignment="1">
      <alignment horizontal="left" vertical="center"/>
    </xf>
    <xf numFmtId="0" fontId="63" fillId="0" borderId="60" xfId="0" applyFont="1" applyBorder="1" applyAlignment="1">
      <alignment vertical="center"/>
    </xf>
    <xf numFmtId="169" fontId="63" fillId="0" borderId="60" xfId="0" applyNumberFormat="1" applyFont="1" applyBorder="1" applyAlignment="1">
      <alignment vertical="center"/>
    </xf>
    <xf numFmtId="0" fontId="114" fillId="0" borderId="59" xfId="0" applyFont="1" applyBorder="1" applyAlignment="1">
      <alignment horizontal="left" vertical="center"/>
    </xf>
    <xf numFmtId="0" fontId="144" fillId="0" borderId="59" xfId="0" applyFont="1" applyBorder="1" applyAlignment="1">
      <alignment horizontal="left" vertical="center"/>
    </xf>
    <xf numFmtId="170" fontId="144" fillId="0" borderId="60" xfId="0" applyNumberFormat="1" applyFont="1" applyBorder="1" applyAlignment="1">
      <alignment horizontal="center" vertical="center"/>
    </xf>
    <xf numFmtId="0" fontId="41" fillId="19" borderId="59" xfId="0" applyFont="1" applyFill="1" applyBorder="1" applyAlignment="1">
      <alignment vertical="center"/>
    </xf>
    <xf numFmtId="0" fontId="61" fillId="29" borderId="116" xfId="0" applyFont="1" applyFill="1" applyBorder="1" applyAlignment="1">
      <alignment horizontal="center" vertical="center" wrapText="1"/>
    </xf>
    <xf numFmtId="9" fontId="41" fillId="2" borderId="60" xfId="0" applyNumberFormat="1" applyFont="1" applyFill="1" applyBorder="1" applyAlignment="1" applyProtection="1">
      <alignment horizontal="center" vertical="center"/>
      <protection locked="0"/>
    </xf>
    <xf numFmtId="0" fontId="47" fillId="0" borderId="60" xfId="0" applyFont="1" applyBorder="1" applyAlignment="1">
      <alignment vertical="center"/>
    </xf>
    <xf numFmtId="0" fontId="41" fillId="0" borderId="60" xfId="0" applyFont="1" applyBorder="1" applyAlignment="1">
      <alignment vertical="center"/>
    </xf>
    <xf numFmtId="169" fontId="113" fillId="0" borderId="60" xfId="0" applyNumberFormat="1" applyFont="1" applyBorder="1" applyAlignment="1">
      <alignment vertical="center"/>
    </xf>
    <xf numFmtId="169" fontId="47" fillId="0" borderId="60" xfId="0" applyNumberFormat="1" applyFont="1" applyBorder="1" applyAlignment="1">
      <alignment vertical="center"/>
    </xf>
    <xf numFmtId="170" fontId="87" fillId="0" borderId="60" xfId="0" applyNumberFormat="1" applyFont="1" applyBorder="1" applyAlignment="1">
      <alignment vertical="center"/>
    </xf>
    <xf numFmtId="171" fontId="47" fillId="0" borderId="60" xfId="0" applyNumberFormat="1" applyFont="1" applyBorder="1" applyAlignment="1">
      <alignment vertical="center"/>
    </xf>
    <xf numFmtId="0" fontId="61" fillId="41" borderId="116" xfId="0" applyFont="1" applyFill="1" applyBorder="1" applyAlignment="1">
      <alignment horizontal="center" vertical="center" wrapText="1"/>
    </xf>
    <xf numFmtId="171" fontId="43" fillId="2" borderId="60" xfId="0" applyNumberFormat="1" applyFont="1" applyFill="1" applyBorder="1" applyAlignment="1" applyProtection="1">
      <alignment horizontal="center" vertical="center"/>
      <protection locked="0"/>
    </xf>
    <xf numFmtId="2" fontId="43" fillId="2" borderId="60" xfId="0" applyNumberFormat="1" applyFont="1" applyFill="1" applyBorder="1" applyAlignment="1" applyProtection="1">
      <alignment horizontal="center" vertical="center"/>
      <protection locked="0"/>
    </xf>
    <xf numFmtId="169" fontId="43" fillId="2" borderId="60" xfId="0" applyNumberFormat="1" applyFont="1" applyFill="1" applyBorder="1" applyAlignment="1" applyProtection="1">
      <alignment horizontal="center" vertical="center"/>
      <protection locked="0"/>
    </xf>
    <xf numFmtId="0" fontId="61" fillId="41" borderId="59" xfId="0" applyFont="1" applyFill="1" applyBorder="1" applyAlignment="1">
      <alignment horizontal="center" vertical="center"/>
    </xf>
    <xf numFmtId="0" fontId="61" fillId="41" borderId="60" xfId="0" applyFont="1" applyFill="1" applyBorder="1" applyAlignment="1" applyProtection="1">
      <alignment horizontal="center" vertical="center"/>
      <protection locked="0"/>
    </xf>
    <xf numFmtId="171" fontId="43" fillId="2" borderId="63" xfId="0" applyNumberFormat="1" applyFont="1" applyFill="1" applyBorder="1" applyAlignment="1" applyProtection="1">
      <alignment horizontal="center" vertical="center"/>
      <protection locked="0"/>
    </xf>
    <xf numFmtId="169" fontId="47" fillId="2" borderId="60" xfId="0" applyNumberFormat="1" applyFont="1" applyFill="1" applyBorder="1" applyAlignment="1" applyProtection="1">
      <alignment horizontal="center" vertical="center"/>
      <protection locked="0"/>
    </xf>
    <xf numFmtId="170" fontId="63" fillId="0" borderId="60" xfId="0" applyNumberFormat="1" applyFont="1" applyBorder="1" applyAlignment="1">
      <alignment horizontal="center" vertical="center"/>
    </xf>
    <xf numFmtId="0" fontId="71" fillId="46" borderId="153" xfId="0" applyFont="1" applyFill="1" applyBorder="1" applyAlignment="1">
      <alignment horizontal="right" vertical="center"/>
    </xf>
    <xf numFmtId="0" fontId="71" fillId="46" borderId="156" xfId="0" applyFont="1" applyFill="1" applyBorder="1" applyAlignment="1">
      <alignment horizontal="right" vertical="center"/>
    </xf>
    <xf numFmtId="171" fontId="47" fillId="0" borderId="63" xfId="0" applyNumberFormat="1" applyFont="1" applyBorder="1" applyAlignment="1">
      <alignment horizontal="center" vertical="center"/>
    </xf>
    <xf numFmtId="171" fontId="47" fillId="2" borderId="60" xfId="0" applyNumberFormat="1" applyFont="1" applyFill="1" applyBorder="1" applyAlignment="1" applyProtection="1">
      <alignment horizontal="center" vertical="center"/>
      <protection locked="0"/>
    </xf>
    <xf numFmtId="171" fontId="43" fillId="0" borderId="60" xfId="0" applyNumberFormat="1" applyFont="1" applyBorder="1" applyAlignment="1">
      <alignment horizontal="center" vertical="center"/>
    </xf>
    <xf numFmtId="171" fontId="43" fillId="0" borderId="63" xfId="0" applyNumberFormat="1" applyFont="1" applyBorder="1" applyAlignment="1">
      <alignment horizontal="center" vertical="center"/>
    </xf>
    <xf numFmtId="171" fontId="47" fillId="0" borderId="60" xfId="0" applyNumberFormat="1" applyFont="1" applyBorder="1" applyAlignment="1">
      <alignment horizontal="center" vertical="center"/>
    </xf>
    <xf numFmtId="166" fontId="43" fillId="11" borderId="151" xfId="1" applyNumberFormat="1" applyFont="1" applyFill="1" applyBorder="1" applyAlignment="1" applyProtection="1">
      <alignment horizontal="center" vertical="center"/>
      <protection locked="0"/>
    </xf>
    <xf numFmtId="0" fontId="47" fillId="11" borderId="30" xfId="0" applyFont="1" applyFill="1" applyBorder="1" applyAlignment="1" applyProtection="1">
      <alignment horizontal="center" vertical="center"/>
      <protection locked="0"/>
    </xf>
    <xf numFmtId="165" fontId="94" fillId="54" borderId="30" xfId="0" applyNumberFormat="1" applyFont="1" applyFill="1" applyBorder="1" applyAlignment="1" applyProtection="1">
      <alignment horizontal="center" vertical="center"/>
      <protection locked="0"/>
    </xf>
    <xf numFmtId="165" fontId="43" fillId="11" borderId="30" xfId="0" applyNumberFormat="1" applyFont="1" applyFill="1" applyBorder="1" applyAlignment="1" applyProtection="1">
      <alignment horizontal="center" vertical="center"/>
      <protection locked="0"/>
    </xf>
    <xf numFmtId="165" fontId="47" fillId="11" borderId="30" xfId="0" applyNumberFormat="1" applyFont="1" applyFill="1" applyBorder="1" applyAlignment="1" applyProtection="1">
      <alignment horizontal="center" vertical="center"/>
      <protection locked="0"/>
    </xf>
    <xf numFmtId="0" fontId="66" fillId="14" borderId="23" xfId="0" applyFont="1" applyFill="1" applyBorder="1" applyAlignment="1">
      <alignment vertical="center"/>
    </xf>
    <xf numFmtId="0" fontId="127" fillId="15" borderId="0" xfId="0" applyFont="1" applyFill="1" applyAlignment="1" applyProtection="1">
      <alignment horizontal="left" vertical="center"/>
      <protection locked="0"/>
    </xf>
    <xf numFmtId="0" fontId="56" fillId="15" borderId="0" xfId="0" applyFont="1" applyFill="1" applyAlignment="1" applyProtection="1">
      <alignment vertical="center"/>
      <protection locked="0"/>
    </xf>
    <xf numFmtId="0" fontId="56" fillId="0" borderId="23" xfId="0" applyFont="1" applyBorder="1" applyAlignment="1" applyProtection="1">
      <alignment vertical="center"/>
      <protection locked="0"/>
    </xf>
    <xf numFmtId="0" fontId="97" fillId="16" borderId="28" xfId="0" applyFont="1" applyFill="1" applyBorder="1" applyAlignment="1">
      <alignment horizontal="left" vertical="center"/>
    </xf>
    <xf numFmtId="9" fontId="49" fillId="0" borderId="23" xfId="1" applyFont="1" applyBorder="1" applyAlignment="1">
      <alignment vertical="center"/>
    </xf>
    <xf numFmtId="9" fontId="183" fillId="0" borderId="49" xfId="1" applyFont="1" applyBorder="1" applyAlignment="1">
      <alignment horizontal="center" vertical="center"/>
    </xf>
    <xf numFmtId="0" fontId="195" fillId="0" borderId="23" xfId="0" applyFont="1" applyBorder="1" applyAlignment="1">
      <alignment vertical="center"/>
    </xf>
    <xf numFmtId="0" fontId="214" fillId="0" borderId="23" xfId="0" applyFont="1" applyBorder="1" applyAlignment="1">
      <alignment horizontal="center"/>
    </xf>
    <xf numFmtId="0" fontId="215" fillId="0" borderId="23" xfId="0" applyFont="1" applyBorder="1" applyAlignment="1">
      <alignment horizontal="center"/>
    </xf>
    <xf numFmtId="0" fontId="196" fillId="0" borderId="23" xfId="0" applyFont="1" applyBorder="1" applyAlignment="1">
      <alignment vertical="center"/>
    </xf>
    <xf numFmtId="0" fontId="216" fillId="0" borderId="23" xfId="0" applyFont="1" applyBorder="1" applyAlignment="1">
      <alignment vertical="center"/>
    </xf>
    <xf numFmtId="0" fontId="196" fillId="0" borderId="23" xfId="0" applyFont="1" applyBorder="1"/>
    <xf numFmtId="0" fontId="217" fillId="0" borderId="23" xfId="0" applyFont="1" applyBorder="1" applyAlignment="1">
      <alignment vertical="center"/>
    </xf>
    <xf numFmtId="0" fontId="195" fillId="0" borderId="23" xfId="0" applyFont="1" applyBorder="1"/>
    <xf numFmtId="9" fontId="41" fillId="0" borderId="60" xfId="0" applyNumberFormat="1" applyFont="1" applyBorder="1" applyAlignment="1">
      <alignment horizontal="center" vertical="center"/>
    </xf>
    <xf numFmtId="0" fontId="40" fillId="0" borderId="117" xfId="0" applyFont="1" applyBorder="1" applyAlignment="1">
      <alignment vertical="center"/>
    </xf>
    <xf numFmtId="0" fontId="121" fillId="0" borderId="117" xfId="0" applyFont="1" applyBorder="1" applyAlignment="1">
      <alignment vertical="center"/>
    </xf>
    <xf numFmtId="0" fontId="121" fillId="0" borderId="23" xfId="0" applyFont="1" applyBorder="1" applyAlignment="1">
      <alignment vertical="center"/>
    </xf>
    <xf numFmtId="0" fontId="121" fillId="0" borderId="119" xfId="0" applyFont="1" applyBorder="1" applyAlignment="1">
      <alignment vertical="center"/>
    </xf>
    <xf numFmtId="0" fontId="40" fillId="0" borderId="23" xfId="0" applyFont="1" applyBorder="1" applyAlignment="1">
      <alignment vertical="center" wrapText="1"/>
    </xf>
    <xf numFmtId="0" fontId="0" fillId="0" borderId="115" xfId="0" applyBorder="1" applyAlignment="1">
      <alignment vertical="center"/>
    </xf>
    <xf numFmtId="0" fontId="61" fillId="29" borderId="127" xfId="0" applyFont="1" applyFill="1" applyBorder="1" applyAlignment="1">
      <alignment vertical="center"/>
    </xf>
    <xf numFmtId="0" fontId="61" fillId="29" borderId="126" xfId="0" applyFont="1" applyFill="1" applyBorder="1" applyAlignment="1">
      <alignment horizontal="center" vertical="center"/>
    </xf>
    <xf numFmtId="0" fontId="43" fillId="0" borderId="161" xfId="0" applyFont="1" applyBorder="1" applyAlignment="1">
      <alignment horizontal="left" vertical="center"/>
    </xf>
    <xf numFmtId="0" fontId="25" fillId="0" borderId="23" xfId="0" applyFont="1" applyBorder="1" applyAlignment="1">
      <alignment horizontal="right" vertical="center"/>
    </xf>
    <xf numFmtId="0" fontId="25" fillId="0" borderId="23" xfId="0" applyFont="1" applyBorder="1" applyAlignment="1">
      <alignment vertical="center"/>
    </xf>
    <xf numFmtId="0" fontId="37" fillId="0" borderId="0" xfId="0" applyFont="1" applyAlignment="1">
      <alignment horizontal="center"/>
    </xf>
    <xf numFmtId="0" fontId="25" fillId="0" borderId="0" xfId="0" applyFont="1"/>
    <xf numFmtId="0" fontId="32" fillId="0" borderId="0" xfId="0" applyFont="1"/>
    <xf numFmtId="1" fontId="32" fillId="0" borderId="23" xfId="0" applyNumberFormat="1" applyFont="1" applyBorder="1"/>
    <xf numFmtId="168" fontId="183" fillId="0" borderId="49" xfId="0" applyNumberFormat="1" applyFont="1" applyBorder="1" applyAlignment="1">
      <alignment horizontal="center" vertical="center"/>
    </xf>
    <xf numFmtId="166" fontId="48" fillId="0" borderId="34" xfId="0" applyNumberFormat="1" applyFont="1" applyBorder="1" applyAlignment="1">
      <alignment horizontal="center" vertical="center" wrapText="1"/>
    </xf>
    <xf numFmtId="0" fontId="80" fillId="16" borderId="23" xfId="0" applyFont="1" applyFill="1" applyBorder="1" applyAlignment="1">
      <alignment vertical="center"/>
    </xf>
    <xf numFmtId="0" fontId="97" fillId="16" borderId="23" xfId="0" applyFont="1" applyFill="1" applyBorder="1" applyAlignment="1">
      <alignment horizontal="left" vertical="center"/>
    </xf>
    <xf numFmtId="0" fontId="218" fillId="0" borderId="0" xfId="0" applyFont="1" applyAlignment="1">
      <alignment horizontal="left"/>
    </xf>
    <xf numFmtId="3" fontId="26" fillId="0" borderId="30" xfId="0" applyNumberFormat="1" applyFont="1" applyBorder="1" applyAlignment="1">
      <alignment horizontal="center" vertical="center"/>
    </xf>
    <xf numFmtId="0" fontId="226" fillId="29" borderId="30" xfId="0" applyFont="1" applyFill="1" applyBorder="1" applyAlignment="1">
      <alignment horizontal="center" vertical="center"/>
    </xf>
    <xf numFmtId="3" fontId="227" fillId="0" borderId="30" xfId="0" applyNumberFormat="1" applyFont="1" applyBorder="1" applyAlignment="1">
      <alignment horizontal="center" vertical="center"/>
    </xf>
    <xf numFmtId="1" fontId="227" fillId="0" borderId="30" xfId="0" applyNumberFormat="1" applyFont="1" applyBorder="1" applyAlignment="1">
      <alignment horizontal="center" vertical="center"/>
    </xf>
    <xf numFmtId="0" fontId="206" fillId="16" borderId="30" xfId="0" applyFont="1" applyFill="1" applyBorder="1" applyAlignment="1">
      <alignment horizontal="center" vertical="center" wrapText="1"/>
    </xf>
    <xf numFmtId="0" fontId="206" fillId="16" borderId="31" xfId="0" applyFont="1" applyFill="1" applyBorder="1" applyAlignment="1">
      <alignment horizontal="center" vertical="center" wrapText="1"/>
    </xf>
    <xf numFmtId="0" fontId="36" fillId="14" borderId="44" xfId="0" applyFont="1" applyFill="1" applyBorder="1" applyAlignment="1">
      <alignment vertical="center"/>
    </xf>
    <xf numFmtId="175" fontId="36" fillId="0" borderId="30" xfId="0" applyNumberFormat="1" applyFont="1" applyBorder="1" applyAlignment="1">
      <alignment horizontal="center" vertical="center"/>
    </xf>
    <xf numFmtId="175" fontId="36" fillId="5" borderId="30" xfId="0" applyNumberFormat="1" applyFont="1" applyFill="1" applyBorder="1" applyAlignment="1">
      <alignment horizontal="center" vertical="center"/>
    </xf>
    <xf numFmtId="0" fontId="36" fillId="0" borderId="29" xfId="0" applyFont="1" applyBorder="1" applyAlignment="1">
      <alignment vertical="center"/>
    </xf>
    <xf numFmtId="0" fontId="36" fillId="0" borderId="30" xfId="0" applyFont="1" applyBorder="1" applyAlignment="1">
      <alignment vertical="center"/>
    </xf>
    <xf numFmtId="0" fontId="36" fillId="0" borderId="30" xfId="0" applyFont="1" applyBorder="1" applyAlignment="1">
      <alignment horizontal="center" vertical="center"/>
    </xf>
    <xf numFmtId="0" fontId="61" fillId="29" borderId="31" xfId="0" applyFont="1" applyFill="1" applyBorder="1" applyAlignment="1">
      <alignment horizontal="center" vertical="center" wrapText="1"/>
    </xf>
    <xf numFmtId="0" fontId="26" fillId="0" borderId="30" xfId="0" applyFont="1" applyBorder="1" applyAlignment="1">
      <alignment horizontal="center" vertical="center"/>
    </xf>
    <xf numFmtId="0" fontId="172" fillId="0" borderId="30" xfId="0" applyFont="1" applyBorder="1" applyAlignment="1">
      <alignment horizontal="center" vertical="center"/>
    </xf>
    <xf numFmtId="0" fontId="172" fillId="5" borderId="30" xfId="0" applyFont="1" applyFill="1" applyBorder="1" applyAlignment="1">
      <alignment horizontal="center" vertical="center"/>
    </xf>
    <xf numFmtId="0" fontId="231" fillId="14" borderId="0" xfId="0" applyFont="1" applyFill="1" applyAlignment="1">
      <alignment vertical="center"/>
    </xf>
    <xf numFmtId="0" fontId="232" fillId="14" borderId="0" xfId="0" applyFont="1" applyFill="1" applyAlignment="1">
      <alignment vertical="center"/>
    </xf>
    <xf numFmtId="3" fontId="233" fillId="0" borderId="30" xfId="0" applyNumberFormat="1" applyFont="1" applyBorder="1" applyAlignment="1">
      <alignment horizontal="center" vertical="center"/>
    </xf>
    <xf numFmtId="0" fontId="232" fillId="14" borderId="23" xfId="0" applyFont="1" applyFill="1" applyBorder="1" applyAlignment="1">
      <alignment vertical="center"/>
    </xf>
    <xf numFmtId="0" fontId="231" fillId="14" borderId="27" xfId="0" applyFont="1" applyFill="1" applyBorder="1" applyAlignment="1">
      <alignment vertical="center"/>
    </xf>
    <xf numFmtId="0" fontId="231" fillId="14" borderId="0" xfId="0" applyFont="1" applyFill="1" applyAlignment="1">
      <alignment horizontal="center" vertical="center"/>
    </xf>
    <xf numFmtId="0" fontId="231" fillId="14" borderId="0" xfId="0" applyFont="1" applyFill="1"/>
    <xf numFmtId="0" fontId="231" fillId="0" borderId="0" xfId="0" applyFont="1"/>
    <xf numFmtId="0" fontId="231" fillId="0" borderId="0" xfId="0" applyFont="1" applyAlignment="1">
      <alignment vertical="center"/>
    </xf>
    <xf numFmtId="0" fontId="231" fillId="14" borderId="23" xfId="0" applyFont="1" applyFill="1" applyBorder="1" applyAlignment="1">
      <alignment vertical="center"/>
    </xf>
    <xf numFmtId="175" fontId="36" fillId="0" borderId="29" xfId="0" applyNumberFormat="1" applyFont="1" applyBorder="1" applyAlignment="1">
      <alignment horizontal="center" vertical="center"/>
    </xf>
    <xf numFmtId="0" fontId="172" fillId="0" borderId="29" xfId="0" applyFont="1" applyBorder="1" applyAlignment="1">
      <alignment horizontal="center" vertical="center"/>
    </xf>
    <xf numFmtId="167" fontId="26" fillId="0" borderId="60" xfId="0" applyNumberFormat="1" applyFont="1" applyBorder="1" applyAlignment="1">
      <alignment horizontal="center" vertical="center"/>
    </xf>
    <xf numFmtId="3" fontId="36" fillId="0" borderId="60" xfId="0" applyNumberFormat="1" applyFont="1" applyBorder="1" applyAlignment="1">
      <alignment horizontal="center" vertical="center"/>
    </xf>
    <xf numFmtId="0" fontId="26" fillId="2" borderId="60" xfId="0" applyFont="1" applyFill="1" applyBorder="1" applyAlignment="1" applyProtection="1">
      <alignment horizontal="center" vertical="center"/>
      <protection locked="0"/>
    </xf>
    <xf numFmtId="0" fontId="36" fillId="0" borderId="30" xfId="0" applyFont="1" applyBorder="1" applyAlignment="1">
      <alignment horizontal="center" vertical="center" wrapText="1"/>
    </xf>
    <xf numFmtId="167" fontId="36" fillId="0" borderId="60" xfId="0" applyNumberFormat="1" applyFont="1" applyBorder="1" applyAlignment="1">
      <alignment horizontal="center" vertical="center"/>
    </xf>
    <xf numFmtId="0" fontId="36" fillId="0" borderId="62" xfId="0" applyFont="1" applyBorder="1" applyAlignment="1">
      <alignment horizontal="center" vertical="center"/>
    </xf>
    <xf numFmtId="167" fontId="36" fillId="0" borderId="63" xfId="0" applyNumberFormat="1" applyFont="1" applyBorder="1" applyAlignment="1">
      <alignment horizontal="center" vertical="center"/>
    </xf>
    <xf numFmtId="9" fontId="26" fillId="2" borderId="60" xfId="0" applyNumberFormat="1" applyFont="1" applyFill="1" applyBorder="1" applyAlignment="1" applyProtection="1">
      <alignment horizontal="center" vertical="center"/>
      <protection locked="0"/>
    </xf>
    <xf numFmtId="168" fontId="36" fillId="0" borderId="60" xfId="0" applyNumberFormat="1" applyFont="1" applyBorder="1" applyAlignment="1">
      <alignment horizontal="center" vertical="center"/>
    </xf>
    <xf numFmtId="166" fontId="26" fillId="2" borderId="60" xfId="0" applyNumberFormat="1" applyFont="1" applyFill="1" applyBorder="1" applyAlignment="1" applyProtection="1">
      <alignment horizontal="center" vertical="center"/>
      <protection locked="0"/>
    </xf>
    <xf numFmtId="0" fontId="234" fillId="0" borderId="30" xfId="0" applyFont="1" applyBorder="1" applyAlignment="1">
      <alignment horizontal="center" vertical="center"/>
    </xf>
    <xf numFmtId="166" fontId="234" fillId="11" borderId="60" xfId="1" applyNumberFormat="1" applyFont="1" applyFill="1" applyBorder="1" applyAlignment="1" applyProtection="1">
      <alignment horizontal="center" vertical="center"/>
      <protection locked="0"/>
    </xf>
    <xf numFmtId="168" fontId="26" fillId="0" borderId="60" xfId="0" applyNumberFormat="1" applyFont="1" applyBorder="1" applyAlignment="1">
      <alignment horizontal="center" vertical="center"/>
    </xf>
    <xf numFmtId="166" fontId="26" fillId="2" borderId="60" xfId="0" applyNumberFormat="1" applyFont="1" applyFill="1" applyBorder="1" applyAlignment="1" applyProtection="1">
      <alignment horizontal="center" vertical="center" wrapText="1"/>
      <protection locked="0"/>
    </xf>
    <xf numFmtId="10" fontId="36" fillId="0" borderId="60" xfId="0" applyNumberFormat="1" applyFont="1" applyBorder="1" applyAlignment="1">
      <alignment horizontal="center" vertical="center"/>
    </xf>
    <xf numFmtId="3" fontId="26" fillId="2" borderId="30" xfId="0" applyNumberFormat="1" applyFont="1" applyFill="1" applyBorder="1" applyAlignment="1" applyProtection="1">
      <alignment horizontal="center" vertical="center"/>
      <protection locked="0"/>
    </xf>
    <xf numFmtId="3" fontId="26" fillId="0" borderId="62" xfId="0" applyNumberFormat="1" applyFont="1" applyBorder="1" applyAlignment="1">
      <alignment horizontal="center" vertical="center"/>
    </xf>
    <xf numFmtId="10" fontId="36" fillId="0" borderId="63" xfId="0" applyNumberFormat="1" applyFont="1" applyBorder="1" applyAlignment="1">
      <alignment horizontal="center" vertical="center"/>
    </xf>
    <xf numFmtId="3" fontId="26" fillId="0" borderId="60" xfId="0" applyNumberFormat="1" applyFont="1" applyBorder="1" applyAlignment="1">
      <alignment horizontal="center" vertical="center"/>
    </xf>
    <xf numFmtId="3" fontId="26" fillId="0" borderId="63" xfId="0" applyNumberFormat="1" applyFont="1" applyBorder="1" applyAlignment="1">
      <alignment horizontal="center" vertical="center"/>
    </xf>
    <xf numFmtId="0" fontId="36" fillId="0" borderId="59" xfId="0" applyFont="1" applyBorder="1" applyAlignment="1">
      <alignment vertical="center"/>
    </xf>
    <xf numFmtId="0" fontId="26" fillId="0" borderId="61" xfId="0" applyFont="1" applyBorder="1" applyAlignment="1">
      <alignment horizontal="left" vertical="center"/>
    </xf>
    <xf numFmtId="0" fontId="36" fillId="0" borderId="59" xfId="0" applyFont="1" applyBorder="1" applyAlignment="1">
      <alignment vertical="center" wrapText="1"/>
    </xf>
    <xf numFmtId="0" fontId="36" fillId="0" borderId="61" xfId="0" applyFont="1" applyBorder="1" applyAlignment="1">
      <alignment vertical="center" wrapText="1"/>
    </xf>
    <xf numFmtId="0" fontId="234" fillId="0" borderId="59" xfId="0" applyFont="1" applyBorder="1" applyAlignment="1">
      <alignment vertical="center"/>
    </xf>
    <xf numFmtId="0" fontId="36" fillId="0" borderId="61" xfId="0" applyFont="1" applyBorder="1" applyAlignment="1">
      <alignment vertical="center"/>
    </xf>
    <xf numFmtId="0" fontId="234" fillId="0" borderId="59" xfId="0" applyFont="1" applyBorder="1" applyAlignment="1">
      <alignment vertical="center" wrapText="1"/>
    </xf>
    <xf numFmtId="0" fontId="236" fillId="0" borderId="59" xfId="0" applyFont="1" applyBorder="1" applyAlignment="1">
      <alignment vertical="center" wrapText="1"/>
    </xf>
    <xf numFmtId="2" fontId="47" fillId="0" borderId="59" xfId="0" applyNumberFormat="1" applyFont="1" applyBorder="1" applyAlignment="1">
      <alignment horizontal="center" vertical="center"/>
    </xf>
    <xf numFmtId="2" fontId="47" fillId="0" borderId="60" xfId="0" applyNumberFormat="1" applyFont="1" applyBorder="1" applyAlignment="1">
      <alignment horizontal="center" vertical="center"/>
    </xf>
    <xf numFmtId="2" fontId="38" fillId="0" borderId="30" xfId="0" applyNumberFormat="1" applyFont="1" applyBorder="1" applyAlignment="1">
      <alignment horizontal="center" vertical="center"/>
    </xf>
    <xf numFmtId="0" fontId="172" fillId="0" borderId="29" xfId="0" applyFont="1" applyBorder="1" applyAlignment="1">
      <alignment horizontal="center" vertical="center" wrapText="1"/>
    </xf>
    <xf numFmtId="0" fontId="172" fillId="2" borderId="30" xfId="0" applyFont="1" applyFill="1" applyBorder="1" applyAlignment="1" applyProtection="1">
      <alignment horizontal="center" vertical="center" wrapText="1"/>
      <protection locked="0"/>
    </xf>
    <xf numFmtId="180" fontId="172" fillId="2" borderId="31" xfId="0" applyNumberFormat="1" applyFont="1" applyFill="1" applyBorder="1" applyAlignment="1" applyProtection="1">
      <alignment horizontal="center" vertical="center" wrapText="1"/>
      <protection locked="0"/>
    </xf>
    <xf numFmtId="175" fontId="180" fillId="0" borderId="30" xfId="0" applyNumberFormat="1" applyFont="1" applyBorder="1" applyAlignment="1">
      <alignment horizontal="center" vertical="center"/>
    </xf>
    <xf numFmtId="175" fontId="180" fillId="5" borderId="30" xfId="0" applyNumberFormat="1" applyFont="1" applyFill="1" applyBorder="1" applyAlignment="1">
      <alignment horizontal="center" vertical="center"/>
    </xf>
    <xf numFmtId="0" fontId="172" fillId="0" borderId="30" xfId="0" applyFont="1" applyBorder="1" applyAlignment="1">
      <alignment horizontal="center" vertical="center" wrapText="1"/>
    </xf>
    <xf numFmtId="180" fontId="172" fillId="0" borderId="31" xfId="0" applyNumberFormat="1" applyFont="1" applyBorder="1" applyAlignment="1">
      <alignment horizontal="center" vertical="center" wrapText="1"/>
    </xf>
    <xf numFmtId="175" fontId="180" fillId="0" borderId="29" xfId="0" applyNumberFormat="1" applyFont="1" applyBorder="1" applyAlignment="1">
      <alignment horizontal="center" vertical="center"/>
    </xf>
    <xf numFmtId="166" fontId="27" fillId="0" borderId="59" xfId="0" applyNumberFormat="1" applyFont="1" applyBorder="1" applyAlignment="1">
      <alignment horizontal="center" vertical="center"/>
    </xf>
    <xf numFmtId="10" fontId="47" fillId="0" borderId="30" xfId="0" applyNumberFormat="1" applyFont="1" applyBorder="1" applyAlignment="1">
      <alignment horizontal="center" vertical="center"/>
    </xf>
    <xf numFmtId="166" fontId="238" fillId="55" borderId="0" xfId="1" applyNumberFormat="1" applyFont="1" applyFill="1" applyAlignment="1">
      <alignment horizontal="center" vertical="center"/>
    </xf>
    <xf numFmtId="2" fontId="95" fillId="27" borderId="30" xfId="0" applyNumberFormat="1" applyFont="1" applyFill="1" applyBorder="1" applyAlignment="1" applyProtection="1">
      <alignment horizontal="center" vertical="center"/>
      <protection locked="0"/>
    </xf>
    <xf numFmtId="9" fontId="40" fillId="0" borderId="0" xfId="1" applyFont="1" applyAlignment="1">
      <alignment horizontal="center" vertical="center"/>
    </xf>
    <xf numFmtId="1" fontId="47" fillId="11" borderId="30" xfId="0" applyNumberFormat="1" applyFont="1" applyFill="1" applyBorder="1" applyAlignment="1" applyProtection="1">
      <alignment horizontal="center" vertical="center"/>
      <protection locked="0"/>
    </xf>
    <xf numFmtId="0" fontId="9" fillId="0" borderId="0" xfId="0" applyFont="1" applyAlignment="1">
      <alignment horizontal="right" vertical="center"/>
    </xf>
    <xf numFmtId="1" fontId="49" fillId="0" borderId="59" xfId="0" applyNumberFormat="1" applyFont="1" applyBorder="1" applyAlignment="1">
      <alignment horizontal="center" vertical="center"/>
    </xf>
    <xf numFmtId="166" fontId="72" fillId="0" borderId="59" xfId="0" applyNumberFormat="1" applyFont="1" applyBorder="1" applyAlignment="1">
      <alignment horizontal="center" vertical="center"/>
    </xf>
    <xf numFmtId="173" fontId="40" fillId="0" borderId="5" xfId="0" applyNumberFormat="1" applyFont="1" applyBorder="1" applyAlignment="1">
      <alignment horizontal="center" vertical="center"/>
    </xf>
    <xf numFmtId="167" fontId="121" fillId="0" borderId="0" xfId="0" applyNumberFormat="1" applyFont="1" applyAlignment="1">
      <alignment horizontal="center" vertical="center"/>
    </xf>
    <xf numFmtId="167" fontId="40" fillId="0" borderId="0" xfId="0" applyNumberFormat="1" applyFont="1" applyAlignment="1">
      <alignment horizontal="center" vertical="center"/>
    </xf>
    <xf numFmtId="167" fontId="47" fillId="0" borderId="0" xfId="0" applyNumberFormat="1" applyFont="1" applyAlignment="1">
      <alignment horizontal="right" vertical="center"/>
    </xf>
    <xf numFmtId="0" fontId="61" fillId="0" borderId="23" xfId="0" applyFont="1" applyBorder="1" applyAlignment="1">
      <alignment vertical="center"/>
    </xf>
    <xf numFmtId="0" fontId="61" fillId="0" borderId="23" xfId="0" applyFont="1" applyBorder="1" applyAlignment="1">
      <alignment horizontal="center" vertical="center"/>
    </xf>
    <xf numFmtId="10" fontId="40" fillId="0" borderId="23" xfId="0" applyNumberFormat="1" applyFont="1" applyBorder="1" applyAlignment="1">
      <alignment horizontal="center" vertical="center"/>
    </xf>
    <xf numFmtId="9" fontId="40" fillId="0" borderId="23" xfId="0" applyNumberFormat="1" applyFont="1" applyBorder="1" applyAlignment="1">
      <alignment horizontal="center" vertical="center"/>
    </xf>
    <xf numFmtId="168" fontId="0" fillId="0" borderId="0" xfId="0" applyNumberFormat="1" applyAlignment="1">
      <alignment vertical="center"/>
    </xf>
    <xf numFmtId="0" fontId="30" fillId="0" borderId="0" xfId="0" applyFont="1" applyAlignment="1">
      <alignment vertical="center"/>
    </xf>
    <xf numFmtId="181" fontId="0" fillId="0" borderId="0" xfId="0" applyNumberFormat="1" applyAlignment="1">
      <alignment vertical="center"/>
    </xf>
    <xf numFmtId="0" fontId="9" fillId="57" borderId="142" xfId="0" applyFont="1" applyFill="1" applyBorder="1" applyAlignment="1">
      <alignment horizontal="right" vertical="center"/>
    </xf>
    <xf numFmtId="0" fontId="30" fillId="14" borderId="169" xfId="0" applyFont="1" applyFill="1" applyBorder="1" applyAlignment="1">
      <alignment horizontal="right" vertical="center"/>
    </xf>
    <xf numFmtId="0" fontId="30" fillId="14" borderId="168" xfId="0" applyFont="1" applyFill="1" applyBorder="1" applyAlignment="1">
      <alignment vertical="center"/>
    </xf>
    <xf numFmtId="1" fontId="30" fillId="14" borderId="168" xfId="0" applyNumberFormat="1" applyFont="1" applyFill="1" applyBorder="1" applyAlignment="1">
      <alignment horizontal="center" vertical="center"/>
    </xf>
    <xf numFmtId="9" fontId="30" fillId="14" borderId="168" xfId="1" applyFont="1" applyFill="1" applyBorder="1" applyAlignment="1">
      <alignment horizontal="center" vertical="center"/>
    </xf>
    <xf numFmtId="168" fontId="8" fillId="0" borderId="165" xfId="0" applyNumberFormat="1" applyFont="1" applyBorder="1" applyAlignment="1">
      <alignment horizontal="center" vertical="center"/>
    </xf>
    <xf numFmtId="0" fontId="30" fillId="14" borderId="164" xfId="0" applyFont="1" applyFill="1" applyBorder="1" applyAlignment="1">
      <alignment horizontal="right" vertical="center"/>
    </xf>
    <xf numFmtId="0" fontId="30" fillId="14" borderId="162" xfId="0" applyFont="1" applyFill="1" applyBorder="1" applyAlignment="1">
      <alignment vertical="center"/>
    </xf>
    <xf numFmtId="1" fontId="30" fillId="14" borderId="162" xfId="0" applyNumberFormat="1" applyFont="1" applyFill="1" applyBorder="1" applyAlignment="1">
      <alignment horizontal="center" vertical="center"/>
    </xf>
    <xf numFmtId="9" fontId="30" fillId="14" borderId="162" xfId="1" applyFont="1" applyFill="1" applyBorder="1" applyAlignment="1">
      <alignment horizontal="center" vertical="center"/>
    </xf>
    <xf numFmtId="0" fontId="9" fillId="57" borderId="164" xfId="0" applyFont="1" applyFill="1" applyBorder="1" applyAlignment="1">
      <alignment horizontal="right" vertical="center"/>
    </xf>
    <xf numFmtId="0" fontId="9" fillId="57" borderId="162" xfId="0" applyFont="1" applyFill="1" applyBorder="1" applyAlignment="1">
      <alignment vertical="center"/>
    </xf>
    <xf numFmtId="1" fontId="9" fillId="57" borderId="162" xfId="0" applyNumberFormat="1" applyFont="1" applyFill="1" applyBorder="1" applyAlignment="1">
      <alignment horizontal="center" vertical="center"/>
    </xf>
    <xf numFmtId="9" fontId="9" fillId="57" borderId="162" xfId="1" applyFont="1" applyFill="1" applyBorder="1" applyAlignment="1">
      <alignment horizontal="center" vertical="center"/>
    </xf>
    <xf numFmtId="0" fontId="9" fillId="0" borderId="142" xfId="0" applyFont="1" applyBorder="1" applyAlignment="1">
      <alignment horizontal="right" vertical="center"/>
    </xf>
    <xf numFmtId="0" fontId="9" fillId="0" borderId="164" xfId="0" applyFont="1" applyBorder="1" applyAlignment="1">
      <alignment horizontal="right" vertical="center"/>
    </xf>
    <xf numFmtId="0" fontId="30" fillId="0" borderId="162" xfId="0" applyFont="1" applyBorder="1" applyAlignment="1">
      <alignment vertical="center"/>
    </xf>
    <xf numFmtId="0" fontId="30" fillId="57" borderId="0" xfId="0" applyFont="1" applyFill="1" applyAlignment="1">
      <alignment vertical="center"/>
    </xf>
    <xf numFmtId="0" fontId="8" fillId="57" borderId="141" xfId="0" applyFont="1" applyFill="1" applyBorder="1" applyAlignment="1">
      <alignment horizontal="right" vertical="center"/>
    </xf>
    <xf numFmtId="0" fontId="8" fillId="57" borderId="140" xfId="0" applyFont="1" applyFill="1" applyBorder="1" applyAlignment="1">
      <alignment vertical="center"/>
    </xf>
    <xf numFmtId="3" fontId="8" fillId="57" borderId="140" xfId="0" applyNumberFormat="1" applyFont="1" applyFill="1" applyBorder="1" applyAlignment="1">
      <alignment horizontal="center" vertical="center"/>
    </xf>
    <xf numFmtId="1" fontId="0" fillId="0" borderId="0" xfId="0" applyNumberFormat="1" applyAlignment="1">
      <alignment vertical="center"/>
    </xf>
    <xf numFmtId="3" fontId="9" fillId="57" borderId="166" xfId="0" applyNumberFormat="1" applyFont="1" applyFill="1" applyBorder="1" applyAlignment="1">
      <alignment horizontal="center" vertical="center"/>
    </xf>
    <xf numFmtId="0" fontId="30" fillId="14" borderId="171" xfId="0" applyFont="1" applyFill="1" applyBorder="1" applyAlignment="1">
      <alignment horizontal="right" vertical="center"/>
    </xf>
    <xf numFmtId="0" fontId="30" fillId="14" borderId="163" xfId="0" applyFont="1" applyFill="1" applyBorder="1" applyAlignment="1">
      <alignment vertical="center"/>
    </xf>
    <xf numFmtId="1" fontId="30" fillId="14" borderId="163" xfId="0" applyNumberFormat="1" applyFont="1" applyFill="1" applyBorder="1" applyAlignment="1">
      <alignment horizontal="center" vertical="center"/>
    </xf>
    <xf numFmtId="9" fontId="30" fillId="14" borderId="163" xfId="1" applyFont="1" applyFill="1" applyBorder="1" applyAlignment="1">
      <alignment horizontal="center" vertical="center"/>
    </xf>
    <xf numFmtId="0" fontId="242" fillId="0" borderId="0" xfId="0" applyFont="1" applyAlignment="1">
      <alignment vertical="center"/>
    </xf>
    <xf numFmtId="0" fontId="30" fillId="14" borderId="173" xfId="0" applyFont="1" applyFill="1" applyBorder="1" applyAlignment="1">
      <alignment vertical="center"/>
    </xf>
    <xf numFmtId="1" fontId="30" fillId="0" borderId="0" xfId="0" applyNumberFormat="1" applyFont="1" applyAlignment="1">
      <alignment horizontal="center" vertical="center"/>
    </xf>
    <xf numFmtId="9" fontId="30" fillId="0" borderId="23" xfId="1" applyFont="1" applyFill="1" applyBorder="1" applyAlignment="1">
      <alignment horizontal="center" vertical="center"/>
    </xf>
    <xf numFmtId="1" fontId="30" fillId="0" borderId="162" xfId="0" applyNumberFormat="1" applyFont="1" applyBorder="1" applyAlignment="1">
      <alignment horizontal="center" vertical="center"/>
    </xf>
    <xf numFmtId="9" fontId="30" fillId="0" borderId="162" xfId="1" applyFont="1" applyFill="1" applyBorder="1" applyAlignment="1">
      <alignment horizontal="center" vertical="center"/>
    </xf>
    <xf numFmtId="3" fontId="30" fillId="57" borderId="0" xfId="0" applyNumberFormat="1" applyFont="1" applyFill="1" applyAlignment="1">
      <alignment horizontal="center" vertical="center"/>
    </xf>
    <xf numFmtId="1" fontId="30" fillId="57" borderId="0" xfId="0" applyNumberFormat="1" applyFont="1" applyFill="1" applyAlignment="1">
      <alignment horizontal="center" vertical="center"/>
    </xf>
    <xf numFmtId="168" fontId="8" fillId="57" borderId="167" xfId="0" applyNumberFormat="1" applyFont="1" applyFill="1" applyBorder="1" applyAlignment="1">
      <alignment horizontal="center" vertical="center"/>
    </xf>
    <xf numFmtId="0" fontId="38" fillId="14" borderId="0" xfId="0" applyFont="1" applyFill="1" applyAlignment="1">
      <alignment horizontal="center" vertical="center"/>
    </xf>
    <xf numFmtId="165" fontId="49" fillId="58" borderId="30" xfId="0" applyNumberFormat="1" applyFont="1" applyFill="1" applyBorder="1" applyAlignment="1">
      <alignment horizontal="center" vertical="center"/>
    </xf>
    <xf numFmtId="9" fontId="41" fillId="0" borderId="123" xfId="1" applyFont="1" applyBorder="1" applyAlignment="1" applyProtection="1">
      <alignment horizontal="center" vertical="center"/>
      <protection locked="0"/>
    </xf>
    <xf numFmtId="3" fontId="12" fillId="0" borderId="67" xfId="0" applyNumberFormat="1" applyFont="1" applyBorder="1" applyAlignment="1">
      <alignment horizontal="center" vertical="center"/>
    </xf>
    <xf numFmtId="0" fontId="30" fillId="0" borderId="23" xfId="0" applyFont="1" applyBorder="1" applyAlignment="1">
      <alignment horizontal="center" vertical="center"/>
    </xf>
    <xf numFmtId="0" fontId="30" fillId="0" borderId="180" xfId="0" applyFont="1" applyBorder="1" applyAlignment="1">
      <alignment horizontal="center" vertical="center"/>
    </xf>
    <xf numFmtId="3" fontId="9" fillId="0" borderId="165" xfId="0" applyNumberFormat="1" applyFont="1" applyBorder="1" applyAlignment="1">
      <alignment horizontal="center" vertical="center"/>
    </xf>
    <xf numFmtId="3" fontId="9" fillId="0" borderId="0" xfId="0" applyNumberFormat="1" applyFont="1" applyAlignment="1">
      <alignment horizontal="center" vertical="center"/>
    </xf>
    <xf numFmtId="0" fontId="241" fillId="0" borderId="0" xfId="0" applyFont="1" applyAlignment="1">
      <alignment vertical="center"/>
    </xf>
    <xf numFmtId="0" fontId="8" fillId="0" borderId="23" xfId="0" applyFont="1" applyBorder="1" applyAlignment="1">
      <alignment horizontal="center" vertical="center"/>
    </xf>
    <xf numFmtId="0" fontId="30" fillId="0" borderId="23" xfId="0" applyFont="1" applyBorder="1" applyAlignment="1">
      <alignment horizontal="right" vertical="center"/>
    </xf>
    <xf numFmtId="0" fontId="9" fillId="0" borderId="23" xfId="0" applyFont="1" applyBorder="1" applyAlignment="1">
      <alignment horizontal="right" vertical="center"/>
    </xf>
    <xf numFmtId="0" fontId="9" fillId="57" borderId="23" xfId="0" applyFont="1" applyFill="1" applyBorder="1" applyAlignment="1">
      <alignment horizontal="right" vertical="center"/>
    </xf>
    <xf numFmtId="0" fontId="9" fillId="57" borderId="23" xfId="0" quotePrefix="1" applyFont="1" applyFill="1" applyBorder="1" applyAlignment="1">
      <alignment horizontal="right" vertical="center"/>
    </xf>
    <xf numFmtId="0" fontId="30" fillId="0" borderId="23" xfId="0" applyFont="1" applyBorder="1" applyAlignment="1">
      <alignment vertical="center"/>
    </xf>
    <xf numFmtId="0" fontId="30" fillId="14" borderId="162" xfId="0" applyFont="1" applyFill="1" applyBorder="1" applyAlignment="1">
      <alignment horizontal="right" vertical="center"/>
    </xf>
    <xf numFmtId="0" fontId="30" fillId="14" borderId="168" xfId="0" applyFont="1" applyFill="1" applyBorder="1" applyAlignment="1">
      <alignment horizontal="right" vertical="center"/>
    </xf>
    <xf numFmtId="0" fontId="30" fillId="14" borderId="173" xfId="0" applyFont="1" applyFill="1" applyBorder="1" applyAlignment="1">
      <alignment horizontal="right" vertical="center"/>
    </xf>
    <xf numFmtId="0" fontId="8" fillId="0" borderId="181" xfId="0" applyFont="1" applyBorder="1" applyAlignment="1">
      <alignment horizontal="center" vertical="center"/>
    </xf>
    <xf numFmtId="0" fontId="30" fillId="0" borderId="181" xfId="0" applyFont="1" applyBorder="1" applyAlignment="1">
      <alignment horizontal="center" vertical="center"/>
    </xf>
    <xf numFmtId="3" fontId="9" fillId="0" borderId="181" xfId="0" applyNumberFormat="1" applyFont="1" applyBorder="1" applyAlignment="1">
      <alignment horizontal="center" vertical="center"/>
    </xf>
    <xf numFmtId="181" fontId="0" fillId="0" borderId="181" xfId="0" applyNumberFormat="1" applyBorder="1" applyAlignment="1">
      <alignment horizontal="center" vertical="center"/>
    </xf>
    <xf numFmtId="168" fontId="0" fillId="0" borderId="181" xfId="0" applyNumberFormat="1" applyBorder="1" applyAlignment="1">
      <alignment horizontal="center" vertical="center"/>
    </xf>
    <xf numFmtId="168" fontId="37" fillId="0" borderId="165" xfId="0" applyNumberFormat="1" applyFont="1" applyBorder="1" applyAlignment="1">
      <alignment horizontal="center" vertical="center"/>
    </xf>
    <xf numFmtId="3" fontId="29" fillId="0" borderId="165" xfId="0" applyNumberFormat="1" applyFont="1" applyBorder="1" applyAlignment="1">
      <alignment horizontal="center" vertical="center"/>
    </xf>
    <xf numFmtId="168" fontId="9" fillId="0" borderId="165" xfId="0" applyNumberFormat="1" applyFont="1" applyBorder="1" applyAlignment="1">
      <alignment horizontal="center" vertical="center"/>
    </xf>
    <xf numFmtId="168" fontId="9" fillId="57" borderId="165" xfId="0" applyNumberFormat="1" applyFont="1" applyFill="1" applyBorder="1" applyAlignment="1">
      <alignment horizontal="center" vertical="center"/>
    </xf>
    <xf numFmtId="1" fontId="9" fillId="0" borderId="165" xfId="0" applyNumberFormat="1" applyFont="1" applyBorder="1" applyAlignment="1">
      <alignment horizontal="center" vertical="center"/>
    </xf>
    <xf numFmtId="3" fontId="9" fillId="14" borderId="162" xfId="0" applyNumberFormat="1" applyFont="1" applyFill="1" applyBorder="1" applyAlignment="1">
      <alignment horizontal="center" vertical="center"/>
    </xf>
    <xf numFmtId="3" fontId="9" fillId="14" borderId="166" xfId="0" applyNumberFormat="1" applyFont="1" applyFill="1" applyBorder="1" applyAlignment="1">
      <alignment horizontal="center" vertical="center"/>
    </xf>
    <xf numFmtId="3" fontId="9" fillId="14" borderId="172" xfId="0" applyNumberFormat="1" applyFont="1" applyFill="1" applyBorder="1" applyAlignment="1">
      <alignment horizontal="center" vertical="center"/>
    </xf>
    <xf numFmtId="3" fontId="9" fillId="14" borderId="168" xfId="0" applyNumberFormat="1" applyFont="1" applyFill="1" applyBorder="1" applyAlignment="1">
      <alignment horizontal="center" vertical="center"/>
    </xf>
    <xf numFmtId="3" fontId="9" fillId="14" borderId="170" xfId="0" applyNumberFormat="1" applyFont="1" applyFill="1" applyBorder="1" applyAlignment="1">
      <alignment horizontal="center" vertical="center"/>
    </xf>
    <xf numFmtId="9" fontId="9" fillId="14" borderId="166" xfId="1" applyFont="1" applyFill="1" applyBorder="1" applyAlignment="1">
      <alignment horizontal="center" vertical="center"/>
    </xf>
    <xf numFmtId="166" fontId="9" fillId="0" borderId="166" xfId="1" applyNumberFormat="1" applyFont="1" applyFill="1" applyBorder="1" applyAlignment="1">
      <alignment horizontal="center" vertical="center"/>
    </xf>
    <xf numFmtId="10" fontId="9" fillId="0" borderId="166" xfId="1" applyNumberFormat="1" applyFont="1" applyFill="1" applyBorder="1" applyAlignment="1">
      <alignment horizontal="center" vertical="center"/>
    </xf>
    <xf numFmtId="3" fontId="9" fillId="14" borderId="173" xfId="0" applyNumberFormat="1" applyFont="1" applyFill="1" applyBorder="1" applyAlignment="1">
      <alignment horizontal="center" vertical="center"/>
    </xf>
    <xf numFmtId="168" fontId="29" fillId="57" borderId="165" xfId="0" applyNumberFormat="1" applyFont="1" applyFill="1" applyBorder="1" applyAlignment="1">
      <alignment horizontal="center" vertical="center"/>
    </xf>
    <xf numFmtId="1" fontId="9" fillId="0" borderId="0" xfId="0" applyNumberFormat="1" applyFont="1" applyAlignment="1">
      <alignment horizontal="center" vertical="center"/>
    </xf>
    <xf numFmtId="0" fontId="5" fillId="0" borderId="140" xfId="4" applyFont="1" applyBorder="1" applyAlignment="1">
      <alignment horizontal="right" vertical="center"/>
    </xf>
    <xf numFmtId="0" fontId="0" fillId="0" borderId="140" xfId="0" applyBorder="1" applyAlignment="1">
      <alignment vertical="center"/>
    </xf>
    <xf numFmtId="0" fontId="239" fillId="0" borderId="23" xfId="4" applyFont="1" applyAlignment="1">
      <alignment vertical="center"/>
    </xf>
    <xf numFmtId="0" fontId="240" fillId="0" borderId="23" xfId="4" applyFont="1" applyAlignment="1">
      <alignment horizontal="right" vertical="center"/>
    </xf>
    <xf numFmtId="0" fontId="9" fillId="0" borderId="144" xfId="0" applyFont="1" applyBorder="1" applyAlignment="1">
      <alignment horizontal="right" vertical="center"/>
    </xf>
    <xf numFmtId="0" fontId="239" fillId="0" borderId="144" xfId="4" applyFont="1" applyBorder="1" applyAlignment="1">
      <alignment vertical="center"/>
    </xf>
    <xf numFmtId="0" fontId="0" fillId="0" borderId="144" xfId="0" applyBorder="1" applyAlignment="1">
      <alignment vertical="center"/>
    </xf>
    <xf numFmtId="0" fontId="5" fillId="0" borderId="146" xfId="4" applyFont="1" applyBorder="1" applyAlignment="1">
      <alignment horizontal="right" vertical="center"/>
    </xf>
    <xf numFmtId="0" fontId="0" fillId="0" borderId="146" xfId="0" applyBorder="1" applyAlignment="1">
      <alignment vertical="center"/>
    </xf>
    <xf numFmtId="0" fontId="9" fillId="0" borderId="147" xfId="0" applyFont="1" applyBorder="1" applyAlignment="1">
      <alignment horizontal="right" vertical="center"/>
    </xf>
    <xf numFmtId="0" fontId="239" fillId="0" borderId="147" xfId="4" applyFont="1" applyBorder="1" applyAlignment="1">
      <alignment vertical="center"/>
    </xf>
    <xf numFmtId="0" fontId="0" fillId="0" borderId="147" xfId="0" applyBorder="1" applyAlignment="1">
      <alignment vertical="center"/>
    </xf>
    <xf numFmtId="0" fontId="9" fillId="0" borderId="167" xfId="0" applyFont="1" applyBorder="1" applyAlignment="1">
      <alignment horizontal="center" vertical="center"/>
    </xf>
    <xf numFmtId="3" fontId="9" fillId="0" borderId="182" xfId="0" applyNumberFormat="1" applyFont="1" applyBorder="1" applyAlignment="1">
      <alignment horizontal="center" vertical="center"/>
    </xf>
    <xf numFmtId="3" fontId="9" fillId="0" borderId="167" xfId="0" applyNumberFormat="1" applyFont="1" applyBorder="1" applyAlignment="1">
      <alignment horizontal="center" vertical="center"/>
    </xf>
    <xf numFmtId="0" fontId="32" fillId="0" borderId="0" xfId="0" applyFont="1" applyAlignment="1">
      <alignment vertical="center"/>
    </xf>
    <xf numFmtId="0" fontId="29" fillId="57" borderId="141" xfId="0" applyFont="1" applyFill="1" applyBorder="1" applyAlignment="1">
      <alignment horizontal="right" vertical="center"/>
    </xf>
    <xf numFmtId="168" fontId="29" fillId="57" borderId="167" xfId="0" applyNumberFormat="1" applyFont="1" applyFill="1" applyBorder="1" applyAlignment="1">
      <alignment horizontal="center" vertical="center"/>
    </xf>
    <xf numFmtId="0" fontId="29" fillId="57" borderId="140" xfId="0" applyFont="1" applyFill="1" applyBorder="1" applyAlignment="1">
      <alignment vertical="center"/>
    </xf>
    <xf numFmtId="1" fontId="29" fillId="57" borderId="140" xfId="0" applyNumberFormat="1" applyFont="1" applyFill="1" applyBorder="1" applyAlignment="1">
      <alignment horizontal="center" vertical="center"/>
    </xf>
    <xf numFmtId="168" fontId="9" fillId="0" borderId="23" xfId="0" applyNumberFormat="1" applyFont="1" applyBorder="1" applyAlignment="1">
      <alignment horizontal="right" vertical="center"/>
    </xf>
    <xf numFmtId="3" fontId="9" fillId="57" borderId="165" xfId="0" applyNumberFormat="1" applyFont="1" applyFill="1" applyBorder="1" applyAlignment="1">
      <alignment horizontal="center" vertical="center"/>
    </xf>
    <xf numFmtId="0" fontId="9" fillId="57" borderId="0" xfId="0" applyFont="1" applyFill="1" applyAlignment="1">
      <alignment vertical="center"/>
    </xf>
    <xf numFmtId="1" fontId="9" fillId="57" borderId="0" xfId="0" applyNumberFormat="1" applyFont="1" applyFill="1" applyAlignment="1">
      <alignment horizontal="center" vertical="center"/>
    </xf>
    <xf numFmtId="9" fontId="9" fillId="57" borderId="23" xfId="1" applyFont="1" applyFill="1" applyBorder="1" applyAlignment="1">
      <alignment horizontal="center" vertical="center"/>
    </xf>
    <xf numFmtId="9" fontId="30" fillId="57" borderId="23" xfId="1" applyFont="1" applyFill="1" applyBorder="1" applyAlignment="1">
      <alignment horizontal="center" vertical="center"/>
    </xf>
    <xf numFmtId="0" fontId="196" fillId="57" borderId="142" xfId="0" applyFont="1" applyFill="1" applyBorder="1" applyAlignment="1">
      <alignment horizontal="right" vertical="center"/>
    </xf>
    <xf numFmtId="3" fontId="196" fillId="57" borderId="165" xfId="0" applyNumberFormat="1" applyFont="1" applyFill="1" applyBorder="1" applyAlignment="1">
      <alignment horizontal="center" vertical="center"/>
    </xf>
    <xf numFmtId="0" fontId="195" fillId="57" borderId="0" xfId="0" applyFont="1" applyFill="1" applyAlignment="1">
      <alignment vertical="center"/>
    </xf>
    <xf numFmtId="1" fontId="195" fillId="57" borderId="0" xfId="0" applyNumberFormat="1" applyFont="1" applyFill="1" applyAlignment="1">
      <alignment horizontal="center" vertical="center"/>
    </xf>
    <xf numFmtId="9" fontId="195" fillId="57" borderId="23" xfId="1" applyFont="1" applyFill="1" applyBorder="1" applyAlignment="1">
      <alignment horizontal="center" vertical="center"/>
    </xf>
    <xf numFmtId="0" fontId="195" fillId="57" borderId="163" xfId="0" applyFont="1" applyFill="1" applyBorder="1" applyAlignment="1">
      <alignment vertical="center"/>
    </xf>
    <xf numFmtId="1" fontId="195" fillId="57" borderId="163" xfId="0" applyNumberFormat="1" applyFont="1" applyFill="1" applyBorder="1" applyAlignment="1">
      <alignment horizontal="center" vertical="center"/>
    </xf>
    <xf numFmtId="9" fontId="195" fillId="57" borderId="163" xfId="1" applyFont="1" applyFill="1" applyBorder="1" applyAlignment="1">
      <alignment horizontal="center" vertical="center"/>
    </xf>
    <xf numFmtId="0" fontId="215" fillId="57" borderId="141" xfId="0" applyFont="1" applyFill="1" applyBorder="1" applyAlignment="1">
      <alignment horizontal="right" vertical="center"/>
    </xf>
    <xf numFmtId="3" fontId="215" fillId="57" borderId="167" xfId="0" applyNumberFormat="1" applyFont="1" applyFill="1" applyBorder="1" applyAlignment="1">
      <alignment horizontal="center" vertical="center"/>
    </xf>
    <xf numFmtId="0" fontId="215" fillId="57" borderId="140" xfId="0" applyFont="1" applyFill="1" applyBorder="1" applyAlignment="1">
      <alignment vertical="center"/>
    </xf>
    <xf numFmtId="0" fontId="215" fillId="57" borderId="0" xfId="0" applyFont="1" applyFill="1" applyAlignment="1">
      <alignment vertical="center"/>
    </xf>
    <xf numFmtId="1" fontId="215" fillId="57" borderId="0" xfId="0" applyNumberFormat="1" applyFont="1" applyFill="1" applyAlignment="1">
      <alignment horizontal="center" vertical="center"/>
    </xf>
    <xf numFmtId="9" fontId="215" fillId="57" borderId="0" xfId="1" applyFont="1" applyFill="1" applyAlignment="1">
      <alignment horizontal="center" vertical="center"/>
    </xf>
    <xf numFmtId="3" fontId="9" fillId="57" borderId="183" xfId="0" applyNumberFormat="1" applyFont="1" applyFill="1" applyBorder="1" applyAlignment="1">
      <alignment horizontal="center" vertical="center"/>
    </xf>
    <xf numFmtId="3" fontId="9" fillId="57" borderId="177" xfId="0" applyNumberFormat="1" applyFont="1" applyFill="1" applyBorder="1" applyAlignment="1">
      <alignment horizontal="center" vertical="center"/>
    </xf>
    <xf numFmtId="0" fontId="9" fillId="57" borderId="169" xfId="0" applyFont="1" applyFill="1" applyBorder="1" applyAlignment="1">
      <alignment horizontal="right" vertical="center"/>
    </xf>
    <xf numFmtId="168" fontId="9" fillId="57" borderId="170" xfId="0" applyNumberFormat="1" applyFont="1" applyFill="1" applyBorder="1" applyAlignment="1">
      <alignment horizontal="center" vertical="center"/>
    </xf>
    <xf numFmtId="0" fontId="30" fillId="57" borderId="168" xfId="0" applyFont="1" applyFill="1" applyBorder="1" applyAlignment="1">
      <alignment vertical="center"/>
    </xf>
    <xf numFmtId="1" fontId="30" fillId="57" borderId="168" xfId="0" applyNumberFormat="1" applyFont="1" applyFill="1" applyBorder="1" applyAlignment="1">
      <alignment horizontal="center" vertical="center"/>
    </xf>
    <xf numFmtId="0" fontId="6" fillId="0" borderId="168" xfId="4" applyBorder="1" applyAlignment="1">
      <alignment horizontal="right" vertical="center"/>
    </xf>
    <xf numFmtId="3" fontId="6" fillId="57" borderId="170" xfId="4" applyNumberFormat="1" applyFill="1" applyBorder="1" applyAlignment="1">
      <alignment horizontal="center" vertical="center"/>
    </xf>
    <xf numFmtId="0" fontId="239" fillId="0" borderId="168" xfId="4" applyFont="1" applyBorder="1" applyAlignment="1">
      <alignment vertical="center"/>
    </xf>
    <xf numFmtId="0" fontId="0" fillId="0" borderId="168" xfId="0" applyBorder="1" applyAlignment="1">
      <alignment vertical="center"/>
    </xf>
    <xf numFmtId="0" fontId="239" fillId="0" borderId="168" xfId="4" applyFont="1" applyBorder="1" applyAlignment="1">
      <alignment horizontal="right" vertical="center"/>
    </xf>
    <xf numFmtId="0" fontId="5" fillId="0" borderId="168" xfId="4" applyFont="1" applyBorder="1" applyAlignment="1">
      <alignment horizontal="right"/>
    </xf>
    <xf numFmtId="3" fontId="26" fillId="57" borderId="170" xfId="0" applyNumberFormat="1" applyFont="1" applyFill="1" applyBorder="1" applyAlignment="1">
      <alignment horizontal="center" vertical="center"/>
    </xf>
    <xf numFmtId="0" fontId="6" fillId="0" borderId="168" xfId="4" applyBorder="1" applyAlignment="1">
      <alignment vertical="center"/>
    </xf>
    <xf numFmtId="0" fontId="6" fillId="57" borderId="170" xfId="4" applyFill="1" applyBorder="1" applyAlignment="1">
      <alignment horizontal="center"/>
    </xf>
    <xf numFmtId="0" fontId="6" fillId="0" borderId="168" xfId="4" applyBorder="1"/>
    <xf numFmtId="0" fontId="30" fillId="0" borderId="168" xfId="0" applyFont="1" applyBorder="1" applyAlignment="1">
      <alignment horizontal="right" vertical="center"/>
    </xf>
    <xf numFmtId="0" fontId="5" fillId="0" borderId="168" xfId="4" applyFont="1" applyBorder="1" applyAlignment="1">
      <alignment vertical="center"/>
    </xf>
    <xf numFmtId="0" fontId="30" fillId="0" borderId="168" xfId="0" applyFont="1" applyBorder="1" applyAlignment="1">
      <alignment vertical="center"/>
    </xf>
    <xf numFmtId="0" fontId="240" fillId="0" borderId="145" xfId="4" applyFont="1" applyBorder="1" applyAlignment="1">
      <alignment horizontal="right" vertical="center"/>
    </xf>
    <xf numFmtId="3" fontId="30" fillId="0" borderId="170" xfId="0" applyNumberFormat="1" applyFont="1" applyBorder="1" applyAlignment="1">
      <alignment horizontal="center" vertical="center"/>
    </xf>
    <xf numFmtId="3" fontId="9" fillId="0" borderId="170" xfId="0" applyNumberFormat="1" applyFont="1" applyBorder="1" applyAlignment="1">
      <alignment horizontal="center" vertical="center"/>
    </xf>
    <xf numFmtId="0" fontId="203" fillId="56" borderId="175" xfId="0" applyFont="1" applyFill="1" applyBorder="1" applyAlignment="1">
      <alignment horizontal="right" vertical="center"/>
    </xf>
    <xf numFmtId="3" fontId="203" fillId="56" borderId="175" xfId="0" applyNumberFormat="1" applyFont="1" applyFill="1" applyBorder="1" applyAlignment="1">
      <alignment horizontal="center" vertical="center"/>
    </xf>
    <xf numFmtId="0" fontId="203" fillId="56" borderId="139" xfId="0" applyFont="1" applyFill="1" applyBorder="1" applyAlignment="1">
      <alignment horizontal="left" vertical="center"/>
    </xf>
    <xf numFmtId="0" fontId="247" fillId="56" borderId="140" xfId="0" applyFont="1" applyFill="1" applyBorder="1" applyAlignment="1">
      <alignment vertical="center"/>
    </xf>
    <xf numFmtId="0" fontId="247" fillId="56" borderId="141" xfId="0" applyFont="1" applyFill="1" applyBorder="1" applyAlignment="1">
      <alignment vertical="center"/>
    </xf>
    <xf numFmtId="0" fontId="244" fillId="56" borderId="188" xfId="4" applyFont="1" applyFill="1" applyBorder="1" applyAlignment="1">
      <alignment horizontal="right" vertical="center"/>
    </xf>
    <xf numFmtId="1" fontId="244" fillId="56" borderId="188" xfId="4" applyNumberFormat="1" applyFont="1" applyFill="1" applyBorder="1" applyAlignment="1">
      <alignment horizontal="center" vertical="center"/>
    </xf>
    <xf numFmtId="0" fontId="244" fillId="56" borderId="189" xfId="4" applyFont="1" applyFill="1" applyBorder="1" applyAlignment="1">
      <alignment vertical="center"/>
    </xf>
    <xf numFmtId="0" fontId="203" fillId="56" borderId="168" xfId="0" applyFont="1" applyFill="1" applyBorder="1" applyAlignment="1">
      <alignment vertical="center"/>
    </xf>
    <xf numFmtId="0" fontId="203" fillId="56" borderId="169" xfId="0" applyFont="1" applyFill="1" applyBorder="1" applyAlignment="1">
      <alignment vertical="center"/>
    </xf>
    <xf numFmtId="0" fontId="244" fillId="56" borderId="176" xfId="4" applyFont="1" applyFill="1" applyBorder="1" applyAlignment="1">
      <alignment horizontal="right" vertical="center"/>
    </xf>
    <xf numFmtId="0" fontId="244" fillId="56" borderId="143" xfId="4" applyFont="1" applyFill="1" applyBorder="1" applyAlignment="1">
      <alignment vertical="center"/>
    </xf>
    <xf numFmtId="0" fontId="203" fillId="56" borderId="144" xfId="0" applyFont="1" applyFill="1" applyBorder="1" applyAlignment="1">
      <alignment vertical="center"/>
    </xf>
    <xf numFmtId="0" fontId="203" fillId="56" borderId="145" xfId="0" applyFont="1" applyFill="1" applyBorder="1" applyAlignment="1">
      <alignment vertical="center"/>
    </xf>
    <xf numFmtId="0" fontId="245" fillId="56" borderId="174" xfId="4" applyFont="1" applyFill="1" applyBorder="1" applyAlignment="1">
      <alignment horizontal="right" vertical="center"/>
    </xf>
    <xf numFmtId="166" fontId="215" fillId="56" borderId="176" xfId="1" applyNumberFormat="1" applyFont="1" applyFill="1" applyBorder="1" applyAlignment="1">
      <alignment horizontal="center" vertical="center"/>
    </xf>
    <xf numFmtId="0" fontId="32" fillId="14" borderId="0" xfId="0" applyFont="1" applyFill="1" applyAlignment="1">
      <alignment vertical="center"/>
    </xf>
    <xf numFmtId="0" fontId="159" fillId="0" borderId="57" xfId="0" applyFont="1" applyBorder="1" applyAlignment="1">
      <alignment vertical="center"/>
    </xf>
    <xf numFmtId="0" fontId="157" fillId="14" borderId="23" xfId="0" applyFont="1" applyFill="1" applyBorder="1" applyAlignment="1">
      <alignment vertical="center"/>
    </xf>
    <xf numFmtId="0" fontId="157" fillId="0" borderId="59" xfId="0" applyFont="1" applyBorder="1" applyAlignment="1">
      <alignment vertical="center"/>
    </xf>
    <xf numFmtId="0" fontId="157" fillId="0" borderId="60" xfId="0" applyFont="1" applyBorder="1" applyAlignment="1">
      <alignment vertical="center"/>
    </xf>
    <xf numFmtId="9" fontId="157" fillId="0" borderId="30" xfId="1" applyFont="1" applyBorder="1" applyAlignment="1">
      <alignment vertical="center"/>
    </xf>
    <xf numFmtId="0" fontId="157" fillId="0" borderId="0" xfId="0" applyFont="1" applyAlignment="1">
      <alignment horizontal="center" vertical="center"/>
    </xf>
    <xf numFmtId="0" fontId="157" fillId="0" borderId="0" xfId="0" applyFont="1" applyAlignment="1">
      <alignment vertical="center"/>
    </xf>
    <xf numFmtId="168" fontId="9" fillId="57" borderId="190" xfId="0" applyNumberFormat="1" applyFont="1" applyFill="1" applyBorder="1" applyAlignment="1">
      <alignment horizontal="center" vertical="center"/>
    </xf>
    <xf numFmtId="9" fontId="4" fillId="57" borderId="170" xfId="1" applyFont="1" applyFill="1" applyBorder="1" applyAlignment="1">
      <alignment horizontal="center" vertical="center"/>
    </xf>
    <xf numFmtId="0" fontId="30" fillId="0" borderId="0" xfId="0" applyFont="1" applyAlignment="1">
      <alignment horizontal="right" vertical="center"/>
    </xf>
    <xf numFmtId="3" fontId="0" fillId="0" borderId="165" xfId="0" applyNumberFormat="1" applyBorder="1" applyAlignment="1">
      <alignment horizontal="center" vertical="center"/>
    </xf>
    <xf numFmtId="0" fontId="4" fillId="0" borderId="168" xfId="4" applyFont="1" applyBorder="1" applyAlignment="1">
      <alignment vertical="center"/>
    </xf>
    <xf numFmtId="0" fontId="203" fillId="16" borderId="137" xfId="0" applyFont="1" applyFill="1" applyBorder="1" applyAlignment="1">
      <alignment horizontal="center" vertical="center"/>
    </xf>
    <xf numFmtId="0" fontId="203" fillId="16" borderId="138" xfId="0" applyFont="1" applyFill="1" applyBorder="1" applyAlignment="1">
      <alignment horizontal="center" vertical="center"/>
    </xf>
    <xf numFmtId="0" fontId="201" fillId="16" borderId="132" xfId="0" applyFont="1" applyFill="1" applyBorder="1" applyAlignment="1">
      <alignment vertical="center"/>
    </xf>
    <xf numFmtId="0" fontId="61" fillId="29" borderId="134" xfId="0" applyFont="1" applyFill="1" applyBorder="1" applyAlignment="1">
      <alignment vertical="center"/>
    </xf>
    <xf numFmtId="0" fontId="59" fillId="0" borderId="120" xfId="0" applyFont="1" applyBorder="1" applyAlignment="1">
      <alignment vertical="center"/>
    </xf>
    <xf numFmtId="0" fontId="162" fillId="29" borderId="134" xfId="0" applyFont="1" applyFill="1" applyBorder="1" applyAlignment="1">
      <alignment vertical="center" wrapText="1"/>
    </xf>
    <xf numFmtId="0" fontId="61" fillId="29" borderId="120" xfId="0" applyFont="1" applyFill="1" applyBorder="1" applyAlignment="1">
      <alignment vertical="center"/>
    </xf>
    <xf numFmtId="0" fontId="59" fillId="0" borderId="129" xfId="0" applyFont="1" applyBorder="1" applyAlignment="1">
      <alignment vertical="center" wrapText="1"/>
    </xf>
    <xf numFmtId="0" fontId="162" fillId="29" borderId="134" xfId="0" applyFont="1" applyFill="1" applyBorder="1" applyAlignment="1">
      <alignment vertical="center"/>
    </xf>
    <xf numFmtId="0" fontId="59" fillId="0" borderId="129" xfId="0" applyFont="1" applyBorder="1" applyAlignment="1">
      <alignment vertical="center"/>
    </xf>
    <xf numFmtId="10" fontId="40" fillId="0" borderId="108" xfId="0" applyNumberFormat="1" applyFont="1" applyBorder="1" applyAlignment="1">
      <alignment horizontal="center" vertical="center"/>
    </xf>
    <xf numFmtId="9" fontId="40" fillId="0" borderId="108" xfId="0" applyNumberFormat="1" applyFont="1" applyBorder="1" applyAlignment="1">
      <alignment horizontal="center" vertical="center"/>
    </xf>
    <xf numFmtId="166" fontId="40" fillId="14" borderId="108" xfId="0" applyNumberFormat="1" applyFont="1" applyFill="1" applyBorder="1" applyAlignment="1">
      <alignment horizontal="center" vertical="center"/>
    </xf>
    <xf numFmtId="0" fontId="40" fillId="0" borderId="115" xfId="0" applyFont="1" applyBorder="1" applyAlignment="1">
      <alignment horizontal="center" vertical="center"/>
    </xf>
    <xf numFmtId="10" fontId="121" fillId="0" borderId="111" xfId="0" applyNumberFormat="1" applyFont="1" applyBorder="1" applyAlignment="1">
      <alignment horizontal="center" vertical="center"/>
    </xf>
    <xf numFmtId="0" fontId="163" fillId="29" borderId="125" xfId="0" applyFont="1" applyFill="1" applyBorder="1" applyAlignment="1" applyProtection="1">
      <alignment vertical="center"/>
      <protection locked="0"/>
    </xf>
    <xf numFmtId="165" fontId="199" fillId="0" borderId="23" xfId="0" applyNumberFormat="1" applyFont="1" applyBorder="1" applyAlignment="1" applyProtection="1">
      <alignment horizontal="center" vertical="center"/>
      <protection locked="0"/>
    </xf>
    <xf numFmtId="0" fontId="61" fillId="0" borderId="114" xfId="0" applyFont="1" applyBorder="1" applyAlignment="1">
      <alignment horizontal="center" vertical="center"/>
    </xf>
    <xf numFmtId="0" fontId="200" fillId="0" borderId="114" xfId="0" applyFont="1" applyBorder="1" applyAlignment="1">
      <alignment horizontal="left" vertical="center" wrapText="1"/>
    </xf>
    <xf numFmtId="165" fontId="40" fillId="0" borderId="23" xfId="0" applyNumberFormat="1" applyFont="1" applyBorder="1" applyAlignment="1" applyProtection="1">
      <alignment horizontal="center" vertical="center"/>
      <protection locked="0"/>
    </xf>
    <xf numFmtId="10" fontId="194" fillId="0" borderId="114" xfId="0" applyNumberFormat="1" applyFont="1" applyBorder="1" applyAlignment="1" applyProtection="1">
      <alignment horizontal="center" vertical="center"/>
      <protection locked="0"/>
    </xf>
    <xf numFmtId="0" fontId="194" fillId="0" borderId="114" xfId="0" applyFont="1" applyBorder="1" applyAlignment="1" applyProtection="1">
      <alignment horizontal="center" vertical="center"/>
      <protection locked="0"/>
    </xf>
    <xf numFmtId="0" fontId="201" fillId="0" borderId="114" xfId="0" applyFont="1" applyBorder="1" applyAlignment="1">
      <alignment vertical="center"/>
    </xf>
    <xf numFmtId="0" fontId="201" fillId="0" borderId="195" xfId="0" applyFont="1" applyBorder="1" applyAlignment="1">
      <alignment vertical="center"/>
    </xf>
    <xf numFmtId="0" fontId="63" fillId="0" borderId="120" xfId="0" applyFont="1" applyBorder="1" applyAlignment="1">
      <alignment horizontal="left" vertical="center"/>
    </xf>
    <xf numFmtId="10" fontId="40" fillId="0" borderId="108" xfId="1" applyNumberFormat="1" applyFont="1" applyFill="1" applyBorder="1" applyAlignment="1" applyProtection="1">
      <alignment horizontal="center" vertical="center"/>
      <protection locked="0"/>
    </xf>
    <xf numFmtId="0" fontId="163" fillId="29" borderId="196" xfId="0" applyFont="1" applyFill="1" applyBorder="1" applyAlignment="1" applyProtection="1">
      <alignment horizontal="center" vertical="center"/>
      <protection locked="0"/>
    </xf>
    <xf numFmtId="0" fontId="61" fillId="29" borderId="197" xfId="0" applyFont="1" applyFill="1" applyBorder="1" applyAlignment="1">
      <alignment horizontal="center" vertical="center"/>
    </xf>
    <xf numFmtId="10" fontId="40" fillId="0" borderId="198" xfId="0" applyNumberFormat="1" applyFont="1" applyBorder="1" applyAlignment="1">
      <alignment horizontal="center" vertical="center"/>
    </xf>
    <xf numFmtId="9" fontId="40" fillId="0" borderId="198" xfId="0" applyNumberFormat="1" applyFont="1" applyBorder="1" applyAlignment="1">
      <alignment horizontal="center" vertical="center"/>
    </xf>
    <xf numFmtId="166" fontId="40" fillId="11" borderId="198" xfId="0" applyNumberFormat="1" applyFont="1" applyFill="1" applyBorder="1" applyAlignment="1">
      <alignment horizontal="center" vertical="center"/>
    </xf>
    <xf numFmtId="0" fontId="161" fillId="29" borderId="199" xfId="0" applyFont="1" applyFill="1" applyBorder="1" applyAlignment="1" applyProtection="1">
      <alignment horizontal="center" vertical="center"/>
      <protection locked="0"/>
    </xf>
    <xf numFmtId="0" fontId="61" fillId="29" borderId="198" xfId="0" applyFont="1" applyFill="1" applyBorder="1" applyAlignment="1">
      <alignment horizontal="center" vertical="center"/>
    </xf>
    <xf numFmtId="10" fontId="40" fillId="0" borderId="198" xfId="1" applyNumberFormat="1" applyFont="1" applyFill="1" applyBorder="1" applyAlignment="1" applyProtection="1">
      <alignment horizontal="center" vertical="center"/>
      <protection locked="0"/>
    </xf>
    <xf numFmtId="0" fontId="40" fillId="0" borderId="165" xfId="0" applyFont="1" applyBorder="1" applyAlignment="1">
      <alignment vertical="center"/>
    </xf>
    <xf numFmtId="0" fontId="162" fillId="29" borderId="197" xfId="0" applyFont="1" applyFill="1" applyBorder="1" applyAlignment="1">
      <alignment horizontal="center" vertical="center"/>
    </xf>
    <xf numFmtId="166" fontId="40" fillId="0" borderId="198" xfId="0" applyNumberFormat="1" applyFont="1" applyBorder="1" applyAlignment="1">
      <alignment horizontal="center" vertical="center"/>
    </xf>
    <xf numFmtId="10" fontId="121" fillId="0" borderId="198" xfId="0" applyNumberFormat="1" applyFont="1" applyBorder="1" applyAlignment="1">
      <alignment horizontal="center" vertical="center"/>
    </xf>
    <xf numFmtId="1" fontId="121" fillId="0" borderId="198" xfId="0" applyNumberFormat="1" applyFont="1" applyBorder="1" applyAlignment="1">
      <alignment horizontal="center" vertical="center"/>
    </xf>
    <xf numFmtId="9" fontId="40" fillId="2" borderId="198" xfId="0" applyNumberFormat="1" applyFont="1" applyFill="1" applyBorder="1" applyAlignment="1" applyProtection="1">
      <alignment horizontal="center" vertical="center"/>
      <protection locked="0"/>
    </xf>
    <xf numFmtId="9" fontId="40" fillId="2" borderId="200" xfId="0" applyNumberFormat="1" applyFont="1" applyFill="1" applyBorder="1" applyAlignment="1" applyProtection="1">
      <alignment horizontal="center" vertical="center"/>
      <protection locked="0"/>
    </xf>
    <xf numFmtId="0" fontId="48" fillId="29" borderId="197" xfId="0" applyFont="1" applyFill="1" applyBorder="1" applyAlignment="1">
      <alignment horizontal="center" vertical="center"/>
    </xf>
    <xf numFmtId="10" fontId="121" fillId="0" borderId="201" xfId="0" applyNumberFormat="1" applyFont="1" applyBorder="1" applyAlignment="1">
      <alignment horizontal="center" vertical="center"/>
    </xf>
    <xf numFmtId="0" fontId="107" fillId="0" borderId="128" xfId="0" applyFont="1" applyBorder="1" applyAlignment="1">
      <alignment vertical="center"/>
    </xf>
    <xf numFmtId="176" fontId="121" fillId="0" borderId="131" xfId="0" applyNumberFormat="1" applyFont="1" applyBorder="1" applyAlignment="1" applyProtection="1">
      <alignment horizontal="center" vertical="center"/>
      <protection locked="0"/>
    </xf>
    <xf numFmtId="176" fontId="121" fillId="0" borderId="110" xfId="0" applyNumberFormat="1" applyFont="1" applyBorder="1" applyAlignment="1" applyProtection="1">
      <alignment horizontal="center" vertical="center"/>
      <protection locked="0"/>
    </xf>
    <xf numFmtId="0" fontId="107" fillId="0" borderId="120" xfId="0" applyFont="1" applyBorder="1" applyAlignment="1">
      <alignment horizontal="left" vertical="center"/>
    </xf>
    <xf numFmtId="166" fontId="121" fillId="0" borderId="132" xfId="0" applyNumberFormat="1" applyFont="1" applyBorder="1" applyAlignment="1" applyProtection="1">
      <alignment horizontal="center" vertical="center"/>
      <protection locked="0"/>
    </xf>
    <xf numFmtId="166" fontId="121" fillId="0" borderId="108" xfId="0" applyNumberFormat="1" applyFont="1" applyBorder="1" applyAlignment="1" applyProtection="1">
      <alignment horizontal="center" vertical="center"/>
      <protection locked="0"/>
    </xf>
    <xf numFmtId="176" fontId="121" fillId="0" borderId="132" xfId="0" applyNumberFormat="1" applyFont="1" applyBorder="1" applyAlignment="1" applyProtection="1">
      <alignment horizontal="center" vertical="center"/>
      <protection locked="0"/>
    </xf>
    <xf numFmtId="176" fontId="121" fillId="0" borderId="108" xfId="0" applyNumberFormat="1" applyFont="1" applyBorder="1" applyAlignment="1" applyProtection="1">
      <alignment horizontal="center" vertical="center"/>
      <protection locked="0"/>
    </xf>
    <xf numFmtId="0" fontId="107" fillId="0" borderId="120" xfId="0" applyFont="1" applyBorder="1" applyAlignment="1">
      <alignment horizontal="left" vertical="center" wrapText="1"/>
    </xf>
    <xf numFmtId="165" fontId="121" fillId="0" borderId="132" xfId="0" applyNumberFormat="1" applyFont="1" applyBorder="1" applyAlignment="1" applyProtection="1">
      <alignment horizontal="center" vertical="center"/>
      <protection locked="0"/>
    </xf>
    <xf numFmtId="165" fontId="121" fillId="0" borderId="108" xfId="0" applyNumberFormat="1" applyFont="1" applyBorder="1" applyAlignment="1" applyProtection="1">
      <alignment horizontal="center" vertical="center"/>
      <protection locked="0"/>
    </xf>
    <xf numFmtId="0" fontId="107" fillId="0" borderId="129" xfId="0" applyFont="1" applyBorder="1" applyAlignment="1">
      <alignment horizontal="left" vertical="center"/>
    </xf>
    <xf numFmtId="9" fontId="40" fillId="0" borderId="133" xfId="0" applyNumberFormat="1" applyFont="1" applyBorder="1" applyAlignment="1" applyProtection="1">
      <alignment horizontal="center" vertical="center"/>
      <protection locked="0"/>
    </xf>
    <xf numFmtId="9" fontId="40" fillId="0" borderId="111" xfId="0" applyNumberFormat="1" applyFont="1" applyBorder="1" applyAlignment="1" applyProtection="1">
      <alignment horizontal="center" vertical="center"/>
      <protection locked="0"/>
    </xf>
    <xf numFmtId="0" fontId="163" fillId="60" borderId="191" xfId="0" applyFont="1" applyFill="1" applyBorder="1" applyAlignment="1" applyProtection="1">
      <alignment horizontal="center" vertical="center"/>
      <protection locked="0"/>
    </xf>
    <xf numFmtId="0" fontId="61" fillId="60" borderId="110" xfId="0" applyFont="1" applyFill="1" applyBorder="1" applyAlignment="1">
      <alignment horizontal="center" vertical="center"/>
    </xf>
    <xf numFmtId="0" fontId="161" fillId="60" borderId="191" xfId="0" applyFont="1" applyFill="1" applyBorder="1" applyAlignment="1" applyProtection="1">
      <alignment horizontal="center" vertical="center"/>
      <protection locked="0"/>
    </xf>
    <xf numFmtId="0" fontId="162" fillId="60" borderId="135" xfId="0" applyFont="1" applyFill="1" applyBorder="1" applyAlignment="1">
      <alignment horizontal="center" vertical="center"/>
    </xf>
    <xf numFmtId="0" fontId="48" fillId="60" borderId="135" xfId="0" applyFont="1" applyFill="1" applyBorder="1" applyAlignment="1">
      <alignment horizontal="center" vertical="center"/>
    </xf>
    <xf numFmtId="0" fontId="61" fillId="60" borderId="130" xfId="0" applyFont="1" applyFill="1" applyBorder="1" applyAlignment="1">
      <alignment horizontal="center" vertical="center"/>
    </xf>
    <xf numFmtId="0" fontId="201" fillId="0" borderId="108" xfId="0" applyFont="1" applyBorder="1" applyAlignment="1">
      <alignment vertical="center"/>
    </xf>
    <xf numFmtId="0" fontId="203" fillId="16" borderId="125" xfId="0" applyFont="1" applyFill="1" applyBorder="1" applyAlignment="1">
      <alignment vertical="center"/>
    </xf>
    <xf numFmtId="0" fontId="203" fillId="16" borderId="137" xfId="0" applyFont="1" applyFill="1" applyBorder="1" applyAlignment="1">
      <alignment vertical="center"/>
    </xf>
    <xf numFmtId="0" fontId="162" fillId="29" borderId="136" xfId="0" applyFont="1" applyFill="1" applyBorder="1" applyAlignment="1">
      <alignment horizontal="center" vertical="center"/>
    </xf>
    <xf numFmtId="1" fontId="121" fillId="0" borderId="39" xfId="0" applyNumberFormat="1" applyFont="1" applyBorder="1" applyAlignment="1" applyProtection="1">
      <alignment horizontal="center" vertical="center"/>
      <protection locked="0"/>
    </xf>
    <xf numFmtId="0" fontId="121" fillId="0" borderId="23" xfId="0" applyFont="1" applyBorder="1" applyAlignment="1">
      <alignment horizontal="left" vertical="center"/>
    </xf>
    <xf numFmtId="165" fontId="121" fillId="0" borderId="39" xfId="0" applyNumberFormat="1" applyFont="1" applyBorder="1" applyAlignment="1" applyProtection="1">
      <alignment horizontal="center" vertical="center"/>
      <protection locked="0"/>
    </xf>
    <xf numFmtId="1" fontId="121" fillId="0" borderId="209" xfId="0" applyNumberFormat="1" applyFont="1" applyBorder="1" applyAlignment="1" applyProtection="1">
      <alignment horizontal="center" vertical="center"/>
      <protection locked="0"/>
    </xf>
    <xf numFmtId="0" fontId="121" fillId="0" borderId="210" xfId="0" applyFont="1" applyBorder="1" applyAlignment="1">
      <alignment vertical="center"/>
    </xf>
    <xf numFmtId="0" fontId="40" fillId="0" borderId="210" xfId="0" applyFont="1" applyBorder="1" applyAlignment="1">
      <alignment vertical="center"/>
    </xf>
    <xf numFmtId="0" fontId="40" fillId="0" borderId="211" xfId="0" applyFont="1" applyBorder="1" applyAlignment="1">
      <alignment vertical="center"/>
    </xf>
    <xf numFmtId="169" fontId="43" fillId="0" borderId="212" xfId="0" applyNumberFormat="1" applyFont="1" applyBorder="1" applyAlignment="1">
      <alignment horizontal="center" vertical="center"/>
    </xf>
    <xf numFmtId="0" fontId="43" fillId="0" borderId="219" xfId="0" applyFont="1" applyBorder="1" applyAlignment="1">
      <alignment horizontal="left" vertical="center"/>
    </xf>
    <xf numFmtId="0" fontId="43" fillId="0" borderId="209" xfId="0" applyFont="1" applyBorder="1" applyAlignment="1">
      <alignment horizontal="center" vertical="center"/>
    </xf>
    <xf numFmtId="9" fontId="121" fillId="0" borderId="198" xfId="0" applyNumberFormat="1" applyFont="1" applyBorder="1" applyAlignment="1">
      <alignment horizontal="center" vertical="center"/>
    </xf>
    <xf numFmtId="9" fontId="121" fillId="0" borderId="108" xfId="0" applyNumberFormat="1" applyFont="1" applyBorder="1" applyAlignment="1">
      <alignment horizontal="center" vertical="center"/>
    </xf>
    <xf numFmtId="10" fontId="40" fillId="0" borderId="200" xfId="0" applyNumberFormat="1" applyFont="1" applyBorder="1" applyAlignment="1" applyProtection="1">
      <alignment horizontal="center" vertical="center"/>
      <protection locked="0"/>
    </xf>
    <xf numFmtId="10" fontId="40" fillId="0" borderId="111" xfId="0" applyNumberFormat="1" applyFont="1" applyBorder="1" applyAlignment="1" applyProtection="1">
      <alignment horizontal="center" vertical="center"/>
      <protection locked="0"/>
    </xf>
    <xf numFmtId="0" fontId="172" fillId="0" borderId="214" xfId="0" applyFont="1" applyBorder="1" applyAlignment="1">
      <alignment horizontal="center" vertical="center"/>
    </xf>
    <xf numFmtId="0" fontId="172" fillId="0" borderId="217" xfId="0" applyFont="1" applyBorder="1" applyAlignment="1">
      <alignment horizontal="center" vertical="center"/>
    </xf>
    <xf numFmtId="1" fontId="172" fillId="59" borderId="218" xfId="0" applyNumberFormat="1" applyFont="1" applyFill="1" applyBorder="1" applyAlignment="1" applyProtection="1">
      <alignment horizontal="center" vertical="center"/>
      <protection locked="0"/>
    </xf>
    <xf numFmtId="0" fontId="180" fillId="0" borderId="209" xfId="0" applyFont="1" applyBorder="1" applyAlignment="1">
      <alignment horizontal="center" vertical="center"/>
    </xf>
    <xf numFmtId="1" fontId="176" fillId="11" borderId="220" xfId="0" applyNumberFormat="1" applyFont="1" applyFill="1" applyBorder="1" applyAlignment="1">
      <alignment horizontal="center" vertical="center"/>
    </xf>
    <xf numFmtId="168" fontId="9" fillId="0" borderId="30" xfId="0" applyNumberFormat="1" applyFont="1" applyBorder="1" applyAlignment="1">
      <alignment horizontal="center" vertical="center"/>
    </xf>
    <xf numFmtId="169" fontId="9" fillId="3" borderId="60" xfId="0" applyNumberFormat="1" applyFont="1" applyFill="1" applyBorder="1" applyAlignment="1">
      <alignment horizontal="center" vertical="center"/>
    </xf>
    <xf numFmtId="0" fontId="9" fillId="0" borderId="30" xfId="0" applyFont="1" applyBorder="1" applyAlignment="1">
      <alignment horizontal="center" vertical="center"/>
    </xf>
    <xf numFmtId="170" fontId="9" fillId="0" borderId="60" xfId="0" applyNumberFormat="1" applyFont="1" applyBorder="1" applyAlignment="1">
      <alignment horizontal="center" vertical="center"/>
    </xf>
    <xf numFmtId="0" fontId="30" fillId="0" borderId="0" xfId="0" applyFont="1" applyAlignment="1">
      <alignment horizontal="center" vertical="center"/>
    </xf>
    <xf numFmtId="0" fontId="30" fillId="0" borderId="0" xfId="0" applyFont="1"/>
    <xf numFmtId="3" fontId="9" fillId="0" borderId="30" xfId="0" applyNumberFormat="1" applyFont="1" applyBorder="1" applyAlignment="1">
      <alignment horizontal="center" vertical="center"/>
    </xf>
    <xf numFmtId="169" fontId="9" fillId="0" borderId="60" xfId="0" applyNumberFormat="1" applyFont="1" applyBorder="1" applyAlignment="1">
      <alignment horizontal="center" vertical="center"/>
    </xf>
    <xf numFmtId="3" fontId="30" fillId="0" borderId="30" xfId="0" applyNumberFormat="1" applyFont="1" applyBorder="1" applyAlignment="1">
      <alignment horizontal="center" vertical="center"/>
    </xf>
    <xf numFmtId="171" fontId="30" fillId="3" borderId="60" xfId="0" applyNumberFormat="1" applyFont="1" applyFill="1" applyBorder="1" applyAlignment="1">
      <alignment horizontal="center" vertical="center"/>
    </xf>
    <xf numFmtId="169" fontId="30" fillId="0" borderId="60" xfId="0" applyNumberFormat="1" applyFont="1" applyBorder="1" applyAlignment="1">
      <alignment horizontal="center" vertical="center"/>
    </xf>
    <xf numFmtId="167" fontId="18" fillId="0" borderId="60" xfId="0" applyNumberFormat="1" applyFont="1" applyBorder="1" applyAlignment="1">
      <alignment horizontal="center" vertical="center"/>
    </xf>
    <xf numFmtId="166" fontId="9" fillId="0" borderId="60" xfId="0" applyNumberFormat="1" applyFont="1" applyBorder="1" applyAlignment="1">
      <alignment horizontal="center" vertical="center"/>
    </xf>
    <xf numFmtId="170" fontId="30" fillId="0" borderId="60" xfId="0" applyNumberFormat="1" applyFont="1" applyBorder="1" applyAlignment="1">
      <alignment horizontal="center" vertical="center"/>
    </xf>
    <xf numFmtId="3" fontId="30" fillId="0" borderId="62" xfId="0" applyNumberFormat="1" applyFont="1" applyBorder="1" applyAlignment="1">
      <alignment horizontal="center" vertical="center"/>
    </xf>
    <xf numFmtId="166" fontId="30" fillId="0" borderId="63" xfId="0" applyNumberFormat="1" applyFont="1" applyBorder="1" applyAlignment="1">
      <alignment horizontal="center" vertical="center"/>
    </xf>
    <xf numFmtId="171" fontId="30" fillId="0" borderId="63" xfId="0" applyNumberFormat="1" applyFont="1" applyBorder="1" applyAlignment="1">
      <alignment horizontal="center" vertical="center"/>
    </xf>
    <xf numFmtId="3" fontId="18" fillId="0" borderId="30" xfId="0" applyNumberFormat="1" applyFont="1" applyBorder="1" applyAlignment="1">
      <alignment horizontal="center" vertical="center"/>
    </xf>
    <xf numFmtId="169" fontId="18" fillId="0" borderId="60" xfId="0" applyNumberFormat="1" applyFont="1" applyBorder="1" applyAlignment="1">
      <alignment horizontal="center" vertical="center"/>
    </xf>
    <xf numFmtId="0" fontId="29" fillId="0" borderId="30" xfId="0" applyFont="1" applyBorder="1" applyAlignment="1">
      <alignment horizontal="center" vertical="center"/>
    </xf>
    <xf numFmtId="9" fontId="9" fillId="0" borderId="60" xfId="0" applyNumberFormat="1" applyFont="1" applyBorder="1" applyAlignment="1">
      <alignment horizontal="center" vertical="center"/>
    </xf>
    <xf numFmtId="0" fontId="18" fillId="0" borderId="30" xfId="0" applyFont="1" applyBorder="1" applyAlignment="1">
      <alignment horizontal="center" vertical="center"/>
    </xf>
    <xf numFmtId="168" fontId="30" fillId="0" borderId="60" xfId="0" applyNumberFormat="1" applyFont="1" applyBorder="1" applyAlignment="1">
      <alignment horizontal="center" vertical="center"/>
    </xf>
    <xf numFmtId="0" fontId="18" fillId="0" borderId="39" xfId="0" applyFont="1" applyBorder="1" applyAlignment="1">
      <alignment horizontal="center" vertical="center"/>
    </xf>
    <xf numFmtId="168" fontId="30" fillId="0" borderId="160" xfId="0" applyNumberFormat="1" applyFont="1" applyBorder="1" applyAlignment="1">
      <alignment horizontal="center" vertical="center"/>
    </xf>
    <xf numFmtId="0" fontId="18" fillId="0" borderId="62" xfId="0" applyFont="1" applyBorder="1" applyAlignment="1">
      <alignment horizontal="center" vertical="center"/>
    </xf>
    <xf numFmtId="169" fontId="18" fillId="0" borderId="63" xfId="0" applyNumberFormat="1" applyFont="1" applyBorder="1" applyAlignment="1">
      <alignment horizontal="center" vertical="center"/>
    </xf>
    <xf numFmtId="3" fontId="253" fillId="16" borderId="122" xfId="0" applyNumberFormat="1" applyFont="1" applyFill="1" applyBorder="1" applyAlignment="1">
      <alignment horizontal="center" vertical="center"/>
    </xf>
    <xf numFmtId="168" fontId="9" fillId="0" borderId="123" xfId="0" applyNumberFormat="1" applyFont="1" applyBorder="1" applyAlignment="1" applyProtection="1">
      <alignment horizontal="center" vertical="center"/>
      <protection locked="0"/>
    </xf>
    <xf numFmtId="3" fontId="29" fillId="0" borderId="30" xfId="0" applyNumberFormat="1" applyFont="1" applyBorder="1" applyAlignment="1">
      <alignment horizontal="center" vertical="center"/>
    </xf>
    <xf numFmtId="3" fontId="29" fillId="2" borderId="60" xfId="0" applyNumberFormat="1" applyFont="1" applyFill="1" applyBorder="1" applyAlignment="1" applyProtection="1">
      <alignment horizontal="center" vertical="center"/>
      <protection locked="0"/>
    </xf>
    <xf numFmtId="168" fontId="29" fillId="0" borderId="60" xfId="0" applyNumberFormat="1" applyFont="1" applyBorder="1" applyAlignment="1">
      <alignment horizontal="center" vertical="center"/>
    </xf>
    <xf numFmtId="9" fontId="18" fillId="2" borderId="60" xfId="0" applyNumberFormat="1" applyFont="1" applyFill="1" applyBorder="1" applyAlignment="1" applyProtection="1">
      <alignment horizontal="center" vertical="center"/>
      <protection locked="0"/>
    </xf>
    <xf numFmtId="10" fontId="18" fillId="2" borderId="60" xfId="0" applyNumberFormat="1" applyFont="1" applyFill="1" applyBorder="1" applyAlignment="1" applyProtection="1">
      <alignment horizontal="center" vertical="center"/>
      <protection locked="0"/>
    </xf>
    <xf numFmtId="168" fontId="18" fillId="2" borderId="60" xfId="0" applyNumberFormat="1" applyFont="1" applyFill="1" applyBorder="1" applyAlignment="1" applyProtection="1">
      <alignment horizontal="center" vertical="center"/>
      <protection locked="0"/>
    </xf>
    <xf numFmtId="10" fontId="18" fillId="0" borderId="60" xfId="0" applyNumberFormat="1" applyFont="1" applyBorder="1" applyAlignment="1">
      <alignment horizontal="center" vertical="center"/>
    </xf>
    <xf numFmtId="0" fontId="29" fillId="0" borderId="39" xfId="0" applyFont="1" applyBorder="1" applyAlignment="1">
      <alignment horizontal="center" vertical="center"/>
    </xf>
    <xf numFmtId="9" fontId="29" fillId="0" borderId="160" xfId="0" applyNumberFormat="1" applyFont="1" applyBorder="1" applyAlignment="1">
      <alignment horizontal="center" vertical="center"/>
    </xf>
    <xf numFmtId="168" fontId="18" fillId="2" borderId="160" xfId="0" applyNumberFormat="1" applyFont="1" applyFill="1" applyBorder="1" applyAlignment="1" applyProtection="1">
      <alignment horizontal="center" vertical="center"/>
      <protection locked="0"/>
    </xf>
    <xf numFmtId="0" fontId="18" fillId="0" borderId="209" xfId="0" applyFont="1" applyBorder="1" applyAlignment="1">
      <alignment horizontal="center" vertical="center"/>
    </xf>
    <xf numFmtId="168" fontId="196" fillId="0" borderId="220" xfId="0" applyNumberFormat="1" applyFont="1" applyBorder="1" applyAlignment="1" applyProtection="1">
      <alignment horizontal="center" vertical="center"/>
      <protection locked="0"/>
    </xf>
    <xf numFmtId="0" fontId="172" fillId="0" borderId="222" xfId="0" applyFont="1" applyBorder="1" applyAlignment="1">
      <alignment horizontal="center" vertical="center"/>
    </xf>
    <xf numFmtId="1" fontId="172" fillId="59" borderId="223" xfId="0" applyNumberFormat="1" applyFont="1" applyFill="1" applyBorder="1" applyAlignment="1" applyProtection="1">
      <alignment horizontal="center" vertical="center"/>
      <protection locked="0"/>
    </xf>
    <xf numFmtId="0" fontId="18" fillId="0" borderId="34" xfId="0" applyFont="1" applyBorder="1" applyAlignment="1">
      <alignment horizontal="center" vertical="center"/>
    </xf>
    <xf numFmtId="1" fontId="18" fillId="0" borderId="79" xfId="0" applyNumberFormat="1" applyFont="1" applyBorder="1" applyAlignment="1">
      <alignment horizontal="center" vertical="center"/>
    </xf>
    <xf numFmtId="0" fontId="18" fillId="0" borderId="225" xfId="0" applyFont="1" applyBorder="1" applyAlignment="1">
      <alignment horizontal="center" vertical="center"/>
    </xf>
    <xf numFmtId="166" fontId="29" fillId="0" borderId="226" xfId="0" applyNumberFormat="1" applyFont="1" applyBorder="1" applyAlignment="1">
      <alignment horizontal="center" vertical="center"/>
    </xf>
    <xf numFmtId="0" fontId="18" fillId="0" borderId="228" xfId="0" applyFont="1" applyBorder="1" applyAlignment="1">
      <alignment horizontal="center" vertical="center"/>
    </xf>
    <xf numFmtId="168" fontId="29" fillId="0" borderId="229" xfId="0" applyNumberFormat="1" applyFont="1" applyBorder="1" applyAlignment="1">
      <alignment horizontal="center" vertical="center"/>
    </xf>
    <xf numFmtId="0" fontId="29" fillId="0" borderId="59" xfId="0" applyFont="1" applyBorder="1" applyAlignment="1">
      <alignment horizontal="right" vertical="center"/>
    </xf>
    <xf numFmtId="0" fontId="18" fillId="0" borderId="59" xfId="0" applyFont="1" applyBorder="1" applyAlignment="1">
      <alignment horizontal="right" vertical="center"/>
    </xf>
    <xf numFmtId="0" fontId="18" fillId="0" borderId="61" xfId="0" applyFont="1" applyBorder="1" applyAlignment="1">
      <alignment horizontal="right" vertical="center"/>
    </xf>
    <xf numFmtId="0" fontId="18" fillId="0" borderId="159" xfId="0" applyFont="1" applyBorder="1" applyAlignment="1">
      <alignment horizontal="right" vertical="center"/>
    </xf>
    <xf numFmtId="3" fontId="253" fillId="16" borderId="121" xfId="0" applyNumberFormat="1" applyFont="1" applyFill="1" applyBorder="1" applyAlignment="1">
      <alignment horizontal="right" vertical="center"/>
    </xf>
    <xf numFmtId="170" fontId="18" fillId="0" borderId="59" xfId="0" applyNumberFormat="1" applyFont="1" applyBorder="1" applyAlignment="1">
      <alignment horizontal="right" vertical="center"/>
    </xf>
    <xf numFmtId="0" fontId="180" fillId="0" borderId="219" xfId="0" applyFont="1" applyBorder="1" applyAlignment="1">
      <alignment horizontal="right" vertical="center"/>
    </xf>
    <xf numFmtId="0" fontId="18" fillId="0" borderId="224" xfId="0" applyFont="1" applyBorder="1" applyAlignment="1">
      <alignment horizontal="right" vertical="center"/>
    </xf>
    <xf numFmtId="0" fontId="18" fillId="0" borderId="78" xfId="0" applyFont="1" applyBorder="1" applyAlignment="1">
      <alignment horizontal="right" vertical="center"/>
    </xf>
    <xf numFmtId="0" fontId="29" fillId="0" borderId="159" xfId="0" applyFont="1" applyBorder="1" applyAlignment="1">
      <alignment horizontal="right" vertical="center"/>
    </xf>
    <xf numFmtId="170" fontId="18" fillId="0" borderId="227" xfId="0" applyNumberFormat="1" applyFont="1" applyBorder="1" applyAlignment="1">
      <alignment horizontal="right" vertical="center"/>
    </xf>
    <xf numFmtId="0" fontId="18" fillId="0" borderId="219" xfId="0" applyFont="1" applyBorder="1" applyAlignment="1">
      <alignment horizontal="right" vertical="center"/>
    </xf>
    <xf numFmtId="0" fontId="172" fillId="0" borderId="213" xfId="0" applyFont="1" applyBorder="1" applyAlignment="1">
      <alignment horizontal="right" vertical="center"/>
    </xf>
    <xf numFmtId="170" fontId="172" fillId="0" borderId="216" xfId="0" applyNumberFormat="1" applyFont="1" applyBorder="1" applyAlignment="1">
      <alignment horizontal="right" vertical="center"/>
    </xf>
    <xf numFmtId="170" fontId="172" fillId="0" borderId="221" xfId="0" applyNumberFormat="1" applyFont="1" applyBorder="1" applyAlignment="1">
      <alignment horizontal="right" vertical="center"/>
    </xf>
    <xf numFmtId="4" fontId="172" fillId="0" borderId="215" xfId="0" applyNumberFormat="1" applyFont="1" applyBorder="1" applyAlignment="1">
      <alignment horizontal="center" vertical="center"/>
    </xf>
    <xf numFmtId="165" fontId="129" fillId="0" borderId="60" xfId="0" applyNumberFormat="1" applyFont="1" applyBorder="1" applyAlignment="1">
      <alignment horizontal="center" vertical="center"/>
    </xf>
    <xf numFmtId="168" fontId="47" fillId="0" borderId="59" xfId="0" applyNumberFormat="1" applyFont="1" applyBorder="1" applyAlignment="1">
      <alignment horizontal="center" vertical="center"/>
    </xf>
    <xf numFmtId="0" fontId="43" fillId="0" borderId="159" xfId="0" applyFont="1" applyBorder="1" applyAlignment="1">
      <alignment horizontal="left" vertical="center"/>
    </xf>
    <xf numFmtId="171" fontId="43" fillId="2" borderId="220" xfId="0" applyNumberFormat="1" applyFont="1" applyFill="1" applyBorder="1" applyAlignment="1" applyProtection="1">
      <alignment horizontal="center" vertical="center"/>
      <protection locked="0"/>
    </xf>
    <xf numFmtId="167" fontId="47" fillId="0" borderId="59" xfId="0" applyNumberFormat="1" applyFont="1" applyBorder="1" applyAlignment="1">
      <alignment horizontal="center" vertical="center"/>
    </xf>
    <xf numFmtId="167" fontId="47" fillId="0" borderId="60" xfId="0" applyNumberFormat="1" applyFont="1" applyBorder="1" applyAlignment="1">
      <alignment horizontal="center" vertical="center"/>
    </xf>
    <xf numFmtId="170" fontId="43" fillId="2" borderId="60" xfId="0" applyNumberFormat="1" applyFont="1" applyFill="1" applyBorder="1" applyAlignment="1" applyProtection="1">
      <alignment horizontal="center" vertical="center"/>
      <protection locked="0"/>
    </xf>
    <xf numFmtId="170" fontId="43" fillId="2" borderId="160" xfId="0" applyNumberFormat="1" applyFont="1" applyFill="1" applyBorder="1" applyAlignment="1" applyProtection="1">
      <alignment horizontal="center" vertical="center"/>
      <protection locked="0"/>
    </xf>
    <xf numFmtId="10" fontId="121" fillId="0" borderId="108" xfId="0" applyNumberFormat="1" applyFont="1" applyBorder="1" applyAlignment="1" applyProtection="1">
      <alignment horizontal="center" vertical="center"/>
      <protection locked="0"/>
    </xf>
    <xf numFmtId="1" fontId="121" fillId="0" borderId="108" xfId="0" applyNumberFormat="1" applyFont="1" applyBorder="1" applyAlignment="1" applyProtection="1">
      <alignment horizontal="center" vertical="center"/>
      <protection locked="0"/>
    </xf>
    <xf numFmtId="166" fontId="40" fillId="0" borderId="108" xfId="0" applyNumberFormat="1" applyFont="1" applyBorder="1" applyAlignment="1" applyProtection="1">
      <alignment horizontal="center" vertical="center"/>
      <protection locked="0"/>
    </xf>
    <xf numFmtId="1" fontId="172" fillId="59" borderId="215" xfId="0" applyNumberFormat="1" applyFont="1" applyFill="1" applyBorder="1" applyAlignment="1" applyProtection="1">
      <alignment horizontal="center" vertical="center"/>
      <protection locked="0"/>
    </xf>
    <xf numFmtId="3" fontId="9" fillId="0" borderId="230" xfId="0" applyNumberFormat="1" applyFont="1" applyBorder="1" applyAlignment="1">
      <alignment horizontal="center" vertical="center"/>
    </xf>
    <xf numFmtId="3" fontId="0" fillId="0" borderId="170" xfId="0" applyNumberFormat="1" applyBorder="1" applyAlignment="1">
      <alignment horizontal="center" vertical="center"/>
    </xf>
    <xf numFmtId="1" fontId="9" fillId="62" borderId="165" xfId="0" applyNumberFormat="1" applyFont="1" applyFill="1" applyBorder="1" applyAlignment="1">
      <alignment horizontal="center" vertical="center"/>
    </xf>
    <xf numFmtId="3" fontId="9" fillId="62" borderId="165" xfId="0" applyNumberFormat="1" applyFont="1" applyFill="1" applyBorder="1" applyAlignment="1">
      <alignment horizontal="center" vertical="center"/>
    </xf>
    <xf numFmtId="9" fontId="147" fillId="62" borderId="0" xfId="1" applyFont="1" applyFill="1" applyAlignment="1">
      <alignment horizontal="center" vertical="center"/>
    </xf>
    <xf numFmtId="9" fontId="50" fillId="62" borderId="0" xfId="1" applyFont="1" applyFill="1" applyAlignment="1">
      <alignment horizontal="center" vertical="center"/>
    </xf>
    <xf numFmtId="0" fontId="9" fillId="63" borderId="23" xfId="0" applyFont="1" applyFill="1" applyBorder="1" applyAlignment="1">
      <alignment horizontal="right" vertical="center"/>
    </xf>
    <xf numFmtId="164" fontId="9" fillId="63" borderId="165" xfId="1" applyNumberFormat="1" applyFont="1" applyFill="1" applyBorder="1" applyAlignment="1">
      <alignment horizontal="center" vertical="center"/>
    </xf>
    <xf numFmtId="0" fontId="30" fillId="63" borderId="23" xfId="0" applyFont="1" applyFill="1" applyBorder="1" applyAlignment="1">
      <alignment vertical="center"/>
    </xf>
    <xf numFmtId="0" fontId="0" fillId="63" borderId="0" xfId="0" applyFill="1" applyAlignment="1">
      <alignment vertical="center"/>
    </xf>
    <xf numFmtId="168" fontId="0" fillId="63" borderId="0" xfId="0" applyNumberFormat="1" applyFill="1" applyAlignment="1">
      <alignment vertical="center"/>
    </xf>
    <xf numFmtId="168" fontId="6" fillId="57" borderId="170" xfId="4" applyNumberFormat="1" applyFill="1" applyBorder="1" applyAlignment="1">
      <alignment horizontal="center" vertical="center"/>
    </xf>
    <xf numFmtId="0" fontId="255" fillId="14" borderId="23" xfId="6" applyFont="1" applyFill="1" applyAlignment="1">
      <alignment vertical="center"/>
    </xf>
    <xf numFmtId="0" fontId="256" fillId="14" borderId="23" xfId="6" applyFont="1" applyFill="1" applyAlignment="1">
      <alignment vertical="center"/>
    </xf>
    <xf numFmtId="0" fontId="257" fillId="14" borderId="23" xfId="6" applyFont="1" applyFill="1"/>
    <xf numFmtId="0" fontId="34" fillId="14" borderId="23" xfId="6" applyFill="1"/>
    <xf numFmtId="0" fontId="34" fillId="64" borderId="23" xfId="6" applyFill="1"/>
    <xf numFmtId="0" fontId="258" fillId="14" borderId="23" xfId="6" applyFont="1" applyFill="1"/>
    <xf numFmtId="0" fontId="257" fillId="64" borderId="23" xfId="6" applyFont="1" applyFill="1"/>
    <xf numFmtId="0" fontId="165" fillId="64" borderId="23" xfId="6" applyFont="1" applyFill="1"/>
    <xf numFmtId="0" fontId="259" fillId="64" borderId="23" xfId="6" applyFont="1" applyFill="1"/>
    <xf numFmtId="0" fontId="260" fillId="14" borderId="23" xfId="6" applyFont="1" applyFill="1"/>
    <xf numFmtId="0" fontId="261" fillId="14" borderId="23" xfId="6" applyFont="1" applyFill="1"/>
    <xf numFmtId="0" fontId="262" fillId="14" borderId="23" xfId="6" applyFont="1" applyFill="1"/>
    <xf numFmtId="0" fontId="238" fillId="15" borderId="23" xfId="6" applyFont="1" applyFill="1" applyAlignment="1">
      <alignment vertical="center"/>
    </xf>
    <xf numFmtId="0" fontId="263" fillId="15" borderId="23" xfId="6" applyFont="1" applyFill="1" applyAlignment="1" applyProtection="1">
      <alignment vertical="center"/>
      <protection locked="0"/>
    </xf>
    <xf numFmtId="0" fontId="264" fillId="15" borderId="23" xfId="6" applyFont="1" applyFill="1"/>
    <xf numFmtId="0" fontId="265" fillId="14" borderId="23" xfId="6" applyFont="1" applyFill="1" applyAlignment="1">
      <alignment vertical="center"/>
    </xf>
    <xf numFmtId="0" fontId="157" fillId="65" borderId="23" xfId="6" applyFont="1" applyFill="1" applyAlignment="1">
      <alignment vertical="center"/>
    </xf>
    <xf numFmtId="0" fontId="34" fillId="65" borderId="23" xfId="6" applyFill="1"/>
    <xf numFmtId="0" fontId="264" fillId="65" borderId="23" xfId="6" applyFont="1" applyFill="1"/>
    <xf numFmtId="0" fontId="264" fillId="65" borderId="23" xfId="6" applyFont="1" applyFill="1" applyAlignment="1">
      <alignment vertical="center"/>
    </xf>
    <xf numFmtId="0" fontId="59" fillId="64" borderId="23" xfId="6" applyFont="1" applyFill="1"/>
    <xf numFmtId="0" fontId="59" fillId="64" borderId="23" xfId="6" applyFont="1" applyFill="1" applyAlignment="1">
      <alignment horizontal="right" vertical="center" wrapText="1"/>
    </xf>
    <xf numFmtId="0" fontId="137" fillId="64" borderId="23" xfId="6" applyFont="1" applyFill="1" applyAlignment="1">
      <alignment vertical="center"/>
    </xf>
    <xf numFmtId="0" fontId="266" fillId="64" borderId="23" xfId="6" applyFont="1" applyFill="1"/>
    <xf numFmtId="0" fontId="59" fillId="64" borderId="23" xfId="6" applyFont="1" applyFill="1" applyAlignment="1">
      <alignment horizontal="right" vertical="center"/>
    </xf>
    <xf numFmtId="0" fontId="267" fillId="14" borderId="23" xfId="6" applyFont="1" applyFill="1"/>
    <xf numFmtId="0" fontId="268" fillId="14" borderId="23" xfId="6" applyFont="1" applyFill="1" applyAlignment="1">
      <alignment horizontal="right"/>
    </xf>
    <xf numFmtId="0" fontId="269" fillId="14" borderId="23" xfId="6" applyFont="1" applyFill="1"/>
    <xf numFmtId="0" fontId="270" fillId="14" borderId="23" xfId="6" applyFont="1" applyFill="1"/>
    <xf numFmtId="0" fontId="269" fillId="14" borderId="23" xfId="6" applyFont="1" applyFill="1" applyProtection="1">
      <protection locked="0"/>
    </xf>
    <xf numFmtId="0" fontId="133" fillId="16" borderId="23" xfId="6" applyFont="1" applyFill="1" applyAlignment="1">
      <alignment horizontal="left" vertical="center"/>
    </xf>
    <xf numFmtId="0" fontId="272" fillId="16" borderId="23" xfId="6" applyFont="1" applyFill="1"/>
    <xf numFmtId="0" fontId="273" fillId="16" borderId="23" xfId="6" applyFont="1" applyFill="1"/>
    <xf numFmtId="0" fontId="262" fillId="16" borderId="23" xfId="6" applyFont="1" applyFill="1"/>
    <xf numFmtId="0" fontId="133" fillId="16" borderId="23" xfId="6" applyFont="1" applyFill="1" applyAlignment="1">
      <alignment horizontal="left" vertical="top"/>
    </xf>
    <xf numFmtId="0" fontId="59" fillId="16" borderId="23" xfId="6" applyFont="1" applyFill="1"/>
    <xf numFmtId="0" fontId="133" fillId="16" borderId="23" xfId="6" applyFont="1" applyFill="1" applyAlignment="1">
      <alignment vertical="top"/>
    </xf>
    <xf numFmtId="0" fontId="262" fillId="16" borderId="23" xfId="6" applyFont="1" applyFill="1" applyAlignment="1">
      <alignment vertical="center"/>
    </xf>
    <xf numFmtId="0" fontId="262" fillId="16" borderId="23" xfId="6" applyFont="1" applyFill="1" applyAlignment="1">
      <alignment horizontal="left"/>
    </xf>
    <xf numFmtId="0" fontId="273" fillId="16" borderId="23" xfId="6" applyFont="1" applyFill="1" applyAlignment="1">
      <alignment vertical="center"/>
    </xf>
    <xf numFmtId="0" fontId="274" fillId="16" borderId="23" xfId="6" applyFont="1" applyFill="1" applyAlignment="1">
      <alignment vertical="center"/>
    </xf>
    <xf numFmtId="0" fontId="275" fillId="16" borderId="23" xfId="6" applyFont="1" applyFill="1" applyAlignment="1">
      <alignment vertical="center"/>
    </xf>
    <xf numFmtId="0" fontId="277" fillId="16" borderId="23" xfId="7" applyFont="1" applyFill="1" applyBorder="1" applyAlignment="1">
      <alignment vertical="center"/>
    </xf>
    <xf numFmtId="0" fontId="278" fillId="16" borderId="23" xfId="6" applyFont="1" applyFill="1" applyAlignment="1">
      <alignment vertical="center"/>
    </xf>
    <xf numFmtId="0" fontId="279" fillId="16" borderId="23" xfId="6" applyFont="1" applyFill="1" applyAlignment="1">
      <alignment vertical="center"/>
    </xf>
    <xf numFmtId="0" fontId="280" fillId="16" borderId="23" xfId="6" applyFont="1" applyFill="1" applyAlignment="1">
      <alignment vertical="center"/>
    </xf>
    <xf numFmtId="0" fontId="273" fillId="14" borderId="23" xfId="6" applyFont="1" applyFill="1"/>
    <xf numFmtId="0" fontId="285" fillId="64" borderId="23" xfId="6" applyFont="1" applyFill="1" applyProtection="1">
      <protection locked="0"/>
    </xf>
    <xf numFmtId="0" fontId="34" fillId="64" borderId="23" xfId="6" applyFill="1" applyProtection="1">
      <protection locked="0"/>
    </xf>
    <xf numFmtId="0" fontId="286" fillId="23" borderId="23" xfId="6" applyFont="1" applyFill="1" applyAlignment="1" applyProtection="1">
      <alignment horizontal="center" vertical="center"/>
      <protection locked="0"/>
    </xf>
    <xf numFmtId="0" fontId="287" fillId="23" borderId="23" xfId="6" applyFont="1" applyFill="1" applyAlignment="1">
      <alignment horizontal="center" vertical="center"/>
    </xf>
    <xf numFmtId="0" fontId="288" fillId="23" borderId="23" xfId="6" applyFont="1" applyFill="1" applyAlignment="1" applyProtection="1">
      <alignment horizontal="center" vertical="center"/>
      <protection locked="0"/>
    </xf>
    <xf numFmtId="0" fontId="141" fillId="15" borderId="23" xfId="6" applyFont="1" applyFill="1" applyAlignment="1">
      <alignment vertical="center"/>
    </xf>
    <xf numFmtId="0" fontId="289" fillId="15" borderId="23" xfId="6" applyFont="1" applyFill="1" applyProtection="1">
      <protection locked="0"/>
    </xf>
    <xf numFmtId="0" fontId="290" fillId="64" borderId="23" xfId="6" applyFont="1" applyFill="1" applyProtection="1">
      <protection locked="0"/>
    </xf>
    <xf numFmtId="0" fontId="49" fillId="64" borderId="23" xfId="6" applyFont="1" applyFill="1"/>
    <xf numFmtId="0" fontId="49" fillId="64" borderId="23" xfId="6" applyFont="1" applyFill="1" applyProtection="1">
      <protection locked="0"/>
    </xf>
    <xf numFmtId="0" fontId="53" fillId="64" borderId="23" xfId="6" applyFont="1" applyFill="1" applyProtection="1">
      <protection locked="0"/>
    </xf>
    <xf numFmtId="0" fontId="291" fillId="64" borderId="23" xfId="6" applyFont="1" applyFill="1" applyProtection="1">
      <protection locked="0"/>
    </xf>
    <xf numFmtId="0" fontId="50" fillId="64" borderId="23" xfId="6" applyFont="1" applyFill="1"/>
    <xf numFmtId="0" fontId="285" fillId="0" borderId="23" xfId="6" applyFont="1"/>
    <xf numFmtId="3" fontId="216" fillId="0" borderId="23" xfId="6" applyNumberFormat="1" applyFont="1" applyAlignment="1">
      <alignment horizontal="left"/>
    </xf>
    <xf numFmtId="0" fontId="49" fillId="64" borderId="23" xfId="6" applyFont="1" applyFill="1" applyAlignment="1">
      <alignment vertical="center"/>
    </xf>
    <xf numFmtId="0" fontId="50" fillId="64" borderId="147" xfId="6" applyFont="1" applyFill="1" applyBorder="1" applyProtection="1">
      <protection locked="0"/>
    </xf>
    <xf numFmtId="0" fontId="50" fillId="64" borderId="147" xfId="6" applyFont="1" applyFill="1" applyBorder="1" applyAlignment="1">
      <alignment horizontal="center"/>
    </xf>
    <xf numFmtId="0" fontId="49" fillId="64" borderId="51" xfId="6" applyFont="1" applyFill="1" applyBorder="1" applyAlignment="1">
      <alignment vertical="center"/>
    </xf>
    <xf numFmtId="0" fontId="49" fillId="64" borderId="231" xfId="6" applyFont="1" applyFill="1" applyBorder="1" applyAlignment="1" applyProtection="1">
      <alignment vertical="center"/>
      <protection locked="0"/>
    </xf>
    <xf numFmtId="0" fontId="49" fillId="64" borderId="52" xfId="6" applyFont="1" applyFill="1" applyBorder="1" applyAlignment="1" applyProtection="1">
      <alignment vertical="center"/>
      <protection locked="0"/>
    </xf>
    <xf numFmtId="3" fontId="49" fillId="23" borderId="232" xfId="6" applyNumberFormat="1" applyFont="1" applyFill="1" applyBorder="1" applyAlignment="1" applyProtection="1">
      <alignment horizontal="center" vertical="center"/>
      <protection locked="0"/>
    </xf>
    <xf numFmtId="0" fontId="292" fillId="64" borderId="23" xfId="6" applyFont="1" applyFill="1" applyProtection="1">
      <protection locked="0"/>
    </xf>
    <xf numFmtId="0" fontId="61" fillId="16" borderId="23" xfId="6" applyFont="1" applyFill="1" applyAlignment="1">
      <alignment vertical="center"/>
    </xf>
    <xf numFmtId="0" fontId="293" fillId="16" borderId="23" xfId="6" applyFont="1" applyFill="1" applyProtection="1">
      <protection locked="0"/>
    </xf>
    <xf numFmtId="0" fontId="294" fillId="64" borderId="23" xfId="6" applyFont="1" applyFill="1" applyProtection="1">
      <protection locked="0"/>
    </xf>
    <xf numFmtId="0" fontId="49" fillId="64" borderId="23" xfId="6" applyFont="1" applyFill="1" applyAlignment="1" applyProtection="1">
      <alignment vertical="center"/>
      <protection locked="0"/>
    </xf>
    <xf numFmtId="0" fontId="285" fillId="64" borderId="23" xfId="6" applyFont="1" applyFill="1" applyAlignment="1" applyProtection="1">
      <alignment horizontal="center"/>
      <protection locked="0"/>
    </xf>
    <xf numFmtId="0" fontId="50" fillId="64" borderId="147" xfId="6" applyFont="1" applyFill="1" applyBorder="1" applyAlignment="1" applyProtection="1">
      <alignment vertical="center"/>
      <protection locked="0"/>
    </xf>
    <xf numFmtId="0" fontId="49" fillId="0" borderId="233" xfId="6" applyFont="1" applyBorder="1" applyAlignment="1">
      <alignment horizontal="center" vertical="center" wrapText="1"/>
    </xf>
    <xf numFmtId="0" fontId="49" fillId="0" borderId="49" xfId="6" applyFont="1" applyBorder="1" applyAlignment="1">
      <alignment horizontal="center" vertical="center" wrapText="1"/>
    </xf>
    <xf numFmtId="0" fontId="50" fillId="64" borderId="49" xfId="6" applyFont="1" applyFill="1" applyBorder="1" applyAlignment="1">
      <alignment horizontal="center" vertical="center"/>
    </xf>
    <xf numFmtId="0" fontId="295" fillId="64" borderId="23" xfId="6" applyFont="1" applyFill="1" applyProtection="1">
      <protection locked="0"/>
    </xf>
    <xf numFmtId="0" fontId="49" fillId="64" borderId="234" xfId="6" applyFont="1" applyFill="1" applyBorder="1" applyAlignment="1">
      <alignment vertical="center" wrapText="1"/>
    </xf>
    <xf numFmtId="0" fontId="49" fillId="0" borderId="147" xfId="6" applyFont="1" applyBorder="1" applyAlignment="1">
      <alignment horizontal="center" vertical="center"/>
    </xf>
    <xf numFmtId="1" fontId="49" fillId="0" borderId="49" xfId="6" applyNumberFormat="1" applyFont="1" applyBorder="1" applyAlignment="1">
      <alignment horizontal="center" vertical="center"/>
    </xf>
    <xf numFmtId="0" fontId="49" fillId="23" borderId="49" xfId="6" applyFont="1" applyFill="1" applyBorder="1" applyAlignment="1" applyProtection="1">
      <alignment horizontal="center" vertical="center"/>
      <protection locked="0"/>
    </xf>
    <xf numFmtId="0" fontId="50" fillId="64" borderId="231" xfId="6" applyFont="1" applyFill="1" applyBorder="1" applyAlignment="1" applyProtection="1">
      <alignment vertical="center"/>
      <protection locked="0"/>
    </xf>
    <xf numFmtId="0" fontId="49" fillId="0" borderId="231" xfId="6" applyFont="1" applyBorder="1" applyAlignment="1">
      <alignment horizontal="center" vertical="center" wrapText="1"/>
    </xf>
    <xf numFmtId="0" fontId="50" fillId="64" borderId="52" xfId="6" applyFont="1" applyFill="1" applyBorder="1" applyAlignment="1">
      <alignment horizontal="center" vertical="center"/>
    </xf>
    <xf numFmtId="0" fontId="61" fillId="16" borderId="235" xfId="6" applyFont="1" applyFill="1" applyBorder="1" applyAlignment="1">
      <alignment vertical="center"/>
    </xf>
    <xf numFmtId="0" fontId="43" fillId="16" borderId="236" xfId="6" applyFont="1" applyFill="1" applyBorder="1" applyProtection="1">
      <protection locked="0"/>
    </xf>
    <xf numFmtId="0" fontId="43" fillId="16" borderId="237" xfId="6" applyFont="1" applyFill="1" applyBorder="1" applyProtection="1">
      <protection locked="0"/>
    </xf>
    <xf numFmtId="2" fontId="49" fillId="0" borderId="147" xfId="6" applyNumberFormat="1" applyFont="1" applyBorder="1" applyAlignment="1">
      <alignment horizontal="center" vertical="center"/>
    </xf>
    <xf numFmtId="2" fontId="49" fillId="0" borderId="49" xfId="6" applyNumberFormat="1" applyFont="1" applyBorder="1" applyAlignment="1">
      <alignment horizontal="center" vertical="center"/>
    </xf>
    <xf numFmtId="0" fontId="296" fillId="64" borderId="23" xfId="6" applyFont="1" applyFill="1" applyProtection="1">
      <protection locked="0"/>
    </xf>
    <xf numFmtId="0" fontId="43" fillId="39" borderId="238" xfId="6" applyFont="1" applyFill="1" applyBorder="1" applyAlignment="1">
      <alignment vertical="center"/>
    </xf>
    <xf numFmtId="0" fontId="43" fillId="39" borderId="23" xfId="6" applyFont="1" applyFill="1" applyAlignment="1" applyProtection="1">
      <alignment vertical="center"/>
      <protection locked="0"/>
    </xf>
    <xf numFmtId="0" fontId="43" fillId="39" borderId="239" xfId="6" applyFont="1" applyFill="1" applyBorder="1" applyProtection="1">
      <protection locked="0"/>
    </xf>
    <xf numFmtId="0" fontId="49" fillId="64" borderId="23" xfId="6" applyFont="1" applyFill="1" applyAlignment="1" applyProtection="1">
      <alignment horizontal="center"/>
      <protection locked="0"/>
    </xf>
    <xf numFmtId="0" fontId="43" fillId="39" borderId="238" xfId="6" applyFont="1" applyFill="1" applyBorder="1" applyAlignment="1" applyProtection="1">
      <alignment vertical="center"/>
      <protection locked="0"/>
    </xf>
    <xf numFmtId="0" fontId="62" fillId="16" borderId="23" xfId="6" applyFont="1" applyFill="1" applyProtection="1">
      <protection locked="0"/>
    </xf>
    <xf numFmtId="0" fontId="63" fillId="39" borderId="238" xfId="6" applyFont="1" applyFill="1" applyBorder="1" applyAlignment="1">
      <alignment vertical="center"/>
    </xf>
    <xf numFmtId="0" fontId="49" fillId="0" borderId="23" xfId="6" applyFont="1"/>
    <xf numFmtId="0" fontId="49" fillId="0" borderId="23" xfId="6" applyFont="1" applyProtection="1">
      <protection locked="0"/>
    </xf>
    <xf numFmtId="0" fontId="43" fillId="39" borderId="49" xfId="6" applyFont="1" applyFill="1" applyBorder="1" applyAlignment="1">
      <alignment horizontal="center" vertical="center"/>
    </xf>
    <xf numFmtId="3" fontId="43" fillId="39" borderId="49" xfId="6" applyNumberFormat="1" applyFont="1" applyFill="1" applyBorder="1" applyAlignment="1">
      <alignment horizontal="center" vertical="center"/>
    </xf>
    <xf numFmtId="3" fontId="283" fillId="39" borderId="49" xfId="6" applyNumberFormat="1" applyFont="1" applyFill="1" applyBorder="1" applyAlignment="1">
      <alignment horizontal="center" vertical="center"/>
    </xf>
    <xf numFmtId="0" fontId="49" fillId="64" borderId="231" xfId="6" applyFont="1" applyFill="1" applyBorder="1" applyProtection="1">
      <protection locked="0"/>
    </xf>
    <xf numFmtId="0" fontId="49" fillId="64" borderId="52" xfId="6" applyFont="1" applyFill="1" applyBorder="1" applyProtection="1">
      <protection locked="0"/>
    </xf>
    <xf numFmtId="3" fontId="49" fillId="23" borderId="232" xfId="6" applyNumberFormat="1" applyFont="1" applyFill="1" applyBorder="1" applyAlignment="1" applyProtection="1">
      <alignment horizontal="center"/>
      <protection locked="0"/>
    </xf>
    <xf numFmtId="4" fontId="43" fillId="39" borderId="49" xfId="6" applyNumberFormat="1" applyFont="1" applyFill="1" applyBorder="1" applyAlignment="1">
      <alignment horizontal="center" vertical="center"/>
    </xf>
    <xf numFmtId="0" fontId="43" fillId="39" borderId="240" xfId="6" applyFont="1" applyFill="1" applyBorder="1" applyAlignment="1" applyProtection="1">
      <alignment vertical="center"/>
      <protection locked="0"/>
    </xf>
    <xf numFmtId="0" fontId="43" fillId="39" borderId="241" xfId="6" applyFont="1" applyFill="1" applyBorder="1" applyAlignment="1" applyProtection="1">
      <alignment vertical="center"/>
      <protection locked="0"/>
    </xf>
    <xf numFmtId="0" fontId="43" fillId="39" borderId="242" xfId="6" applyFont="1" applyFill="1" applyBorder="1" applyProtection="1">
      <protection locked="0"/>
    </xf>
    <xf numFmtId="0" fontId="285" fillId="64" borderId="23" xfId="6" applyFont="1" applyFill="1" applyAlignment="1" applyProtection="1">
      <alignment vertical="center"/>
      <protection locked="0"/>
    </xf>
    <xf numFmtId="0" fontId="296" fillId="64" borderId="23" xfId="6" applyFont="1" applyFill="1" applyAlignment="1" applyProtection="1">
      <alignment vertical="center"/>
      <protection locked="0"/>
    </xf>
    <xf numFmtId="0" fontId="36" fillId="16" borderId="23" xfId="6" applyFont="1" applyFill="1" applyProtection="1">
      <protection locked="0"/>
    </xf>
    <xf numFmtId="0" fontId="43" fillId="64" borderId="23" xfId="6" applyFont="1" applyFill="1" applyProtection="1">
      <protection locked="0"/>
    </xf>
    <xf numFmtId="0" fontId="297" fillId="64" borderId="23" xfId="6" applyFont="1" applyFill="1" applyProtection="1">
      <protection locked="0"/>
    </xf>
    <xf numFmtId="0" fontId="285" fillId="0" borderId="23" xfId="6" applyFont="1" applyProtection="1">
      <protection locked="0"/>
    </xf>
    <xf numFmtId="0" fontId="298" fillId="0" borderId="23" xfId="6" applyFont="1" applyProtection="1">
      <protection locked="0"/>
    </xf>
    <xf numFmtId="0" fontId="48" fillId="16" borderId="49" xfId="6" applyFont="1" applyFill="1" applyBorder="1" applyAlignment="1">
      <alignment vertical="center"/>
    </xf>
    <xf numFmtId="0" fontId="48" fillId="16" borderId="49" xfId="6" applyFont="1" applyFill="1" applyBorder="1" applyAlignment="1">
      <alignment horizontal="center" vertical="center"/>
    </xf>
    <xf numFmtId="0" fontId="50" fillId="64" borderId="243" xfId="6" applyFont="1" applyFill="1" applyBorder="1" applyAlignment="1">
      <alignment horizontal="center" vertical="center"/>
    </xf>
    <xf numFmtId="0" fontId="48" fillId="16" borderId="49" xfId="6" applyFont="1" applyFill="1" applyBorder="1" applyAlignment="1">
      <alignment horizontal="center" vertical="center" wrapText="1"/>
    </xf>
    <xf numFmtId="0" fontId="285" fillId="64" borderId="23" xfId="6" applyFont="1" applyFill="1" applyAlignment="1">
      <alignment vertical="center"/>
    </xf>
    <xf numFmtId="0" fontId="28" fillId="0" borderId="23" xfId="6" applyFont="1" applyAlignment="1">
      <alignment horizontal="center"/>
    </xf>
    <xf numFmtId="0" fontId="59" fillId="64" borderId="49" xfId="6" applyFont="1" applyFill="1" applyBorder="1" applyAlignment="1">
      <alignment vertical="center"/>
    </xf>
    <xf numFmtId="166" fontId="49" fillId="64" borderId="49" xfId="6" applyNumberFormat="1" applyFont="1" applyFill="1" applyBorder="1" applyAlignment="1">
      <alignment vertical="center"/>
    </xf>
    <xf numFmtId="166" fontId="49" fillId="64" borderId="243" xfId="6" applyNumberFormat="1" applyFont="1" applyFill="1" applyBorder="1" applyAlignment="1">
      <alignment vertical="center"/>
    </xf>
    <xf numFmtId="166" fontId="49" fillId="23" borderId="49" xfId="6" applyNumberFormat="1" applyFont="1" applyFill="1" applyBorder="1" applyAlignment="1" applyProtection="1">
      <alignment horizontal="center" vertical="center"/>
      <protection locked="0"/>
    </xf>
    <xf numFmtId="0" fontId="298" fillId="64" borderId="23" xfId="6" applyFont="1" applyFill="1" applyProtection="1">
      <protection locked="0"/>
    </xf>
    <xf numFmtId="3" fontId="285" fillId="0" borderId="23" xfId="6" applyNumberFormat="1" applyFont="1" applyAlignment="1" applyProtection="1">
      <alignment horizontal="right"/>
      <protection locked="0"/>
    </xf>
    <xf numFmtId="166" fontId="285" fillId="0" borderId="23" xfId="9" applyNumberFormat="1" applyFont="1" applyFill="1" applyBorder="1" applyAlignment="1" applyProtection="1">
      <alignment horizontal="center"/>
      <protection locked="0"/>
    </xf>
    <xf numFmtId="166" fontId="49" fillId="64" borderId="243" xfId="9" applyNumberFormat="1" applyFont="1" applyFill="1" applyBorder="1" applyAlignment="1" applyProtection="1">
      <alignment vertical="center"/>
    </xf>
    <xf numFmtId="9" fontId="49" fillId="64" borderId="49" xfId="6" applyNumberFormat="1" applyFont="1" applyFill="1" applyBorder="1" applyAlignment="1">
      <alignment vertical="center"/>
    </xf>
    <xf numFmtId="0" fontId="285" fillId="64" borderId="23" xfId="6" applyFont="1" applyFill="1"/>
    <xf numFmtId="0" fontId="300" fillId="64" borderId="23" xfId="6" applyFont="1" applyFill="1" applyProtection="1">
      <protection locked="0"/>
    </xf>
    <xf numFmtId="166" fontId="49" fillId="64" borderId="232" xfId="9" applyNumberFormat="1" applyFont="1" applyFill="1" applyBorder="1" applyAlignment="1" applyProtection="1">
      <alignment vertical="center"/>
    </xf>
    <xf numFmtId="0" fontId="50" fillId="16" borderId="49" xfId="6" applyFont="1" applyFill="1" applyBorder="1" applyAlignment="1">
      <alignment horizontal="left" vertical="center"/>
    </xf>
    <xf numFmtId="166" fontId="50" fillId="16" borderId="49" xfId="6" applyNumberFormat="1" applyFont="1" applyFill="1" applyBorder="1" applyAlignment="1">
      <alignment vertical="center"/>
    </xf>
    <xf numFmtId="10" fontId="50" fillId="16" borderId="49" xfId="6" applyNumberFormat="1" applyFont="1" applyFill="1" applyBorder="1" applyAlignment="1">
      <alignment vertical="center"/>
    </xf>
    <xf numFmtId="166" fontId="285" fillId="64" borderId="23" xfId="6" applyNumberFormat="1" applyFont="1" applyFill="1"/>
    <xf numFmtId="166" fontId="285" fillId="64" borderId="23" xfId="6" applyNumberFormat="1" applyFont="1" applyFill="1" applyProtection="1">
      <protection locked="0"/>
    </xf>
    <xf numFmtId="0" fontId="301" fillId="64" borderId="23" xfId="6" applyFont="1" applyFill="1" applyProtection="1">
      <protection locked="0"/>
    </xf>
    <xf numFmtId="0" fontId="62" fillId="16" borderId="23" xfId="6" applyFont="1" applyFill="1" applyAlignment="1" applyProtection="1">
      <alignment vertical="center"/>
      <protection locked="0"/>
    </xf>
    <xf numFmtId="10" fontId="62" fillId="16" borderId="23" xfId="6" applyNumberFormat="1" applyFont="1" applyFill="1" applyAlignment="1" applyProtection="1">
      <alignment vertical="center"/>
      <protection locked="0"/>
    </xf>
    <xf numFmtId="0" fontId="50" fillId="64" borderId="23" xfId="6" applyFont="1" applyFill="1" applyAlignment="1">
      <alignment vertical="center"/>
    </xf>
    <xf numFmtId="0" fontId="302" fillId="64" borderId="23" xfId="6" applyFont="1" applyFill="1" applyProtection="1">
      <protection locked="0"/>
    </xf>
    <xf numFmtId="0" fontId="50" fillId="16" borderId="51" xfId="6" applyFont="1" applyFill="1" applyBorder="1" applyAlignment="1">
      <alignment vertical="center"/>
    </xf>
    <xf numFmtId="0" fontId="49" fillId="16" borderId="231" xfId="6" applyFont="1" applyFill="1" applyBorder="1" applyAlignment="1" applyProtection="1">
      <alignment vertical="center"/>
      <protection locked="0"/>
    </xf>
    <xf numFmtId="0" fontId="50" fillId="16" borderId="52" xfId="6" applyFont="1" applyFill="1" applyBorder="1" applyAlignment="1" applyProtection="1">
      <alignment horizontal="center" vertical="center"/>
      <protection locked="0"/>
    </xf>
    <xf numFmtId="0" fontId="59" fillId="64" borderId="51" xfId="6" applyFont="1" applyFill="1" applyBorder="1" applyAlignment="1">
      <alignment vertical="center"/>
    </xf>
    <xf numFmtId="1" fontId="49" fillId="23" borderId="232" xfId="6" applyNumberFormat="1" applyFont="1" applyFill="1" applyBorder="1" applyAlignment="1" applyProtection="1">
      <alignment horizontal="center" vertical="center"/>
      <protection locked="0"/>
    </xf>
    <xf numFmtId="0" fontId="61" fillId="16" borderId="235" xfId="6" applyFont="1" applyFill="1" applyBorder="1"/>
    <xf numFmtId="0" fontId="62" fillId="16" borderId="236" xfId="6" applyFont="1" applyFill="1" applyBorder="1" applyProtection="1">
      <protection locked="0"/>
    </xf>
    <xf numFmtId="0" fontId="291" fillId="16" borderId="237" xfId="6" applyFont="1" applyFill="1" applyBorder="1" applyProtection="1">
      <protection locked="0"/>
    </xf>
    <xf numFmtId="0" fontId="49" fillId="39" borderId="238" xfId="6" applyFont="1" applyFill="1" applyBorder="1" applyAlignment="1">
      <alignment vertical="center"/>
    </xf>
    <xf numFmtId="0" fontId="49" fillId="39" borderId="23" xfId="6" applyFont="1" applyFill="1" applyAlignment="1" applyProtection="1">
      <alignment vertical="center"/>
      <protection locked="0"/>
    </xf>
    <xf numFmtId="0" fontId="49" fillId="39" borderId="239" xfId="6" applyFont="1" applyFill="1" applyBorder="1" applyAlignment="1" applyProtection="1">
      <alignment vertical="center"/>
      <protection locked="0"/>
    </xf>
    <xf numFmtId="0" fontId="48" fillId="16" borderId="23" xfId="6" applyFont="1" applyFill="1" applyAlignment="1">
      <alignment vertical="center"/>
    </xf>
    <xf numFmtId="0" fontId="100" fillId="16" borderId="23" xfId="6" applyFont="1" applyFill="1" applyProtection="1">
      <protection locked="0"/>
    </xf>
    <xf numFmtId="0" fontId="49" fillId="39" borderId="238" xfId="6" applyFont="1" applyFill="1" applyBorder="1" applyAlignment="1">
      <alignment vertical="top"/>
    </xf>
    <xf numFmtId="0" fontId="49" fillId="39" borderId="238" xfId="6" applyFont="1" applyFill="1" applyBorder="1" applyAlignment="1" applyProtection="1">
      <alignment vertical="center"/>
      <protection locked="0"/>
    </xf>
    <xf numFmtId="0" fontId="50" fillId="39" borderId="238" xfId="6" applyFont="1" applyFill="1" applyBorder="1" applyAlignment="1">
      <alignment vertical="center"/>
    </xf>
    <xf numFmtId="0" fontId="49" fillId="39" borderId="23" xfId="6" applyFont="1" applyFill="1" applyAlignment="1">
      <alignment vertical="center" wrapText="1"/>
    </xf>
    <xf numFmtId="165" fontId="49" fillId="39" borderId="49" xfId="6" applyNumberFormat="1" applyFont="1" applyFill="1" applyBorder="1" applyAlignment="1">
      <alignment horizontal="center" vertical="center"/>
    </xf>
    <xf numFmtId="166" fontId="49" fillId="39" borderId="49" xfId="9" applyNumberFormat="1" applyFont="1" applyFill="1" applyBorder="1" applyAlignment="1" applyProtection="1">
      <alignment horizontal="center" vertical="center"/>
    </xf>
    <xf numFmtId="0" fontId="49" fillId="64" borderId="23" xfId="6" applyFont="1" applyFill="1" applyAlignment="1" applyProtection="1">
      <alignment horizontal="left" vertical="center"/>
      <protection locked="0"/>
    </xf>
    <xf numFmtId="0" fontId="100" fillId="16" borderId="49" xfId="6" applyFont="1" applyFill="1" applyBorder="1" applyAlignment="1" applyProtection="1">
      <alignment vertical="center"/>
      <protection locked="0"/>
    </xf>
    <xf numFmtId="0" fontId="49" fillId="39" borderId="240" xfId="6" applyFont="1" applyFill="1" applyBorder="1" applyAlignment="1" applyProtection="1">
      <alignment vertical="center"/>
      <protection locked="0"/>
    </xf>
    <xf numFmtId="0" fontId="49" fillId="39" borderId="241" xfId="6" applyFont="1" applyFill="1" applyBorder="1" applyAlignment="1" applyProtection="1">
      <alignment vertical="center"/>
      <protection locked="0"/>
    </xf>
    <xf numFmtId="0" fontId="49" fillId="39" borderId="242" xfId="6" applyFont="1" applyFill="1" applyBorder="1" applyAlignment="1" applyProtection="1">
      <alignment vertical="center"/>
      <protection locked="0"/>
    </xf>
    <xf numFmtId="0" fontId="49" fillId="64" borderId="49" xfId="6" applyFont="1" applyFill="1" applyBorder="1" applyAlignment="1">
      <alignment vertical="center"/>
    </xf>
    <xf numFmtId="0" fontId="58" fillId="15" borderId="23" xfId="6" applyFont="1" applyFill="1" applyAlignment="1">
      <alignment vertical="center"/>
    </xf>
    <xf numFmtId="0" fontId="60" fillId="15" borderId="23" xfId="6" applyFont="1" applyFill="1" applyAlignment="1" applyProtection="1">
      <alignment vertical="center"/>
      <protection locked="0"/>
    </xf>
    <xf numFmtId="0" fontId="34" fillId="64" borderId="23" xfId="6" applyFill="1" applyAlignment="1" applyProtection="1">
      <alignment horizontal="center"/>
      <protection locked="0"/>
    </xf>
    <xf numFmtId="0" fontId="51" fillId="64" borderId="23" xfId="6" applyFont="1" applyFill="1" applyAlignment="1" applyProtection="1">
      <alignment vertical="center"/>
      <protection locked="0"/>
    </xf>
    <xf numFmtId="0" fontId="67" fillId="64" borderId="23" xfId="6" applyFont="1" applyFill="1" applyProtection="1">
      <protection locked="0"/>
    </xf>
    <xf numFmtId="0" fontId="43" fillId="0" borderId="23" xfId="6" applyFont="1" applyProtection="1">
      <protection locked="0"/>
    </xf>
    <xf numFmtId="0" fontId="304" fillId="64" borderId="23" xfId="6" applyFont="1" applyFill="1" applyAlignment="1">
      <alignment vertical="top"/>
    </xf>
    <xf numFmtId="0" fontId="304" fillId="64" borderId="23" xfId="6" applyFont="1" applyFill="1" applyAlignment="1" applyProtection="1">
      <alignment vertical="center"/>
      <protection locked="0"/>
    </xf>
    <xf numFmtId="0" fontId="305" fillId="64" borderId="23" xfId="6" applyFont="1" applyFill="1" applyAlignment="1" applyProtection="1">
      <alignment vertical="center"/>
      <protection locked="0"/>
    </xf>
    <xf numFmtId="0" fontId="306" fillId="64" borderId="23" xfId="6" applyFont="1" applyFill="1" applyProtection="1">
      <protection locked="0"/>
    </xf>
    <xf numFmtId="0" fontId="43" fillId="64" borderId="49" xfId="6" applyFont="1" applyFill="1" applyBorder="1" applyAlignment="1" applyProtection="1">
      <alignment horizontal="center" vertical="center"/>
      <protection locked="0"/>
    </xf>
    <xf numFmtId="0" fontId="307" fillId="64" borderId="23" xfId="6" applyFont="1" applyFill="1" applyAlignment="1" applyProtection="1">
      <alignment horizontal="center" vertical="center"/>
      <protection locked="0"/>
    </xf>
    <xf numFmtId="0" fontId="43" fillId="64" borderId="49" xfId="6" applyFont="1" applyFill="1" applyBorder="1" applyAlignment="1" applyProtection="1">
      <alignment horizontal="center" vertical="center" wrapText="1"/>
      <protection locked="0"/>
    </xf>
    <xf numFmtId="0" fontId="63" fillId="23" borderId="49" xfId="6" applyFont="1" applyFill="1" applyBorder="1" applyAlignment="1" applyProtection="1">
      <alignment horizontal="center" vertical="center"/>
      <protection locked="0"/>
    </xf>
    <xf numFmtId="0" fontId="63" fillId="64" borderId="23" xfId="6" applyFont="1" applyFill="1" applyAlignment="1" applyProtection="1">
      <alignment vertical="center"/>
      <protection locked="0"/>
    </xf>
    <xf numFmtId="0" fontId="63" fillId="23" borderId="49" xfId="6" applyFont="1" applyFill="1" applyBorder="1" applyAlignment="1" applyProtection="1">
      <alignment horizontal="center" vertical="center" wrapText="1"/>
      <protection locked="0"/>
    </xf>
    <xf numFmtId="0" fontId="34" fillId="14" borderId="23" xfId="6" applyFill="1" applyProtection="1">
      <protection locked="0"/>
    </xf>
    <xf numFmtId="0" fontId="308" fillId="14" borderId="23" xfId="6" applyFont="1" applyFill="1"/>
    <xf numFmtId="0" fontId="34" fillId="16" borderId="23" xfId="6" applyFill="1" applyAlignment="1" applyProtection="1">
      <alignment horizontal="left"/>
      <protection locked="0"/>
    </xf>
    <xf numFmtId="9" fontId="34" fillId="64" borderId="23" xfId="6" applyNumberFormat="1" applyFill="1" applyAlignment="1" applyProtection="1">
      <alignment horizontal="center"/>
      <protection locked="0"/>
    </xf>
    <xf numFmtId="0" fontId="309" fillId="14" borderId="23" xfId="6" applyFont="1" applyFill="1" applyProtection="1">
      <protection locked="0"/>
    </xf>
    <xf numFmtId="0" fontId="310" fillId="14" borderId="23" xfId="6" applyFont="1" applyFill="1"/>
    <xf numFmtId="0" fontId="311" fillId="64" borderId="23" xfId="6" applyFont="1" applyFill="1"/>
    <xf numFmtId="0" fontId="311" fillId="64" borderId="23" xfId="6" applyFont="1" applyFill="1" applyAlignment="1" applyProtection="1">
      <alignment horizontal="left"/>
      <protection locked="0"/>
    </xf>
    <xf numFmtId="0" fontId="311" fillId="64" borderId="23" xfId="6" applyFont="1" applyFill="1" applyProtection="1">
      <protection locked="0"/>
    </xf>
    <xf numFmtId="0" fontId="312" fillId="14" borderId="23" xfId="6" applyFont="1" applyFill="1"/>
    <xf numFmtId="0" fontId="313" fillId="16" borderId="49" xfId="6" applyFont="1" applyFill="1" applyBorder="1" applyAlignment="1">
      <alignment horizontal="center" vertical="center"/>
    </xf>
    <xf numFmtId="0" fontId="314" fillId="16" borderId="51" xfId="6" applyFont="1" applyFill="1" applyBorder="1" applyAlignment="1">
      <alignment vertical="center"/>
    </xf>
    <xf numFmtId="0" fontId="313" fillId="16" borderId="231" xfId="6" applyFont="1" applyFill="1" applyBorder="1" applyAlignment="1">
      <alignment vertical="center"/>
    </xf>
    <xf numFmtId="0" fontId="314" fillId="16" borderId="231" xfId="6" applyFont="1" applyFill="1" applyBorder="1" applyAlignment="1" applyProtection="1">
      <alignment vertical="center"/>
      <protection locked="0"/>
    </xf>
    <xf numFmtId="0" fontId="314" fillId="16" borderId="52" xfId="6" applyFont="1" applyFill="1" applyBorder="1" applyAlignment="1">
      <alignment horizontal="center" vertical="center"/>
    </xf>
    <xf numFmtId="0" fontId="315" fillId="64" borderId="23" xfId="6" applyFont="1" applyFill="1" applyAlignment="1" applyProtection="1">
      <alignment horizontal="center" vertical="center"/>
      <protection locked="0"/>
    </xf>
    <xf numFmtId="0" fontId="314" fillId="16" borderId="49" xfId="6" applyFont="1" applyFill="1" applyBorder="1" applyAlignment="1">
      <alignment horizontal="center" vertical="center"/>
    </xf>
    <xf numFmtId="0" fontId="301" fillId="14" borderId="23" xfId="6" applyFont="1" applyFill="1" applyProtection="1">
      <protection locked="0"/>
    </xf>
    <xf numFmtId="0" fontId="34" fillId="64" borderId="51" xfId="6" applyFill="1" applyBorder="1" applyAlignment="1">
      <alignment vertical="center"/>
    </xf>
    <xf numFmtId="0" fontId="34" fillId="64" borderId="231" xfId="6" applyFill="1" applyBorder="1" applyAlignment="1" applyProtection="1">
      <alignment vertical="center"/>
      <protection locked="0"/>
    </xf>
    <xf numFmtId="0" fontId="34" fillId="64" borderId="52" xfId="6" applyFill="1" applyBorder="1" applyAlignment="1" applyProtection="1">
      <alignment vertical="center"/>
      <protection locked="0"/>
    </xf>
    <xf numFmtId="166" fontId="34" fillId="23" borderId="49" xfId="6" applyNumberFormat="1" applyFill="1" applyBorder="1" applyAlignment="1" applyProtection="1">
      <alignment horizontal="center" vertical="center"/>
      <protection locked="0"/>
    </xf>
    <xf numFmtId="0" fontId="34" fillId="14" borderId="23" xfId="6" applyFill="1" applyAlignment="1" applyProtection="1">
      <alignment horizontal="center"/>
      <protection locked="0"/>
    </xf>
    <xf numFmtId="0" fontId="34" fillId="14" borderId="23" xfId="6" applyFill="1" applyAlignment="1">
      <alignment horizontal="center"/>
    </xf>
    <xf numFmtId="0" fontId="316" fillId="14" borderId="23" xfId="6" applyFont="1" applyFill="1" applyAlignment="1">
      <alignment horizontal="center"/>
    </xf>
    <xf numFmtId="0" fontId="317" fillId="14" borderId="23" xfId="6" applyFont="1" applyFill="1"/>
    <xf numFmtId="3" fontId="34" fillId="14" borderId="23" xfId="6" applyNumberFormat="1" applyFill="1" applyAlignment="1" applyProtection="1">
      <alignment horizontal="right"/>
      <protection locked="0"/>
    </xf>
    <xf numFmtId="3" fontId="34" fillId="14" borderId="23" xfId="9" applyNumberFormat="1" applyFont="1" applyFill="1" applyBorder="1" applyAlignment="1" applyProtection="1">
      <alignment horizontal="right"/>
      <protection locked="0"/>
    </xf>
    <xf numFmtId="166" fontId="34" fillId="14" borderId="23" xfId="9" applyNumberFormat="1" applyFont="1" applyFill="1" applyBorder="1" applyAlignment="1" applyProtection="1">
      <alignment horizontal="center"/>
      <protection locked="0"/>
    </xf>
    <xf numFmtId="0" fontId="316" fillId="14" borderId="23" xfId="6" applyFont="1" applyFill="1" applyAlignment="1" applyProtection="1">
      <alignment horizontal="right"/>
      <protection locked="0"/>
    </xf>
    <xf numFmtId="166" fontId="34" fillId="14" borderId="23" xfId="6" applyNumberFormat="1" applyFill="1" applyAlignment="1" applyProtection="1">
      <alignment horizontal="right"/>
      <protection locked="0"/>
    </xf>
    <xf numFmtId="9" fontId="34" fillId="14" borderId="23" xfId="6" applyNumberFormat="1" applyFill="1" applyAlignment="1" applyProtection="1">
      <alignment horizontal="center"/>
      <protection locked="0"/>
    </xf>
    <xf numFmtId="0" fontId="34" fillId="14" borderId="23" xfId="6" applyFill="1" applyAlignment="1" applyProtection="1">
      <alignment horizontal="right"/>
      <protection locked="0"/>
    </xf>
    <xf numFmtId="0" fontId="26" fillId="16" borderId="23" xfId="6" applyFont="1" applyFill="1" applyAlignment="1">
      <alignment vertical="center"/>
    </xf>
    <xf numFmtId="0" fontId="49" fillId="14" borderId="23" xfId="6" applyFont="1" applyFill="1" applyAlignment="1">
      <alignment vertical="center"/>
    </xf>
    <xf numFmtId="0" fontId="49" fillId="14" borderId="23" xfId="6" applyFont="1" applyFill="1" applyAlignment="1" applyProtection="1">
      <alignment vertical="center"/>
      <protection locked="0"/>
    </xf>
    <xf numFmtId="0" fontId="43" fillId="14" borderId="23" xfId="6" applyFont="1" applyFill="1" applyProtection="1">
      <protection locked="0"/>
    </xf>
    <xf numFmtId="0" fontId="43" fillId="14" borderId="23" xfId="6" applyFont="1" applyFill="1"/>
    <xf numFmtId="3" fontId="43" fillId="14" borderId="23" xfId="6" applyNumberFormat="1" applyFont="1" applyFill="1" applyAlignment="1" applyProtection="1">
      <alignment horizontal="right"/>
      <protection locked="0"/>
    </xf>
    <xf numFmtId="3" fontId="43" fillId="14" borderId="23" xfId="9" applyNumberFormat="1" applyFont="1" applyFill="1" applyBorder="1" applyAlignment="1" applyProtection="1">
      <alignment horizontal="right"/>
      <protection locked="0"/>
    </xf>
    <xf numFmtId="166" fontId="43" fillId="14" borderId="23" xfId="9" applyNumberFormat="1" applyFont="1" applyFill="1" applyBorder="1" applyAlignment="1" applyProtection="1">
      <alignment horizontal="center"/>
      <protection locked="0"/>
    </xf>
    <xf numFmtId="0" fontId="43" fillId="14" borderId="23" xfId="6" applyFont="1" applyFill="1" applyAlignment="1" applyProtection="1">
      <alignment horizontal="right"/>
      <protection locked="0"/>
    </xf>
    <xf numFmtId="0" fontId="43" fillId="64" borderId="23" xfId="6" applyFont="1" applyFill="1"/>
    <xf numFmtId="166" fontId="43" fillId="14" borderId="23" xfId="6" applyNumberFormat="1" applyFont="1" applyFill="1" applyAlignment="1" applyProtection="1">
      <alignment horizontal="right"/>
      <protection locked="0"/>
    </xf>
    <xf numFmtId="0" fontId="49" fillId="16" borderId="49" xfId="6" applyFont="1" applyFill="1" applyBorder="1" applyAlignment="1">
      <alignment horizontal="center" vertical="center"/>
    </xf>
    <xf numFmtId="0" fontId="49" fillId="16" borderId="231" xfId="6" applyFont="1" applyFill="1" applyBorder="1" applyAlignment="1">
      <alignment vertical="center"/>
    </xf>
    <xf numFmtId="0" fontId="50" fillId="16" borderId="231" xfId="6" applyFont="1" applyFill="1" applyBorder="1" applyAlignment="1" applyProtection="1">
      <alignment vertical="center"/>
      <protection locked="0"/>
    </xf>
    <xf numFmtId="0" fontId="50" fillId="16" borderId="52" xfId="6" applyFont="1" applyFill="1" applyBorder="1" applyAlignment="1">
      <alignment horizontal="center" vertical="center"/>
    </xf>
    <xf numFmtId="0" fontId="50" fillId="64" borderId="23" xfId="6" applyFont="1" applyFill="1" applyAlignment="1" applyProtection="1">
      <alignment horizontal="center" vertical="center"/>
      <protection locked="0"/>
    </xf>
    <xf numFmtId="0" fontId="50" fillId="16" borderId="49" xfId="6" applyFont="1" applyFill="1" applyBorder="1" applyAlignment="1">
      <alignment horizontal="center" vertical="center"/>
    </xf>
    <xf numFmtId="0" fontId="318" fillId="64" borderId="23" xfId="6" applyFont="1" applyFill="1" applyProtection="1">
      <protection locked="0"/>
    </xf>
    <xf numFmtId="0" fontId="49" fillId="0" borderId="51" xfId="6" applyFont="1" applyBorder="1" applyAlignment="1">
      <alignment vertical="center"/>
    </xf>
    <xf numFmtId="9" fontId="49" fillId="23" borderId="49" xfId="6" applyNumberFormat="1" applyFont="1" applyFill="1" applyBorder="1" applyAlignment="1" applyProtection="1">
      <alignment horizontal="center" vertical="center"/>
      <protection locked="0"/>
    </xf>
    <xf numFmtId="9" fontId="49" fillId="64" borderId="23" xfId="6" applyNumberFormat="1" applyFont="1" applyFill="1" applyAlignment="1" applyProtection="1">
      <alignment horizontal="center" vertical="center"/>
      <protection locked="0"/>
    </xf>
    <xf numFmtId="0" fontId="49" fillId="0" borderId="23" xfId="6" applyFont="1" applyAlignment="1" applyProtection="1">
      <alignment vertical="center"/>
      <protection locked="0"/>
    </xf>
    <xf numFmtId="0" fontId="49" fillId="16" borderId="238" xfId="6" applyFont="1" applyFill="1" applyBorder="1" applyAlignment="1" applyProtection="1">
      <alignment horizontal="center" vertical="center"/>
      <protection locked="0"/>
    </xf>
    <xf numFmtId="0" fontId="49" fillId="16" borderId="243" xfId="6" applyFont="1" applyFill="1" applyBorder="1" applyAlignment="1">
      <alignment horizontal="center" vertical="center"/>
    </xf>
    <xf numFmtId="0" fontId="49" fillId="16" borderId="243" xfId="6" applyFont="1" applyFill="1" applyBorder="1" applyAlignment="1" applyProtection="1">
      <alignment horizontal="center" vertical="center"/>
      <protection locked="0"/>
    </xf>
    <xf numFmtId="0" fontId="49" fillId="16" borderId="239" xfId="6" applyFont="1" applyFill="1" applyBorder="1" applyAlignment="1" applyProtection="1">
      <alignment horizontal="center" vertical="center"/>
      <protection locked="0"/>
    </xf>
    <xf numFmtId="0" fontId="49" fillId="16" borderId="238" xfId="6" applyFont="1" applyFill="1" applyBorder="1" applyAlignment="1">
      <alignment horizontal="center" vertical="center"/>
    </xf>
    <xf numFmtId="0" fontId="49" fillId="16" borderId="232" xfId="6" applyFont="1" applyFill="1" applyBorder="1" applyAlignment="1">
      <alignment horizontal="center" vertical="center"/>
    </xf>
    <xf numFmtId="0" fontId="48" fillId="16" borderId="51" xfId="6" applyFont="1" applyFill="1" applyBorder="1" applyAlignment="1">
      <alignment vertical="center"/>
    </xf>
    <xf numFmtId="0" fontId="48" fillId="16" borderId="231" xfId="6" applyFont="1" applyFill="1" applyBorder="1" applyAlignment="1" applyProtection="1">
      <alignment vertical="center"/>
      <protection locked="0"/>
    </xf>
    <xf numFmtId="0" fontId="48" fillId="16" borderId="52" xfId="6" applyFont="1" applyFill="1" applyBorder="1" applyAlignment="1">
      <alignment horizontal="center" vertical="center"/>
    </xf>
    <xf numFmtId="0" fontId="49" fillId="14" borderId="247" xfId="6" applyFont="1" applyFill="1" applyBorder="1" applyAlignment="1">
      <alignment vertical="center"/>
    </xf>
    <xf numFmtId="3" fontId="49" fillId="66" borderId="49" xfId="6" applyNumberFormat="1" applyFont="1" applyFill="1" applyBorder="1" applyAlignment="1" applyProtection="1">
      <alignment horizontal="right" vertical="center"/>
      <protection locked="0"/>
    </xf>
    <xf numFmtId="3" fontId="49" fillId="67" borderId="49" xfId="6" applyNumberFormat="1" applyFont="1" applyFill="1" applyBorder="1" applyAlignment="1" applyProtection="1">
      <alignment horizontal="right" vertical="center"/>
      <protection locked="0"/>
    </xf>
    <xf numFmtId="3" fontId="49" fillId="48" borderId="51" xfId="6" applyNumberFormat="1" applyFont="1" applyFill="1" applyBorder="1" applyAlignment="1" applyProtection="1">
      <alignment horizontal="right" vertical="center"/>
      <protection locked="0"/>
    </xf>
    <xf numFmtId="3" fontId="49" fillId="48" borderId="248" xfId="9" applyNumberFormat="1" applyFont="1" applyFill="1" applyBorder="1" applyAlignment="1" applyProtection="1">
      <alignment horizontal="right" vertical="center"/>
      <protection locked="0"/>
    </xf>
    <xf numFmtId="166" fontId="49" fillId="65" borderId="49" xfId="9" applyNumberFormat="1" applyFont="1" applyFill="1" applyBorder="1" applyAlignment="1" applyProtection="1">
      <alignment horizontal="center" vertical="center"/>
      <protection locked="0"/>
    </xf>
    <xf numFmtId="0" fontId="49" fillId="16" borderId="249" xfId="6" applyFont="1" applyFill="1" applyBorder="1" applyAlignment="1" applyProtection="1">
      <alignment horizontal="right" vertical="center"/>
      <protection locked="0"/>
    </xf>
    <xf numFmtId="9" fontId="49" fillId="64" borderId="23" xfId="6" applyNumberFormat="1" applyFont="1" applyFill="1" applyAlignment="1">
      <alignment horizontal="center" vertical="center"/>
    </xf>
    <xf numFmtId="0" fontId="319" fillId="64" borderId="23" xfId="6" applyFont="1" applyFill="1" applyProtection="1">
      <protection locked="0"/>
    </xf>
    <xf numFmtId="3" fontId="49" fillId="68" borderId="49" xfId="6" applyNumberFormat="1" applyFont="1" applyFill="1" applyBorder="1" applyAlignment="1" applyProtection="1">
      <alignment horizontal="right" vertical="center"/>
      <protection locked="0"/>
    </xf>
    <xf numFmtId="166" fontId="49" fillId="14" borderId="242" xfId="6" applyNumberFormat="1" applyFont="1" applyFill="1" applyBorder="1" applyAlignment="1" applyProtection="1">
      <alignment horizontal="right" vertical="center"/>
      <protection locked="0"/>
    </xf>
    <xf numFmtId="0" fontId="49" fillId="14" borderId="249" xfId="6" applyFont="1" applyFill="1" applyBorder="1" applyAlignment="1" applyProtection="1">
      <alignment horizontal="right" vertical="center"/>
      <protection locked="0"/>
    </xf>
    <xf numFmtId="0" fontId="49" fillId="16" borderId="51" xfId="6" applyFont="1" applyFill="1" applyBorder="1" applyAlignment="1">
      <alignment horizontal="left" vertical="center"/>
    </xf>
    <xf numFmtId="10" fontId="49" fillId="16" borderId="49" xfId="6" applyNumberFormat="1" applyFont="1" applyFill="1" applyBorder="1" applyAlignment="1">
      <alignment horizontal="center" vertical="center"/>
    </xf>
    <xf numFmtId="0" fontId="320" fillId="64" borderId="23" xfId="6" applyFont="1" applyFill="1" applyProtection="1">
      <protection locked="0"/>
    </xf>
    <xf numFmtId="0" fontId="49" fillId="14" borderId="239" xfId="6" applyFont="1" applyFill="1" applyBorder="1" applyAlignment="1" applyProtection="1">
      <alignment horizontal="right" vertical="center"/>
      <protection locked="0"/>
    </xf>
    <xf numFmtId="0" fontId="49" fillId="64" borderId="23" xfId="6" applyFont="1" applyFill="1" applyAlignment="1">
      <alignment horizontal="left" vertical="center"/>
    </xf>
    <xf numFmtId="10" fontId="50" fillId="16" borderId="49" xfId="6" applyNumberFormat="1" applyFont="1" applyFill="1" applyBorder="1" applyAlignment="1">
      <alignment horizontal="center" vertical="center"/>
    </xf>
    <xf numFmtId="9" fontId="50" fillId="14" borderId="23" xfId="6" applyNumberFormat="1" applyFont="1" applyFill="1" applyAlignment="1" applyProtection="1">
      <alignment horizontal="center" vertical="center"/>
      <protection locked="0"/>
    </xf>
    <xf numFmtId="0" fontId="321" fillId="64" borderId="23" xfId="6" applyFont="1" applyFill="1" applyProtection="1">
      <protection locked="0"/>
    </xf>
    <xf numFmtId="0" fontId="49" fillId="16" borderId="250" xfId="6" applyFont="1" applyFill="1" applyBorder="1" applyAlignment="1" applyProtection="1">
      <alignment horizontal="right" vertical="center"/>
      <protection locked="0"/>
    </xf>
    <xf numFmtId="0" fontId="49" fillId="14" borderId="251" xfId="6" applyFont="1" applyFill="1" applyBorder="1" applyAlignment="1">
      <alignment vertical="center"/>
    </xf>
    <xf numFmtId="3" fontId="49" fillId="66" borderId="252" xfId="6" applyNumberFormat="1" applyFont="1" applyFill="1" applyBorder="1" applyAlignment="1" applyProtection="1">
      <alignment horizontal="right" vertical="center"/>
      <protection locked="0"/>
    </xf>
    <xf numFmtId="3" fontId="49" fillId="67" borderId="252" xfId="6" applyNumberFormat="1" applyFont="1" applyFill="1" applyBorder="1" applyAlignment="1" applyProtection="1">
      <alignment horizontal="right" vertical="center"/>
      <protection locked="0"/>
    </xf>
    <xf numFmtId="3" fontId="49" fillId="48" borderId="252" xfId="6" applyNumberFormat="1" applyFont="1" applyFill="1" applyBorder="1" applyAlignment="1" applyProtection="1">
      <alignment horizontal="right" vertical="center"/>
      <protection locked="0"/>
    </xf>
    <xf numFmtId="3" fontId="49" fillId="48" borderId="253" xfId="9" applyNumberFormat="1" applyFont="1" applyFill="1" applyBorder="1" applyAlignment="1" applyProtection="1">
      <alignment horizontal="right" vertical="center"/>
      <protection locked="0"/>
    </xf>
    <xf numFmtId="166" fontId="49" fillId="65" borderId="252" xfId="9" applyNumberFormat="1" applyFont="1" applyFill="1" applyBorder="1" applyAlignment="1" applyProtection="1">
      <alignment horizontal="center" vertical="center"/>
      <protection locked="0"/>
    </xf>
    <xf numFmtId="0" fontId="63" fillId="16" borderId="235" xfId="6" applyFont="1" applyFill="1" applyBorder="1" applyAlignment="1">
      <alignment vertical="center"/>
    </xf>
    <xf numFmtId="0" fontId="43" fillId="16" borderId="236" xfId="6" applyFont="1" applyFill="1" applyBorder="1" applyAlignment="1" applyProtection="1">
      <alignment vertical="center"/>
      <protection locked="0"/>
    </xf>
    <xf numFmtId="0" fontId="43" fillId="16" borderId="237" xfId="6" applyFont="1" applyFill="1" applyBorder="1" applyAlignment="1" applyProtection="1">
      <alignment vertical="center"/>
      <protection locked="0"/>
    </xf>
    <xf numFmtId="0" fontId="43" fillId="39" borderId="239" xfId="6" applyFont="1" applyFill="1" applyBorder="1" applyAlignment="1" applyProtection="1">
      <alignment vertical="center"/>
      <protection locked="0"/>
    </xf>
    <xf numFmtId="0" fontId="63" fillId="16" borderId="238" xfId="6" applyFont="1" applyFill="1" applyBorder="1" applyAlignment="1">
      <alignment vertical="center"/>
    </xf>
    <xf numFmtId="0" fontId="43" fillId="16" borderId="23" xfId="6" applyFont="1" applyFill="1" applyAlignment="1" applyProtection="1">
      <alignment vertical="center"/>
      <protection locked="0"/>
    </xf>
    <xf numFmtId="0" fontId="43" fillId="39" borderId="49" xfId="6" applyFont="1" applyFill="1" applyBorder="1" applyAlignment="1">
      <alignment horizontal="center" vertical="center" wrapText="1"/>
    </xf>
    <xf numFmtId="0" fontId="43" fillId="39" borderId="23" xfId="6" applyFont="1" applyFill="1" applyAlignment="1">
      <alignment vertical="center"/>
    </xf>
    <xf numFmtId="165" fontId="43" fillId="39" borderId="49" xfId="6" applyNumberFormat="1" applyFont="1" applyFill="1" applyBorder="1" applyAlignment="1">
      <alignment horizontal="center" vertical="center"/>
    </xf>
    <xf numFmtId="165" fontId="43" fillId="39" borderId="23" xfId="6" applyNumberFormat="1" applyFont="1" applyFill="1" applyAlignment="1" applyProtection="1">
      <alignment horizontal="center" vertical="center"/>
      <protection locked="0"/>
    </xf>
    <xf numFmtId="166" fontId="43" fillId="39" borderId="49" xfId="9" applyNumberFormat="1" applyFont="1" applyFill="1" applyBorder="1" applyAlignment="1" applyProtection="1">
      <alignment horizontal="center" vertical="center"/>
    </xf>
    <xf numFmtId="166" fontId="43" fillId="39" borderId="23" xfId="9" applyNumberFormat="1" applyFont="1" applyFill="1" applyBorder="1" applyAlignment="1" applyProtection="1">
      <alignment horizontal="center" vertical="center"/>
      <protection locked="0"/>
    </xf>
    <xf numFmtId="0" fontId="43" fillId="39" borderId="242" xfId="6" applyFont="1" applyFill="1" applyBorder="1" applyAlignment="1" applyProtection="1">
      <alignment vertical="center"/>
      <protection locked="0"/>
    </xf>
    <xf numFmtId="0" fontId="322" fillId="15" borderId="23" xfId="6" applyFont="1" applyFill="1" applyAlignment="1" applyProtection="1">
      <alignment vertical="center"/>
      <protection locked="0"/>
    </xf>
    <xf numFmtId="0" fontId="323" fillId="64" borderId="23" xfId="6" applyFont="1" applyFill="1" applyProtection="1">
      <protection locked="0"/>
    </xf>
    <xf numFmtId="0" fontId="324" fillId="64" borderId="23" xfId="6" applyFont="1" applyFill="1" applyProtection="1">
      <protection locked="0"/>
    </xf>
    <xf numFmtId="0" fontId="325" fillId="64" borderId="23" xfId="6" applyFont="1" applyFill="1"/>
    <xf numFmtId="0" fontId="50" fillId="64" borderId="23" xfId="6" applyFont="1" applyFill="1" applyProtection="1">
      <protection locked="0"/>
    </xf>
    <xf numFmtId="0" fontId="50" fillId="64" borderId="23" xfId="6" applyFont="1" applyFill="1" applyAlignment="1" applyProtection="1">
      <alignment vertical="center"/>
      <protection locked="0"/>
    </xf>
    <xf numFmtId="0" fontId="34" fillId="64" borderId="23" xfId="6" applyFill="1" applyAlignment="1" applyProtection="1">
      <alignment vertical="center"/>
      <protection locked="0"/>
    </xf>
    <xf numFmtId="0" fontId="50" fillId="16" borderId="49" xfId="6" applyFont="1" applyFill="1" applyBorder="1" applyAlignment="1">
      <alignment horizontal="center" vertical="center" wrapText="1"/>
    </xf>
    <xf numFmtId="0" fontId="326" fillId="64" borderId="23" xfId="6" applyFont="1" applyFill="1" applyProtection="1">
      <protection locked="0"/>
    </xf>
    <xf numFmtId="0" fontId="49" fillId="64" borderId="147" xfId="6" applyFont="1" applyFill="1" applyBorder="1" applyAlignment="1" applyProtection="1">
      <alignment vertical="center"/>
      <protection locked="0"/>
    </xf>
    <xf numFmtId="0" fontId="50" fillId="64" borderId="147" xfId="6" applyFont="1" applyFill="1" applyBorder="1" applyAlignment="1">
      <alignment horizontal="center" vertical="center"/>
    </xf>
    <xf numFmtId="0" fontId="301" fillId="64" borderId="23" xfId="6" applyFont="1" applyFill="1" applyAlignment="1" applyProtection="1">
      <alignment vertical="center"/>
      <protection locked="0"/>
    </xf>
    <xf numFmtId="0" fontId="326" fillId="64" borderId="23" xfId="6" applyFont="1" applyFill="1" applyAlignment="1" applyProtection="1">
      <alignment horizontal="center"/>
      <protection locked="0"/>
    </xf>
    <xf numFmtId="0" fontId="49" fillId="64" borderId="51" xfId="6" applyFont="1" applyFill="1" applyBorder="1" applyAlignment="1">
      <alignment horizontal="left" vertical="center"/>
    </xf>
    <xf numFmtId="166" fontId="49" fillId="64" borderId="23" xfId="6" applyNumberFormat="1" applyFont="1" applyFill="1" applyAlignment="1" applyProtection="1">
      <alignment horizontal="center" vertical="center"/>
      <protection locked="0"/>
    </xf>
    <xf numFmtId="0" fontId="49" fillId="64" borderId="234" xfId="6" applyFont="1" applyFill="1" applyBorder="1" applyAlignment="1">
      <alignment vertical="center"/>
    </xf>
    <xf numFmtId="0" fontId="53" fillId="64" borderId="147" xfId="6" applyFont="1" applyFill="1" applyBorder="1" applyAlignment="1" applyProtection="1">
      <alignment vertical="center"/>
      <protection locked="0"/>
    </xf>
    <xf numFmtId="0" fontId="49" fillId="64" borderId="233" xfId="6" applyFont="1" applyFill="1" applyBorder="1" applyAlignment="1" applyProtection="1">
      <alignment vertical="center"/>
      <protection locked="0"/>
    </xf>
    <xf numFmtId="166" fontId="49" fillId="23" borderId="232" xfId="6" applyNumberFormat="1" applyFont="1" applyFill="1" applyBorder="1" applyAlignment="1" applyProtection="1">
      <alignment horizontal="center" vertical="center"/>
      <protection locked="0"/>
    </xf>
    <xf numFmtId="0" fontId="49" fillId="64" borderId="55" xfId="6" applyFont="1" applyFill="1" applyBorder="1" applyAlignment="1">
      <alignment horizontal="center" vertical="center" wrapText="1"/>
    </xf>
    <xf numFmtId="0" fontId="53" fillId="64" borderId="23" xfId="6" applyFont="1" applyFill="1" applyAlignment="1" applyProtection="1">
      <alignment vertical="center"/>
      <protection locked="0"/>
    </xf>
    <xf numFmtId="166" fontId="49" fillId="0" borderId="232" xfId="6" applyNumberFormat="1" applyFont="1" applyBorder="1" applyAlignment="1" applyProtection="1">
      <alignment horizontal="center" vertical="center"/>
      <protection locked="0"/>
    </xf>
    <xf numFmtId="0" fontId="328" fillId="64" borderId="23" xfId="6" applyFont="1" applyFill="1" applyProtection="1">
      <protection locked="0"/>
    </xf>
    <xf numFmtId="0" fontId="51" fillId="64" borderId="231" xfId="6" applyFont="1" applyFill="1" applyBorder="1" applyAlignment="1" applyProtection="1">
      <alignment vertical="center"/>
      <protection locked="0"/>
    </xf>
    <xf numFmtId="0" fontId="109" fillId="14" borderId="23" xfId="6" applyFont="1" applyFill="1" applyAlignment="1">
      <alignment vertical="center"/>
    </xf>
    <xf numFmtId="0" fontId="109" fillId="14" borderId="23" xfId="6" applyFont="1" applyFill="1" applyAlignment="1" applyProtection="1">
      <alignment vertical="center"/>
      <protection locked="0"/>
    </xf>
    <xf numFmtId="0" fontId="329" fillId="14" borderId="23" xfId="6" applyFont="1" applyFill="1" applyAlignment="1" applyProtection="1">
      <alignment horizontal="right" vertical="center"/>
      <protection locked="0"/>
    </xf>
    <xf numFmtId="0" fontId="330" fillId="64" borderId="23" xfId="6" applyFont="1" applyFill="1" applyProtection="1">
      <protection locked="0"/>
    </xf>
    <xf numFmtId="0" fontId="49" fillId="0" borderId="49" xfId="6" applyFont="1" applyBorder="1" applyAlignment="1">
      <alignment vertical="center"/>
    </xf>
    <xf numFmtId="0" fontId="109" fillId="14" borderId="49" xfId="6" applyFont="1" applyFill="1" applyBorder="1" applyAlignment="1" applyProtection="1">
      <alignment vertical="center"/>
      <protection locked="0"/>
    </xf>
    <xf numFmtId="0" fontId="329" fillId="14" borderId="49" xfId="6" applyFont="1" applyFill="1" applyBorder="1" applyAlignment="1" applyProtection="1">
      <alignment horizontal="right" vertical="center"/>
      <protection locked="0"/>
    </xf>
    <xf numFmtId="0" fontId="331" fillId="64" borderId="23" xfId="6" applyFont="1" applyFill="1"/>
    <xf numFmtId="0" fontId="49" fillId="0" borderId="231" xfId="6" applyFont="1" applyBorder="1" applyAlignment="1" applyProtection="1">
      <alignment vertical="center"/>
      <protection locked="0"/>
    </xf>
    <xf numFmtId="0" fontId="49" fillId="0" borderId="52" xfId="6" applyFont="1" applyBorder="1" applyAlignment="1" applyProtection="1">
      <alignment vertical="center"/>
      <protection locked="0"/>
    </xf>
    <xf numFmtId="0" fontId="326" fillId="64" borderId="23" xfId="6" applyFont="1" applyFill="1"/>
    <xf numFmtId="0" fontId="50" fillId="64" borderId="248" xfId="6" applyFont="1" applyFill="1" applyBorder="1" applyAlignment="1">
      <alignment vertical="center"/>
    </xf>
    <xf numFmtId="0" fontId="49" fillId="64" borderId="146" xfId="6" applyFont="1" applyFill="1" applyBorder="1" applyAlignment="1" applyProtection="1">
      <alignment vertical="center"/>
      <protection locked="0"/>
    </xf>
    <xf numFmtId="0" fontId="49" fillId="64" borderId="254" xfId="6" applyFont="1" applyFill="1" applyBorder="1" applyAlignment="1" applyProtection="1">
      <alignment vertical="center"/>
      <protection locked="0"/>
    </xf>
    <xf numFmtId="166" fontId="49" fillId="23" borderId="243" xfId="6" applyNumberFormat="1" applyFont="1" applyFill="1" applyBorder="1" applyAlignment="1" applyProtection="1">
      <alignment horizontal="center" vertical="center"/>
      <protection locked="0"/>
    </xf>
    <xf numFmtId="0" fontId="49" fillId="16" borderId="51" xfId="6" applyFont="1" applyFill="1" applyBorder="1" applyAlignment="1">
      <alignment horizontal="left"/>
    </xf>
    <xf numFmtId="0" fontId="49" fillId="16" borderId="231" xfId="6" applyFont="1" applyFill="1" applyBorder="1" applyProtection="1">
      <protection locked="0"/>
    </xf>
    <xf numFmtId="0" fontId="49" fillId="16" borderId="52" xfId="6" applyFont="1" applyFill="1" applyBorder="1" applyProtection="1">
      <protection locked="0"/>
    </xf>
    <xf numFmtId="10" fontId="49" fillId="16" borderId="49" xfId="6" applyNumberFormat="1" applyFont="1" applyFill="1" applyBorder="1" applyAlignment="1">
      <alignment horizontal="center"/>
    </xf>
    <xf numFmtId="10" fontId="49" fillId="14" borderId="243" xfId="6" applyNumberFormat="1" applyFont="1" applyFill="1" applyBorder="1" applyAlignment="1" applyProtection="1">
      <alignment horizontal="center"/>
      <protection locked="0"/>
    </xf>
    <xf numFmtId="0" fontId="309" fillId="64" borderId="23" xfId="6" applyFont="1" applyFill="1" applyProtection="1">
      <protection locked="0"/>
    </xf>
    <xf numFmtId="0" fontId="48" fillId="16" borderId="23" xfId="6" applyFont="1" applyFill="1" applyAlignment="1" applyProtection="1">
      <alignment vertical="center"/>
      <protection locked="0"/>
    </xf>
    <xf numFmtId="0" fontId="72" fillId="16" borderId="23" xfId="6" applyFont="1" applyFill="1" applyAlignment="1" applyProtection="1">
      <alignment vertical="center"/>
      <protection locked="0"/>
    </xf>
    <xf numFmtId="0" fontId="49" fillId="14" borderId="23" xfId="6" applyFont="1" applyFill="1" applyProtection="1">
      <protection locked="0"/>
    </xf>
    <xf numFmtId="0" fontId="49" fillId="64" borderId="23" xfId="6" applyFont="1" applyFill="1" applyAlignment="1">
      <alignment vertical="top"/>
    </xf>
    <xf numFmtId="0" fontId="50" fillId="64" borderId="233" xfId="6" applyFont="1" applyFill="1" applyBorder="1" applyAlignment="1" applyProtection="1">
      <alignment horizontal="center" vertical="center"/>
      <protection locked="0"/>
    </xf>
    <xf numFmtId="0" fontId="49" fillId="64" borderId="234" xfId="6" applyFont="1" applyFill="1" applyBorder="1" applyAlignment="1" applyProtection="1">
      <alignment horizontal="center" vertical="center"/>
      <protection locked="0"/>
    </xf>
    <xf numFmtId="9" fontId="49" fillId="64" borderId="49" xfId="6" applyNumberFormat="1" applyFont="1" applyFill="1" applyBorder="1" applyAlignment="1">
      <alignment horizontal="center" vertical="center"/>
    </xf>
    <xf numFmtId="9" fontId="49" fillId="64" borderId="23" xfId="6" applyNumberFormat="1" applyFont="1" applyFill="1" applyAlignment="1" applyProtection="1">
      <alignment horizontal="center"/>
      <protection locked="0"/>
    </xf>
    <xf numFmtId="9" fontId="49" fillId="23" borderId="49" xfId="6" applyNumberFormat="1" applyFont="1" applyFill="1" applyBorder="1" applyAlignment="1" applyProtection="1">
      <alignment horizontal="center"/>
      <protection locked="0"/>
    </xf>
    <xf numFmtId="9" fontId="49" fillId="64" borderId="23" xfId="6" applyNumberFormat="1" applyFont="1" applyFill="1" applyProtection="1">
      <protection locked="0"/>
    </xf>
    <xf numFmtId="0" fontId="328" fillId="64" borderId="23" xfId="6" quotePrefix="1" applyFont="1" applyFill="1" applyProtection="1">
      <protection locked="0"/>
    </xf>
    <xf numFmtId="0" fontId="332" fillId="64" borderId="23" xfId="6" applyFont="1" applyFill="1" applyProtection="1">
      <protection locked="0"/>
    </xf>
    <xf numFmtId="9" fontId="49" fillId="16" borderId="231" xfId="6" applyNumberFormat="1" applyFont="1" applyFill="1" applyBorder="1" applyProtection="1">
      <protection locked="0"/>
    </xf>
    <xf numFmtId="9" fontId="49" fillId="16" borderId="52" xfId="6" applyNumberFormat="1" applyFont="1" applyFill="1" applyBorder="1" applyAlignment="1" applyProtection="1">
      <alignment horizontal="center"/>
      <protection locked="0"/>
    </xf>
    <xf numFmtId="0" fontId="49" fillId="64" borderId="147" xfId="6" applyFont="1" applyFill="1" applyBorder="1" applyProtection="1">
      <protection locked="0"/>
    </xf>
    <xf numFmtId="0" fontId="59" fillId="0" borderId="51" xfId="6" applyFont="1" applyBorder="1" applyAlignment="1">
      <alignment horizontal="left" vertical="center"/>
    </xf>
    <xf numFmtId="9" fontId="49" fillId="64" borderId="231" xfId="6" applyNumberFormat="1" applyFont="1" applyFill="1" applyBorder="1" applyAlignment="1" applyProtection="1">
      <alignment vertical="center"/>
      <protection locked="0"/>
    </xf>
    <xf numFmtId="9" fontId="49" fillId="64" borderId="52" xfId="6" applyNumberFormat="1" applyFont="1" applyFill="1" applyBorder="1" applyAlignment="1" applyProtection="1">
      <alignment vertical="center"/>
      <protection locked="0"/>
    </xf>
    <xf numFmtId="0" fontId="59" fillId="64" borderId="51" xfId="6" applyFont="1" applyFill="1" applyBorder="1" applyAlignment="1">
      <alignment horizontal="left" vertical="center"/>
    </xf>
    <xf numFmtId="9" fontId="49" fillId="23" borderId="232" xfId="6" applyNumberFormat="1" applyFont="1" applyFill="1" applyBorder="1" applyAlignment="1" applyProtection="1">
      <alignment horizontal="center" vertical="center"/>
      <protection locked="0"/>
    </xf>
    <xf numFmtId="0" fontId="49" fillId="16" borderId="52" xfId="6" applyFont="1" applyFill="1" applyBorder="1" applyAlignment="1" applyProtection="1">
      <alignment vertical="center"/>
      <protection locked="0"/>
    </xf>
    <xf numFmtId="10" fontId="49" fillId="14" borderId="23" xfId="6" applyNumberFormat="1" applyFont="1" applyFill="1" applyAlignment="1" applyProtection="1">
      <alignment horizontal="center" vertical="center"/>
      <protection locked="0"/>
    </xf>
    <xf numFmtId="0" fontId="49" fillId="64" borderId="23" xfId="6" applyFont="1" applyFill="1" applyAlignment="1">
      <alignment horizontal="left"/>
    </xf>
    <xf numFmtId="10" fontId="49" fillId="64" borderId="23" xfId="6" applyNumberFormat="1" applyFont="1" applyFill="1" applyAlignment="1">
      <alignment horizontal="center"/>
    </xf>
    <xf numFmtId="10" fontId="49" fillId="64" borderId="23" xfId="6" applyNumberFormat="1" applyFont="1" applyFill="1" applyAlignment="1" applyProtection="1">
      <alignment horizontal="center"/>
      <protection locked="0"/>
    </xf>
    <xf numFmtId="0" fontId="49" fillId="0" borderId="23" xfId="6" applyFont="1" applyAlignment="1">
      <alignment vertical="top"/>
    </xf>
    <xf numFmtId="0" fontId="49" fillId="0" borderId="23" xfId="6" applyFont="1" applyAlignment="1" applyProtection="1">
      <alignment vertical="top"/>
      <protection locked="0"/>
    </xf>
    <xf numFmtId="0" fontId="49" fillId="64" borderId="23" xfId="6" applyFont="1" applyFill="1" applyAlignment="1" applyProtection="1">
      <alignment vertical="top"/>
      <protection locked="0"/>
    </xf>
    <xf numFmtId="0" fontId="34" fillId="64" borderId="23" xfId="6" applyFill="1" applyAlignment="1" applyProtection="1">
      <alignment vertical="top"/>
      <protection locked="0"/>
    </xf>
    <xf numFmtId="0" fontId="34" fillId="64" borderId="23" xfId="6" applyFill="1" applyAlignment="1">
      <alignment vertical="top"/>
    </xf>
    <xf numFmtId="0" fontId="49" fillId="0" borderId="231" xfId="6" applyFont="1" applyBorder="1" applyAlignment="1">
      <alignment vertical="center"/>
    </xf>
    <xf numFmtId="0" fontId="49" fillId="0" borderId="231" xfId="6" applyFont="1" applyBorder="1" applyAlignment="1">
      <alignment horizontal="right" vertical="center"/>
    </xf>
    <xf numFmtId="0" fontId="59" fillId="0" borderId="234" xfId="6" applyFont="1" applyBorder="1" applyAlignment="1">
      <alignment vertical="center"/>
    </xf>
    <xf numFmtId="9" fontId="49" fillId="0" borderId="147" xfId="6" applyNumberFormat="1" applyFont="1" applyBorder="1" applyAlignment="1">
      <alignment vertical="center"/>
    </xf>
    <xf numFmtId="9" fontId="49" fillId="0" borderId="49" xfId="6" applyNumberFormat="1" applyFont="1" applyBorder="1" applyAlignment="1" applyProtection="1">
      <alignment horizontal="center" vertical="center"/>
      <protection locked="0"/>
    </xf>
    <xf numFmtId="9" fontId="49" fillId="0" borderId="23" xfId="6" applyNumberFormat="1" applyFont="1" applyAlignment="1" applyProtection="1">
      <alignment horizontal="center" vertical="center"/>
      <protection locked="0"/>
    </xf>
    <xf numFmtId="0" fontId="49" fillId="0" borderId="23" xfId="6" applyFont="1" applyAlignment="1">
      <alignment horizontal="left"/>
    </xf>
    <xf numFmtId="0" fontId="100" fillId="16" borderId="23" xfId="6" applyFont="1" applyFill="1" applyAlignment="1">
      <alignment horizontal="left" vertical="center"/>
    </xf>
    <xf numFmtId="0" fontId="100" fillId="16" borderId="23" xfId="6" applyFont="1" applyFill="1" applyAlignment="1" applyProtection="1">
      <alignment vertical="center"/>
      <protection locked="0"/>
    </xf>
    <xf numFmtId="0" fontId="49" fillId="0" borderId="23" xfId="6" applyFont="1" applyAlignment="1">
      <alignment horizontal="left" vertical="center"/>
    </xf>
    <xf numFmtId="9" fontId="49" fillId="16" borderId="231" xfId="6" applyNumberFormat="1" applyFont="1" applyFill="1" applyBorder="1" applyAlignment="1" applyProtection="1">
      <alignment vertical="center"/>
      <protection locked="0"/>
    </xf>
    <xf numFmtId="9" fontId="49" fillId="16" borderId="52" xfId="6" applyNumberFormat="1" applyFont="1" applyFill="1" applyBorder="1" applyAlignment="1" applyProtection="1">
      <alignment horizontal="center" vertical="center"/>
      <protection locked="0"/>
    </xf>
    <xf numFmtId="0" fontId="59" fillId="0" borderId="51" xfId="6" applyFont="1" applyBorder="1" applyAlignment="1">
      <alignment vertical="center"/>
    </xf>
    <xf numFmtId="9" fontId="49" fillId="0" borderId="231" xfId="6" applyNumberFormat="1" applyFont="1" applyBorder="1" applyAlignment="1" applyProtection="1">
      <alignment vertical="center"/>
      <protection locked="0"/>
    </xf>
    <xf numFmtId="9" fontId="49" fillId="0" borderId="52" xfId="6" applyNumberFormat="1" applyFont="1" applyBorder="1" applyAlignment="1" applyProtection="1">
      <alignment vertical="center"/>
      <protection locked="0"/>
    </xf>
    <xf numFmtId="9" fontId="49" fillId="0" borderId="23" xfId="6" applyNumberFormat="1" applyFont="1" applyAlignment="1" applyProtection="1">
      <alignment horizontal="center"/>
      <protection locked="0"/>
    </xf>
    <xf numFmtId="0" fontId="34" fillId="64" borderId="23" xfId="6" applyFill="1" applyAlignment="1">
      <alignment vertical="center"/>
    </xf>
    <xf numFmtId="0" fontId="59" fillId="64" borderId="49" xfId="6" applyFont="1" applyFill="1" applyBorder="1" applyAlignment="1">
      <alignment horizontal="left" vertical="center"/>
    </xf>
    <xf numFmtId="0" fontId="323" fillId="64" borderId="23" xfId="6" applyFont="1" applyFill="1"/>
    <xf numFmtId="0" fontId="34" fillId="0" borderId="23" xfId="6" applyProtection="1">
      <protection locked="0"/>
    </xf>
    <xf numFmtId="0" fontId="34" fillId="0" borderId="23" xfId="6"/>
    <xf numFmtId="0" fontId="325" fillId="14" borderId="23" xfId="6" applyFont="1" applyFill="1" applyProtection="1">
      <protection locked="0"/>
    </xf>
    <xf numFmtId="0" fontId="334" fillId="14" borderId="23" xfId="6" applyFont="1" applyFill="1" applyProtection="1">
      <protection locked="0"/>
    </xf>
    <xf numFmtId="0" fontId="63" fillId="16" borderId="49" xfId="6" applyFont="1" applyFill="1" applyBorder="1"/>
    <xf numFmtId="3" fontId="43" fillId="16" borderId="49" xfId="6" applyNumberFormat="1" applyFont="1" applyFill="1" applyBorder="1" applyAlignment="1">
      <alignment horizontal="center"/>
    </xf>
    <xf numFmtId="3" fontId="34" fillId="64" borderId="23" xfId="6" applyNumberFormat="1" applyFill="1" applyProtection="1">
      <protection locked="0"/>
    </xf>
    <xf numFmtId="0" fontId="43" fillId="64" borderId="49" xfId="6" applyFont="1" applyFill="1" applyBorder="1" applyProtection="1">
      <protection locked="0"/>
    </xf>
    <xf numFmtId="1" fontId="43" fillId="64" borderId="49" xfId="6" applyNumberFormat="1" applyFont="1" applyFill="1" applyBorder="1" applyAlignment="1" applyProtection="1">
      <alignment horizontal="center"/>
      <protection locked="0"/>
    </xf>
    <xf numFmtId="1" fontId="34" fillId="64" borderId="23" xfId="6" applyNumberFormat="1" applyFill="1" applyProtection="1">
      <protection locked="0"/>
    </xf>
    <xf numFmtId="0" fontId="335" fillId="64" borderId="23" xfId="6" applyFont="1" applyFill="1" applyProtection="1">
      <protection locked="0"/>
    </xf>
    <xf numFmtId="0" fontId="65" fillId="64" borderId="49" xfId="6" applyFont="1" applyFill="1" applyBorder="1" applyAlignment="1">
      <alignment horizontal="center"/>
    </xf>
    <xf numFmtId="3" fontId="43" fillId="64" borderId="49" xfId="6" applyNumberFormat="1" applyFont="1" applyFill="1" applyBorder="1" applyAlignment="1" applyProtection="1">
      <alignment horizontal="center"/>
      <protection locked="0"/>
    </xf>
    <xf numFmtId="0" fontId="59" fillId="64" borderId="49" xfId="6" applyFont="1" applyFill="1" applyBorder="1" applyAlignment="1">
      <alignment horizontal="left"/>
    </xf>
    <xf numFmtId="3" fontId="43" fillId="64" borderId="49" xfId="6" applyNumberFormat="1" applyFont="1" applyFill="1" applyBorder="1" applyAlignment="1">
      <alignment horizontal="center"/>
    </xf>
    <xf numFmtId="0" fontId="338" fillId="64" borderId="23" xfId="6" applyFont="1" applyFill="1" applyProtection="1">
      <protection locked="0"/>
    </xf>
    <xf numFmtId="0" fontId="279" fillId="64" borderId="23" xfId="6" applyFont="1" applyFill="1" applyAlignment="1">
      <alignment horizontal="right" vertical="center"/>
    </xf>
    <xf numFmtId="3" fontId="339" fillId="65" borderId="49" xfId="6" applyNumberFormat="1" applyFont="1" applyFill="1" applyBorder="1" applyAlignment="1">
      <alignment horizontal="center" vertical="center"/>
    </xf>
    <xf numFmtId="9" fontId="339" fillId="64" borderId="23" xfId="9" applyFont="1" applyFill="1" applyAlignment="1" applyProtection="1">
      <alignment horizontal="left" vertical="center"/>
    </xf>
    <xf numFmtId="9" fontId="339" fillId="64" borderId="23" xfId="9" applyFont="1" applyFill="1" applyProtection="1"/>
    <xf numFmtId="3" fontId="339" fillId="70" borderId="49" xfId="6" applyNumberFormat="1" applyFont="1" applyFill="1" applyBorder="1" applyAlignment="1">
      <alignment horizontal="center" vertical="center"/>
    </xf>
    <xf numFmtId="0" fontId="340" fillId="64" borderId="23" xfId="6" applyFont="1" applyFill="1"/>
    <xf numFmtId="0" fontId="280" fillId="64" borderId="23" xfId="6" applyFont="1" applyFill="1" applyAlignment="1" applyProtection="1">
      <alignment vertical="center"/>
      <protection locked="0"/>
    </xf>
    <xf numFmtId="3" fontId="335" fillId="64" borderId="23" xfId="6" applyNumberFormat="1" applyFont="1" applyFill="1" applyAlignment="1" applyProtection="1">
      <alignment vertical="center"/>
      <protection locked="0"/>
    </xf>
    <xf numFmtId="0" fontId="335" fillId="64" borderId="23" xfId="6" applyFont="1" applyFill="1" applyAlignment="1" applyProtection="1">
      <alignment vertical="center"/>
      <protection locked="0"/>
    </xf>
    <xf numFmtId="3" fontId="335" fillId="64" borderId="23" xfId="6" applyNumberFormat="1" applyFont="1" applyFill="1" applyAlignment="1" applyProtection="1">
      <alignment horizontal="center" vertical="center"/>
      <protection locked="0"/>
    </xf>
    <xf numFmtId="0" fontId="280" fillId="64" borderId="23" xfId="6" applyFont="1" applyFill="1" applyProtection="1">
      <protection locked="0"/>
    </xf>
    <xf numFmtId="3" fontId="335" fillId="65" borderId="49" xfId="6" applyNumberFormat="1" applyFont="1" applyFill="1" applyBorder="1" applyAlignment="1">
      <alignment horizontal="center" vertical="center"/>
    </xf>
    <xf numFmtId="9" fontId="335" fillId="64" borderId="23" xfId="9" applyFont="1" applyFill="1" applyAlignment="1" applyProtection="1">
      <alignment horizontal="left" vertical="center"/>
    </xf>
    <xf numFmtId="9" fontId="335" fillId="64" borderId="23" xfId="9" applyFont="1" applyFill="1" applyProtection="1"/>
    <xf numFmtId="3" fontId="335" fillId="70" borderId="49" xfId="6" applyNumberFormat="1" applyFont="1" applyFill="1" applyBorder="1" applyAlignment="1">
      <alignment horizontal="center" vertical="center"/>
    </xf>
    <xf numFmtId="0" fontId="59" fillId="64" borderId="49" xfId="6" applyFont="1" applyFill="1" applyBorder="1" applyProtection="1">
      <protection locked="0"/>
    </xf>
    <xf numFmtId="0" fontId="63" fillId="16" borderId="49" xfId="6" applyFont="1" applyFill="1" applyBorder="1" applyAlignment="1">
      <alignment horizontal="left"/>
    </xf>
    <xf numFmtId="9" fontId="335" fillId="64" borderId="23" xfId="6" applyNumberFormat="1" applyFont="1" applyFill="1" applyProtection="1">
      <protection locked="0"/>
    </xf>
    <xf numFmtId="0" fontId="341" fillId="64" borderId="23" xfId="6" applyFont="1" applyFill="1" applyProtection="1">
      <protection locked="0"/>
    </xf>
    <xf numFmtId="0" fontId="59" fillId="64" borderId="55" xfId="6" applyFont="1" applyFill="1" applyBorder="1" applyAlignment="1">
      <alignment horizontal="left"/>
    </xf>
    <xf numFmtId="0" fontId="59" fillId="0" borderId="49" xfId="6" applyFont="1" applyBorder="1" applyAlignment="1">
      <alignment horizontal="left" wrapText="1"/>
    </xf>
    <xf numFmtId="3" fontId="43" fillId="64" borderId="52" xfId="6" applyNumberFormat="1" applyFont="1" applyFill="1" applyBorder="1" applyAlignment="1">
      <alignment horizontal="center"/>
    </xf>
    <xf numFmtId="0" fontId="61" fillId="16" borderId="23" xfId="6" applyFont="1" applyFill="1" applyAlignment="1" applyProtection="1">
      <alignment vertical="center"/>
      <protection locked="0"/>
    </xf>
    <xf numFmtId="0" fontId="342" fillId="64" borderId="23" xfId="6" applyFont="1" applyFill="1" applyProtection="1">
      <protection locked="0"/>
    </xf>
    <xf numFmtId="0" fontId="43" fillId="64" borderId="233" xfId="6" applyFont="1" applyFill="1" applyBorder="1" applyProtection="1">
      <protection locked="0"/>
    </xf>
    <xf numFmtId="3" fontId="63" fillId="16" borderId="49" xfId="6" applyNumberFormat="1" applyFont="1" applyFill="1" applyBorder="1" applyAlignment="1">
      <alignment horizontal="center" vertical="center"/>
    </xf>
    <xf numFmtId="0" fontId="63" fillId="16" borderId="49" xfId="6" applyFont="1" applyFill="1" applyBorder="1" applyAlignment="1">
      <alignment horizontal="center" vertical="center"/>
    </xf>
    <xf numFmtId="0" fontId="312" fillId="64" borderId="23" xfId="6" applyFont="1" applyFill="1" applyProtection="1">
      <protection locked="0"/>
    </xf>
    <xf numFmtId="0" fontId="63" fillId="16" borderId="49" xfId="6" applyFont="1" applyFill="1" applyBorder="1" applyAlignment="1">
      <alignment vertical="center"/>
    </xf>
    <xf numFmtId="3" fontId="43" fillId="64" borderId="49" xfId="6" applyNumberFormat="1" applyFont="1" applyFill="1" applyBorder="1" applyProtection="1">
      <protection locked="0"/>
    </xf>
    <xf numFmtId="0" fontId="43" fillId="64" borderId="49" xfId="6" applyFont="1" applyFill="1" applyBorder="1" applyAlignment="1" applyProtection="1">
      <alignment vertical="center"/>
      <protection locked="0"/>
    </xf>
    <xf numFmtId="0" fontId="43" fillId="64" borderId="49" xfId="6" applyFont="1" applyFill="1" applyBorder="1" applyAlignment="1" applyProtection="1">
      <alignment horizontal="center"/>
      <protection locked="0"/>
    </xf>
    <xf numFmtId="0" fontId="43" fillId="64" borderId="231" xfId="6" applyFont="1" applyFill="1" applyBorder="1" applyAlignment="1" applyProtection="1">
      <alignment vertical="center"/>
      <protection locked="0"/>
    </xf>
    <xf numFmtId="3" fontId="43" fillId="64" borderId="146" xfId="6" applyNumberFormat="1" applyFont="1" applyFill="1" applyBorder="1" applyAlignment="1" applyProtection="1">
      <alignment horizontal="center"/>
      <protection locked="0"/>
    </xf>
    <xf numFmtId="0" fontId="63" fillId="16" borderId="49" xfId="6" applyFont="1" applyFill="1" applyBorder="1" applyAlignment="1">
      <alignment horizontal="left" vertical="center"/>
    </xf>
    <xf numFmtId="3" fontId="43" fillId="64" borderId="234" xfId="6" applyNumberFormat="1" applyFont="1" applyFill="1" applyBorder="1" applyAlignment="1" applyProtection="1">
      <alignment horizontal="center"/>
      <protection locked="0"/>
    </xf>
    <xf numFmtId="3" fontId="43" fillId="64" borderId="147" xfId="6" applyNumberFormat="1" applyFont="1" applyFill="1" applyBorder="1" applyAlignment="1" applyProtection="1">
      <alignment horizontal="center"/>
      <protection locked="0"/>
    </xf>
    <xf numFmtId="0" fontId="343" fillId="64" borderId="23" xfId="6" applyFont="1" applyFill="1" applyAlignment="1" applyProtection="1">
      <alignment horizontal="right"/>
      <protection locked="0"/>
    </xf>
    <xf numFmtId="0" fontId="343" fillId="64" borderId="23" xfId="6" applyFont="1" applyFill="1" applyProtection="1">
      <protection locked="0"/>
    </xf>
    <xf numFmtId="0" fontId="41" fillId="16" borderId="51" xfId="6" applyFont="1" applyFill="1" applyBorder="1" applyAlignment="1" applyProtection="1">
      <alignment horizontal="center" vertical="center"/>
      <protection locked="0"/>
    </xf>
    <xf numFmtId="0" fontId="41" fillId="16" borderId="52" xfId="6" applyFont="1" applyFill="1" applyBorder="1" applyAlignment="1">
      <alignment horizontal="right" vertical="center"/>
    </xf>
    <xf numFmtId="0" fontId="41" fillId="16" borderId="49" xfId="6" applyFont="1" applyFill="1" applyBorder="1" applyAlignment="1">
      <alignment horizontal="center" vertical="center"/>
    </xf>
    <xf numFmtId="3" fontId="47" fillId="64" borderId="49" xfId="6" applyNumberFormat="1" applyFont="1" applyFill="1" applyBorder="1" applyAlignment="1">
      <alignment horizontal="center" vertical="center"/>
    </xf>
    <xf numFmtId="0" fontId="43" fillId="64" borderId="231" xfId="6" applyFont="1" applyFill="1" applyBorder="1" applyProtection="1">
      <protection locked="0"/>
    </xf>
    <xf numFmtId="3" fontId="43" fillId="64" borderId="231" xfId="6" applyNumberFormat="1" applyFont="1" applyFill="1" applyBorder="1" applyAlignment="1" applyProtection="1">
      <alignment horizontal="center"/>
      <protection locked="0"/>
    </xf>
    <xf numFmtId="3" fontId="63" fillId="16" borderId="49" xfId="6" applyNumberFormat="1" applyFont="1" applyFill="1" applyBorder="1" applyAlignment="1">
      <alignment horizontal="center"/>
    </xf>
    <xf numFmtId="3" fontId="343" fillId="64" borderId="23" xfId="6" applyNumberFormat="1" applyFont="1" applyFill="1" applyProtection="1">
      <protection locked="0"/>
    </xf>
    <xf numFmtId="0" fontId="61" fillId="16" borderId="23" xfId="6" applyFont="1" applyFill="1" applyAlignment="1">
      <alignment horizontal="left" vertical="center"/>
    </xf>
    <xf numFmtId="0" fontId="34" fillId="0" borderId="231" xfId="6" applyBorder="1"/>
    <xf numFmtId="0" fontId="325" fillId="64" borderId="23" xfId="6" applyFont="1" applyFill="1" applyProtection="1">
      <protection locked="0"/>
    </xf>
    <xf numFmtId="3" fontId="63" fillId="64" borderId="233" xfId="6" applyNumberFormat="1" applyFont="1" applyFill="1" applyBorder="1" applyAlignment="1" applyProtection="1">
      <alignment horizontal="right"/>
      <protection locked="0"/>
    </xf>
    <xf numFmtId="0" fontId="43" fillId="64" borderId="49" xfId="6" applyFont="1" applyFill="1" applyBorder="1"/>
    <xf numFmtId="0" fontId="43" fillId="64" borderId="233" xfId="6" applyFont="1" applyFill="1" applyBorder="1" applyAlignment="1" applyProtection="1">
      <alignment horizontal="right"/>
      <protection locked="0"/>
    </xf>
    <xf numFmtId="0" fontId="43" fillId="64" borderId="49" xfId="6" applyFont="1" applyFill="1" applyBorder="1" applyAlignment="1">
      <alignment horizontal="right"/>
    </xf>
    <xf numFmtId="0" fontId="59" fillId="64" borderId="49" xfId="6" applyFont="1" applyFill="1" applyBorder="1" applyAlignment="1">
      <alignment horizontal="right"/>
    </xf>
    <xf numFmtId="3" fontId="43" fillId="64" borderId="49" xfId="6" applyNumberFormat="1" applyFont="1" applyFill="1" applyBorder="1" applyAlignment="1">
      <alignment horizontal="center" vertical="center"/>
    </xf>
    <xf numFmtId="3" fontId="59" fillId="64" borderId="49" xfId="6" applyNumberFormat="1" applyFont="1" applyFill="1" applyBorder="1" applyAlignment="1">
      <alignment horizontal="right" vertical="center"/>
    </xf>
    <xf numFmtId="3" fontId="43" fillId="64" borderId="49" xfId="6" applyNumberFormat="1" applyFont="1" applyFill="1" applyBorder="1" applyAlignment="1" applyProtection="1">
      <alignment horizontal="center" vertical="center"/>
      <protection locked="0"/>
    </xf>
    <xf numFmtId="3" fontId="59" fillId="64" borderId="49" xfId="6" applyNumberFormat="1" applyFont="1" applyFill="1" applyBorder="1" applyAlignment="1">
      <alignment horizontal="right"/>
    </xf>
    <xf numFmtId="0" fontId="59" fillId="64" borderId="49" xfId="6" applyFont="1" applyFill="1" applyBorder="1" applyAlignment="1">
      <alignment horizontal="right" vertical="center"/>
    </xf>
    <xf numFmtId="0" fontId="63" fillId="64" borderId="49" xfId="6" applyFont="1" applyFill="1" applyBorder="1" applyAlignment="1">
      <alignment horizontal="right"/>
    </xf>
    <xf numFmtId="0" fontId="62" fillId="14" borderId="23" xfId="6" applyFont="1" applyFill="1" applyAlignment="1" applyProtection="1">
      <alignment vertical="center"/>
      <protection locked="0"/>
    </xf>
    <xf numFmtId="0" fontId="50" fillId="16" borderId="49" xfId="6" applyFont="1" applyFill="1" applyBorder="1" applyAlignment="1">
      <alignment vertical="center"/>
    </xf>
    <xf numFmtId="3" fontId="49" fillId="16" borderId="49" xfId="6" applyNumberFormat="1" applyFont="1" applyFill="1" applyBorder="1" applyAlignment="1">
      <alignment horizontal="center" vertical="center"/>
    </xf>
    <xf numFmtId="3" fontId="49" fillId="64" borderId="231" xfId="6" applyNumberFormat="1" applyFont="1" applyFill="1" applyBorder="1" applyAlignment="1" applyProtection="1">
      <alignment horizontal="center" vertical="center"/>
      <protection locked="0"/>
    </xf>
    <xf numFmtId="0" fontId="344" fillId="64" borderId="23" xfId="6" applyFont="1" applyFill="1" applyProtection="1">
      <protection locked="0"/>
    </xf>
    <xf numFmtId="0" fontId="133" fillId="64" borderId="49" xfId="6" applyFont="1" applyFill="1" applyBorder="1" applyAlignment="1">
      <alignment horizontal="left" vertical="center"/>
    </xf>
    <xf numFmtId="3" fontId="49" fillId="64" borderId="49" xfId="6" applyNumberFormat="1" applyFont="1" applyFill="1" applyBorder="1" applyAlignment="1" applyProtection="1">
      <alignment horizontal="center" vertical="center"/>
      <protection locked="0"/>
    </xf>
    <xf numFmtId="3" fontId="49" fillId="64" borderId="49" xfId="6" applyNumberFormat="1" applyFont="1" applyFill="1" applyBorder="1" applyAlignment="1">
      <alignment horizontal="center" vertical="center"/>
    </xf>
    <xf numFmtId="0" fontId="43" fillId="64" borderId="23" xfId="6" applyFont="1" applyFill="1" applyAlignment="1" applyProtection="1">
      <alignment vertical="center"/>
      <protection locked="0"/>
    </xf>
    <xf numFmtId="3" fontId="63" fillId="65" borderId="49" xfId="6" applyNumberFormat="1" applyFont="1" applyFill="1" applyBorder="1" applyAlignment="1">
      <alignment horizontal="center" vertical="center"/>
    </xf>
    <xf numFmtId="9" fontId="63" fillId="64" borderId="23" xfId="9" applyFont="1" applyFill="1" applyAlignment="1" applyProtection="1">
      <alignment horizontal="left" vertical="center"/>
    </xf>
    <xf numFmtId="9" fontId="63" fillId="64" borderId="23" xfId="9" applyFont="1" applyFill="1" applyAlignment="1" applyProtection="1">
      <alignment vertical="center"/>
    </xf>
    <xf numFmtId="3" fontId="63" fillId="70" borderId="49" xfId="6" applyNumberFormat="1" applyFont="1" applyFill="1" applyBorder="1" applyAlignment="1">
      <alignment horizontal="center" vertical="center"/>
    </xf>
    <xf numFmtId="0" fontId="59" fillId="64" borderId="23" xfId="6" applyFont="1" applyFill="1" applyAlignment="1">
      <alignment vertical="center"/>
    </xf>
    <xf numFmtId="0" fontId="133" fillId="64" borderId="23" xfId="6" applyFont="1" applyFill="1" applyAlignment="1" applyProtection="1">
      <alignment vertical="center"/>
      <protection locked="0"/>
    </xf>
    <xf numFmtId="3" fontId="43" fillId="64" borderId="23" xfId="6" applyNumberFormat="1" applyFont="1" applyFill="1" applyAlignment="1" applyProtection="1">
      <alignment horizontal="center" vertical="center"/>
      <protection locked="0"/>
    </xf>
    <xf numFmtId="3" fontId="43" fillId="65" borderId="49" xfId="6" applyNumberFormat="1" applyFont="1" applyFill="1" applyBorder="1" applyAlignment="1">
      <alignment horizontal="center" vertical="center"/>
    </xf>
    <xf numFmtId="9" fontId="43" fillId="64" borderId="23" xfId="9" applyFont="1" applyFill="1" applyAlignment="1" applyProtection="1">
      <alignment horizontal="left" vertical="center"/>
    </xf>
    <xf numFmtId="9" fontId="43" fillId="64" borderId="23" xfId="9" applyFont="1" applyFill="1" applyAlignment="1" applyProtection="1">
      <alignment vertical="center"/>
    </xf>
    <xf numFmtId="3" fontId="43" fillId="70" borderId="49" xfId="6" applyNumberFormat="1" applyFont="1" applyFill="1" applyBorder="1" applyAlignment="1">
      <alignment horizontal="center" vertical="center"/>
    </xf>
    <xf numFmtId="9" fontId="43" fillId="64" borderId="23" xfId="6" applyNumberFormat="1" applyFont="1" applyFill="1" applyAlignment="1" applyProtection="1">
      <alignment vertical="center"/>
      <protection locked="0"/>
    </xf>
    <xf numFmtId="0" fontId="59" fillId="64" borderId="55" xfId="6" applyFont="1" applyFill="1" applyBorder="1" applyAlignment="1">
      <alignment horizontal="left" vertical="center"/>
    </xf>
    <xf numFmtId="0" fontId="59" fillId="0" borderId="49" xfId="6" applyFont="1" applyBorder="1" applyAlignment="1">
      <alignment horizontal="left" vertical="center" wrapText="1"/>
    </xf>
    <xf numFmtId="3" fontId="49" fillId="64" borderId="52" xfId="6" applyNumberFormat="1" applyFont="1" applyFill="1" applyBorder="1" applyAlignment="1">
      <alignment horizontal="center" vertical="center"/>
    </xf>
    <xf numFmtId="0" fontId="26" fillId="16" borderId="23" xfId="6" applyFont="1" applyFill="1" applyAlignment="1" applyProtection="1">
      <alignment vertical="center"/>
      <protection locked="0"/>
    </xf>
    <xf numFmtId="0" fontId="36" fillId="16" borderId="23" xfId="6" applyFont="1" applyFill="1" applyAlignment="1" applyProtection="1">
      <alignment vertical="center"/>
      <protection locked="0"/>
    </xf>
    <xf numFmtId="0" fontId="129" fillId="64" borderId="233" xfId="6" applyFont="1" applyFill="1" applyBorder="1" applyAlignment="1" applyProtection="1">
      <alignment vertical="center"/>
      <protection locked="0"/>
    </xf>
    <xf numFmtId="3" fontId="50" fillId="16" borderId="49" xfId="6" applyNumberFormat="1" applyFont="1" applyFill="1" applyBorder="1" applyAlignment="1">
      <alignment horizontal="center" vertical="center"/>
    </xf>
    <xf numFmtId="0" fontId="95" fillId="64" borderId="23" xfId="6" applyFont="1" applyFill="1" applyProtection="1">
      <protection locked="0"/>
    </xf>
    <xf numFmtId="0" fontId="345" fillId="64" borderId="23" xfId="6" applyFont="1" applyFill="1" applyProtection="1">
      <protection locked="0"/>
    </xf>
    <xf numFmtId="0" fontId="130" fillId="16" borderId="49" xfId="6" applyFont="1" applyFill="1" applyBorder="1" applyAlignment="1">
      <alignment vertical="center"/>
    </xf>
    <xf numFmtId="3" fontId="129" fillId="64" borderId="49" xfId="6" applyNumberFormat="1" applyFont="1" applyFill="1" applyBorder="1" applyAlignment="1" applyProtection="1">
      <alignment horizontal="center" vertical="center"/>
      <protection locked="0"/>
    </xf>
    <xf numFmtId="0" fontId="129" fillId="64" borderId="49" xfId="6" applyFont="1" applyFill="1" applyBorder="1" applyAlignment="1" applyProtection="1">
      <alignment horizontal="center" vertical="center"/>
      <protection locked="0"/>
    </xf>
    <xf numFmtId="0" fontId="129" fillId="64" borderId="49" xfId="6" applyFont="1" applyFill="1" applyBorder="1" applyAlignment="1" applyProtection="1">
      <alignment vertical="center"/>
      <protection locked="0"/>
    </xf>
    <xf numFmtId="3" fontId="129" fillId="64" borderId="49" xfId="6" applyNumberFormat="1" applyFont="1" applyFill="1" applyBorder="1" applyAlignment="1">
      <alignment horizontal="center" vertical="center"/>
    </xf>
    <xf numFmtId="0" fontId="129" fillId="64" borderId="231" xfId="6" applyFont="1" applyFill="1" applyBorder="1" applyAlignment="1" applyProtection="1">
      <alignment vertical="center"/>
      <protection locked="0"/>
    </xf>
    <xf numFmtId="3" fontId="129" fillId="64" borderId="146" xfId="6" applyNumberFormat="1" applyFont="1" applyFill="1" applyBorder="1" applyAlignment="1" applyProtection="1">
      <alignment horizontal="center" vertical="center"/>
      <protection locked="0"/>
    </xf>
    <xf numFmtId="0" fontId="129" fillId="64" borderId="146" xfId="6" applyFont="1" applyFill="1" applyBorder="1" applyAlignment="1" applyProtection="1">
      <alignment horizontal="center" vertical="center"/>
      <protection locked="0"/>
    </xf>
    <xf numFmtId="0" fontId="130" fillId="16" borderId="49" xfId="6" applyFont="1" applyFill="1" applyBorder="1" applyAlignment="1">
      <alignment horizontal="left" vertical="center"/>
    </xf>
    <xf numFmtId="3" fontId="129" fillId="64" borderId="234" xfId="6" applyNumberFormat="1" applyFont="1" applyFill="1" applyBorder="1" applyAlignment="1" applyProtection="1">
      <alignment horizontal="center" vertical="center"/>
      <protection locked="0"/>
    </xf>
    <xf numFmtId="3" fontId="129" fillId="64" borderId="147" xfId="6" applyNumberFormat="1" applyFont="1" applyFill="1" applyBorder="1" applyAlignment="1" applyProtection="1">
      <alignment horizontal="center" vertical="center"/>
      <protection locked="0"/>
    </xf>
    <xf numFmtId="0" fontId="346" fillId="64" borderId="23" xfId="6" applyFont="1" applyFill="1" applyAlignment="1" applyProtection="1">
      <alignment horizontal="right"/>
      <protection locked="0"/>
    </xf>
    <xf numFmtId="0" fontId="346" fillId="64" borderId="23" xfId="6" applyFont="1" applyFill="1" applyProtection="1">
      <protection locked="0"/>
    </xf>
    <xf numFmtId="0" fontId="95" fillId="14" borderId="49" xfId="6" applyFont="1" applyFill="1" applyBorder="1" applyAlignment="1" applyProtection="1">
      <alignment horizontal="center" vertical="center"/>
      <protection locked="0"/>
    </xf>
    <xf numFmtId="0" fontId="119" fillId="16" borderId="49" xfId="6" applyFont="1" applyFill="1" applyBorder="1" applyAlignment="1">
      <alignment horizontal="right" vertical="center"/>
    </xf>
    <xf numFmtId="0" fontId="119" fillId="16" borderId="49" xfId="6" applyFont="1" applyFill="1" applyBorder="1" applyAlignment="1">
      <alignment horizontal="center" vertical="center"/>
    </xf>
    <xf numFmtId="0" fontId="104" fillId="64" borderId="49" xfId="6" applyFont="1" applyFill="1" applyBorder="1" applyAlignment="1">
      <alignment vertical="center"/>
    </xf>
    <xf numFmtId="3" fontId="95" fillId="64" borderId="49" xfId="6" applyNumberFormat="1" applyFont="1" applyFill="1" applyBorder="1" applyAlignment="1">
      <alignment horizontal="center" vertical="center"/>
    </xf>
    <xf numFmtId="3" fontId="129" fillId="64" borderId="231" xfId="6" applyNumberFormat="1" applyFont="1" applyFill="1" applyBorder="1" applyAlignment="1" applyProtection="1">
      <alignment horizontal="center" vertical="center"/>
      <protection locked="0"/>
    </xf>
    <xf numFmtId="0" fontId="129" fillId="64" borderId="231" xfId="6" applyFont="1" applyFill="1" applyBorder="1" applyAlignment="1" applyProtection="1">
      <alignment horizontal="center" vertical="center"/>
      <protection locked="0"/>
    </xf>
    <xf numFmtId="3" fontId="130" fillId="16" borderId="49" xfId="6" applyNumberFormat="1" applyFont="1" applyFill="1" applyBorder="1" applyAlignment="1">
      <alignment horizontal="center" vertical="center"/>
    </xf>
    <xf numFmtId="3" fontId="346" fillId="64" borderId="23" xfId="6" applyNumberFormat="1" applyFont="1" applyFill="1" applyProtection="1">
      <protection locked="0"/>
    </xf>
    <xf numFmtId="0" fontId="62" fillId="16" borderId="23" xfId="6" applyFont="1" applyFill="1" applyAlignment="1" applyProtection="1">
      <alignment horizontal="left" vertical="center"/>
      <protection locked="0"/>
    </xf>
    <xf numFmtId="0" fontId="62" fillId="16" borderId="23" xfId="6" applyFont="1" applyFill="1"/>
    <xf numFmtId="0" fontId="63" fillId="16" borderId="49" xfId="6" applyFont="1" applyFill="1" applyBorder="1" applyAlignment="1">
      <alignment horizontal="center"/>
    </xf>
    <xf numFmtId="0" fontId="43" fillId="14" borderId="49" xfId="6" applyFont="1" applyFill="1" applyBorder="1" applyAlignment="1" applyProtection="1">
      <alignment horizontal="right"/>
      <protection locked="0"/>
    </xf>
    <xf numFmtId="0" fontId="63" fillId="16" borderId="49" xfId="6" applyFont="1" applyFill="1" applyBorder="1" applyAlignment="1">
      <alignment horizontal="right"/>
    </xf>
    <xf numFmtId="0" fontId="34" fillId="64" borderId="23" xfId="6" applyFill="1" applyAlignment="1">
      <alignment horizontal="right"/>
    </xf>
    <xf numFmtId="0" fontId="50" fillId="64" borderId="49" xfId="6" applyFont="1" applyFill="1" applyBorder="1" applyAlignment="1">
      <alignment horizontal="right" vertical="center"/>
    </xf>
    <xf numFmtId="0" fontId="50" fillId="64" borderId="49" xfId="6" applyFont="1" applyFill="1" applyBorder="1" applyAlignment="1">
      <alignment horizontal="right"/>
    </xf>
    <xf numFmtId="0" fontId="63" fillId="64" borderId="49" xfId="6" applyFont="1" applyFill="1" applyBorder="1" applyAlignment="1">
      <alignment horizontal="right" vertical="center"/>
    </xf>
    <xf numFmtId="0" fontId="26" fillId="16" borderId="23" xfId="6" applyFont="1" applyFill="1" applyAlignment="1">
      <alignment horizontal="left" vertical="center"/>
    </xf>
    <xf numFmtId="0" fontId="36" fillId="16" borderId="23" xfId="6" applyFont="1" applyFill="1" applyAlignment="1" applyProtection="1">
      <alignment horizontal="left" vertical="center"/>
      <protection locked="0"/>
    </xf>
    <xf numFmtId="3" fontId="43" fillId="16" borderId="49" xfId="6" applyNumberFormat="1" applyFont="1" applyFill="1" applyBorder="1" applyAlignment="1">
      <alignment horizontal="center" vertical="center"/>
    </xf>
    <xf numFmtId="0" fontId="133" fillId="64" borderId="231" xfId="6" applyFont="1" applyFill="1" applyBorder="1" applyAlignment="1" applyProtection="1">
      <alignment horizontal="left" vertical="center"/>
      <protection locked="0"/>
    </xf>
    <xf numFmtId="9" fontId="63" fillId="64" borderId="23" xfId="9" applyFont="1" applyFill="1" applyAlignment="1" applyProtection="1">
      <alignment horizontal="left"/>
    </xf>
    <xf numFmtId="9" fontId="43" fillId="64" borderId="23" xfId="9" applyFont="1" applyFill="1" applyAlignment="1" applyProtection="1">
      <alignment horizontal="left"/>
    </xf>
    <xf numFmtId="3" fontId="43" fillId="64" borderId="231" xfId="6" applyNumberFormat="1" applyFont="1" applyFill="1" applyBorder="1" applyAlignment="1" applyProtection="1">
      <alignment horizontal="center" vertical="center"/>
      <protection locked="0"/>
    </xf>
    <xf numFmtId="0" fontId="43" fillId="64" borderId="23" xfId="6" applyFont="1" applyFill="1" applyAlignment="1" applyProtection="1">
      <alignment horizontal="center" vertical="center"/>
      <protection locked="0"/>
    </xf>
    <xf numFmtId="9" fontId="43" fillId="64" borderId="23" xfId="6" applyNumberFormat="1" applyFont="1" applyFill="1" applyProtection="1">
      <protection locked="0"/>
    </xf>
    <xf numFmtId="0" fontId="43" fillId="64" borderId="23" xfId="6" applyFont="1" applyFill="1" applyAlignment="1" applyProtection="1">
      <alignment horizontal="center"/>
      <protection locked="0"/>
    </xf>
    <xf numFmtId="3" fontId="43" fillId="64" borderId="52" xfId="6" applyNumberFormat="1" applyFont="1" applyFill="1" applyBorder="1" applyAlignment="1">
      <alignment horizontal="center" vertical="center"/>
    </xf>
    <xf numFmtId="3" fontId="50" fillId="16" borderId="49" xfId="6" applyNumberFormat="1" applyFont="1" applyFill="1" applyBorder="1" applyAlignment="1">
      <alignment vertical="center"/>
    </xf>
    <xf numFmtId="0" fontId="312" fillId="64" borderId="23" xfId="6" applyFont="1" applyFill="1" applyAlignment="1" applyProtection="1">
      <alignment vertical="center"/>
      <protection locked="0"/>
    </xf>
    <xf numFmtId="0" fontId="49" fillId="64" borderId="49" xfId="6" applyFont="1" applyFill="1" applyBorder="1" applyAlignment="1" applyProtection="1">
      <alignment horizontal="center" vertical="center"/>
      <protection locked="0"/>
    </xf>
    <xf numFmtId="0" fontId="49" fillId="64" borderId="49" xfId="6" applyFont="1" applyFill="1" applyBorder="1" applyAlignment="1" applyProtection="1">
      <alignment vertical="center"/>
      <protection locked="0"/>
    </xf>
    <xf numFmtId="3" fontId="49" fillId="64" borderId="146" xfId="6" applyNumberFormat="1" applyFont="1" applyFill="1" applyBorder="1" applyAlignment="1" applyProtection="1">
      <alignment horizontal="center" vertical="center"/>
      <protection locked="0"/>
    </xf>
    <xf numFmtId="3" fontId="49" fillId="64" borderId="234" xfId="6" applyNumberFormat="1" applyFont="1" applyFill="1" applyBorder="1" applyAlignment="1" applyProtection="1">
      <alignment horizontal="center" vertical="center"/>
      <protection locked="0"/>
    </xf>
    <xf numFmtId="3" fontId="49" fillId="64" borderId="147" xfId="6" applyNumberFormat="1" applyFont="1" applyFill="1" applyBorder="1" applyAlignment="1" applyProtection="1">
      <alignment horizontal="center" vertical="center"/>
      <protection locked="0"/>
    </xf>
    <xf numFmtId="0" fontId="347" fillId="64" borderId="23" xfId="6" applyFont="1" applyFill="1" applyAlignment="1" applyProtection="1">
      <alignment horizontal="right" vertical="center"/>
      <protection locked="0"/>
    </xf>
    <xf numFmtId="0" fontId="347" fillId="64" borderId="23" xfId="6" applyFont="1" applyFill="1" applyAlignment="1" applyProtection="1">
      <alignment vertical="center"/>
      <protection locked="0"/>
    </xf>
    <xf numFmtId="0" fontId="63" fillId="14" borderId="49" xfId="6" applyFont="1" applyFill="1" applyBorder="1" applyAlignment="1" applyProtection="1">
      <alignment vertical="center"/>
      <protection locked="0"/>
    </xf>
    <xf numFmtId="0" fontId="63" fillId="16" borderId="49" xfId="6" applyFont="1" applyFill="1" applyBorder="1" applyAlignment="1">
      <alignment horizontal="right" vertical="center"/>
    </xf>
    <xf numFmtId="0" fontId="343" fillId="64" borderId="23" xfId="6" applyFont="1" applyFill="1" applyAlignment="1" applyProtection="1">
      <alignment horizontal="right" vertical="center"/>
      <protection locked="0"/>
    </xf>
    <xf numFmtId="3" fontId="343" fillId="64" borderId="23" xfId="6" applyNumberFormat="1" applyFont="1" applyFill="1" applyAlignment="1" applyProtection="1">
      <alignment vertical="center"/>
      <protection locked="0"/>
    </xf>
    <xf numFmtId="0" fontId="313" fillId="16" borderId="23" xfId="6" applyFont="1" applyFill="1" applyAlignment="1" applyProtection="1">
      <alignment vertical="center"/>
      <protection locked="0"/>
    </xf>
    <xf numFmtId="0" fontId="34" fillId="14" borderId="23" xfId="6" applyFill="1" applyAlignment="1" applyProtection="1">
      <alignment vertical="center"/>
      <protection locked="0"/>
    </xf>
    <xf numFmtId="0" fontId="313" fillId="16" borderId="23" xfId="6" applyFont="1" applyFill="1" applyAlignment="1">
      <alignment vertical="center"/>
    </xf>
    <xf numFmtId="0" fontId="34" fillId="14" borderId="23" xfId="6" applyFill="1" applyAlignment="1">
      <alignment vertical="center"/>
    </xf>
    <xf numFmtId="0" fontId="34" fillId="0" borderId="23" xfId="6" applyAlignment="1">
      <alignment vertical="center"/>
    </xf>
    <xf numFmtId="3" fontId="63" fillId="64" borderId="233" xfId="6" applyNumberFormat="1" applyFont="1" applyFill="1" applyBorder="1" applyAlignment="1" applyProtection="1">
      <alignment horizontal="right" vertical="center"/>
      <protection locked="0"/>
    </xf>
    <xf numFmtId="0" fontId="43" fillId="64" borderId="49" xfId="6" applyFont="1" applyFill="1" applyBorder="1" applyAlignment="1" applyProtection="1">
      <alignment horizontal="right" vertical="center"/>
      <protection locked="0"/>
    </xf>
    <xf numFmtId="0" fontId="34" fillId="64" borderId="23" xfId="6" applyFill="1" applyAlignment="1">
      <alignment horizontal="right" wrapText="1"/>
    </xf>
    <xf numFmtId="0" fontId="34" fillId="64" borderId="23" xfId="6" applyFill="1" applyAlignment="1" applyProtection="1">
      <alignment horizontal="right"/>
      <protection locked="0"/>
    </xf>
    <xf numFmtId="0" fontId="34" fillId="64" borderId="23" xfId="6" applyFill="1" applyAlignment="1" applyProtection="1">
      <alignment horizontal="center" vertical="center"/>
      <protection locked="0"/>
    </xf>
    <xf numFmtId="0" fontId="100" fillId="16" borderId="23" xfId="6" applyFont="1" applyFill="1" applyAlignment="1" applyProtection="1">
      <alignment horizontal="center" vertical="center"/>
      <protection locked="0"/>
    </xf>
    <xf numFmtId="0" fontId="325" fillId="0" borderId="23" xfId="6" applyFont="1" applyProtection="1">
      <protection locked="0"/>
    </xf>
    <xf numFmtId="0" fontId="334" fillId="64" borderId="23" xfId="6" applyFont="1" applyFill="1" applyProtection="1">
      <protection locked="0"/>
    </xf>
    <xf numFmtId="1" fontId="43" fillId="64" borderId="231" xfId="6" applyNumberFormat="1" applyFont="1" applyFill="1" applyBorder="1" applyAlignment="1" applyProtection="1">
      <alignment horizontal="center"/>
      <protection locked="0"/>
    </xf>
    <xf numFmtId="0" fontId="133" fillId="64" borderId="49" xfId="6" applyFont="1" applyFill="1" applyBorder="1" applyAlignment="1">
      <alignment horizontal="left"/>
    </xf>
    <xf numFmtId="0" fontId="348" fillId="64" borderId="23" xfId="6" applyFont="1" applyFill="1" applyProtection="1">
      <protection locked="0"/>
    </xf>
    <xf numFmtId="3" fontId="43" fillId="23" borderId="49" xfId="6" applyNumberFormat="1" applyFont="1" applyFill="1" applyBorder="1" applyAlignment="1" applyProtection="1">
      <alignment horizontal="center" vertical="center"/>
      <protection locked="0"/>
    </xf>
    <xf numFmtId="0" fontId="63" fillId="16" borderId="23" xfId="6" applyFont="1" applyFill="1" applyAlignment="1" applyProtection="1">
      <alignment horizontal="left" vertical="center"/>
      <protection locked="0"/>
    </xf>
    <xf numFmtId="0" fontId="43" fillId="16" borderId="23" xfId="6" applyFont="1" applyFill="1" applyAlignment="1" applyProtection="1">
      <alignment horizontal="left" vertical="center"/>
      <protection locked="0"/>
    </xf>
    <xf numFmtId="3" fontId="63" fillId="64" borderId="49" xfId="6" applyNumberFormat="1" applyFont="1" applyFill="1" applyBorder="1" applyAlignment="1" applyProtection="1">
      <alignment horizontal="right" vertical="center"/>
      <protection locked="0"/>
    </xf>
    <xf numFmtId="0" fontId="43" fillId="64" borderId="51" xfId="6" applyFont="1" applyFill="1" applyBorder="1" applyAlignment="1" applyProtection="1">
      <alignment vertical="center"/>
      <protection locked="0"/>
    </xf>
    <xf numFmtId="0" fontId="43" fillId="64" borderId="52" xfId="6" applyFont="1" applyFill="1" applyBorder="1" applyAlignment="1" applyProtection="1">
      <alignment horizontal="right" vertical="center"/>
      <protection locked="0"/>
    </xf>
    <xf numFmtId="3" fontId="59" fillId="64" borderId="52" xfId="6" applyNumberFormat="1" applyFont="1" applyFill="1" applyBorder="1" applyAlignment="1">
      <alignment horizontal="right" vertical="center"/>
    </xf>
    <xf numFmtId="3" fontId="49" fillId="64" borderId="49" xfId="6" applyNumberFormat="1" applyFont="1" applyFill="1" applyBorder="1" applyAlignment="1">
      <alignment vertical="center"/>
    </xf>
    <xf numFmtId="0" fontId="43" fillId="64" borderId="51" xfId="6" applyFont="1" applyFill="1" applyBorder="1" applyAlignment="1">
      <alignment horizontal="right" vertical="center"/>
    </xf>
    <xf numFmtId="0" fontId="63" fillId="64" borderId="52" xfId="6" applyFont="1" applyFill="1" applyBorder="1" applyAlignment="1">
      <alignment horizontal="right" vertical="center"/>
    </xf>
    <xf numFmtId="3" fontId="49" fillId="64" borderId="49" xfId="6" applyNumberFormat="1" applyFont="1" applyFill="1" applyBorder="1" applyAlignment="1">
      <alignment horizontal="right" vertical="center"/>
    </xf>
    <xf numFmtId="3" fontId="49" fillId="64" borderId="49" xfId="6" applyNumberFormat="1" applyFont="1" applyFill="1" applyBorder="1" applyAlignment="1">
      <alignment horizontal="left" vertical="center"/>
    </xf>
    <xf numFmtId="0" fontId="63" fillId="16" borderId="49" xfId="6" applyFont="1" applyFill="1" applyBorder="1" applyAlignment="1">
      <alignment horizontal="center" vertical="center" wrapText="1"/>
    </xf>
    <xf numFmtId="0" fontId="43" fillId="64" borderId="231" xfId="6" applyFont="1" applyFill="1" applyBorder="1" applyAlignment="1" applyProtection="1">
      <alignment horizontal="center"/>
      <protection locked="0"/>
    </xf>
    <xf numFmtId="0" fontId="65" fillId="64" borderId="49" xfId="6" applyFont="1" applyFill="1" applyBorder="1" applyAlignment="1">
      <alignment horizontal="left" vertical="center"/>
    </xf>
    <xf numFmtId="166" fontId="43" fillId="64" borderId="231" xfId="9" applyNumberFormat="1" applyFont="1" applyFill="1" applyBorder="1" applyAlignment="1" applyProtection="1">
      <alignment horizontal="center" vertical="center"/>
      <protection locked="0"/>
    </xf>
    <xf numFmtId="0" fontId="349" fillId="64" borderId="23" xfId="6" applyFont="1" applyFill="1" applyProtection="1">
      <protection locked="0"/>
    </xf>
    <xf numFmtId="0" fontId="26" fillId="16" borderId="23" xfId="6" applyFont="1" applyFill="1" applyProtection="1">
      <protection locked="0"/>
    </xf>
    <xf numFmtId="0" fontId="43" fillId="64" borderId="147" xfId="6" applyFont="1" applyFill="1" applyBorder="1" applyAlignment="1" applyProtection="1">
      <alignment vertical="center"/>
      <protection locked="0"/>
    </xf>
    <xf numFmtId="0" fontId="43" fillId="64" borderId="233" xfId="6" applyFont="1" applyFill="1" applyBorder="1" applyAlignment="1" applyProtection="1">
      <alignment vertical="center"/>
      <protection locked="0"/>
    </xf>
    <xf numFmtId="0" fontId="63" fillId="64" borderId="49" xfId="6" applyFont="1" applyFill="1" applyBorder="1" applyAlignment="1">
      <alignment vertical="center"/>
    </xf>
    <xf numFmtId="0" fontId="63" fillId="64" borderId="23" xfId="6" applyFont="1" applyFill="1" applyProtection="1">
      <protection locked="0"/>
    </xf>
    <xf numFmtId="0" fontId="133" fillId="64" borderId="49" xfId="6" applyFont="1" applyFill="1" applyBorder="1" applyAlignment="1" applyProtection="1">
      <alignment vertical="center"/>
      <protection locked="0"/>
    </xf>
    <xf numFmtId="0" fontId="350" fillId="15" borderId="23" xfId="6" applyFont="1" applyFill="1" applyAlignment="1">
      <alignment vertical="center"/>
    </xf>
    <xf numFmtId="0" fontId="351" fillId="15" borderId="23" xfId="6" applyFont="1" applyFill="1" applyAlignment="1" applyProtection="1">
      <alignment vertical="center"/>
      <protection locked="0"/>
    </xf>
    <xf numFmtId="0" fontId="350" fillId="15" borderId="23" xfId="6" applyFont="1" applyFill="1" applyAlignment="1" applyProtection="1">
      <alignment vertical="center"/>
      <protection locked="0"/>
    </xf>
    <xf numFmtId="0" fontId="351" fillId="15" borderId="23" xfId="6" applyFont="1" applyFill="1" applyAlignment="1">
      <alignment vertical="center"/>
    </xf>
    <xf numFmtId="0" fontId="328" fillId="71" borderId="23" xfId="6" applyFont="1" applyFill="1" applyProtection="1">
      <protection locked="0"/>
    </xf>
    <xf numFmtId="0" fontId="43" fillId="14" borderId="23" xfId="6" applyFont="1" applyFill="1" applyAlignment="1" applyProtection="1">
      <alignment vertical="center"/>
      <protection locked="0"/>
    </xf>
    <xf numFmtId="0" fontId="34" fillId="71" borderId="23" xfId="6" applyFill="1" applyProtection="1">
      <protection locked="0"/>
    </xf>
    <xf numFmtId="0" fontId="49" fillId="15" borderId="23" xfId="6" applyFont="1" applyFill="1" applyAlignment="1">
      <alignment horizontal="right" vertical="center"/>
    </xf>
    <xf numFmtId="0" fontId="49" fillId="15" borderId="23" xfId="6" applyFont="1" applyFill="1" applyAlignment="1">
      <alignment vertical="center"/>
    </xf>
    <xf numFmtId="0" fontId="34" fillId="71" borderId="23" xfId="6" applyFill="1"/>
    <xf numFmtId="0" fontId="50" fillId="14" borderId="23" xfId="6" applyFont="1" applyFill="1" applyAlignment="1" applyProtection="1">
      <alignment vertical="center"/>
      <protection locked="0"/>
    </xf>
    <xf numFmtId="0" fontId="49" fillId="14" borderId="23" xfId="6" applyFont="1" applyFill="1" applyAlignment="1">
      <alignment horizontal="right" vertical="center"/>
    </xf>
    <xf numFmtId="0" fontId="49" fillId="14" borderId="23" xfId="6" applyFont="1" applyFill="1" applyAlignment="1">
      <alignment horizontal="left" vertical="center"/>
    </xf>
    <xf numFmtId="0" fontId="49" fillId="0" borderId="231" xfId="6" applyFont="1" applyBorder="1" applyAlignment="1">
      <alignment horizontal="center" vertical="center"/>
    </xf>
    <xf numFmtId="165" fontId="49" fillId="0" borderId="231" xfId="6" applyNumberFormat="1" applyFont="1" applyBorder="1" applyAlignment="1">
      <alignment horizontal="center" vertical="center"/>
    </xf>
    <xf numFmtId="180" fontId="49" fillId="0" borderId="231" xfId="6" applyNumberFormat="1" applyFont="1" applyBorder="1" applyAlignment="1" applyProtection="1">
      <alignment vertical="center"/>
      <protection locked="0"/>
    </xf>
    <xf numFmtId="0" fontId="49" fillId="0" borderId="52" xfId="6" applyFont="1" applyBorder="1" applyAlignment="1">
      <alignment vertical="center"/>
    </xf>
    <xf numFmtId="0" fontId="328" fillId="71" borderId="23" xfId="6" applyFont="1" applyFill="1"/>
    <xf numFmtId="0" fontId="50" fillId="0" borderId="49" xfId="6" applyFont="1" applyBorder="1" applyAlignment="1">
      <alignment horizontal="center" vertical="center"/>
    </xf>
    <xf numFmtId="0" fontId="49" fillId="0" borderId="49" xfId="6" applyFont="1" applyBorder="1" applyAlignment="1">
      <alignment horizontal="center" vertical="center"/>
    </xf>
    <xf numFmtId="0" fontId="49" fillId="0" borderId="49" xfId="6" applyFont="1" applyBorder="1" applyAlignment="1" applyProtection="1">
      <alignment vertical="center"/>
      <protection locked="0"/>
    </xf>
    <xf numFmtId="0" fontId="59" fillId="0" borderId="49" xfId="6" applyFont="1" applyBorder="1" applyAlignment="1">
      <alignment horizontal="left" vertical="center"/>
    </xf>
    <xf numFmtId="3" fontId="49" fillId="0" borderId="49" xfId="6" applyNumberFormat="1" applyFont="1" applyBorder="1" applyAlignment="1">
      <alignment horizontal="center" vertical="center"/>
    </xf>
    <xf numFmtId="0" fontId="59" fillId="0" borderId="51" xfId="6" applyFont="1" applyBorder="1" applyAlignment="1" applyProtection="1">
      <alignment vertical="center"/>
      <protection locked="0"/>
    </xf>
    <xf numFmtId="0" fontId="49" fillId="0" borderId="231" xfId="6" applyFont="1" applyBorder="1" applyAlignment="1" applyProtection="1">
      <alignment horizontal="center" vertical="center"/>
      <protection locked="0"/>
    </xf>
    <xf numFmtId="0" fontId="59" fillId="0" borderId="49" xfId="6" applyFont="1" applyBorder="1" applyAlignment="1">
      <alignment vertical="center"/>
    </xf>
    <xf numFmtId="1" fontId="49" fillId="0" borderId="49" xfId="6" applyNumberFormat="1" applyFont="1" applyBorder="1" applyAlignment="1" applyProtection="1">
      <alignment horizontal="center" vertical="center"/>
      <protection locked="0"/>
    </xf>
    <xf numFmtId="0" fontId="351" fillId="15" borderId="23" xfId="6" applyFont="1" applyFill="1" applyAlignment="1" applyProtection="1">
      <alignment horizontal="left" vertical="center"/>
      <protection locked="0"/>
    </xf>
    <xf numFmtId="0" fontId="351" fillId="15" borderId="23" xfId="6" applyFont="1" applyFill="1" applyAlignment="1" applyProtection="1">
      <alignment horizontal="center" vertical="center"/>
      <protection locked="0"/>
    </xf>
    <xf numFmtId="1" fontId="50" fillId="16" borderId="49" xfId="6" applyNumberFormat="1" applyFont="1" applyFill="1" applyBorder="1" applyAlignment="1">
      <alignment horizontal="center" vertical="center"/>
    </xf>
    <xf numFmtId="0" fontId="49" fillId="14" borderId="147" xfId="6" applyFont="1" applyFill="1" applyBorder="1" applyAlignment="1" applyProtection="1">
      <alignment horizontal="left" vertical="center"/>
      <protection locked="0"/>
    </xf>
    <xf numFmtId="0" fontId="49" fillId="14" borderId="147" xfId="6" applyFont="1" applyFill="1" applyBorder="1" applyAlignment="1">
      <alignment vertical="center"/>
    </xf>
    <xf numFmtId="0" fontId="49" fillId="14" borderId="147" xfId="6" applyFont="1" applyFill="1" applyBorder="1" applyAlignment="1" applyProtection="1">
      <alignment vertical="center"/>
      <protection locked="0"/>
    </xf>
    <xf numFmtId="0" fontId="50" fillId="16" borderId="49" xfId="6" applyFont="1" applyFill="1" applyBorder="1" applyAlignment="1" applyProtection="1">
      <alignment horizontal="center" vertical="center"/>
      <protection locked="0"/>
    </xf>
    <xf numFmtId="0" fontId="48" fillId="16" borderId="49" xfId="6" applyFont="1" applyFill="1" applyBorder="1" applyAlignment="1">
      <alignment horizontal="left" vertical="center"/>
    </xf>
    <xf numFmtId="0" fontId="49" fillId="14" borderId="55" xfId="6" applyFont="1" applyFill="1" applyBorder="1" applyAlignment="1">
      <alignment vertical="center"/>
    </xf>
    <xf numFmtId="0" fontId="59" fillId="14" borderId="51" xfId="6" applyFont="1" applyFill="1" applyBorder="1" applyAlignment="1">
      <alignment vertical="center"/>
    </xf>
    <xf numFmtId="0" fontId="49" fillId="14" borderId="231" xfId="6" applyFont="1" applyFill="1" applyBorder="1" applyAlignment="1" applyProtection="1">
      <alignment vertical="center"/>
      <protection locked="0"/>
    </xf>
    <xf numFmtId="166" fontId="49" fillId="0" borderId="49" xfId="6" applyNumberFormat="1" applyFont="1" applyBorder="1" applyAlignment="1">
      <alignment horizontal="center" vertical="center"/>
    </xf>
    <xf numFmtId="9" fontId="49" fillId="0" borderId="49" xfId="6" applyNumberFormat="1" applyFont="1" applyBorder="1" applyAlignment="1">
      <alignment horizontal="center" vertical="center"/>
    </xf>
    <xf numFmtId="0" fontId="49" fillId="14" borderId="255" xfId="6" applyFont="1" applyFill="1" applyBorder="1" applyAlignment="1" applyProtection="1">
      <alignment horizontal="left" vertical="center"/>
      <protection locked="0"/>
    </xf>
    <xf numFmtId="9" fontId="49" fillId="14" borderId="23" xfId="6" applyNumberFormat="1" applyFont="1" applyFill="1" applyAlignment="1" applyProtection="1">
      <alignment vertical="center"/>
      <protection locked="0"/>
    </xf>
    <xf numFmtId="0" fontId="49" fillId="16" borderId="49" xfId="6" applyFont="1" applyFill="1" applyBorder="1" applyAlignment="1">
      <alignment horizontal="right" vertical="center"/>
    </xf>
    <xf numFmtId="0" fontId="49" fillId="0" borderId="49" xfId="6" applyFont="1" applyBorder="1" applyAlignment="1" applyProtection="1">
      <alignment horizontal="center" vertical="center"/>
      <protection locked="0"/>
    </xf>
    <xf numFmtId="0" fontId="50" fillId="14" borderId="23" xfId="6" applyFont="1" applyFill="1" applyAlignment="1">
      <alignment vertical="center"/>
    </xf>
    <xf numFmtId="0" fontId="49" fillId="14" borderId="52" xfId="6" applyFont="1" applyFill="1" applyBorder="1" applyAlignment="1" applyProtection="1">
      <alignment vertical="center"/>
      <protection locked="0"/>
    </xf>
    <xf numFmtId="0" fontId="133" fillId="14" borderId="51" xfId="6" applyFont="1" applyFill="1" applyBorder="1" applyAlignment="1">
      <alignment vertical="center"/>
    </xf>
    <xf numFmtId="166" fontId="49" fillId="0" borderId="49" xfId="9" applyNumberFormat="1" applyFont="1" applyBorder="1" applyAlignment="1" applyProtection="1">
      <alignment horizontal="center" vertical="center"/>
    </xf>
    <xf numFmtId="0" fontId="50" fillId="14" borderId="231" xfId="6" applyFont="1" applyFill="1" applyBorder="1" applyAlignment="1" applyProtection="1">
      <alignment vertical="center"/>
      <protection locked="0"/>
    </xf>
    <xf numFmtId="0" fontId="50" fillId="14" borderId="52" xfId="6" applyFont="1" applyFill="1" applyBorder="1" applyAlignment="1" applyProtection="1">
      <alignment vertical="center"/>
      <protection locked="0"/>
    </xf>
    <xf numFmtId="165" fontId="50" fillId="0" borderId="49" xfId="6" applyNumberFormat="1" applyFont="1" applyBorder="1" applyAlignment="1">
      <alignment horizontal="center" vertical="center"/>
    </xf>
    <xf numFmtId="0" fontId="59" fillId="14" borderId="231" xfId="6" applyFont="1" applyFill="1" applyBorder="1" applyAlignment="1" applyProtection="1">
      <alignment vertical="center"/>
      <protection locked="0"/>
    </xf>
    <xf numFmtId="0" fontId="59" fillId="14" borderId="52" xfId="6" applyFont="1" applyFill="1" applyBorder="1" applyAlignment="1" applyProtection="1">
      <alignment vertical="center"/>
      <protection locked="0"/>
    </xf>
    <xf numFmtId="0" fontId="49" fillId="0" borderId="49" xfId="6" applyFont="1" applyBorder="1" applyAlignment="1">
      <alignment horizontal="left" vertical="center"/>
    </xf>
    <xf numFmtId="0" fontId="49" fillId="14" borderId="23" xfId="6" applyFont="1" applyFill="1" applyAlignment="1" applyProtection="1">
      <alignment horizontal="left" vertical="center"/>
      <protection locked="0"/>
    </xf>
    <xf numFmtId="165" fontId="49" fillId="0" borderId="49" xfId="6" applyNumberFormat="1" applyFont="1" applyBorder="1" applyAlignment="1">
      <alignment horizontal="center" vertical="center"/>
    </xf>
    <xf numFmtId="0" fontId="49" fillId="16" borderId="23" xfId="6" applyFont="1" applyFill="1" applyAlignment="1" applyProtection="1">
      <alignment vertical="center"/>
      <protection locked="0"/>
    </xf>
    <xf numFmtId="165" fontId="49" fillId="14" borderId="23" xfId="6" applyNumberFormat="1" applyFont="1" applyFill="1" applyAlignment="1" applyProtection="1">
      <alignment vertical="center"/>
      <protection locked="0"/>
    </xf>
    <xf numFmtId="0" fontId="133" fillId="14" borderId="231" xfId="6" applyFont="1" applyFill="1" applyBorder="1" applyAlignment="1" applyProtection="1">
      <alignment vertical="center"/>
      <protection locked="0"/>
    </xf>
    <xf numFmtId="0" fontId="133" fillId="14" borderId="52" xfId="6" applyFont="1" applyFill="1" applyBorder="1" applyAlignment="1" applyProtection="1">
      <alignment vertical="center"/>
      <protection locked="0"/>
    </xf>
    <xf numFmtId="0" fontId="49" fillId="14" borderId="51" xfId="6" applyFont="1" applyFill="1" applyBorder="1" applyAlignment="1">
      <alignment vertical="center"/>
    </xf>
    <xf numFmtId="0" fontId="49" fillId="14" borderId="255" xfId="6" applyFont="1" applyFill="1" applyBorder="1" applyAlignment="1">
      <alignment vertical="center"/>
    </xf>
    <xf numFmtId="0" fontId="49" fillId="14" borderId="231" xfId="6" applyFont="1" applyFill="1" applyBorder="1" applyAlignment="1">
      <alignment horizontal="center" vertical="center"/>
    </xf>
    <xf numFmtId="0" fontId="43" fillId="0" borderId="51" xfId="6" applyFont="1" applyBorder="1" applyAlignment="1">
      <alignment vertical="center"/>
    </xf>
    <xf numFmtId="0" fontId="352" fillId="0" borderId="23" xfId="6" applyFont="1" applyAlignment="1">
      <alignment horizontal="center" vertical="center"/>
    </xf>
    <xf numFmtId="0" fontId="43" fillId="0" borderId="23" xfId="6" applyFont="1" applyAlignment="1" applyProtection="1">
      <alignment vertical="center"/>
      <protection locked="0"/>
    </xf>
    <xf numFmtId="165" fontId="353" fillId="0" borderId="49" xfId="6" applyNumberFormat="1" applyFont="1" applyBorder="1" applyAlignment="1">
      <alignment horizontal="center" vertical="center"/>
    </xf>
    <xf numFmtId="0" fontId="43" fillId="14" borderId="23" xfId="6" applyFont="1" applyFill="1" applyAlignment="1">
      <alignment vertical="center"/>
    </xf>
    <xf numFmtId="0" fontId="49" fillId="14" borderId="23" xfId="6" applyFont="1" applyFill="1" applyAlignment="1" applyProtection="1">
      <alignment horizontal="center" vertical="center"/>
      <protection locked="0"/>
    </xf>
    <xf numFmtId="3" fontId="49" fillId="14" borderId="23" xfId="6" applyNumberFormat="1" applyFont="1" applyFill="1" applyAlignment="1">
      <alignment vertical="center"/>
    </xf>
    <xf numFmtId="0" fontId="50" fillId="16" borderId="55" xfId="6" applyFont="1" applyFill="1" applyBorder="1" applyAlignment="1">
      <alignment vertical="center"/>
    </xf>
    <xf numFmtId="0" fontId="50" fillId="16" borderId="55" xfId="6" applyFont="1" applyFill="1" applyBorder="1" applyAlignment="1">
      <alignment horizontal="center" vertical="center"/>
    </xf>
    <xf numFmtId="3" fontId="49" fillId="14" borderId="23" xfId="6" applyNumberFormat="1" applyFont="1" applyFill="1" applyAlignment="1" applyProtection="1">
      <alignment vertical="center"/>
      <protection locked="0"/>
    </xf>
    <xf numFmtId="0" fontId="133" fillId="0" borderId="49" xfId="6" applyFont="1" applyBorder="1" applyAlignment="1">
      <alignment vertical="center"/>
    </xf>
    <xf numFmtId="3" fontId="49" fillId="0" borderId="49" xfId="6" applyNumberFormat="1" applyFont="1" applyBorder="1" applyAlignment="1" applyProtection="1">
      <alignment horizontal="center" vertical="center"/>
      <protection locked="0"/>
    </xf>
    <xf numFmtId="0" fontId="50" fillId="14" borderId="23" xfId="6" applyFont="1" applyFill="1" applyAlignment="1">
      <alignment horizontal="right" vertical="center"/>
    </xf>
    <xf numFmtId="9" fontId="49" fillId="0" borderId="49" xfId="9" applyFont="1" applyFill="1" applyBorder="1" applyAlignment="1" applyProtection="1">
      <alignment horizontal="center" vertical="center"/>
    </xf>
    <xf numFmtId="0" fontId="50" fillId="16" borderId="52" xfId="6" applyFont="1" applyFill="1" applyBorder="1" applyAlignment="1" applyProtection="1">
      <alignment vertical="center"/>
      <protection locked="0"/>
    </xf>
    <xf numFmtId="165" fontId="50" fillId="16" borderId="49" xfId="6" applyNumberFormat="1" applyFont="1" applyFill="1" applyBorder="1" applyAlignment="1">
      <alignment horizontal="center" vertical="center"/>
    </xf>
    <xf numFmtId="0" fontId="50" fillId="14" borderId="255" xfId="6" applyFont="1" applyFill="1" applyBorder="1" applyAlignment="1">
      <alignment vertical="center"/>
    </xf>
    <xf numFmtId="0" fontId="50" fillId="16" borderId="49" xfId="6" applyFont="1" applyFill="1" applyBorder="1" applyAlignment="1">
      <alignment horizontal="right" vertical="center"/>
    </xf>
    <xf numFmtId="0" fontId="50" fillId="16" borderId="49" xfId="6" applyFont="1" applyFill="1" applyBorder="1" applyAlignment="1" applyProtection="1">
      <alignment vertical="center"/>
      <protection locked="0"/>
    </xf>
    <xf numFmtId="0" fontId="49" fillId="0" borderId="49" xfId="6" applyFont="1" applyBorder="1" applyAlignment="1">
      <alignment horizontal="right" vertical="center"/>
    </xf>
    <xf numFmtId="1" fontId="50" fillId="14" borderId="23" xfId="6" applyNumberFormat="1" applyFont="1" applyFill="1" applyAlignment="1" applyProtection="1">
      <alignment vertical="center"/>
      <protection locked="0"/>
    </xf>
    <xf numFmtId="0" fontId="50" fillId="72" borderId="49" xfId="6" applyFont="1" applyFill="1" applyBorder="1" applyAlignment="1">
      <alignment vertical="center"/>
    </xf>
    <xf numFmtId="0" fontId="49" fillId="72" borderId="49" xfId="6" applyFont="1" applyFill="1" applyBorder="1" applyAlignment="1" applyProtection="1">
      <alignment vertical="center"/>
      <protection locked="0"/>
    </xf>
    <xf numFmtId="0" fontId="49" fillId="72" borderId="51" xfId="6" applyFont="1" applyFill="1" applyBorder="1" applyAlignment="1">
      <alignment vertical="center"/>
    </xf>
    <xf numFmtId="0" fontId="49" fillId="72" borderId="231" xfId="6" applyFont="1" applyFill="1" applyBorder="1" applyAlignment="1" applyProtection="1">
      <alignment vertical="center"/>
      <protection locked="0"/>
    </xf>
    <xf numFmtId="0" fontId="49" fillId="72" borderId="52" xfId="6" applyFont="1" applyFill="1" applyBorder="1" applyAlignment="1" applyProtection="1">
      <alignment vertical="center"/>
      <protection locked="0"/>
    </xf>
    <xf numFmtId="9" fontId="49" fillId="72" borderId="231" xfId="6" applyNumberFormat="1" applyFont="1" applyFill="1" applyBorder="1" applyAlignment="1" applyProtection="1">
      <alignment vertical="center"/>
      <protection locked="0"/>
    </xf>
    <xf numFmtId="165" fontId="49" fillId="72" borderId="52" xfId="6" applyNumberFormat="1" applyFont="1" applyFill="1" applyBorder="1" applyAlignment="1" applyProtection="1">
      <alignment vertical="center"/>
      <protection locked="0"/>
    </xf>
    <xf numFmtId="166" fontId="49" fillId="72" borderId="49" xfId="6" applyNumberFormat="1" applyFont="1" applyFill="1" applyBorder="1" applyAlignment="1">
      <alignment horizontal="center" vertical="center"/>
    </xf>
    <xf numFmtId="0" fontId="50" fillId="72" borderId="234" xfId="6" applyFont="1" applyFill="1" applyBorder="1" applyAlignment="1">
      <alignment vertical="center"/>
    </xf>
    <xf numFmtId="9" fontId="50" fillId="72" borderId="147" xfId="6" applyNumberFormat="1" applyFont="1" applyFill="1" applyBorder="1" applyAlignment="1" applyProtection="1">
      <alignment vertical="center"/>
      <protection locked="0"/>
    </xf>
    <xf numFmtId="0" fontId="50" fillId="72" borderId="233" xfId="6" applyFont="1" applyFill="1" applyBorder="1" applyAlignment="1" applyProtection="1">
      <alignment vertical="center"/>
      <protection locked="0"/>
    </xf>
    <xf numFmtId="165" fontId="50" fillId="72" borderId="49" xfId="6" applyNumberFormat="1" applyFont="1" applyFill="1" applyBorder="1" applyAlignment="1">
      <alignment horizontal="center" vertical="center"/>
    </xf>
    <xf numFmtId="1" fontId="49" fillId="72" borderId="49" xfId="6" applyNumberFormat="1" applyFont="1" applyFill="1" applyBorder="1" applyAlignment="1">
      <alignment horizontal="center" vertical="center"/>
    </xf>
    <xf numFmtId="165" fontId="49" fillId="72" borderId="49" xfId="6" applyNumberFormat="1" applyFont="1" applyFill="1" applyBorder="1" applyAlignment="1">
      <alignment horizontal="center" vertical="center"/>
    </xf>
    <xf numFmtId="165" fontId="49" fillId="72" borderId="231" xfId="6" applyNumberFormat="1" applyFont="1" applyFill="1" applyBorder="1" applyAlignment="1" applyProtection="1">
      <alignment vertical="center"/>
      <protection locked="0"/>
    </xf>
    <xf numFmtId="0" fontId="50" fillId="72" borderId="51" xfId="6" applyFont="1" applyFill="1" applyBorder="1" applyAlignment="1">
      <alignment vertical="center"/>
    </xf>
    <xf numFmtId="0" fontId="51" fillId="16" borderId="49" xfId="6" applyFont="1" applyFill="1" applyBorder="1" applyAlignment="1">
      <alignment horizontal="right" vertical="center"/>
    </xf>
    <xf numFmtId="3" fontId="51" fillId="16" borderId="49" xfId="6" applyNumberFormat="1" applyFont="1" applyFill="1" applyBorder="1" applyAlignment="1">
      <alignment vertical="center"/>
    </xf>
    <xf numFmtId="0" fontId="50" fillId="16" borderId="51" xfId="6" applyFont="1" applyFill="1" applyBorder="1" applyAlignment="1">
      <alignment horizontal="left" vertical="center"/>
    </xf>
    <xf numFmtId="9" fontId="49" fillId="16" borderId="49" xfId="6" applyNumberFormat="1" applyFont="1" applyFill="1" applyBorder="1" applyAlignment="1">
      <alignment horizontal="center" vertical="center"/>
    </xf>
    <xf numFmtId="0" fontId="49" fillId="0" borderId="23" xfId="6" applyFont="1" applyAlignment="1">
      <alignment horizontal="right" vertical="center"/>
    </xf>
    <xf numFmtId="165" fontId="354" fillId="14" borderId="23" xfId="6" applyNumberFormat="1" applyFont="1" applyFill="1" applyAlignment="1">
      <alignment horizontal="center" vertical="center"/>
    </xf>
    <xf numFmtId="0" fontId="50" fillId="73" borderId="51" xfId="6" applyFont="1" applyFill="1" applyBorder="1" applyAlignment="1">
      <alignment vertical="center"/>
    </xf>
    <xf numFmtId="165" fontId="49" fillId="73" borderId="231" xfId="6" applyNumberFormat="1" applyFont="1" applyFill="1" applyBorder="1" applyAlignment="1" applyProtection="1">
      <alignment vertical="center"/>
      <protection locked="0"/>
    </xf>
    <xf numFmtId="0" fontId="49" fillId="73" borderId="52" xfId="6" applyFont="1" applyFill="1" applyBorder="1" applyAlignment="1" applyProtection="1">
      <alignment vertical="center"/>
      <protection locked="0"/>
    </xf>
    <xf numFmtId="0" fontId="50" fillId="0" borderId="49" xfId="6" applyFont="1" applyBorder="1" applyAlignment="1">
      <alignment horizontal="left" vertical="center"/>
    </xf>
    <xf numFmtId="0" fontId="51" fillId="73" borderId="51" xfId="6" applyFont="1" applyFill="1" applyBorder="1" applyAlignment="1">
      <alignment vertical="center"/>
    </xf>
    <xf numFmtId="0" fontId="51" fillId="73" borderId="231" xfId="6" applyFont="1" applyFill="1" applyBorder="1" applyAlignment="1">
      <alignment vertical="center"/>
    </xf>
    <xf numFmtId="0" fontId="49" fillId="73" borderId="52" xfId="6" applyFont="1" applyFill="1" applyBorder="1" applyAlignment="1">
      <alignment vertical="center"/>
    </xf>
    <xf numFmtId="0" fontId="49" fillId="73" borderId="51" xfId="6" applyFont="1" applyFill="1" applyBorder="1" applyAlignment="1">
      <alignment vertical="center"/>
    </xf>
    <xf numFmtId="0" fontId="49" fillId="73" borderId="231" xfId="6" applyFont="1" applyFill="1" applyBorder="1" applyAlignment="1">
      <alignment vertical="center"/>
    </xf>
    <xf numFmtId="9" fontId="49" fillId="73" borderId="49" xfId="6" applyNumberFormat="1" applyFont="1" applyFill="1" applyBorder="1" applyAlignment="1">
      <alignment horizontal="center" vertical="center"/>
    </xf>
    <xf numFmtId="165" fontId="49" fillId="73" borderId="49" xfId="6" applyNumberFormat="1" applyFont="1" applyFill="1" applyBorder="1" applyAlignment="1" applyProtection="1">
      <alignment horizontal="center" vertical="center"/>
      <protection locked="0"/>
    </xf>
    <xf numFmtId="165" fontId="49" fillId="73" borderId="49" xfId="6" applyNumberFormat="1" applyFont="1" applyFill="1" applyBorder="1" applyAlignment="1">
      <alignment horizontal="center" vertical="center"/>
    </xf>
    <xf numFmtId="165" fontId="49" fillId="73" borderId="231" xfId="6" applyNumberFormat="1" applyFont="1" applyFill="1" applyBorder="1" applyAlignment="1">
      <alignment vertical="center"/>
    </xf>
    <xf numFmtId="167" fontId="49" fillId="0" borderId="49" xfId="6" applyNumberFormat="1" applyFont="1" applyBorder="1" applyAlignment="1">
      <alignment horizontal="center" vertical="center"/>
    </xf>
    <xf numFmtId="0" fontId="49" fillId="14" borderId="146" xfId="6" applyFont="1" applyFill="1" applyBorder="1" applyAlignment="1">
      <alignment vertical="center"/>
    </xf>
    <xf numFmtId="164" fontId="49" fillId="73" borderId="49" xfId="6" applyNumberFormat="1" applyFont="1" applyFill="1" applyBorder="1" applyAlignment="1">
      <alignment horizontal="center" vertical="center"/>
    </xf>
    <xf numFmtId="0" fontId="59" fillId="14" borderId="51" xfId="6" applyFont="1" applyFill="1" applyBorder="1" applyAlignment="1">
      <alignment horizontal="left" vertical="center"/>
    </xf>
    <xf numFmtId="3" fontId="49" fillId="0" borderId="49" xfId="6" applyNumberFormat="1" applyFont="1" applyBorder="1" applyAlignment="1">
      <alignment vertical="center"/>
    </xf>
    <xf numFmtId="0" fontId="49" fillId="73" borderId="49" xfId="6" applyFont="1" applyFill="1" applyBorder="1" applyAlignment="1">
      <alignment horizontal="center" vertical="center"/>
    </xf>
    <xf numFmtId="0" fontId="51" fillId="73" borderId="49" xfId="6" applyFont="1" applyFill="1" applyBorder="1" applyAlignment="1">
      <alignment horizontal="center" vertical="center"/>
    </xf>
    <xf numFmtId="165" fontId="51" fillId="73" borderId="49" xfId="6" applyNumberFormat="1" applyFont="1" applyFill="1" applyBorder="1" applyAlignment="1">
      <alignment horizontal="center" vertical="center"/>
    </xf>
    <xf numFmtId="0" fontId="51" fillId="14" borderId="255" xfId="6" applyFont="1" applyFill="1" applyBorder="1" applyAlignment="1">
      <alignment vertical="center"/>
    </xf>
    <xf numFmtId="166" fontId="51" fillId="73" borderId="49" xfId="9" applyNumberFormat="1" applyFont="1" applyFill="1" applyBorder="1" applyAlignment="1" applyProtection="1">
      <alignment horizontal="center" vertical="center"/>
    </xf>
    <xf numFmtId="0" fontId="49" fillId="73" borderId="231" xfId="6" applyFont="1" applyFill="1" applyBorder="1" applyAlignment="1" applyProtection="1">
      <alignment vertical="center"/>
      <protection locked="0"/>
    </xf>
    <xf numFmtId="9" fontId="51" fillId="73" borderId="49" xfId="6" applyNumberFormat="1" applyFont="1" applyFill="1" applyBorder="1" applyAlignment="1">
      <alignment horizontal="center" vertical="center"/>
    </xf>
    <xf numFmtId="0" fontId="50" fillId="74" borderId="51" xfId="6" applyFont="1" applyFill="1" applyBorder="1" applyAlignment="1">
      <alignment vertical="center"/>
    </xf>
    <xf numFmtId="0" fontId="49" fillId="74" borderId="231" xfId="6" applyFont="1" applyFill="1" applyBorder="1" applyAlignment="1" applyProtection="1">
      <alignment vertical="center"/>
      <protection locked="0"/>
    </xf>
    <xf numFmtId="0" fontId="49" fillId="74" borderId="52" xfId="6" applyFont="1" applyFill="1" applyBorder="1" applyAlignment="1" applyProtection="1">
      <alignment vertical="center"/>
      <protection locked="0"/>
    </xf>
    <xf numFmtId="0" fontId="50" fillId="74" borderId="51" xfId="6" applyFont="1" applyFill="1" applyBorder="1" applyAlignment="1" applyProtection="1">
      <alignment vertical="center"/>
      <protection locked="0"/>
    </xf>
    <xf numFmtId="0" fontId="50" fillId="57" borderId="51" xfId="6" applyFont="1" applyFill="1" applyBorder="1" applyAlignment="1">
      <alignment vertical="center"/>
    </xf>
    <xf numFmtId="0" fontId="49" fillId="57" borderId="231" xfId="6" applyFont="1" applyFill="1" applyBorder="1" applyAlignment="1" applyProtection="1">
      <alignment vertical="center"/>
      <protection locked="0"/>
    </xf>
    <xf numFmtId="0" fontId="49" fillId="57" borderId="52" xfId="6" applyFont="1" applyFill="1" applyBorder="1" applyAlignment="1" applyProtection="1">
      <alignment vertical="center"/>
      <protection locked="0"/>
    </xf>
    <xf numFmtId="0" fontId="49" fillId="57" borderId="51" xfId="6" applyFont="1" applyFill="1" applyBorder="1" applyAlignment="1">
      <alignment vertical="center"/>
    </xf>
    <xf numFmtId="165" fontId="49" fillId="57" borderId="49" xfId="6" applyNumberFormat="1" applyFont="1" applyFill="1" applyBorder="1" applyAlignment="1">
      <alignment horizontal="center" vertical="center"/>
    </xf>
    <xf numFmtId="0" fontId="49" fillId="57" borderId="51" xfId="6" applyFont="1" applyFill="1" applyBorder="1" applyAlignment="1" applyProtection="1">
      <alignment vertical="center"/>
      <protection locked="0"/>
    </xf>
    <xf numFmtId="0" fontId="49" fillId="57" borderId="231" xfId="6" applyFont="1" applyFill="1" applyBorder="1" applyAlignment="1">
      <alignment vertical="center"/>
    </xf>
    <xf numFmtId="165" fontId="49" fillId="57" borderId="49" xfId="10" applyNumberFormat="1" applyFont="1" applyFill="1" applyBorder="1" applyAlignment="1">
      <alignment horizontal="center" vertical="center"/>
    </xf>
    <xf numFmtId="0" fontId="34" fillId="14" borderId="23" xfId="6" applyFill="1" applyAlignment="1">
      <alignment horizontal="right"/>
    </xf>
    <xf numFmtId="165" fontId="49" fillId="57" borderId="51" xfId="6" applyNumberFormat="1" applyFont="1" applyFill="1" applyBorder="1" applyAlignment="1">
      <alignment horizontal="center" vertical="center"/>
    </xf>
    <xf numFmtId="3" fontId="34" fillId="14" borderId="23" xfId="6" applyNumberFormat="1" applyFill="1"/>
    <xf numFmtId="1" fontId="50" fillId="57" borderId="49" xfId="6" applyNumberFormat="1" applyFont="1" applyFill="1" applyBorder="1" applyAlignment="1">
      <alignment horizontal="center" vertical="center"/>
    </xf>
    <xf numFmtId="0" fontId="49" fillId="75" borderId="51" xfId="6" applyFont="1" applyFill="1" applyBorder="1" applyAlignment="1">
      <alignment vertical="center"/>
    </xf>
    <xf numFmtId="0" fontId="49" fillId="75" borderId="231" xfId="6" applyFont="1" applyFill="1" applyBorder="1" applyAlignment="1">
      <alignment vertical="center"/>
    </xf>
    <xf numFmtId="0" fontId="49" fillId="75" borderId="52" xfId="6" applyFont="1" applyFill="1" applyBorder="1" applyAlignment="1">
      <alignment vertical="center"/>
    </xf>
    <xf numFmtId="1" fontId="49" fillId="57" borderId="49" xfId="6" applyNumberFormat="1" applyFont="1" applyFill="1" applyBorder="1" applyAlignment="1">
      <alignment horizontal="center" vertical="center"/>
    </xf>
    <xf numFmtId="0" fontId="50" fillId="76" borderId="51" xfId="6" applyFont="1" applyFill="1" applyBorder="1" applyAlignment="1">
      <alignment vertical="center"/>
    </xf>
    <xf numFmtId="0" fontId="49" fillId="76" borderId="231" xfId="6" applyFont="1" applyFill="1" applyBorder="1" applyAlignment="1" applyProtection="1">
      <alignment vertical="center"/>
      <protection locked="0"/>
    </xf>
    <xf numFmtId="0" fontId="49" fillId="76" borderId="52" xfId="6" applyFont="1" applyFill="1" applyBorder="1" applyAlignment="1" applyProtection="1">
      <alignment vertical="center"/>
      <protection locked="0"/>
    </xf>
    <xf numFmtId="0" fontId="49" fillId="76" borderId="51" xfId="6" applyFont="1" applyFill="1" applyBorder="1" applyAlignment="1">
      <alignment vertical="center"/>
    </xf>
    <xf numFmtId="165" fontId="49" fillId="76" borderId="49" xfId="6" applyNumberFormat="1" applyFont="1" applyFill="1" applyBorder="1" applyAlignment="1">
      <alignment horizontal="center" vertical="center"/>
    </xf>
    <xf numFmtId="0" fontId="49" fillId="76" borderId="51" xfId="6" applyFont="1" applyFill="1" applyBorder="1" applyAlignment="1" applyProtection="1">
      <alignment vertical="center"/>
      <protection locked="0"/>
    </xf>
    <xf numFmtId="165" fontId="49" fillId="76" borderId="49" xfId="6" applyNumberFormat="1" applyFont="1" applyFill="1" applyBorder="1" applyAlignment="1" applyProtection="1">
      <alignment horizontal="center" vertical="center"/>
      <protection locked="0"/>
    </xf>
    <xf numFmtId="0" fontId="51" fillId="76" borderId="51" xfId="6" applyFont="1" applyFill="1" applyBorder="1" applyAlignment="1">
      <alignment vertical="center"/>
    </xf>
    <xf numFmtId="0" fontId="51" fillId="76" borderId="231" xfId="6" applyFont="1" applyFill="1" applyBorder="1" applyAlignment="1">
      <alignment vertical="center"/>
    </xf>
    <xf numFmtId="0" fontId="49" fillId="76" borderId="52" xfId="6" applyFont="1" applyFill="1" applyBorder="1" applyAlignment="1">
      <alignment vertical="center"/>
    </xf>
    <xf numFmtId="0" fontId="49" fillId="76" borderId="49" xfId="6" applyFont="1" applyFill="1" applyBorder="1" applyAlignment="1">
      <alignment horizontal="center" vertical="center"/>
    </xf>
    <xf numFmtId="0" fontId="49" fillId="76" borderId="231" xfId="6" applyFont="1" applyFill="1" applyBorder="1" applyAlignment="1">
      <alignment vertical="center"/>
    </xf>
    <xf numFmtId="9" fontId="49" fillId="76" borderId="49" xfId="6" applyNumberFormat="1" applyFont="1" applyFill="1" applyBorder="1" applyAlignment="1">
      <alignment horizontal="center" vertical="center"/>
    </xf>
    <xf numFmtId="165" fontId="49" fillId="76" borderId="231" xfId="6" applyNumberFormat="1" applyFont="1" applyFill="1" applyBorder="1" applyAlignment="1" applyProtection="1">
      <alignment vertical="center"/>
      <protection locked="0"/>
    </xf>
    <xf numFmtId="165" fontId="49" fillId="76" borderId="231" xfId="6" applyNumberFormat="1" applyFont="1" applyFill="1" applyBorder="1" applyAlignment="1">
      <alignment vertical="center"/>
    </xf>
    <xf numFmtId="166" fontId="49" fillId="0" borderId="51" xfId="6" applyNumberFormat="1" applyFont="1" applyBorder="1" applyAlignment="1">
      <alignment horizontal="center" vertical="center"/>
    </xf>
    <xf numFmtId="166" fontId="50" fillId="16" borderId="49" xfId="6" applyNumberFormat="1" applyFont="1" applyFill="1" applyBorder="1" applyAlignment="1">
      <alignment horizontal="center" vertical="center"/>
    </xf>
    <xf numFmtId="166" fontId="50" fillId="16" borderId="51" xfId="6" applyNumberFormat="1" applyFont="1" applyFill="1" applyBorder="1" applyAlignment="1">
      <alignment horizontal="center" vertical="center"/>
    </xf>
    <xf numFmtId="164" fontId="49" fillId="76" borderId="49" xfId="6" applyNumberFormat="1" applyFont="1" applyFill="1" applyBorder="1" applyAlignment="1">
      <alignment horizontal="center" vertical="center"/>
    </xf>
    <xf numFmtId="0" fontId="49" fillId="16" borderId="254" xfId="6" applyFont="1" applyFill="1" applyBorder="1" applyAlignment="1" applyProtection="1">
      <alignment vertical="center"/>
      <protection locked="0"/>
    </xf>
    <xf numFmtId="0" fontId="50" fillId="16" borderId="51" xfId="6" applyFont="1" applyFill="1" applyBorder="1" applyAlignment="1">
      <alignment horizontal="right" vertical="center"/>
    </xf>
    <xf numFmtId="166" fontId="49" fillId="0" borderId="49" xfId="9" applyNumberFormat="1" applyFont="1" applyFill="1" applyBorder="1" applyAlignment="1" applyProtection="1">
      <alignment horizontal="center" vertical="center"/>
    </xf>
    <xf numFmtId="0" fontId="49" fillId="14" borderId="51" xfId="6" applyFont="1" applyFill="1" applyBorder="1" applyAlignment="1" applyProtection="1">
      <alignment vertical="center"/>
      <protection locked="0"/>
    </xf>
    <xf numFmtId="0" fontId="59" fillId="14" borderId="231" xfId="6" applyFont="1" applyFill="1" applyBorder="1" applyAlignment="1">
      <alignment horizontal="right" vertical="center"/>
    </xf>
    <xf numFmtId="165" fontId="49" fillId="0" borderId="52" xfId="6" applyNumberFormat="1" applyFont="1" applyBorder="1" applyAlignment="1">
      <alignment horizontal="center" vertical="center"/>
    </xf>
    <xf numFmtId="0" fontId="51" fillId="76" borderId="49" xfId="6" applyFont="1" applyFill="1" applyBorder="1" applyAlignment="1">
      <alignment horizontal="center" vertical="center"/>
    </xf>
    <xf numFmtId="166" fontId="51" fillId="76" borderId="49" xfId="9" applyNumberFormat="1" applyFont="1" applyFill="1" applyBorder="1" applyAlignment="1">
      <alignment horizontal="center" vertical="center"/>
    </xf>
    <xf numFmtId="165" fontId="51" fillId="76" borderId="49" xfId="6" applyNumberFormat="1" applyFont="1" applyFill="1" applyBorder="1" applyAlignment="1">
      <alignment horizontal="center" vertical="center"/>
    </xf>
    <xf numFmtId="9" fontId="49" fillId="14" borderId="49" xfId="9" applyFont="1" applyFill="1" applyBorder="1" applyAlignment="1" applyProtection="1">
      <alignment horizontal="center" vertical="center"/>
      <protection locked="0"/>
    </xf>
    <xf numFmtId="0" fontId="49" fillId="14" borderId="255" xfId="6" applyFont="1" applyFill="1" applyBorder="1" applyAlignment="1">
      <alignment horizontal="left" vertical="center"/>
    </xf>
    <xf numFmtId="0" fontId="50" fillId="76" borderId="231" xfId="6" applyFont="1" applyFill="1" applyBorder="1" applyAlignment="1" applyProtection="1">
      <alignment vertical="center"/>
      <protection locked="0"/>
    </xf>
    <xf numFmtId="0" fontId="50" fillId="76" borderId="52" xfId="6" applyFont="1" applyFill="1" applyBorder="1" applyAlignment="1" applyProtection="1">
      <alignment vertical="center"/>
      <protection locked="0"/>
    </xf>
    <xf numFmtId="165" fontId="50" fillId="76" borderId="49" xfId="6" applyNumberFormat="1" applyFont="1" applyFill="1" applyBorder="1" applyAlignment="1">
      <alignment horizontal="center" vertical="center"/>
    </xf>
    <xf numFmtId="1" fontId="49" fillId="76" borderId="49" xfId="6" applyNumberFormat="1" applyFont="1" applyFill="1" applyBorder="1" applyAlignment="1">
      <alignment horizontal="center" vertical="center"/>
    </xf>
    <xf numFmtId="1" fontId="50" fillId="76" borderId="49" xfId="6" applyNumberFormat="1" applyFont="1" applyFill="1" applyBorder="1" applyAlignment="1">
      <alignment horizontal="center" vertical="center"/>
    </xf>
    <xf numFmtId="0" fontId="50" fillId="63" borderId="51" xfId="6" applyFont="1" applyFill="1" applyBorder="1" applyAlignment="1" applyProtection="1">
      <alignment vertical="center"/>
      <protection locked="0"/>
    </xf>
    <xf numFmtId="0" fontId="49" fillId="63" borderId="231" xfId="6" applyFont="1" applyFill="1" applyBorder="1" applyAlignment="1" applyProtection="1">
      <alignment vertical="center"/>
      <protection locked="0"/>
    </xf>
    <xf numFmtId="0" fontId="49" fillId="63" borderId="52" xfId="6" applyFont="1" applyFill="1" applyBorder="1" applyAlignment="1" applyProtection="1">
      <alignment vertical="center"/>
      <protection locked="0"/>
    </xf>
    <xf numFmtId="0" fontId="49" fillId="63" borderId="51" xfId="6" applyFont="1" applyFill="1" applyBorder="1" applyAlignment="1">
      <alignment vertical="center"/>
    </xf>
    <xf numFmtId="165" fontId="49" fillId="63" borderId="49" xfId="6" applyNumberFormat="1" applyFont="1" applyFill="1" applyBorder="1" applyAlignment="1">
      <alignment horizontal="center" vertical="center"/>
    </xf>
    <xf numFmtId="0" fontId="49" fillId="63" borderId="51" xfId="6" applyFont="1" applyFill="1" applyBorder="1" applyAlignment="1" applyProtection="1">
      <alignment vertical="center"/>
      <protection locked="0"/>
    </xf>
    <xf numFmtId="165" fontId="49" fillId="63" borderId="49" xfId="6" applyNumberFormat="1" applyFont="1" applyFill="1" applyBorder="1" applyAlignment="1" applyProtection="1">
      <alignment horizontal="center" vertical="center"/>
      <protection locked="0"/>
    </xf>
    <xf numFmtId="0" fontId="49" fillId="63" borderId="231" xfId="6" applyFont="1" applyFill="1" applyBorder="1" applyAlignment="1">
      <alignment vertical="center"/>
    </xf>
    <xf numFmtId="0" fontId="49" fillId="63" borderId="52" xfId="6" applyFont="1" applyFill="1" applyBorder="1" applyAlignment="1">
      <alignment vertical="center"/>
    </xf>
    <xf numFmtId="9" fontId="49" fillId="63" borderId="49" xfId="9" applyFont="1" applyFill="1" applyBorder="1" applyAlignment="1">
      <alignment horizontal="center" vertical="center"/>
    </xf>
    <xf numFmtId="166" fontId="49" fillId="63" borderId="49" xfId="9" applyNumberFormat="1" applyFont="1" applyFill="1" applyBorder="1" applyAlignment="1">
      <alignment horizontal="center" vertical="center"/>
    </xf>
    <xf numFmtId="166" fontId="49" fillId="63" borderId="49" xfId="6" applyNumberFormat="1" applyFont="1" applyFill="1" applyBorder="1" applyAlignment="1">
      <alignment horizontal="center" vertical="center"/>
    </xf>
    <xf numFmtId="0" fontId="49" fillId="63" borderId="49" xfId="6" applyFont="1" applyFill="1" applyBorder="1" applyAlignment="1">
      <alignment horizontal="center" vertical="center"/>
    </xf>
    <xf numFmtId="165" fontId="49" fillId="63" borderId="52" xfId="6" applyNumberFormat="1" applyFont="1" applyFill="1" applyBorder="1" applyAlignment="1">
      <alignment vertical="center"/>
    </xf>
    <xf numFmtId="165" fontId="49" fillId="63" borderId="49" xfId="9" applyNumberFormat="1" applyFont="1" applyFill="1" applyBorder="1" applyAlignment="1">
      <alignment horizontal="center" vertical="center"/>
    </xf>
    <xf numFmtId="0" fontId="50" fillId="16" borderId="234" xfId="6" applyFont="1" applyFill="1" applyBorder="1" applyAlignment="1">
      <alignment horizontal="right" vertical="center"/>
    </xf>
    <xf numFmtId="10" fontId="49" fillId="0" borderId="49" xfId="9" applyNumberFormat="1" applyFont="1" applyFill="1" applyBorder="1" applyAlignment="1" applyProtection="1">
      <alignment horizontal="center" vertical="center"/>
    </xf>
    <xf numFmtId="0" fontId="50" fillId="63" borderId="51" xfId="6" applyFont="1" applyFill="1" applyBorder="1" applyAlignment="1">
      <alignment vertical="center"/>
    </xf>
    <xf numFmtId="0" fontId="50" fillId="63" borderId="231" xfId="6" applyFont="1" applyFill="1" applyBorder="1" applyAlignment="1" applyProtection="1">
      <alignment vertical="center"/>
      <protection locked="0"/>
    </xf>
    <xf numFmtId="0" fontId="50" fillId="63" borderId="52" xfId="6" applyFont="1" applyFill="1" applyBorder="1" applyAlignment="1" applyProtection="1">
      <alignment vertical="center"/>
      <protection locked="0"/>
    </xf>
    <xf numFmtId="165" fontId="50" fillId="63" borderId="49" xfId="6" applyNumberFormat="1" applyFont="1" applyFill="1" applyBorder="1" applyAlignment="1">
      <alignment horizontal="center" vertical="center"/>
    </xf>
    <xf numFmtId="0" fontId="49" fillId="16" borderId="51" xfId="6" applyFont="1" applyFill="1" applyBorder="1" applyAlignment="1" applyProtection="1">
      <alignment vertical="center"/>
      <protection locked="0"/>
    </xf>
    <xf numFmtId="0" fontId="50" fillId="16" borderId="231" xfId="6" applyFont="1" applyFill="1" applyBorder="1" applyAlignment="1">
      <alignment horizontal="right" vertical="center"/>
    </xf>
    <xf numFmtId="1" fontId="49" fillId="63" borderId="49" xfId="6" applyNumberFormat="1" applyFont="1" applyFill="1" applyBorder="1" applyAlignment="1">
      <alignment horizontal="center" vertical="center"/>
    </xf>
    <xf numFmtId="1" fontId="50" fillId="63" borderId="49" xfId="6" applyNumberFormat="1" applyFont="1" applyFill="1" applyBorder="1" applyAlignment="1">
      <alignment horizontal="center" vertical="center"/>
    </xf>
    <xf numFmtId="9" fontId="49" fillId="14" borderId="52" xfId="9" applyFont="1" applyFill="1" applyBorder="1" applyAlignment="1" applyProtection="1">
      <alignment vertical="center"/>
      <protection locked="0"/>
    </xf>
    <xf numFmtId="166" fontId="49" fillId="14" borderId="23" xfId="6" applyNumberFormat="1" applyFont="1" applyFill="1" applyAlignment="1">
      <alignment vertical="center"/>
    </xf>
    <xf numFmtId="0" fontId="34" fillId="0" borderId="23" xfId="6" applyAlignment="1">
      <alignment horizontal="right"/>
    </xf>
    <xf numFmtId="10" fontId="299" fillId="0" borderId="23" xfId="11" applyNumberFormat="1" applyFont="1" applyBorder="1" applyAlignment="1">
      <alignment horizontal="center" vertical="center"/>
    </xf>
    <xf numFmtId="3" fontId="47" fillId="62" borderId="49" xfId="6" applyNumberFormat="1" applyFont="1" applyFill="1" applyBorder="1" applyAlignment="1">
      <alignment horizontal="center" vertical="center"/>
    </xf>
    <xf numFmtId="3" fontId="43" fillId="62" borderId="49" xfId="6" applyNumberFormat="1" applyFont="1" applyFill="1" applyBorder="1" applyAlignment="1">
      <alignment horizontal="center" vertical="center"/>
    </xf>
    <xf numFmtId="0" fontId="9" fillId="62" borderId="0" xfId="0" applyFont="1" applyFill="1" applyAlignment="1">
      <alignment horizontal="right" vertical="center"/>
    </xf>
    <xf numFmtId="3" fontId="9" fillId="62" borderId="0" xfId="0" applyNumberFormat="1" applyFont="1" applyFill="1" applyAlignment="1">
      <alignment horizontal="center" vertical="center"/>
    </xf>
    <xf numFmtId="0" fontId="9" fillId="62" borderId="23" xfId="0" applyFont="1" applyFill="1" applyBorder="1" applyAlignment="1">
      <alignment horizontal="right" vertical="center"/>
    </xf>
    <xf numFmtId="3" fontId="9" fillId="62" borderId="23" xfId="1" applyNumberFormat="1" applyFont="1" applyFill="1" applyBorder="1" applyAlignment="1">
      <alignment horizontal="center" vertical="center"/>
    </xf>
    <xf numFmtId="0" fontId="137" fillId="0" borderId="0" xfId="0" applyFont="1" applyAlignment="1">
      <alignment horizontal="left" vertical="top" wrapText="1"/>
    </xf>
    <xf numFmtId="0" fontId="137" fillId="0" borderId="23" xfId="0" applyFont="1" applyBorder="1" applyAlignment="1">
      <alignment horizontal="left" vertical="top" wrapText="1"/>
    </xf>
    <xf numFmtId="0" fontId="137" fillId="0" borderId="0" xfId="0" applyFont="1"/>
    <xf numFmtId="0" fontId="135" fillId="15" borderId="0" xfId="0" applyFont="1" applyFill="1" applyAlignment="1">
      <alignment horizontal="center"/>
    </xf>
    <xf numFmtId="0" fontId="136" fillId="15" borderId="0" xfId="0" applyFont="1" applyFill="1"/>
    <xf numFmtId="0" fontId="135" fillId="15" borderId="0" xfId="0" applyFont="1" applyFill="1" applyAlignment="1">
      <alignment horizontal="center" vertical="top" wrapText="1"/>
    </xf>
    <xf numFmtId="0" fontId="136" fillId="15" borderId="0" xfId="0" applyFont="1" applyFill="1" applyAlignment="1">
      <alignment vertical="top"/>
    </xf>
    <xf numFmtId="0" fontId="125" fillId="15" borderId="0" xfId="0" applyFont="1" applyFill="1" applyAlignment="1">
      <alignment horizontal="center" vertical="center"/>
    </xf>
    <xf numFmtId="0" fontId="56" fillId="15" borderId="0" xfId="0" applyFont="1" applyFill="1"/>
    <xf numFmtId="0" fontId="49" fillId="24" borderId="31" xfId="0" applyFont="1" applyFill="1" applyBorder="1" applyAlignment="1" applyProtection="1">
      <alignment horizontal="left" vertical="center"/>
      <protection locked="0"/>
    </xf>
    <xf numFmtId="0" fontId="49" fillId="23" borderId="28" xfId="0" applyFont="1" applyFill="1" applyBorder="1" applyProtection="1">
      <protection locked="0"/>
    </xf>
    <xf numFmtId="0" fontId="49" fillId="23" borderId="29" xfId="0" applyFont="1" applyFill="1" applyBorder="1" applyProtection="1">
      <protection locked="0"/>
    </xf>
    <xf numFmtId="0" fontId="50" fillId="22" borderId="37" xfId="0" applyFont="1" applyFill="1" applyBorder="1" applyAlignment="1">
      <alignment horizontal="center" vertical="center" wrapText="1"/>
    </xf>
    <xf numFmtId="0" fontId="50" fillId="23" borderId="35" xfId="0" applyFont="1" applyFill="1" applyBorder="1" applyAlignment="1">
      <alignment vertical="center"/>
    </xf>
    <xf numFmtId="0" fontId="50" fillId="23" borderId="36" xfId="0" applyFont="1" applyFill="1" applyBorder="1" applyAlignment="1">
      <alignment vertical="center"/>
    </xf>
    <xf numFmtId="0" fontId="50" fillId="23" borderId="40" xfId="0" applyFont="1" applyFill="1" applyBorder="1" applyAlignment="1">
      <alignment vertical="center"/>
    </xf>
    <xf numFmtId="0" fontId="50" fillId="23" borderId="27" xfId="0" applyFont="1" applyFill="1" applyBorder="1" applyAlignment="1">
      <alignment vertical="center"/>
    </xf>
    <xf numFmtId="0" fontId="50" fillId="23" borderId="33" xfId="0" applyFont="1" applyFill="1" applyBorder="1" applyAlignment="1">
      <alignment vertical="center"/>
    </xf>
    <xf numFmtId="0" fontId="71" fillId="20" borderId="30" xfId="0" applyFont="1" applyFill="1" applyBorder="1" applyAlignment="1">
      <alignment horizontal="center" vertical="center"/>
    </xf>
    <xf numFmtId="0" fontId="72" fillId="16" borderId="30" xfId="0" applyFont="1" applyFill="1" applyBorder="1"/>
    <xf numFmtId="0" fontId="71" fillId="20" borderId="30" xfId="0" applyFont="1" applyFill="1" applyBorder="1" applyAlignment="1">
      <alignment horizontal="center" vertical="center" wrapText="1"/>
    </xf>
    <xf numFmtId="0" fontId="71" fillId="16" borderId="30" xfId="0" applyFont="1" applyFill="1" applyBorder="1" applyAlignment="1">
      <alignment horizontal="center" vertical="center"/>
    </xf>
    <xf numFmtId="0" fontId="54" fillId="15" borderId="0" xfId="0" applyFont="1" applyFill="1" applyAlignment="1">
      <alignment horizontal="center" vertical="center"/>
    </xf>
    <xf numFmtId="0" fontId="55" fillId="15" borderId="0" xfId="0" applyFont="1" applyFill="1" applyAlignment="1">
      <alignment horizontal="center"/>
    </xf>
    <xf numFmtId="0" fontId="56" fillId="15" borderId="0" xfId="0" applyFont="1" applyFill="1" applyAlignment="1">
      <alignment horizontal="center" vertical="center"/>
    </xf>
    <xf numFmtId="0" fontId="61" fillId="16" borderId="30" xfId="0" applyFont="1" applyFill="1" applyBorder="1" applyAlignment="1">
      <alignment horizontal="center" vertical="center"/>
    </xf>
    <xf numFmtId="0" fontId="62" fillId="16" borderId="30" xfId="0" applyFont="1" applyFill="1" applyBorder="1"/>
    <xf numFmtId="0" fontId="71" fillId="16" borderId="30" xfId="0" applyFont="1" applyFill="1" applyBorder="1" applyAlignment="1">
      <alignment horizontal="center" vertical="center" wrapText="1"/>
    </xf>
    <xf numFmtId="165" fontId="49" fillId="19" borderId="30" xfId="0" applyNumberFormat="1" applyFont="1" applyFill="1" applyBorder="1" applyAlignment="1">
      <alignment horizontal="center" vertical="center"/>
    </xf>
    <xf numFmtId="0" fontId="49" fillId="18" borderId="30" xfId="0" applyFont="1" applyFill="1" applyBorder="1" applyAlignment="1">
      <alignment horizontal="center" vertical="center"/>
    </xf>
    <xf numFmtId="0" fontId="49" fillId="0" borderId="30" xfId="0" applyFont="1" applyBorder="1" applyAlignment="1">
      <alignment horizontal="center" vertical="center"/>
    </xf>
    <xf numFmtId="0" fontId="49" fillId="0" borderId="30" xfId="0" applyFont="1" applyBorder="1"/>
    <xf numFmtId="0" fontId="58" fillId="15" borderId="0" xfId="0" applyFont="1" applyFill="1" applyAlignment="1">
      <alignment vertical="center"/>
    </xf>
    <xf numFmtId="0" fontId="0" fillId="0" borderId="0" xfId="0"/>
    <xf numFmtId="166" fontId="61" fillId="16" borderId="30" xfId="0" applyNumberFormat="1" applyFont="1" applyFill="1" applyBorder="1" applyAlignment="1">
      <alignment horizontal="center" vertical="center"/>
    </xf>
    <xf numFmtId="0" fontId="49" fillId="0" borderId="30" xfId="0" applyFont="1" applyBorder="1" applyAlignment="1">
      <alignment horizontal="center" vertical="center" wrapText="1"/>
    </xf>
    <xf numFmtId="0" fontId="62" fillId="16" borderId="30" xfId="0" applyFont="1" applyFill="1" applyBorder="1" applyAlignment="1">
      <alignment horizontal="center"/>
    </xf>
    <xf numFmtId="0" fontId="61" fillId="16" borderId="34" xfId="0" applyFont="1" applyFill="1" applyBorder="1" applyAlignment="1">
      <alignment horizontal="center" vertical="center"/>
    </xf>
    <xf numFmtId="0" fontId="62" fillId="16" borderId="34" xfId="0" applyFont="1" applyFill="1" applyBorder="1" applyAlignment="1">
      <alignment horizontal="center" vertical="center"/>
    </xf>
    <xf numFmtId="0" fontId="61" fillId="16" borderId="34" xfId="0" applyFont="1" applyFill="1" applyBorder="1" applyAlignment="1">
      <alignment horizontal="center" vertical="center" wrapText="1"/>
    </xf>
    <xf numFmtId="0" fontId="61" fillId="16" borderId="30" xfId="0" applyFont="1" applyFill="1" applyBorder="1" applyAlignment="1">
      <alignment horizontal="center" vertical="center" wrapText="1"/>
    </xf>
    <xf numFmtId="0" fontId="49" fillId="48" borderId="49" xfId="0" applyFont="1" applyFill="1" applyBorder="1" applyAlignment="1">
      <alignment vertical="center"/>
    </xf>
    <xf numFmtId="0" fontId="0" fillId="48" borderId="49" xfId="0" applyFill="1" applyBorder="1"/>
    <xf numFmtId="0" fontId="61" fillId="16" borderId="51" xfId="0" applyFont="1" applyFill="1" applyBorder="1" applyAlignment="1">
      <alignment vertical="center"/>
    </xf>
    <xf numFmtId="0" fontId="0" fillId="0" borderId="52" xfId="0" applyBorder="1" applyAlignment="1">
      <alignment vertical="center"/>
    </xf>
    <xf numFmtId="0" fontId="77" fillId="16" borderId="31" xfId="0" applyFont="1" applyFill="1" applyBorder="1" applyAlignment="1">
      <alignment horizontal="center" vertical="center"/>
    </xf>
    <xf numFmtId="0" fontId="0" fillId="0" borderId="28" xfId="0" applyBorder="1" applyAlignment="1">
      <alignment horizontal="center" vertical="center"/>
    </xf>
    <xf numFmtId="0" fontId="0" fillId="0" borderId="29" xfId="0" applyBorder="1" applyAlignment="1">
      <alignment horizontal="center" vertical="center"/>
    </xf>
    <xf numFmtId="0" fontId="66" fillId="0" borderId="0" xfId="0" applyFont="1" applyAlignment="1">
      <alignment horizontal="center" vertical="center" wrapText="1"/>
    </xf>
    <xf numFmtId="0" fontId="65" fillId="0" borderId="0" xfId="0" applyFont="1" applyAlignment="1">
      <alignment vertical="center"/>
    </xf>
    <xf numFmtId="0" fontId="26" fillId="16" borderId="30" xfId="0" applyFont="1" applyFill="1" applyBorder="1" applyAlignment="1">
      <alignment horizontal="center" vertical="center"/>
    </xf>
    <xf numFmtId="0" fontId="36" fillId="16" borderId="30" xfId="0" applyFont="1" applyFill="1" applyBorder="1" applyAlignment="1">
      <alignment vertical="center"/>
    </xf>
    <xf numFmtId="0" fontId="49" fillId="3" borderId="30" xfId="0" applyFont="1" applyFill="1" applyBorder="1" applyAlignment="1" applyProtection="1">
      <alignment horizontal="center" vertical="center"/>
      <protection locked="0"/>
    </xf>
    <xf numFmtId="0" fontId="49" fillId="0" borderId="30" xfId="0" applyFont="1" applyBorder="1" applyAlignment="1" applyProtection="1">
      <alignment vertical="center"/>
      <protection locked="0"/>
    </xf>
    <xf numFmtId="166" fontId="26" fillId="16" borderId="30" xfId="0" applyNumberFormat="1" applyFont="1" applyFill="1" applyBorder="1" applyAlignment="1">
      <alignment horizontal="center" vertical="center"/>
    </xf>
    <xf numFmtId="0" fontId="26" fillId="16" borderId="30" xfId="0" applyFont="1" applyFill="1" applyBorder="1" applyAlignment="1">
      <alignment horizontal="center" vertical="center" wrapText="1"/>
    </xf>
    <xf numFmtId="0" fontId="36" fillId="16" borderId="30" xfId="0" applyFont="1" applyFill="1" applyBorder="1" applyAlignment="1">
      <alignment vertical="center" wrapText="1"/>
    </xf>
    <xf numFmtId="166" fontId="71" fillId="16" borderId="30" xfId="0" applyNumberFormat="1" applyFont="1" applyFill="1" applyBorder="1" applyAlignment="1">
      <alignment horizontal="center" vertical="center"/>
    </xf>
    <xf numFmtId="0" fontId="50" fillId="22" borderId="35" xfId="0" applyFont="1" applyFill="1" applyBorder="1" applyAlignment="1">
      <alignment horizontal="center" vertical="center" wrapText="1"/>
    </xf>
    <xf numFmtId="0" fontId="50" fillId="22" borderId="36" xfId="0" applyFont="1" applyFill="1" applyBorder="1" applyAlignment="1">
      <alignment horizontal="center" vertical="center" wrapText="1"/>
    </xf>
    <xf numFmtId="0" fontId="50" fillId="22" borderId="40" xfId="0" applyFont="1" applyFill="1" applyBorder="1" applyAlignment="1">
      <alignment horizontal="center" vertical="center" wrapText="1"/>
    </xf>
    <xf numFmtId="0" fontId="50" fillId="22" borderId="27" xfId="0" applyFont="1" applyFill="1" applyBorder="1" applyAlignment="1">
      <alignment horizontal="center" vertical="center" wrapText="1"/>
    </xf>
    <xf numFmtId="0" fontId="50" fillId="22" borderId="33" xfId="0" applyFont="1" applyFill="1" applyBorder="1" applyAlignment="1">
      <alignment horizontal="center" vertical="center" wrapText="1"/>
    </xf>
    <xf numFmtId="0" fontId="62" fillId="16" borderId="30" xfId="0" applyFont="1" applyFill="1" applyBorder="1" applyAlignment="1">
      <alignment vertical="center"/>
    </xf>
    <xf numFmtId="0" fontId="66" fillId="14" borderId="23" xfId="0" applyFont="1" applyFill="1" applyBorder="1" applyAlignment="1">
      <alignment horizontal="center" vertical="center" wrapText="1"/>
    </xf>
    <xf numFmtId="0" fontId="65" fillId="14" borderId="23" xfId="0" applyFont="1" applyFill="1" applyBorder="1"/>
    <xf numFmtId="0" fontId="62" fillId="16" borderId="30" xfId="0" applyFont="1" applyFill="1" applyBorder="1" applyAlignment="1">
      <alignment vertical="center" wrapText="1"/>
    </xf>
    <xf numFmtId="0" fontId="0" fillId="0" borderId="0" xfId="0" applyAlignment="1">
      <alignment horizontal="center"/>
    </xf>
    <xf numFmtId="0" fontId="74" fillId="15" borderId="0" xfId="0" applyFont="1" applyFill="1" applyAlignment="1">
      <alignment horizontal="left" vertical="center"/>
    </xf>
    <xf numFmtId="0" fontId="43" fillId="48" borderId="49" xfId="0" applyFont="1" applyFill="1" applyBorder="1" applyAlignment="1">
      <alignment horizontal="left" vertical="center"/>
    </xf>
    <xf numFmtId="0" fontId="0" fillId="48" borderId="49" xfId="0" applyFill="1" applyBorder="1" applyAlignment="1">
      <alignment vertical="center"/>
    </xf>
    <xf numFmtId="0" fontId="149" fillId="15" borderId="0" xfId="0" applyFont="1" applyFill="1" applyAlignment="1">
      <alignment horizontal="center" vertical="center"/>
    </xf>
    <xf numFmtId="0" fontId="0" fillId="0" borderId="0" xfId="0" applyAlignment="1">
      <alignment horizontal="center" vertical="center"/>
    </xf>
    <xf numFmtId="0" fontId="59" fillId="0" borderId="30" xfId="0" applyFont="1" applyBorder="1" applyAlignment="1">
      <alignment horizontal="right" vertical="center" wrapText="1"/>
    </xf>
    <xf numFmtId="0" fontId="59" fillId="0" borderId="30" xfId="0" applyFont="1" applyBorder="1" applyAlignment="1">
      <alignment vertical="center"/>
    </xf>
    <xf numFmtId="0" fontId="105" fillId="16" borderId="30" xfId="0" applyFont="1" applyFill="1" applyBorder="1" applyAlignment="1">
      <alignment horizontal="center" vertical="center"/>
    </xf>
    <xf numFmtId="0" fontId="105" fillId="16" borderId="30" xfId="0" applyFont="1" applyFill="1" applyBorder="1" applyAlignment="1">
      <alignment vertical="center"/>
    </xf>
    <xf numFmtId="0" fontId="99" fillId="0" borderId="30" xfId="0" applyFont="1" applyBorder="1" applyAlignment="1">
      <alignment horizontal="right" vertical="center"/>
    </xf>
    <xf numFmtId="0" fontId="107" fillId="0" borderId="30" xfId="0" applyFont="1" applyBorder="1" applyAlignment="1">
      <alignment vertical="center"/>
    </xf>
    <xf numFmtId="0" fontId="59" fillId="0" borderId="30" xfId="0" applyFont="1" applyBorder="1" applyAlignment="1">
      <alignment horizontal="right" vertical="center"/>
    </xf>
    <xf numFmtId="0" fontId="27" fillId="16" borderId="30" xfId="0" applyFont="1" applyFill="1" applyBorder="1" applyAlignment="1">
      <alignment horizontal="right" vertical="center"/>
    </xf>
    <xf numFmtId="0" fontId="38" fillId="0" borderId="30" xfId="0" applyFont="1" applyBorder="1" applyAlignment="1">
      <alignment horizontal="center" vertical="center"/>
    </xf>
    <xf numFmtId="0" fontId="40" fillId="0" borderId="30" xfId="0" applyFont="1" applyBorder="1" applyAlignment="1">
      <alignment vertical="center"/>
    </xf>
    <xf numFmtId="0" fontId="62" fillId="16" borderId="30" xfId="0" applyFont="1" applyFill="1" applyBorder="1" applyAlignment="1">
      <alignment horizontal="center" vertical="center"/>
    </xf>
    <xf numFmtId="0" fontId="97" fillId="16" borderId="31" xfId="0" applyFont="1" applyFill="1" applyBorder="1" applyAlignment="1">
      <alignment horizontal="center" vertical="center"/>
    </xf>
    <xf numFmtId="0" fontId="97" fillId="16" borderId="28" xfId="0" applyFont="1" applyFill="1" applyBorder="1" applyAlignment="1">
      <alignment horizontal="center" vertical="center"/>
    </xf>
    <xf numFmtId="0" fontId="97" fillId="16" borderId="29" xfId="0" applyFont="1" applyFill="1" applyBorder="1" applyAlignment="1">
      <alignment horizontal="center" vertical="center"/>
    </xf>
    <xf numFmtId="0" fontId="43" fillId="16" borderId="30" xfId="0" applyFont="1" applyFill="1" applyBorder="1" applyAlignment="1">
      <alignment horizontal="center" vertical="center" wrapText="1"/>
    </xf>
    <xf numFmtId="0" fontId="43" fillId="16" borderId="30" xfId="0" applyFont="1" applyFill="1" applyBorder="1" applyAlignment="1">
      <alignment vertical="center"/>
    </xf>
    <xf numFmtId="0" fontId="43" fillId="16" borderId="37" xfId="0" applyFont="1" applyFill="1" applyBorder="1" applyAlignment="1">
      <alignment horizontal="center" vertical="center"/>
    </xf>
    <xf numFmtId="0" fontId="43" fillId="16" borderId="36" xfId="0" applyFont="1" applyFill="1" applyBorder="1" applyAlignment="1">
      <alignment horizontal="center" vertical="center"/>
    </xf>
    <xf numFmtId="0" fontId="43" fillId="16" borderId="38" xfId="0" applyFont="1" applyFill="1" applyBorder="1" applyAlignment="1">
      <alignment horizontal="center" vertical="center"/>
    </xf>
    <xf numFmtId="0" fontId="43" fillId="16" borderId="41" xfId="0" applyFont="1" applyFill="1" applyBorder="1" applyAlignment="1">
      <alignment horizontal="center" vertical="center"/>
    </xf>
    <xf numFmtId="0" fontId="43" fillId="16" borderId="40" xfId="0" applyFont="1" applyFill="1" applyBorder="1" applyAlignment="1">
      <alignment horizontal="center" vertical="center"/>
    </xf>
    <xf numFmtId="0" fontId="43" fillId="16" borderId="33" xfId="0" applyFont="1" applyFill="1" applyBorder="1" applyAlignment="1">
      <alignment horizontal="center" vertical="center"/>
    </xf>
    <xf numFmtId="0" fontId="98" fillId="16" borderId="30" xfId="0" applyFont="1" applyFill="1" applyBorder="1" applyAlignment="1">
      <alignment horizontal="center" vertical="center"/>
    </xf>
    <xf numFmtId="0" fontId="100" fillId="16" borderId="30" xfId="0" applyFont="1" applyFill="1" applyBorder="1" applyAlignment="1">
      <alignment vertical="center"/>
    </xf>
    <xf numFmtId="0" fontId="27" fillId="16" borderId="30" xfId="0" applyFont="1" applyFill="1" applyBorder="1" applyAlignment="1">
      <alignment horizontal="center" vertical="center" wrapText="1"/>
    </xf>
    <xf numFmtId="0" fontId="62" fillId="16" borderId="30" xfId="0" applyFont="1" applyFill="1" applyBorder="1" applyAlignment="1">
      <alignment horizontal="center" vertical="center" wrapText="1"/>
    </xf>
    <xf numFmtId="0" fontId="27" fillId="16" borderId="30" xfId="0" applyFont="1" applyFill="1" applyBorder="1" applyAlignment="1">
      <alignment horizontal="center" vertical="center"/>
    </xf>
    <xf numFmtId="164" fontId="41" fillId="5" borderId="17" xfId="0" applyNumberFormat="1" applyFont="1" applyFill="1" applyBorder="1" applyAlignment="1">
      <alignment horizontal="center" vertical="center"/>
    </xf>
    <xf numFmtId="0" fontId="63" fillId="0" borderId="16" xfId="0" applyFont="1" applyBorder="1" applyAlignment="1">
      <alignment vertical="center"/>
    </xf>
    <xf numFmtId="164" fontId="38" fillId="3" borderId="1" xfId="0" applyNumberFormat="1" applyFont="1" applyFill="1" applyBorder="1" applyAlignment="1">
      <alignment horizontal="center" vertical="center"/>
    </xf>
    <xf numFmtId="0" fontId="40" fillId="0" borderId="2" xfId="0" applyFont="1" applyBorder="1" applyAlignment="1">
      <alignment vertical="center"/>
    </xf>
    <xf numFmtId="0" fontId="40" fillId="0" borderId="3" xfId="0" applyFont="1" applyBorder="1" applyAlignment="1">
      <alignment vertical="center"/>
    </xf>
    <xf numFmtId="0" fontId="89" fillId="7" borderId="17" xfId="0" applyFont="1" applyFill="1" applyBorder="1" applyAlignment="1">
      <alignment vertical="center"/>
    </xf>
    <xf numFmtId="0" fontId="40" fillId="0" borderId="15" xfId="0" applyFont="1" applyBorder="1" applyAlignment="1">
      <alignment vertical="center"/>
    </xf>
    <xf numFmtId="0" fontId="40" fillId="0" borderId="16" xfId="0" applyFont="1" applyBorder="1" applyAlignment="1">
      <alignment vertical="center"/>
    </xf>
    <xf numFmtId="0" fontId="89" fillId="7" borderId="17" xfId="0" applyFont="1" applyFill="1" applyBorder="1" applyAlignment="1">
      <alignment horizontal="center" vertical="center" wrapText="1"/>
    </xf>
    <xf numFmtId="164" fontId="40" fillId="3" borderId="1" xfId="0" applyNumberFormat="1" applyFont="1" applyFill="1" applyBorder="1" applyAlignment="1">
      <alignment horizontal="center" vertical="center"/>
    </xf>
    <xf numFmtId="4" fontId="89" fillId="7" borderId="21" xfId="0" applyNumberFormat="1" applyFont="1" applyFill="1" applyBorder="1" applyAlignment="1">
      <alignment horizontal="center" vertical="center" wrapText="1"/>
    </xf>
    <xf numFmtId="0" fontId="40" fillId="0" borderId="22" xfId="0" applyFont="1" applyBorder="1" applyAlignment="1">
      <alignment vertical="center"/>
    </xf>
    <xf numFmtId="0" fontId="40" fillId="0" borderId="23" xfId="0" applyFont="1" applyBorder="1" applyAlignment="1">
      <alignment vertical="center"/>
    </xf>
    <xf numFmtId="0" fontId="40" fillId="0" borderId="22" xfId="0" applyFont="1" applyBorder="1" applyAlignment="1">
      <alignment horizontal="center" vertical="center"/>
    </xf>
    <xf numFmtId="0" fontId="40" fillId="0" borderId="23" xfId="0" applyFont="1" applyBorder="1" applyAlignment="1">
      <alignment horizontal="center" vertical="center"/>
    </xf>
    <xf numFmtId="0" fontId="130" fillId="49" borderId="12" xfId="0" applyFont="1" applyFill="1" applyBorder="1" applyAlignment="1">
      <alignment horizontal="right" vertical="center"/>
    </xf>
    <xf numFmtId="0" fontId="129" fillId="48" borderId="9" xfId="0" applyFont="1" applyFill="1" applyBorder="1" applyAlignment="1">
      <alignment horizontal="right" vertical="center"/>
    </xf>
    <xf numFmtId="0" fontId="89" fillId="7" borderId="17" xfId="0" applyFont="1" applyFill="1" applyBorder="1" applyAlignment="1">
      <alignment vertical="center" wrapText="1"/>
    </xf>
    <xf numFmtId="0" fontId="0" fillId="0" borderId="0" xfId="0" applyAlignment="1">
      <alignment vertical="center"/>
    </xf>
    <xf numFmtId="0" fontId="39" fillId="5" borderId="17" xfId="0" applyFont="1" applyFill="1" applyBorder="1" applyAlignment="1">
      <alignment horizontal="center" vertical="center"/>
    </xf>
    <xf numFmtId="0" fontId="40" fillId="0" borderId="18" xfId="0" applyFont="1" applyBorder="1" applyAlignment="1">
      <alignment vertical="center"/>
    </xf>
    <xf numFmtId="0" fontId="130" fillId="49" borderId="12" xfId="0" applyFont="1" applyFill="1" applyBorder="1" applyAlignment="1">
      <alignment horizontal="left" vertical="center"/>
    </xf>
    <xf numFmtId="0" fontId="129" fillId="48" borderId="9" xfId="0" applyFont="1" applyFill="1" applyBorder="1" applyAlignment="1">
      <alignment vertical="center"/>
    </xf>
    <xf numFmtId="0" fontId="129" fillId="48" borderId="10" xfId="0" applyFont="1" applyFill="1" applyBorder="1" applyAlignment="1">
      <alignment vertical="center"/>
    </xf>
    <xf numFmtId="0" fontId="39" fillId="5" borderId="14" xfId="0" applyFont="1" applyFill="1" applyBorder="1" applyAlignment="1">
      <alignment horizontal="center" vertical="center"/>
    </xf>
    <xf numFmtId="0" fontId="103" fillId="15" borderId="0" xfId="0" applyFont="1" applyFill="1" applyAlignment="1">
      <alignment horizontal="center" vertical="top"/>
    </xf>
    <xf numFmtId="0" fontId="150" fillId="15" borderId="0" xfId="0" applyFont="1" applyFill="1" applyAlignment="1">
      <alignment horizontal="center" vertical="top"/>
    </xf>
    <xf numFmtId="0" fontId="13" fillId="0" borderId="0" xfId="0" applyFont="1" applyAlignment="1">
      <alignment horizontal="center"/>
    </xf>
    <xf numFmtId="0" fontId="58" fillId="26" borderId="8" xfId="0" applyFont="1" applyFill="1" applyBorder="1" applyAlignment="1">
      <alignment horizontal="left" vertical="center" wrapText="1"/>
    </xf>
    <xf numFmtId="0" fontId="60" fillId="15" borderId="12" xfId="0" applyFont="1" applyFill="1" applyBorder="1" applyAlignment="1">
      <alignment horizontal="left" vertical="center"/>
    </xf>
    <xf numFmtId="0" fontId="0" fillId="0" borderId="12" xfId="0" applyBorder="1" applyAlignment="1">
      <alignment vertical="center"/>
    </xf>
    <xf numFmtId="0" fontId="89" fillId="7" borderId="17" xfId="0" applyFont="1" applyFill="1" applyBorder="1" applyAlignment="1">
      <alignment horizontal="center" vertical="center"/>
    </xf>
    <xf numFmtId="0" fontId="40" fillId="0" borderId="15" xfId="0" applyFont="1" applyBorder="1" applyAlignment="1">
      <alignment horizontal="center" vertical="center"/>
    </xf>
    <xf numFmtId="0" fontId="40" fillId="0" borderId="16" xfId="0" applyFont="1" applyBorder="1" applyAlignment="1">
      <alignment horizontal="center" vertical="center"/>
    </xf>
    <xf numFmtId="0" fontId="90" fillId="7" borderId="17" xfId="0" applyFont="1" applyFill="1" applyBorder="1" applyAlignment="1">
      <alignment horizontal="center" vertical="center" wrapText="1"/>
    </xf>
    <xf numFmtId="0" fontId="90" fillId="0" borderId="15" xfId="0" applyFont="1" applyBorder="1" applyAlignment="1">
      <alignment vertical="center"/>
    </xf>
    <xf numFmtId="0" fontId="90" fillId="0" borderId="16" xfId="0" applyFont="1" applyBorder="1" applyAlignment="1">
      <alignment vertical="center"/>
    </xf>
    <xf numFmtId="4" fontId="59" fillId="0" borderId="39" xfId="0" applyNumberFormat="1" applyFont="1" applyBorder="1" applyAlignment="1">
      <alignment horizontal="center" vertical="center"/>
    </xf>
    <xf numFmtId="4" fontId="59" fillId="0" borderId="44" xfId="0" applyNumberFormat="1" applyFont="1" applyBorder="1" applyAlignment="1">
      <alignment horizontal="center" vertical="center"/>
    </xf>
    <xf numFmtId="4" fontId="59" fillId="0" borderId="34" xfId="0" applyNumberFormat="1" applyFont="1" applyBorder="1" applyAlignment="1">
      <alignment horizontal="center" vertical="center"/>
    </xf>
    <xf numFmtId="0" fontId="19" fillId="0" borderId="0" xfId="0" applyFont="1" applyAlignment="1">
      <alignment horizontal="center" vertical="center"/>
    </xf>
    <xf numFmtId="0" fontId="56" fillId="15" borderId="0" xfId="0" applyFont="1" applyFill="1" applyAlignment="1">
      <alignment horizontal="center"/>
    </xf>
    <xf numFmtId="0" fontId="142" fillId="15" borderId="0" xfId="0" applyFont="1" applyFill="1" applyAlignment="1">
      <alignment horizontal="center" vertical="center"/>
    </xf>
    <xf numFmtId="4" fontId="59" fillId="0" borderId="30" xfId="0" applyNumberFormat="1" applyFont="1" applyBorder="1" applyAlignment="1">
      <alignment horizontal="center" vertical="center"/>
    </xf>
    <xf numFmtId="0" fontId="59" fillId="0" borderId="30" xfId="0" applyFont="1" applyBorder="1" applyAlignment="1">
      <alignment horizontal="center" vertical="center"/>
    </xf>
    <xf numFmtId="4" fontId="47" fillId="0" borderId="30" xfId="0" applyNumberFormat="1" applyFont="1" applyBorder="1" applyAlignment="1">
      <alignment horizontal="center" vertical="center"/>
    </xf>
    <xf numFmtId="0" fontId="43" fillId="0" borderId="30" xfId="0" applyFont="1" applyBorder="1" applyAlignment="1">
      <alignment horizontal="center" vertical="center"/>
    </xf>
    <xf numFmtId="0" fontId="47" fillId="0" borderId="30" xfId="0" applyFont="1" applyBorder="1" applyAlignment="1">
      <alignment horizontal="center" vertical="center"/>
    </xf>
    <xf numFmtId="2" fontId="47" fillId="0" borderId="30" xfId="0" applyNumberFormat="1" applyFont="1" applyBorder="1" applyAlignment="1">
      <alignment horizontal="center" vertical="center"/>
    </xf>
    <xf numFmtId="0" fontId="43" fillId="0" borderId="30" xfId="0" applyFont="1" applyBorder="1" applyAlignment="1">
      <alignment vertical="center"/>
    </xf>
    <xf numFmtId="0" fontId="59" fillId="0" borderId="30" xfId="0" applyFont="1" applyBorder="1" applyAlignment="1">
      <alignment horizontal="left" vertical="center" wrapText="1"/>
    </xf>
    <xf numFmtId="0" fontId="59" fillId="0" borderId="30" xfId="0" applyFont="1" applyBorder="1" applyAlignment="1">
      <alignment horizontal="left" vertical="center"/>
    </xf>
    <xf numFmtId="0" fontId="48" fillId="16" borderId="30" xfId="0" applyFont="1" applyFill="1" applyBorder="1" applyAlignment="1">
      <alignment horizontal="center" vertical="center"/>
    </xf>
    <xf numFmtId="0" fontId="100" fillId="16" borderId="30" xfId="0" applyFont="1" applyFill="1" applyBorder="1" applyAlignment="1">
      <alignment horizontal="center" vertical="center"/>
    </xf>
    <xf numFmtId="0" fontId="48" fillId="16" borderId="30" xfId="0" applyFont="1" applyFill="1" applyBorder="1" applyAlignment="1">
      <alignment horizontal="center" vertical="center" wrapText="1"/>
    </xf>
    <xf numFmtId="4" fontId="61" fillId="16" borderId="30" xfId="0" applyNumberFormat="1" applyFont="1" applyFill="1" applyBorder="1" applyAlignment="1">
      <alignment horizontal="center" vertical="center" wrapText="1"/>
    </xf>
    <xf numFmtId="4" fontId="47" fillId="0" borderId="29" xfId="0" applyNumberFormat="1" applyFont="1" applyBorder="1" applyAlignment="1">
      <alignment horizontal="center" vertical="center"/>
    </xf>
    <xf numFmtId="0" fontId="61" fillId="29" borderId="125" xfId="0" applyFont="1" applyFill="1" applyBorder="1" applyAlignment="1">
      <alignment horizontal="center" vertical="center"/>
    </xf>
    <xf numFmtId="0" fontId="61" fillId="29" borderId="137" xfId="0" applyFont="1" applyFill="1" applyBorder="1" applyAlignment="1">
      <alignment horizontal="center" vertical="center"/>
    </xf>
    <xf numFmtId="0" fontId="61" fillId="29" borderId="138" xfId="0" applyFont="1" applyFill="1" applyBorder="1" applyAlignment="1">
      <alignment horizontal="center" vertical="center"/>
    </xf>
    <xf numFmtId="0" fontId="147" fillId="48" borderId="154" xfId="0" applyFont="1" applyFill="1" applyBorder="1" applyAlignment="1">
      <alignment horizontal="left" vertical="center"/>
    </xf>
    <xf numFmtId="0" fontId="147" fillId="48" borderId="155" xfId="0" applyFont="1" applyFill="1" applyBorder="1" applyAlignment="1">
      <alignment horizontal="left" vertical="center"/>
    </xf>
    <xf numFmtId="0" fontId="71" fillId="48" borderId="157" xfId="0" applyFont="1" applyFill="1" applyBorder="1" applyAlignment="1">
      <alignment horizontal="left" vertical="center"/>
    </xf>
    <xf numFmtId="0" fontId="71" fillId="48" borderId="158" xfId="0" applyFont="1" applyFill="1" applyBorder="1" applyAlignment="1">
      <alignment horizontal="left" vertical="center"/>
    </xf>
    <xf numFmtId="2" fontId="48" fillId="16" borderId="61" xfId="0" applyNumberFormat="1" applyFont="1" applyFill="1" applyBorder="1" applyAlignment="1">
      <alignment horizontal="left" vertical="center"/>
    </xf>
    <xf numFmtId="0" fontId="100" fillId="16" borderId="62" xfId="0" applyFont="1" applyFill="1" applyBorder="1" applyAlignment="1">
      <alignment horizontal="left" vertical="center"/>
    </xf>
    <xf numFmtId="3" fontId="48" fillId="41" borderId="30" xfId="0" applyNumberFormat="1" applyFont="1" applyFill="1" applyBorder="1" applyAlignment="1" applyProtection="1">
      <alignment horizontal="center" vertical="center"/>
      <protection locked="0"/>
    </xf>
    <xf numFmtId="0" fontId="100" fillId="16" borderId="60" xfId="0" applyFont="1" applyFill="1" applyBorder="1" applyAlignment="1" applyProtection="1">
      <alignment vertical="center"/>
      <protection locked="0"/>
    </xf>
    <xf numFmtId="0" fontId="125" fillId="15" borderId="0" xfId="0" applyFont="1" applyFill="1" applyAlignment="1">
      <alignment horizontal="left" vertical="center"/>
    </xf>
    <xf numFmtId="0" fontId="127" fillId="53" borderId="0" xfId="0" applyFont="1" applyFill="1" applyAlignment="1">
      <alignment vertical="center"/>
    </xf>
    <xf numFmtId="3" fontId="43" fillId="0" borderId="30" xfId="0" applyNumberFormat="1" applyFont="1" applyBorder="1" applyAlignment="1">
      <alignment horizontal="center" vertical="center"/>
    </xf>
    <xf numFmtId="0" fontId="61" fillId="29" borderId="30" xfId="0" applyFont="1" applyFill="1" applyBorder="1" applyAlignment="1">
      <alignment horizontal="center" vertical="center" wrapText="1"/>
    </xf>
    <xf numFmtId="0" fontId="207" fillId="29" borderId="29" xfId="0" applyFont="1" applyFill="1" applyBorder="1" applyAlignment="1">
      <alignment horizontal="left" vertical="center" wrapText="1"/>
    </xf>
    <xf numFmtId="0" fontId="208" fillId="16" borderId="30" xfId="0" applyFont="1" applyFill="1" applyBorder="1" applyAlignment="1">
      <alignment horizontal="left" vertical="center"/>
    </xf>
    <xf numFmtId="0" fontId="220" fillId="29" borderId="29" xfId="0" applyFont="1" applyFill="1" applyBorder="1" applyAlignment="1">
      <alignment horizontal="center" vertical="center" wrapText="1"/>
    </xf>
    <xf numFmtId="0" fontId="221" fillId="16" borderId="30" xfId="0" applyFont="1" applyFill="1" applyBorder="1" applyAlignment="1">
      <alignment horizontal="center" vertical="center"/>
    </xf>
    <xf numFmtId="0" fontId="221" fillId="16" borderId="31" xfId="0" applyFont="1" applyFill="1" applyBorder="1" applyAlignment="1">
      <alignment horizontal="center" vertical="center"/>
    </xf>
    <xf numFmtId="0" fontId="221" fillId="16" borderId="29" xfId="0" applyFont="1" applyFill="1" applyBorder="1" applyAlignment="1">
      <alignment horizontal="center" vertical="center"/>
    </xf>
    <xf numFmtId="0" fontId="206" fillId="16" borderId="29" xfId="0" applyFont="1" applyFill="1" applyBorder="1" applyAlignment="1">
      <alignment horizontal="center" vertical="center"/>
    </xf>
    <xf numFmtId="0" fontId="206" fillId="16" borderId="30" xfId="0" applyFont="1" applyFill="1" applyBorder="1" applyAlignment="1">
      <alignment vertical="center"/>
    </xf>
    <xf numFmtId="0" fontId="206" fillId="16" borderId="30" xfId="0" applyFont="1" applyFill="1" applyBorder="1" applyAlignment="1">
      <alignment horizontal="center" vertical="center"/>
    </xf>
    <xf numFmtId="0" fontId="228" fillId="29" borderId="30" xfId="0" applyFont="1" applyFill="1" applyBorder="1" applyAlignment="1">
      <alignment horizontal="center" vertical="center" wrapText="1"/>
    </xf>
    <xf numFmtId="0" fontId="229" fillId="16" borderId="30" xfId="0" applyFont="1" applyFill="1" applyBorder="1" applyAlignment="1">
      <alignment horizontal="center" vertical="center"/>
    </xf>
    <xf numFmtId="0" fontId="220" fillId="29" borderId="30" xfId="0" applyFont="1" applyFill="1" applyBorder="1" applyAlignment="1">
      <alignment horizontal="center" vertical="center" wrapText="1"/>
    </xf>
    <xf numFmtId="0" fontId="221" fillId="16" borderId="39" xfId="0" applyFont="1" applyFill="1" applyBorder="1" applyAlignment="1">
      <alignment horizontal="center" vertical="center"/>
    </xf>
    <xf numFmtId="0" fontId="221" fillId="16" borderId="30" xfId="0" applyFont="1" applyFill="1" applyBorder="1" applyAlignment="1">
      <alignment vertical="center"/>
    </xf>
    <xf numFmtId="0" fontId="221" fillId="16" borderId="31" xfId="0" applyFont="1" applyFill="1" applyBorder="1" applyAlignment="1">
      <alignment vertical="center"/>
    </xf>
    <xf numFmtId="3" fontId="43" fillId="0" borderId="39" xfId="0" applyNumberFormat="1" applyFont="1" applyBorder="1" applyAlignment="1">
      <alignment horizontal="center" vertical="center"/>
    </xf>
    <xf numFmtId="0" fontId="43" fillId="0" borderId="34" xfId="0" applyFont="1" applyBorder="1" applyAlignment="1">
      <alignment horizontal="center" vertical="center"/>
    </xf>
    <xf numFmtId="3" fontId="43" fillId="0" borderId="34" xfId="0" applyNumberFormat="1" applyFont="1" applyBorder="1" applyAlignment="1">
      <alignment horizontal="center" vertical="center"/>
    </xf>
    <xf numFmtId="2" fontId="227" fillId="0" borderId="39" xfId="0" applyNumberFormat="1" applyFont="1" applyBorder="1" applyAlignment="1">
      <alignment horizontal="center" vertical="center" wrapText="1"/>
    </xf>
    <xf numFmtId="2" fontId="227" fillId="0" borderId="44" xfId="0" applyNumberFormat="1" applyFont="1" applyBorder="1" applyAlignment="1">
      <alignment horizontal="center" vertical="center" wrapText="1"/>
    </xf>
    <xf numFmtId="2" fontId="227" fillId="0" borderId="34" xfId="0" applyNumberFormat="1" applyFont="1" applyBorder="1" applyAlignment="1">
      <alignment horizontal="center" vertical="center" wrapText="1"/>
    </xf>
    <xf numFmtId="2" fontId="227" fillId="2" borderId="30" xfId="0" applyNumberFormat="1" applyFont="1" applyFill="1" applyBorder="1" applyAlignment="1" applyProtection="1">
      <alignment horizontal="center" vertical="center" wrapText="1"/>
      <protection locked="0"/>
    </xf>
    <xf numFmtId="0" fontId="33" fillId="0" borderId="30" xfId="0" applyFont="1" applyBorder="1" applyAlignment="1" applyProtection="1">
      <alignment vertical="center"/>
      <protection locked="0"/>
    </xf>
    <xf numFmtId="0" fontId="33" fillId="0" borderId="30" xfId="0" applyFont="1" applyBorder="1" applyAlignment="1" applyProtection="1">
      <alignment horizontal="center" vertical="center"/>
      <protection locked="0"/>
    </xf>
    <xf numFmtId="2" fontId="227" fillId="2" borderId="31" xfId="0" applyNumberFormat="1" applyFont="1" applyFill="1" applyBorder="1" applyAlignment="1" applyProtection="1">
      <alignment horizontal="center" vertical="center" wrapText="1"/>
      <protection locked="0"/>
    </xf>
    <xf numFmtId="0" fontId="33" fillId="0" borderId="31" xfId="0" applyFont="1" applyBorder="1" applyAlignment="1" applyProtection="1">
      <alignment vertical="center"/>
      <protection locked="0"/>
    </xf>
    <xf numFmtId="2" fontId="33" fillId="0" borderId="30" xfId="0" applyNumberFormat="1" applyFont="1" applyBorder="1" applyAlignment="1" applyProtection="1">
      <alignment horizontal="center" vertical="center"/>
      <protection locked="0"/>
    </xf>
    <xf numFmtId="2" fontId="33" fillId="0" borderId="31" xfId="0" applyNumberFormat="1" applyFont="1" applyBorder="1" applyAlignment="1" applyProtection="1">
      <alignment vertical="center"/>
      <protection locked="0"/>
    </xf>
    <xf numFmtId="0" fontId="167" fillId="29" borderId="112" xfId="0" applyFont="1" applyFill="1" applyBorder="1" applyAlignment="1">
      <alignment horizontal="center" vertical="center"/>
    </xf>
    <xf numFmtId="0" fontId="167" fillId="29" borderId="116" xfId="0" applyFont="1" applyFill="1" applyBorder="1" applyAlignment="1">
      <alignment horizontal="center" vertical="center"/>
    </xf>
    <xf numFmtId="0" fontId="167" fillId="29" borderId="113" xfId="0" applyFont="1" applyFill="1" applyBorder="1" applyAlignment="1">
      <alignment horizontal="center" vertical="center"/>
    </xf>
    <xf numFmtId="3" fontId="162" fillId="29" borderId="113" xfId="0" applyNumberFormat="1" applyFont="1" applyFill="1" applyBorder="1" applyAlignment="1">
      <alignment horizontal="center" vertical="center" wrapText="1"/>
    </xf>
    <xf numFmtId="3" fontId="162" fillId="29" borderId="60" xfId="0" applyNumberFormat="1" applyFont="1" applyFill="1" applyBorder="1" applyAlignment="1">
      <alignment horizontal="center" vertical="center" wrapText="1"/>
    </xf>
    <xf numFmtId="3" fontId="162" fillId="29" borderId="112" xfId="0" applyNumberFormat="1" applyFont="1" applyFill="1" applyBorder="1" applyAlignment="1">
      <alignment horizontal="center" vertical="center" wrapText="1"/>
    </xf>
    <xf numFmtId="3" fontId="162" fillId="29" borderId="59" xfId="0" applyNumberFormat="1" applyFont="1" applyFill="1" applyBorder="1" applyAlignment="1">
      <alignment horizontal="center" vertical="center" wrapText="1"/>
    </xf>
    <xf numFmtId="0" fontId="43" fillId="14" borderId="23" xfId="0" applyFont="1" applyFill="1" applyBorder="1" applyAlignment="1">
      <alignment horizontal="left" vertical="center"/>
    </xf>
    <xf numFmtId="0" fontId="43" fillId="14" borderId="23" xfId="0" applyFont="1" applyFill="1" applyBorder="1" applyAlignment="1">
      <alignment vertical="center"/>
    </xf>
    <xf numFmtId="0" fontId="193" fillId="28" borderId="29" xfId="0" applyFont="1" applyFill="1" applyBorder="1" applyAlignment="1">
      <alignment horizontal="left" vertical="center" wrapText="1"/>
    </xf>
    <xf numFmtId="0" fontId="225" fillId="15" borderId="30" xfId="0" applyFont="1" applyFill="1" applyBorder="1" applyAlignment="1">
      <alignment horizontal="left" vertical="center"/>
    </xf>
    <xf numFmtId="0" fontId="225" fillId="15" borderId="29" xfId="0" applyFont="1" applyFill="1" applyBorder="1" applyAlignment="1">
      <alignment horizontal="left" vertical="center"/>
    </xf>
    <xf numFmtId="0" fontId="62" fillId="16" borderId="39" xfId="0" applyFont="1" applyFill="1" applyBorder="1" applyAlignment="1">
      <alignment horizontal="center" vertical="center"/>
    </xf>
    <xf numFmtId="0" fontId="220" fillId="29" borderId="31" xfId="0" applyFont="1" applyFill="1" applyBorder="1" applyAlignment="1">
      <alignment horizontal="center" vertical="center"/>
    </xf>
    <xf numFmtId="0" fontId="221" fillId="16" borderId="28" xfId="0" applyFont="1" applyFill="1" applyBorder="1" applyAlignment="1">
      <alignment vertical="center"/>
    </xf>
    <xf numFmtId="0" fontId="221" fillId="16" borderId="29" xfId="0" applyFont="1" applyFill="1" applyBorder="1" applyAlignment="1">
      <alignment vertical="center"/>
    </xf>
    <xf numFmtId="0" fontId="207" fillId="29" borderId="31" xfId="0" applyFont="1" applyFill="1" applyBorder="1" applyAlignment="1">
      <alignment horizontal="center" vertical="center"/>
    </xf>
    <xf numFmtId="0" fontId="208" fillId="16" borderId="28" xfId="0" applyFont="1" applyFill="1" applyBorder="1" applyAlignment="1">
      <alignment vertical="center"/>
    </xf>
    <xf numFmtId="0" fontId="208" fillId="16" borderId="29" xfId="0" applyFont="1" applyFill="1" applyBorder="1" applyAlignment="1">
      <alignment vertical="center"/>
    </xf>
    <xf numFmtId="0" fontId="58" fillId="28" borderId="28" xfId="0" applyFont="1" applyFill="1" applyBorder="1" applyAlignment="1">
      <alignment horizontal="center" vertical="center"/>
    </xf>
    <xf numFmtId="0" fontId="60" fillId="15" borderId="28" xfId="0" applyFont="1" applyFill="1" applyBorder="1" applyAlignment="1">
      <alignment vertical="center"/>
    </xf>
    <xf numFmtId="166" fontId="43" fillId="11" borderId="39" xfId="1" applyNumberFormat="1" applyFont="1" applyFill="1" applyBorder="1" applyAlignment="1" applyProtection="1">
      <alignment horizontal="center" vertical="center"/>
      <protection locked="0"/>
    </xf>
    <xf numFmtId="166" fontId="43" fillId="11" borderId="34" xfId="1" applyNumberFormat="1" applyFont="1" applyFill="1" applyBorder="1" applyAlignment="1" applyProtection="1">
      <alignment horizontal="center" vertical="center"/>
      <protection locked="0"/>
    </xf>
    <xf numFmtId="0" fontId="205" fillId="28" borderId="23" xfId="0" applyFont="1" applyFill="1" applyBorder="1" applyAlignment="1">
      <alignment horizontal="left" vertical="center" wrapText="1"/>
    </xf>
    <xf numFmtId="0" fontId="222" fillId="28" borderId="23" xfId="0" applyFont="1" applyFill="1" applyBorder="1" applyAlignment="1">
      <alignment horizontal="left" vertical="center"/>
    </xf>
    <xf numFmtId="0" fontId="26" fillId="0" borderId="148" xfId="0" applyFont="1" applyBorder="1" applyAlignment="1">
      <alignment horizontal="left" vertical="center" wrapText="1"/>
    </xf>
    <xf numFmtId="0" fontId="26" fillId="0" borderId="121" xfId="0" applyFont="1" applyBorder="1" applyAlignment="1">
      <alignment horizontal="left" vertical="center" wrapText="1"/>
    </xf>
    <xf numFmtId="0" fontId="26" fillId="0" borderId="39" xfId="0" applyFont="1" applyBorder="1" applyAlignment="1">
      <alignment horizontal="center" vertical="center"/>
    </xf>
    <xf numFmtId="0" fontId="26" fillId="0" borderId="97" xfId="0" applyFont="1" applyBorder="1" applyAlignment="1">
      <alignment horizontal="center" vertical="center"/>
    </xf>
    <xf numFmtId="9" fontId="26" fillId="2" borderId="152" xfId="0" applyNumberFormat="1" applyFont="1" applyFill="1" applyBorder="1" applyAlignment="1" applyProtection="1">
      <alignment horizontal="center" vertical="center"/>
      <protection locked="0"/>
    </xf>
    <xf numFmtId="9" fontId="26" fillId="2" borderId="123" xfId="0" applyNumberFormat="1" applyFont="1" applyFill="1" applyBorder="1" applyAlignment="1" applyProtection="1">
      <alignment horizontal="center" vertical="center"/>
      <protection locked="0"/>
    </xf>
    <xf numFmtId="3" fontId="63" fillId="16" borderId="39" xfId="0" applyNumberFormat="1" applyFont="1" applyFill="1" applyBorder="1" applyAlignment="1">
      <alignment horizontal="left" vertical="center" wrapText="1"/>
    </xf>
    <xf numFmtId="3" fontId="63" fillId="16" borderId="34" xfId="0" applyNumberFormat="1" applyFont="1" applyFill="1" applyBorder="1" applyAlignment="1">
      <alignment horizontal="left" vertical="center" wrapText="1"/>
    </xf>
    <xf numFmtId="166" fontId="26" fillId="2" borderId="60" xfId="0" applyNumberFormat="1" applyFont="1" applyFill="1" applyBorder="1" applyAlignment="1" applyProtection="1">
      <alignment horizontal="center" vertical="center"/>
      <protection locked="0"/>
    </xf>
    <xf numFmtId="166" fontId="26" fillId="2" borderId="63" xfId="0" applyNumberFormat="1" applyFont="1" applyFill="1" applyBorder="1" applyAlignment="1" applyProtection="1">
      <alignment horizontal="center" vertical="center"/>
      <protection locked="0"/>
    </xf>
    <xf numFmtId="3" fontId="26" fillId="2" borderId="59" xfId="0" applyNumberFormat="1" applyFont="1" applyFill="1" applyBorder="1" applyAlignment="1" applyProtection="1">
      <alignment horizontal="center" vertical="center"/>
      <protection locked="0"/>
    </xf>
    <xf numFmtId="3" fontId="26" fillId="2" borderId="61" xfId="0" applyNumberFormat="1" applyFont="1" applyFill="1" applyBorder="1" applyAlignment="1" applyProtection="1">
      <alignment horizontal="center" vertical="center"/>
      <protection locked="0"/>
    </xf>
    <xf numFmtId="0" fontId="204" fillId="52" borderId="117" xfId="0" applyFont="1" applyFill="1" applyBorder="1" applyAlignment="1">
      <alignment horizontal="right" vertical="center" wrapText="1"/>
    </xf>
    <xf numFmtId="0" fontId="204" fillId="52" borderId="118" xfId="0" applyFont="1" applyFill="1" applyBorder="1" applyAlignment="1">
      <alignment horizontal="right" vertical="center" wrapText="1"/>
    </xf>
    <xf numFmtId="0" fontId="161" fillId="29" borderId="205" xfId="0" applyFont="1" applyFill="1" applyBorder="1" applyAlignment="1">
      <alignment horizontal="left" vertical="center"/>
    </xf>
    <xf numFmtId="0" fontId="161" fillId="29" borderId="206" xfId="0" applyFont="1" applyFill="1" applyBorder="1" applyAlignment="1">
      <alignment horizontal="left" vertical="center"/>
    </xf>
    <xf numFmtId="0" fontId="161" fillId="29" borderId="191" xfId="0" applyFont="1" applyFill="1" applyBorder="1" applyAlignment="1">
      <alignment horizontal="left" vertical="center"/>
    </xf>
    <xf numFmtId="0" fontId="193" fillId="28" borderId="23" xfId="0" applyFont="1" applyFill="1" applyBorder="1" applyAlignment="1">
      <alignment horizontal="left" vertical="center" wrapText="1"/>
    </xf>
    <xf numFmtId="0" fontId="202" fillId="52" borderId="148" xfId="0" applyFont="1" applyFill="1" applyBorder="1" applyAlignment="1">
      <alignment horizontal="right" vertical="center"/>
    </xf>
    <xf numFmtId="0" fontId="202" fillId="52" borderId="36" xfId="0" applyFont="1" applyFill="1" applyBorder="1" applyAlignment="1">
      <alignment horizontal="right" vertical="center"/>
    </xf>
    <xf numFmtId="0" fontId="202" fillId="61" borderId="207" xfId="0" applyFont="1" applyFill="1" applyBorder="1" applyAlignment="1">
      <alignment horizontal="right" vertical="center" wrapText="1"/>
    </xf>
    <xf numFmtId="0" fontId="202" fillId="61" borderId="208" xfId="0" applyFont="1" applyFill="1" applyBorder="1" applyAlignment="1">
      <alignment horizontal="right" vertical="center" wrapText="1"/>
    </xf>
    <xf numFmtId="0" fontId="202" fillId="52" borderId="150" xfId="0" applyFont="1" applyFill="1" applyBorder="1" applyAlignment="1">
      <alignment horizontal="right" vertical="center" wrapText="1"/>
    </xf>
    <xf numFmtId="0" fontId="202" fillId="52" borderId="149" xfId="0" applyFont="1" applyFill="1" applyBorder="1" applyAlignment="1">
      <alignment horizontal="right" vertical="center" wrapText="1"/>
    </xf>
    <xf numFmtId="0" fontId="202" fillId="52" borderId="31" xfId="0" applyFont="1" applyFill="1" applyBorder="1" applyAlignment="1">
      <alignment horizontal="right" vertical="center"/>
    </xf>
    <xf numFmtId="0" fontId="202" fillId="52" borderId="29" xfId="0" applyFont="1" applyFill="1" applyBorder="1" applyAlignment="1">
      <alignment horizontal="right" vertical="center"/>
    </xf>
    <xf numFmtId="0" fontId="202" fillId="52" borderId="37" xfId="0" applyFont="1" applyFill="1" applyBorder="1" applyAlignment="1">
      <alignment horizontal="right" vertical="center"/>
    </xf>
    <xf numFmtId="0" fontId="202" fillId="52" borderId="120" xfId="0" applyFont="1" applyFill="1" applyBorder="1" applyAlignment="1">
      <alignment horizontal="right" vertical="center"/>
    </xf>
    <xf numFmtId="0" fontId="161" fillId="29" borderId="192" xfId="0" applyFont="1" applyFill="1" applyBorder="1" applyAlignment="1">
      <alignment horizontal="center" vertical="center" wrapText="1"/>
    </xf>
    <xf numFmtId="0" fontId="161" fillId="29" borderId="193" xfId="0" applyFont="1" applyFill="1" applyBorder="1" applyAlignment="1">
      <alignment horizontal="center" vertical="center" wrapText="1"/>
    </xf>
    <xf numFmtId="0" fontId="161" fillId="29" borderId="194" xfId="0" applyFont="1" applyFill="1" applyBorder="1" applyAlignment="1">
      <alignment horizontal="center" vertical="center" wrapText="1"/>
    </xf>
    <xf numFmtId="0" fontId="202" fillId="52" borderId="134" xfId="0" applyFont="1" applyFill="1" applyBorder="1" applyAlignment="1">
      <alignment horizontal="right" vertical="center" wrapText="1"/>
    </xf>
    <xf numFmtId="0" fontId="172" fillId="16" borderId="202" xfId="0" applyFont="1" applyFill="1" applyBorder="1" applyAlignment="1">
      <alignment horizontal="center" vertical="center" wrapText="1"/>
    </xf>
    <xf numFmtId="0" fontId="172" fillId="16" borderId="131" xfId="0" applyFont="1" applyFill="1" applyBorder="1" applyAlignment="1">
      <alignment horizontal="center" vertical="center" wrapText="1"/>
    </xf>
    <xf numFmtId="0" fontId="172" fillId="57" borderId="203" xfId="0" applyFont="1" applyFill="1" applyBorder="1" applyAlignment="1">
      <alignment horizontal="center" vertical="center" wrapText="1"/>
    </xf>
    <xf numFmtId="0" fontId="172" fillId="57" borderId="204" xfId="0" applyFont="1" applyFill="1" applyBorder="1" applyAlignment="1">
      <alignment horizontal="center" vertical="center" wrapText="1"/>
    </xf>
    <xf numFmtId="0" fontId="9" fillId="0" borderId="23" xfId="0" applyFont="1" applyBorder="1" applyAlignment="1">
      <alignment horizontal="center" vertical="center" wrapText="1"/>
    </xf>
    <xf numFmtId="166" fontId="203" fillId="56" borderId="184" xfId="1" applyNumberFormat="1" applyFont="1" applyFill="1" applyBorder="1" applyAlignment="1">
      <alignment horizontal="center" vertical="center"/>
    </xf>
    <xf numFmtId="166" fontId="203" fillId="56" borderId="178" xfId="1" applyNumberFormat="1" applyFont="1" applyFill="1" applyBorder="1" applyAlignment="1">
      <alignment horizontal="center" vertical="center"/>
    </xf>
    <xf numFmtId="166" fontId="203" fillId="56" borderId="179" xfId="1" applyNumberFormat="1" applyFont="1" applyFill="1" applyBorder="1" applyAlignment="1">
      <alignment horizontal="center" vertical="center"/>
    </xf>
    <xf numFmtId="0" fontId="248" fillId="56" borderId="185" xfId="0" applyFont="1" applyFill="1" applyBorder="1" applyAlignment="1">
      <alignment horizontal="left" vertical="center" wrapText="1"/>
    </xf>
    <xf numFmtId="0" fontId="248" fillId="56" borderId="119" xfId="0" applyFont="1" applyFill="1" applyBorder="1" applyAlignment="1">
      <alignment horizontal="left" vertical="center" wrapText="1"/>
    </xf>
    <xf numFmtId="0" fontId="248" fillId="56" borderId="121" xfId="0" applyFont="1" applyFill="1" applyBorder="1" applyAlignment="1">
      <alignment horizontal="left" vertical="center" wrapText="1"/>
    </xf>
    <xf numFmtId="0" fontId="248" fillId="56" borderId="123" xfId="0" applyFont="1" applyFill="1" applyBorder="1" applyAlignment="1">
      <alignment horizontal="left" vertical="center" wrapText="1"/>
    </xf>
    <xf numFmtId="0" fontId="203" fillId="11" borderId="185" xfId="0" applyFont="1" applyFill="1" applyBorder="1" applyAlignment="1" applyProtection="1">
      <alignment horizontal="left" vertical="center" wrapText="1"/>
      <protection locked="0"/>
    </xf>
    <xf numFmtId="0" fontId="203" fillId="11" borderId="117" xfId="0" applyFont="1" applyFill="1" applyBorder="1" applyAlignment="1" applyProtection="1">
      <alignment horizontal="left" vertical="center" wrapText="1"/>
      <protection locked="0"/>
    </xf>
    <xf numFmtId="0" fontId="203" fillId="11" borderId="119" xfId="0" applyFont="1" applyFill="1" applyBorder="1" applyAlignment="1" applyProtection="1">
      <alignment horizontal="left" vertical="center" wrapText="1"/>
      <protection locked="0"/>
    </xf>
    <xf numFmtId="0" fontId="203" fillId="11" borderId="121" xfId="0" applyFont="1" applyFill="1" applyBorder="1" applyAlignment="1" applyProtection="1">
      <alignment horizontal="left" vertical="center" wrapText="1"/>
      <protection locked="0"/>
    </xf>
    <xf numFmtId="0" fontId="203" fillId="11" borderId="122" xfId="0" applyFont="1" applyFill="1" applyBorder="1" applyAlignment="1" applyProtection="1">
      <alignment horizontal="left" vertical="center" wrapText="1"/>
      <protection locked="0"/>
    </xf>
    <xf numFmtId="0" fontId="203" fillId="11" borderId="123" xfId="0" applyFont="1" applyFill="1" applyBorder="1" applyAlignment="1" applyProtection="1">
      <alignment horizontal="left" vertical="center" wrapText="1"/>
      <protection locked="0"/>
    </xf>
    <xf numFmtId="0" fontId="244" fillId="0" borderId="186" xfId="4" applyFont="1" applyBorder="1" applyAlignment="1">
      <alignment horizontal="right" vertical="center"/>
    </xf>
    <xf numFmtId="0" fontId="244" fillId="0" borderId="142" xfId="4" applyFont="1" applyBorder="1" applyAlignment="1">
      <alignment horizontal="right" vertical="center"/>
    </xf>
    <xf numFmtId="0" fontId="244" fillId="0" borderId="187" xfId="4" applyFont="1" applyBorder="1" applyAlignment="1">
      <alignment horizontal="right" vertical="center"/>
    </xf>
    <xf numFmtId="0" fontId="244" fillId="0" borderId="141" xfId="4" applyFont="1" applyBorder="1" applyAlignment="1">
      <alignment horizontal="right" vertical="center"/>
    </xf>
    <xf numFmtId="0" fontId="250" fillId="56" borderId="184" xfId="0" applyFont="1" applyFill="1" applyBorder="1" applyAlignment="1">
      <alignment horizontal="left" vertical="center"/>
    </xf>
    <xf numFmtId="0" fontId="250" fillId="56" borderId="178" xfId="0" applyFont="1" applyFill="1" applyBorder="1" applyAlignment="1">
      <alignment horizontal="left" vertical="center"/>
    </xf>
    <xf numFmtId="0" fontId="250" fillId="56" borderId="179" xfId="0" applyFont="1" applyFill="1" applyBorder="1" applyAlignment="1">
      <alignment horizontal="left" vertical="center"/>
    </xf>
    <xf numFmtId="0" fontId="172" fillId="56" borderId="184" xfId="0" applyFont="1" applyFill="1" applyBorder="1" applyAlignment="1">
      <alignment horizontal="left" vertical="center"/>
    </xf>
    <xf numFmtId="0" fontId="172" fillId="56" borderId="178" xfId="0" applyFont="1" applyFill="1" applyBorder="1" applyAlignment="1">
      <alignment horizontal="left" vertical="center"/>
    </xf>
    <xf numFmtId="0" fontId="172" fillId="56" borderId="179" xfId="0" applyFont="1" applyFill="1" applyBorder="1" applyAlignment="1">
      <alignment horizontal="left" vertical="center"/>
    </xf>
    <xf numFmtId="0" fontId="178" fillId="31" borderId="56" xfId="0" applyFont="1" applyFill="1" applyBorder="1" applyAlignment="1">
      <alignment horizontal="center" vertical="center" wrapText="1"/>
    </xf>
    <xf numFmtId="0" fontId="179" fillId="16" borderId="57" xfId="0" applyFont="1" applyFill="1" applyBorder="1" applyAlignment="1">
      <alignment wrapText="1"/>
    </xf>
    <xf numFmtId="0" fontId="179" fillId="16" borderId="58" xfId="0" applyFont="1" applyFill="1" applyBorder="1" applyAlignment="1">
      <alignment wrapText="1"/>
    </xf>
    <xf numFmtId="0" fontId="172" fillId="32" borderId="94" xfId="0" applyFont="1" applyFill="1" applyBorder="1" applyAlignment="1">
      <alignment horizontal="center" vertical="center"/>
    </xf>
    <xf numFmtId="0" fontId="180" fillId="16" borderId="95" xfId="0" applyFont="1" applyFill="1" applyBorder="1"/>
    <xf numFmtId="0" fontId="180" fillId="16" borderId="96" xfId="0" applyFont="1" applyFill="1" applyBorder="1"/>
    <xf numFmtId="0" fontId="147" fillId="48" borderId="28" xfId="0" applyFont="1" applyFill="1" applyBorder="1" applyAlignment="1">
      <alignment horizontal="left" vertical="center"/>
    </xf>
    <xf numFmtId="0" fontId="147" fillId="48" borderId="29" xfId="0" applyFont="1" applyFill="1" applyBorder="1"/>
    <xf numFmtId="0" fontId="169" fillId="37" borderId="23" xfId="0" applyFont="1" applyFill="1" applyBorder="1" applyAlignment="1">
      <alignment horizontal="left" vertical="center" wrapText="1"/>
    </xf>
    <xf numFmtId="0" fontId="178" fillId="31" borderId="56" xfId="0" applyFont="1" applyFill="1" applyBorder="1" applyAlignment="1">
      <alignment horizontal="center" vertical="center"/>
    </xf>
    <xf numFmtId="0" fontId="179" fillId="16" borderId="57" xfId="0" applyFont="1" applyFill="1" applyBorder="1"/>
    <xf numFmtId="0" fontId="179" fillId="16" borderId="58" xfId="0" applyFont="1" applyFill="1" applyBorder="1"/>
    <xf numFmtId="0" fontId="162" fillId="32" borderId="99" xfId="0" applyFont="1" applyFill="1" applyBorder="1" applyAlignment="1">
      <alignment horizontal="center" vertical="center"/>
    </xf>
    <xf numFmtId="0" fontId="163" fillId="16" borderId="100" xfId="0" applyFont="1" applyFill="1" applyBorder="1"/>
    <xf numFmtId="0" fontId="163" fillId="16" borderId="101" xfId="0" applyFont="1" applyFill="1" applyBorder="1"/>
    <xf numFmtId="0" fontId="170" fillId="37" borderId="23" xfId="0" applyFont="1" applyFill="1" applyBorder="1" applyAlignment="1">
      <alignment horizontal="left" vertical="center" wrapText="1"/>
    </xf>
    <xf numFmtId="0" fontId="282" fillId="0" borderId="23" xfId="7" applyFont="1" applyBorder="1" applyAlignment="1">
      <alignment horizontal="center" vertical="top"/>
    </xf>
    <xf numFmtId="0" fontId="271" fillId="14" borderId="23" xfId="6" applyFont="1" applyFill="1" applyAlignment="1">
      <alignment horizontal="right"/>
    </xf>
    <xf numFmtId="0" fontId="59" fillId="16" borderId="23" xfId="6" applyFont="1" applyFill="1" applyAlignment="1">
      <alignment horizontal="right" vertical="center"/>
    </xf>
    <xf numFmtId="0" fontId="59" fillId="16" borderId="23" xfId="6" applyFont="1" applyFill="1" applyAlignment="1">
      <alignment horizontal="center"/>
    </xf>
    <xf numFmtId="0" fontId="59" fillId="16" borderId="23" xfId="6" applyFont="1" applyFill="1" applyAlignment="1">
      <alignment horizontal="right" wrapText="1"/>
    </xf>
    <xf numFmtId="0" fontId="281" fillId="0" borderId="23" xfId="6" applyFont="1" applyAlignment="1">
      <alignment horizontal="center"/>
    </xf>
    <xf numFmtId="0" fontId="315" fillId="14" borderId="23" xfId="6" applyFont="1" applyFill="1" applyAlignment="1" applyProtection="1">
      <alignment horizontal="center" vertical="center"/>
      <protection locked="0"/>
    </xf>
    <xf numFmtId="0" fontId="63" fillId="16" borderId="244" xfId="6" applyFont="1" applyFill="1" applyBorder="1" applyAlignment="1" applyProtection="1">
      <alignment horizontal="center" vertical="center"/>
      <protection locked="0"/>
    </xf>
    <xf numFmtId="0" fontId="63" fillId="16" borderId="245" xfId="6" applyFont="1" applyFill="1" applyBorder="1" applyAlignment="1" applyProtection="1">
      <alignment horizontal="center" vertical="center"/>
      <protection locked="0"/>
    </xf>
    <xf numFmtId="0" fontId="63" fillId="16" borderId="246" xfId="6" applyFont="1" applyFill="1" applyBorder="1" applyAlignment="1" applyProtection="1">
      <alignment horizontal="center" vertical="center"/>
      <protection locked="0"/>
    </xf>
    <xf numFmtId="0" fontId="49" fillId="0" borderId="51" xfId="6" applyFont="1" applyBorder="1" applyAlignment="1">
      <alignment horizontal="left" vertical="center"/>
    </xf>
    <xf numFmtId="0" fontId="49" fillId="0" borderId="231" xfId="6" applyFont="1" applyBorder="1" applyAlignment="1">
      <alignment horizontal="left" vertical="center"/>
    </xf>
    <xf numFmtId="0" fontId="49" fillId="0" borderId="52" xfId="6" applyFont="1" applyBorder="1" applyAlignment="1">
      <alignment horizontal="left" vertical="center"/>
    </xf>
    <xf numFmtId="0" fontId="327" fillId="64" borderId="55" xfId="6" applyFont="1" applyFill="1" applyBorder="1" applyAlignment="1">
      <alignment horizontal="center" vertical="center" wrapText="1"/>
    </xf>
    <xf numFmtId="0" fontId="327" fillId="64" borderId="232" xfId="6" applyFont="1" applyFill="1" applyBorder="1" applyAlignment="1">
      <alignment horizontal="center" vertical="center" wrapText="1"/>
    </xf>
    <xf numFmtId="0" fontId="59" fillId="64" borderId="243" xfId="6" applyFont="1" applyFill="1" applyBorder="1" applyAlignment="1">
      <alignment horizontal="center" vertical="center" wrapText="1"/>
    </xf>
    <xf numFmtId="0" fontId="59" fillId="64" borderId="232" xfId="6" applyFont="1" applyFill="1" applyBorder="1" applyAlignment="1">
      <alignment horizontal="center" vertical="center" wrapText="1"/>
    </xf>
    <xf numFmtId="0" fontId="59" fillId="64" borderId="55" xfId="6" applyFont="1" applyFill="1" applyBorder="1" applyAlignment="1">
      <alignment horizontal="center" vertical="center" wrapText="1"/>
    </xf>
    <xf numFmtId="0" fontId="336" fillId="69" borderId="23" xfId="6" applyFont="1" applyFill="1" applyAlignment="1">
      <alignment horizontal="center"/>
    </xf>
    <xf numFmtId="0" fontId="337" fillId="69" borderId="23" xfId="6" applyFont="1" applyFill="1"/>
    <xf numFmtId="3" fontId="336" fillId="69" borderId="23" xfId="6" applyNumberFormat="1" applyFont="1" applyFill="1" applyAlignment="1">
      <alignment horizontal="center"/>
    </xf>
    <xf numFmtId="3" fontId="337" fillId="69" borderId="23" xfId="6" applyNumberFormat="1" applyFont="1" applyFill="1"/>
    <xf numFmtId="0" fontId="159" fillId="69" borderId="23" xfId="6" applyFont="1" applyFill="1" applyAlignment="1">
      <alignment horizontal="center"/>
    </xf>
    <xf numFmtId="0" fontId="157" fillId="69" borderId="23" xfId="6" applyFont="1" applyFill="1"/>
    <xf numFmtId="3" fontId="159" fillId="69" borderId="23" xfId="6" applyNumberFormat="1" applyFont="1" applyFill="1" applyAlignment="1">
      <alignment horizontal="center" vertical="center"/>
    </xf>
    <xf numFmtId="3" fontId="157" fillId="69" borderId="23" xfId="6" applyNumberFormat="1" applyFont="1" applyFill="1" applyAlignment="1">
      <alignment vertical="center"/>
    </xf>
    <xf numFmtId="3" fontId="159" fillId="69" borderId="23" xfId="6" applyNumberFormat="1" applyFont="1" applyFill="1" applyAlignment="1">
      <alignment horizontal="center"/>
    </xf>
    <xf numFmtId="3" fontId="157" fillId="69" borderId="23" xfId="6" applyNumberFormat="1" applyFont="1" applyFill="1"/>
    <xf numFmtId="0" fontId="50" fillId="16" borderId="51" xfId="6" applyFont="1" applyFill="1" applyBorder="1" applyAlignment="1">
      <alignment horizontal="center" vertical="center"/>
    </xf>
    <xf numFmtId="0" fontId="50" fillId="16" borderId="231" xfId="6" applyFont="1" applyFill="1" applyBorder="1" applyAlignment="1">
      <alignment horizontal="center" vertical="center"/>
    </xf>
    <xf numFmtId="0" fontId="50" fillId="16" borderId="52" xfId="6" applyFont="1" applyFill="1" applyBorder="1" applyAlignment="1">
      <alignment horizontal="center" vertical="center"/>
    </xf>
    <xf numFmtId="0" fontId="50" fillId="16" borderId="51" xfId="6" applyFont="1" applyFill="1" applyBorder="1" applyAlignment="1" applyProtection="1">
      <alignment horizontal="center" vertical="center"/>
      <protection locked="0"/>
    </xf>
    <xf numFmtId="0" fontId="50" fillId="16" borderId="52" xfId="6" applyFont="1" applyFill="1" applyBorder="1" applyAlignment="1" applyProtection="1">
      <alignment horizontal="center" vertical="center"/>
      <protection locked="0"/>
    </xf>
    <xf numFmtId="0" fontId="50" fillId="16" borderId="51" xfId="6" applyFont="1" applyFill="1" applyBorder="1" applyAlignment="1">
      <alignment horizontal="left" vertical="center"/>
    </xf>
    <xf numFmtId="0" fontId="50" fillId="16" borderId="231" xfId="6" applyFont="1" applyFill="1" applyBorder="1" applyAlignment="1">
      <alignment horizontal="left" vertical="center"/>
    </xf>
    <xf numFmtId="0" fontId="50" fillId="16" borderId="52" xfId="6" applyFont="1" applyFill="1" applyBorder="1" applyAlignment="1">
      <alignment horizontal="left" vertical="center"/>
    </xf>
    <xf numFmtId="0" fontId="59" fillId="14" borderId="51" xfId="6" applyFont="1" applyFill="1" applyBorder="1" applyAlignment="1">
      <alignment horizontal="center" vertical="center"/>
    </xf>
    <xf numFmtId="0" fontId="59" fillId="14" borderId="231" xfId="6" applyFont="1" applyFill="1" applyBorder="1" applyAlignment="1">
      <alignment horizontal="center" vertical="center"/>
    </xf>
    <xf numFmtId="0" fontId="59" fillId="14" borderId="52" xfId="6" applyFont="1" applyFill="1" applyBorder="1" applyAlignment="1">
      <alignment horizontal="center" vertical="center"/>
    </xf>
  </cellXfs>
  <cellStyles count="12">
    <cellStyle name="Hiperlink 2" xfId="7" xr:uid="{A4D4F666-7F0B-4871-8D20-B6384D4F0B30}"/>
    <cellStyle name="Normal" xfId="0" builtinId="0"/>
    <cellStyle name="Normal 2" xfId="2" xr:uid="{00000000-0005-0000-0000-000001000000}"/>
    <cellStyle name="Normal 3" xfId="4" xr:uid="{00000000-0005-0000-0000-000002000000}"/>
    <cellStyle name="Normal 4" xfId="6" xr:uid="{FF176B61-E8CD-437E-BDA8-95E6EA822FB0}"/>
    <cellStyle name="Porcentagem" xfId="1" builtinId="5"/>
    <cellStyle name="Porcentagem 2" xfId="3" xr:uid="{00000000-0005-0000-0000-000004000000}"/>
    <cellStyle name="Porcentagem 2 2" xfId="8" xr:uid="{999376FC-4AD7-4090-BDFC-867CCE05FF04}"/>
    <cellStyle name="Porcentagem 2 3" xfId="11" xr:uid="{DE5D0C3A-B9FD-4EC6-96C5-7D081B21E7C5}"/>
    <cellStyle name="Porcentagem 3" xfId="5" xr:uid="{00000000-0005-0000-0000-000005000000}"/>
    <cellStyle name="Porcentagem 4" xfId="9" xr:uid="{BA03680F-A0C0-4186-95A6-D432AF5AF948}"/>
    <cellStyle name="Vírgula 2" xfId="10" xr:uid="{FB1BC82B-0712-4D1F-B565-6C7D76DEE615}"/>
  </cellStyles>
  <dxfs count="632">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none">
          <fgColor indexed="64"/>
          <bgColor auto="1"/>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color theme="1"/>
      </font>
      <fill>
        <patternFill patternType="solid">
          <fgColor rgb="FF95D6D3"/>
          <bgColor rgb="FF95D6D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95D6D3"/>
          <bgColor rgb="FF95D6D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95D6D3"/>
          <bgColor rgb="FF95D6D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95D6D3"/>
          <bgColor rgb="FF95D6D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95D6D3"/>
          <bgColor rgb="FF95D6D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95D6D3"/>
          <bgColor rgb="FF95D6D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theme="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u val="none"/>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patternType="solid">
          <fgColor rgb="FFC6E0B3"/>
          <bgColor theme="9" tint="-0.499984740745262"/>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color theme="1"/>
      </font>
      <fill>
        <patternFill>
          <fgColor theme="0"/>
          <bgColor theme="9" tint="0.59996337778862885"/>
        </patternFill>
      </fill>
    </dxf>
    <dxf>
      <font>
        <color theme="0"/>
      </font>
      <fill>
        <patternFill>
          <bgColor theme="0"/>
        </patternFill>
      </fill>
    </dxf>
    <dxf>
      <font>
        <color theme="0"/>
      </font>
      <fill>
        <patternFill>
          <fgColor theme="0"/>
          <bgColor theme="0"/>
        </patternFill>
      </fill>
    </dxf>
    <dxf>
      <font>
        <b/>
        <color rgb="FFFFFFFF"/>
      </font>
      <fill>
        <patternFill patternType="solid">
          <fgColor rgb="FFFFFFFF"/>
          <bgColor rgb="FFFFFFFF"/>
        </patternFill>
      </fill>
      <border>
        <left style="thin">
          <color rgb="FF000000"/>
        </left>
        <right style="thin">
          <color rgb="FF000000"/>
        </right>
        <top style="thin">
          <color rgb="FF000000"/>
        </top>
        <bottom style="thin">
          <color rgb="FF000000"/>
        </bottom>
      </border>
    </dxf>
    <dxf>
      <font>
        <b/>
      </font>
      <fill>
        <patternFill patternType="solid">
          <fgColor rgb="FFC5E0B3"/>
          <bgColor rgb="FFC5E0B3"/>
        </patternFill>
      </fill>
      <border>
        <left style="thin">
          <color rgb="FF000000"/>
        </left>
        <right style="thin">
          <color rgb="FF000000"/>
        </right>
        <top style="thin">
          <color rgb="FF000000"/>
        </top>
        <bottom style="thin">
          <color rgb="FF000000"/>
        </bottom>
      </border>
    </dxf>
    <dxf>
      <font>
        <b/>
        <color rgb="FFFFFFFF"/>
      </font>
      <fill>
        <patternFill patternType="solid">
          <fgColor rgb="FFFFFFFF"/>
          <bgColor rgb="FFFFFFFF"/>
        </patternFill>
      </fill>
      <border>
        <left style="thin">
          <color rgb="FF000000"/>
        </left>
        <right style="thin">
          <color rgb="FF000000"/>
        </right>
        <top style="thin">
          <color rgb="FF000000"/>
        </top>
        <bottom style="thin">
          <color rgb="FF000000"/>
        </bottom>
      </border>
    </dxf>
    <dxf>
      <font>
        <b/>
      </font>
      <fill>
        <patternFill patternType="solid">
          <fgColor rgb="FFC5E0B3"/>
          <bgColor rgb="FFC5E0B3"/>
        </patternFill>
      </fill>
      <border>
        <left style="thin">
          <color rgb="FF000000"/>
        </left>
        <right style="thin">
          <color rgb="FF000000"/>
        </right>
        <top style="thin">
          <color rgb="FF000000"/>
        </top>
        <bottom style="thin">
          <color rgb="FF000000"/>
        </bottom>
      </border>
    </dxf>
    <dxf>
      <font>
        <b/>
        <color rgb="FFFFFFFF"/>
      </font>
      <fill>
        <patternFill patternType="solid">
          <fgColor rgb="FFFFFFFF"/>
          <bgColor rgb="FFFFFFFF"/>
        </patternFill>
      </fill>
      <border>
        <left style="thin">
          <color rgb="FF000000"/>
        </left>
        <right style="thin">
          <color rgb="FF000000"/>
        </right>
        <top style="thin">
          <color rgb="FF000000"/>
        </top>
        <bottom style="thin">
          <color rgb="FF000000"/>
        </bottom>
      </border>
    </dxf>
    <dxf>
      <font>
        <b/>
      </font>
      <fill>
        <patternFill patternType="solid">
          <fgColor rgb="FFFFFFFF"/>
          <bgColor rgb="FFFFFFFF"/>
        </patternFill>
      </fill>
      <border>
        <left style="thin">
          <color rgb="FF000000"/>
        </left>
        <right style="thin">
          <color rgb="FF000000"/>
        </right>
        <top style="thin">
          <color rgb="FF000000"/>
        </top>
        <bottom style="thin">
          <color rgb="FF000000"/>
        </bottom>
      </border>
    </dxf>
    <dxf>
      <font>
        <b/>
        <color rgb="FFFFFFFF"/>
      </font>
      <fill>
        <patternFill patternType="solid">
          <fgColor rgb="FFFFFFFF"/>
          <bgColor rgb="FFFFFFFF"/>
        </patternFill>
      </fill>
      <border>
        <left style="thin">
          <color rgb="FF000000"/>
        </left>
        <right style="thin">
          <color rgb="FF000000"/>
        </right>
        <top style="thin">
          <color rgb="FF000000"/>
        </top>
        <bottom style="thin">
          <color rgb="FF000000"/>
        </bottom>
      </border>
    </dxf>
    <dxf>
      <font>
        <b/>
      </font>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C5E0B3"/>
          <bgColor rgb="FFC5E0B3"/>
        </patternFill>
      </fill>
    </dxf>
    <dxf>
      <fill>
        <patternFill patternType="solid">
          <fgColor rgb="FFF9C300"/>
          <bgColor rgb="FFF9C300"/>
        </patternFill>
      </fill>
    </dxf>
    <dxf>
      <fill>
        <patternFill patternType="solid">
          <fgColor rgb="FFF9C300"/>
          <bgColor rgb="FFF9C300"/>
        </patternFill>
      </fill>
    </dxf>
    <dxf>
      <fill>
        <patternFill patternType="solid">
          <fgColor rgb="FFC5E0B3"/>
          <bgColor rgb="FFC5E0B3"/>
        </patternFill>
      </fill>
    </dxf>
    <dxf>
      <fill>
        <patternFill>
          <bgColor rgb="FFFF0000"/>
        </patternFill>
      </fill>
    </dxf>
    <dxf>
      <fill>
        <patternFill>
          <bgColor theme="9" tint="0.59996337778862885"/>
        </patternFill>
      </fill>
    </dxf>
    <dxf>
      <fill>
        <patternFill>
          <bgColor theme="0"/>
        </patternFill>
      </fill>
    </dxf>
    <dxf>
      <fill>
        <patternFill patternType="solid">
          <fgColor rgb="FFC5E0B3"/>
          <bgColor rgb="FFC5E0B3"/>
        </patternFill>
      </fill>
    </dxf>
    <dxf>
      <fill>
        <patternFill patternType="solid">
          <fgColor rgb="FFC5E0B3"/>
          <bgColor rgb="FFC5E0B3"/>
        </patternFill>
      </fill>
    </dxf>
    <dxf>
      <fill>
        <patternFill>
          <bgColor rgb="FFFF0000"/>
        </patternFill>
      </fill>
    </dxf>
    <dxf>
      <font>
        <color rgb="FFE32914"/>
      </font>
      <fill>
        <patternFill patternType="none"/>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bgColor rgb="FFFF0000"/>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C5E0B3"/>
          <bgColor rgb="FFC5E0B3"/>
        </patternFill>
      </fill>
      <border>
        <left style="thin">
          <color rgb="FF000000"/>
        </left>
        <right style="thin">
          <color rgb="FF000000"/>
        </right>
        <top style="thin">
          <color rgb="FF000000"/>
        </top>
        <bottom style="thin">
          <color rgb="FF000000"/>
        </bottom>
      </border>
    </dxf>
    <dxf>
      <font>
        <color rgb="FFFFFFFF"/>
      </font>
      <fill>
        <patternFill patternType="none"/>
      </fill>
    </dxf>
    <dxf>
      <font>
        <color theme="1" tint="0.14996795556505021"/>
      </font>
      <fill>
        <patternFill patternType="solid">
          <fgColor theme="0"/>
          <bgColor theme="0"/>
        </patternFill>
      </fill>
    </dxf>
    <dxf>
      <fill>
        <patternFill patternType="solid">
          <fgColor rgb="FFC5E0B3"/>
          <bgColor rgb="FFC5E0B3"/>
        </patternFill>
      </fill>
    </dxf>
    <dxf>
      <fill>
        <patternFill patternType="solid">
          <fgColor rgb="FFE32914"/>
          <bgColor rgb="FFE32914"/>
        </patternFill>
      </fill>
    </dxf>
    <dxf>
      <fill>
        <patternFill patternType="solid">
          <fgColor rgb="FFC5E0B3"/>
          <bgColor rgb="FFC5E0B3"/>
        </patternFill>
      </fill>
    </dxf>
    <dxf>
      <font>
        <color rgb="FFE32914"/>
      </font>
      <fill>
        <patternFill patternType="none"/>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C5E0B3"/>
          <bgColor rgb="FFC5E0B3"/>
        </patternFill>
      </fill>
    </dxf>
    <dxf>
      <fill>
        <patternFill>
          <bgColor rgb="FFFF0000"/>
        </patternFill>
      </fill>
    </dxf>
    <dxf>
      <font>
        <color rgb="FFE32914"/>
      </font>
      <fill>
        <patternFill patternType="none"/>
      </fill>
    </dxf>
    <dxf>
      <fill>
        <patternFill patternType="solid">
          <fgColor rgb="FFF9C300"/>
          <bgColor rgb="FFF9C300"/>
        </patternFill>
      </fill>
    </dxf>
    <dxf>
      <fill>
        <patternFill patternType="solid">
          <fgColor rgb="FFF9C300"/>
          <bgColor rgb="FFF9C300"/>
        </patternFill>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patternType="solid">
          <fgColor rgb="FFFF0000"/>
          <bgColor rgb="FFFF0000"/>
        </patternFill>
      </fill>
    </dxf>
    <dxf>
      <fill>
        <patternFill patternType="solid">
          <fgColor rgb="FFFF0000"/>
          <bgColor rgb="FFFF0000"/>
        </patternFill>
      </fill>
    </dxf>
    <dxf>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F0000"/>
          <bgColor rgb="FFFF0000"/>
        </patternFill>
      </fill>
    </dxf>
    <dxf>
      <fill>
        <patternFill patternType="solid">
          <fgColor rgb="FFC5E0B3"/>
          <bgColor rgb="FFC5E0B3"/>
        </patternFill>
      </fill>
    </dxf>
  </dxfs>
  <tableStyles count="0" defaultTableStyle="TableStyleMedium2" defaultPivotStyle="PivotStyleLight16"/>
  <colors>
    <mruColors>
      <color rgb="FFE32914"/>
      <color rgb="FF95D6D3"/>
      <color rgb="FF8BC7D5"/>
      <color rgb="FF005A6E"/>
      <color rgb="FFF9C300"/>
      <color rgb="FFF9B100"/>
      <color rgb="FFFFC305"/>
      <color rgb="FFFFC91D"/>
      <color rgb="FFFFCD2F"/>
      <color rgb="FFC6E0B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17/10/relationships/person" Target="persons/person.xml"/><Relationship Id="rId21" Type="http://schemas.openxmlformats.org/officeDocument/2006/relationships/worksheet" Target="worksheets/sheet21.xml"/><Relationship Id="rId34" Type="http://schemas.openxmlformats.org/officeDocument/2006/relationships/externalLink" Target="externalLinks/externalLink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tyles" Target="styles.xml"/><Relationship Id="rId40"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externalLink" Target="externalLinks/externalLink3.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externalLink" Target="externalLinks/externalLink1.xml"/><Relationship Id="rId38"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bg1"/>
                </a:solidFill>
                <a:effectLst>
                  <a:outerShdw blurRad="50800" dist="38100" dir="5400000" algn="t" rotWithShape="0">
                    <a:prstClr val="black">
                      <a:alpha val="40000"/>
                    </a:prstClr>
                  </a:outerShdw>
                </a:effectLst>
                <a:latin typeface="+mn-lt"/>
                <a:ea typeface="+mn-ea"/>
                <a:cs typeface="+mn-cs"/>
              </a:defRPr>
            </a:pPr>
            <a:r>
              <a:rPr lang="pt-BR" sz="2000" u="none">
                <a:solidFill>
                  <a:schemeClr val="bg1"/>
                </a:solidFill>
              </a:rPr>
              <a:t>KPI´s ROTA</a:t>
            </a:r>
            <a:r>
              <a:rPr lang="pt-BR" sz="2000" u="none" baseline="0">
                <a:solidFill>
                  <a:schemeClr val="bg1"/>
                </a:solidFill>
              </a:rPr>
              <a:t> TECNOLÓGICA: </a:t>
            </a:r>
            <a:r>
              <a:rPr lang="pt-BR" sz="1600" u="none" baseline="0">
                <a:solidFill>
                  <a:schemeClr val="bg1"/>
                </a:solidFill>
              </a:rPr>
              <a:t>Custos Investimento &amp; Operação</a:t>
            </a:r>
            <a:endParaRPr lang="pt-BR" sz="1600" u="none">
              <a:solidFill>
                <a:schemeClr val="bg1"/>
              </a:solidFill>
            </a:endParaRPr>
          </a:p>
        </c:rich>
      </c:tx>
      <c:overlay val="0"/>
      <c:spPr>
        <a:noFill/>
        <a:ln>
          <a:noFill/>
        </a:ln>
        <a:effectLst/>
      </c:spPr>
    </c:title>
    <c:autoTitleDeleted val="0"/>
    <c:plotArea>
      <c:layout>
        <c:manualLayout>
          <c:layoutTarget val="inner"/>
          <c:xMode val="edge"/>
          <c:yMode val="edge"/>
          <c:x val="0.19440905797101449"/>
          <c:y val="8.8098494128161536E-2"/>
          <c:w val="0.78058698875442878"/>
          <c:h val="0.78802734433804544"/>
        </c:manualLayout>
      </c:layout>
      <c:barChart>
        <c:barDir val="bar"/>
        <c:grouping val="clustered"/>
        <c:varyColors val="1"/>
        <c:ser>
          <c:idx val="0"/>
          <c:order val="0"/>
          <c:tx>
            <c:strRef>
              <c:f>'R&amp;C-Painel de Controle'!$R$7</c:f>
              <c:strCache>
                <c:ptCount val="1"/>
                <c:pt idx="0">
                  <c:v>Capex (R$/t "Total Anual RSU")</c:v>
                </c:pt>
              </c:strCache>
            </c:strRef>
          </c:tx>
          <c:spPr>
            <a:gradFill rotWithShape="1">
              <a:gsLst>
                <a:gs pos="0">
                  <a:srgbClr val="95D6D3"/>
                </a:gs>
                <a:gs pos="50000">
                  <a:srgbClr val="95D6D3"/>
                </a:gs>
                <a:gs pos="100000">
                  <a:srgbClr val="95D6D3"/>
                </a:gs>
              </a:gsLst>
              <a:lin ang="5400000" scaled="0"/>
            </a:gradFill>
            <a:ln>
              <a:noFill/>
            </a:ln>
            <a:effectLst>
              <a:outerShdw blurRad="57150" dist="19050" dir="5400000" algn="ctr" rotWithShape="0">
                <a:srgbClr val="000000">
                  <a:alpha val="63000"/>
                </a:srgbClr>
              </a:outerShdw>
            </a:effectLst>
          </c:spPr>
          <c:invertIfNegative val="1"/>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'R&amp;C-Painel de Controle'!$S$6:$AA$6</c:f>
              <c:strCache>
                <c:ptCount val="9"/>
                <c:pt idx="0">
                  <c:v>Custo Médio Total Coleta RSU</c:v>
                </c:pt>
                <c:pt idx="1">
                  <c:v>Triag. Man</c:v>
                </c:pt>
                <c:pt idx="2">
                  <c:v>Triag. Mec</c:v>
                </c:pt>
                <c:pt idx="3">
                  <c:v>Prod. CDR - Trat. Mec</c:v>
                </c:pt>
                <c:pt idx="4">
                  <c:v>Prod. CDR - Trat. Mec./Biol.</c:v>
                </c:pt>
                <c:pt idx="5">
                  <c:v>Biodigestão Anaeróbia</c:v>
                </c:pt>
                <c:pt idx="6">
                  <c:v>Compostagem</c:v>
                </c:pt>
                <c:pt idx="7">
                  <c:v>Incineração</c:v>
                </c:pt>
                <c:pt idx="8">
                  <c:v>Aterro Sanitário</c:v>
                </c:pt>
              </c:strCache>
            </c:strRef>
          </c:cat>
          <c:val>
            <c:numRef>
              <c:f>'R&amp;C-Painel de Controle'!$S$7:$AA$7</c:f>
              <c:numCache>
                <c:formatCode>0</c:formatCode>
                <c:ptCount val="9"/>
                <c:pt idx="0">
                  <c:v>0</c:v>
                </c:pt>
                <c:pt idx="1">
                  <c:v>0</c:v>
                </c:pt>
                <c:pt idx="2">
                  <c:v>1536.4595073386222</c:v>
                </c:pt>
                <c:pt idx="3">
                  <c:v>0</c:v>
                </c:pt>
                <c:pt idx="4">
                  <c:v>0</c:v>
                </c:pt>
                <c:pt idx="5">
                  <c:v>0</c:v>
                </c:pt>
                <c:pt idx="6">
                  <c:v>0</c:v>
                </c:pt>
                <c:pt idx="7">
                  <c:v>3872.6006532926212</c:v>
                </c:pt>
                <c:pt idx="8">
                  <c:v>439.0977546950752</c:v>
                </c:pt>
              </c:numCache>
            </c:numRef>
          </c:val>
          <c:extLst>
            <c:ext xmlns:c16="http://schemas.microsoft.com/office/drawing/2014/chart" uri="{C3380CC4-5D6E-409C-BE32-E72D297353CC}">
              <c16:uniqueId val="{00000000-45EB-44B2-80D2-228C6456E9F1}"/>
            </c:ext>
          </c:extLst>
        </c:ser>
        <c:ser>
          <c:idx val="1"/>
          <c:order val="1"/>
          <c:tx>
            <c:strRef>
              <c:f>'R&amp;C-Painel de Controle'!$R$8</c:f>
              <c:strCache>
                <c:ptCount val="1"/>
                <c:pt idx="0">
                  <c:v>Capex (R$/t "Entr. Anual Tecnol.")</c:v>
                </c:pt>
              </c:strCache>
            </c:strRef>
          </c:tx>
          <c:spPr>
            <a:gradFill rotWithShape="1">
              <a:gsLst>
                <a:gs pos="0">
                  <a:srgbClr val="00B0F0"/>
                </a:gs>
                <a:gs pos="50000">
                  <a:srgbClr val="00B0F0"/>
                </a:gs>
                <a:gs pos="100000">
                  <a:srgbClr val="00B0F0"/>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'R&amp;C-Painel de Controle'!$S$6:$AA$6</c:f>
              <c:strCache>
                <c:ptCount val="9"/>
                <c:pt idx="0">
                  <c:v>Custo Médio Total Coleta RSU</c:v>
                </c:pt>
                <c:pt idx="1">
                  <c:v>Triag. Man</c:v>
                </c:pt>
                <c:pt idx="2">
                  <c:v>Triag. Mec</c:v>
                </c:pt>
                <c:pt idx="3">
                  <c:v>Prod. CDR - Trat. Mec</c:v>
                </c:pt>
                <c:pt idx="4">
                  <c:v>Prod. CDR - Trat. Mec./Biol.</c:v>
                </c:pt>
                <c:pt idx="5">
                  <c:v>Biodigestão Anaeróbia</c:v>
                </c:pt>
                <c:pt idx="6">
                  <c:v>Compostagem</c:v>
                </c:pt>
                <c:pt idx="7">
                  <c:v>Incineração</c:v>
                </c:pt>
                <c:pt idx="8">
                  <c:v>Aterro Sanitário</c:v>
                </c:pt>
              </c:strCache>
            </c:strRef>
          </c:cat>
          <c:val>
            <c:numRef>
              <c:f>'R&amp;C-Painel de Controle'!$S$8:$AA$8</c:f>
              <c:numCache>
                <c:formatCode>#,##0_ ;[Red]\-#,##0\ </c:formatCode>
                <c:ptCount val="9"/>
                <c:pt idx="0" formatCode="0">
                  <c:v>0</c:v>
                </c:pt>
                <c:pt idx="1">
                  <c:v>0</c:v>
                </c:pt>
                <c:pt idx="2">
                  <c:v>12252.405528169973</c:v>
                </c:pt>
                <c:pt idx="3">
                  <c:v>0</c:v>
                </c:pt>
                <c:pt idx="4">
                  <c:v>0</c:v>
                </c:pt>
                <c:pt idx="5">
                  <c:v>0</c:v>
                </c:pt>
                <c:pt idx="6">
                  <c:v>0</c:v>
                </c:pt>
                <c:pt idx="7">
                  <c:v>3895.175151808899</c:v>
                </c:pt>
                <c:pt idx="8">
                  <c:v>432.84111224735267</c:v>
                </c:pt>
              </c:numCache>
            </c:numRef>
          </c:val>
          <c:extLst>
            <c:ext xmlns:c16="http://schemas.microsoft.com/office/drawing/2014/chart" uri="{C3380CC4-5D6E-409C-BE32-E72D297353CC}">
              <c16:uniqueId val="{00000001-45EB-44B2-80D2-228C6456E9F1}"/>
            </c:ext>
          </c:extLst>
        </c:ser>
        <c:ser>
          <c:idx val="2"/>
          <c:order val="2"/>
          <c:tx>
            <c:strRef>
              <c:f>'R&amp;C-Painel de Controle'!$R$9</c:f>
              <c:strCache>
                <c:ptCount val="1"/>
                <c:pt idx="0">
                  <c:v>Opex (R$/t "Total Anual RSU")</c:v>
                </c:pt>
              </c:strCache>
            </c:strRef>
          </c:tx>
          <c:spPr>
            <a:gradFill rotWithShape="1">
              <a:gsLst>
                <a:gs pos="0">
                  <a:srgbClr val="FFFF00"/>
                </a:gs>
                <a:gs pos="50000">
                  <a:srgbClr val="FFFF00"/>
                </a:gs>
                <a:gs pos="100000">
                  <a:srgbClr val="FFFF00"/>
                </a:gs>
              </a:gsLst>
              <a:lin ang="5400000" scaled="0"/>
            </a:gradFill>
            <a:ln>
              <a:noFill/>
            </a:ln>
            <a:effectLst>
              <a:outerShdw blurRad="57150" dist="19050" dir="5400000" algn="ctr" rotWithShape="0">
                <a:srgbClr val="000000">
                  <a:alpha val="63000"/>
                </a:srgbClr>
              </a:outerShdw>
            </a:effectLst>
          </c:spPr>
          <c:invertIfNegative val="1"/>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'R&amp;C-Painel de Controle'!$S$6:$AA$6</c:f>
              <c:strCache>
                <c:ptCount val="9"/>
                <c:pt idx="0">
                  <c:v>Custo Médio Total Coleta RSU</c:v>
                </c:pt>
                <c:pt idx="1">
                  <c:v>Triag. Man</c:v>
                </c:pt>
                <c:pt idx="2">
                  <c:v>Triag. Mec</c:v>
                </c:pt>
                <c:pt idx="3">
                  <c:v>Prod. CDR - Trat. Mec</c:v>
                </c:pt>
                <c:pt idx="4">
                  <c:v>Prod. CDR - Trat. Mec./Biol.</c:v>
                </c:pt>
                <c:pt idx="5">
                  <c:v>Biodigestão Anaeróbia</c:v>
                </c:pt>
                <c:pt idx="6">
                  <c:v>Compostagem</c:v>
                </c:pt>
                <c:pt idx="7">
                  <c:v>Incineração</c:v>
                </c:pt>
                <c:pt idx="8">
                  <c:v>Aterro Sanitário</c:v>
                </c:pt>
              </c:strCache>
            </c:strRef>
          </c:cat>
          <c:val>
            <c:numRef>
              <c:f>'R&amp;C-Painel de Controle'!$S$9:$AA$9</c:f>
              <c:numCache>
                <c:formatCode>0</c:formatCode>
                <c:ptCount val="9"/>
                <c:pt idx="0">
                  <c:v>514.64999999999884</c:v>
                </c:pt>
                <c:pt idx="1">
                  <c:v>0</c:v>
                </c:pt>
                <c:pt idx="2">
                  <c:v>320.17731483326418</c:v>
                </c:pt>
                <c:pt idx="3">
                  <c:v>0</c:v>
                </c:pt>
                <c:pt idx="4">
                  <c:v>0</c:v>
                </c:pt>
                <c:pt idx="5">
                  <c:v>0</c:v>
                </c:pt>
                <c:pt idx="6">
                  <c:v>0</c:v>
                </c:pt>
                <c:pt idx="7">
                  <c:v>749.99691570428172</c:v>
                </c:pt>
                <c:pt idx="8">
                  <c:v>169.0817456335254</c:v>
                </c:pt>
              </c:numCache>
            </c:numRef>
          </c:val>
          <c:extLst>
            <c:ext xmlns:c16="http://schemas.microsoft.com/office/drawing/2014/chart" uri="{C3380CC4-5D6E-409C-BE32-E72D297353CC}">
              <c16:uniqueId val="{00000002-45EB-44B2-80D2-228C6456E9F1}"/>
            </c:ext>
          </c:extLst>
        </c:ser>
        <c:ser>
          <c:idx val="3"/>
          <c:order val="3"/>
          <c:tx>
            <c:strRef>
              <c:f>'R&amp;C-Painel de Controle'!$R$10</c:f>
              <c:strCache>
                <c:ptCount val="1"/>
                <c:pt idx="0">
                  <c:v>Opex (R$/t "Entr. Anual Tecnol.")</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1"/>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'R&amp;C-Painel de Controle'!$S$6:$AA$6</c:f>
              <c:strCache>
                <c:ptCount val="9"/>
                <c:pt idx="0">
                  <c:v>Custo Médio Total Coleta RSU</c:v>
                </c:pt>
                <c:pt idx="1">
                  <c:v>Triag. Man</c:v>
                </c:pt>
                <c:pt idx="2">
                  <c:v>Triag. Mec</c:v>
                </c:pt>
                <c:pt idx="3">
                  <c:v>Prod. CDR - Trat. Mec</c:v>
                </c:pt>
                <c:pt idx="4">
                  <c:v>Prod. CDR - Trat. Mec./Biol.</c:v>
                </c:pt>
                <c:pt idx="5">
                  <c:v>Biodigestão Anaeróbia</c:v>
                </c:pt>
                <c:pt idx="6">
                  <c:v>Compostagem</c:v>
                </c:pt>
                <c:pt idx="7">
                  <c:v>Incineração</c:v>
                </c:pt>
                <c:pt idx="8">
                  <c:v>Aterro Sanitário</c:v>
                </c:pt>
              </c:strCache>
            </c:strRef>
          </c:cat>
          <c:val>
            <c:numRef>
              <c:f>'R&amp;C-Painel de Controle'!$S$10:$AA$10</c:f>
              <c:numCache>
                <c:formatCode>#,##0_ ;[Red]\-#,##0\ </c:formatCode>
                <c:ptCount val="9"/>
                <c:pt idx="0" formatCode="0">
                  <c:v>0</c:v>
                </c:pt>
                <c:pt idx="1">
                  <c:v>0</c:v>
                </c:pt>
                <c:pt idx="2">
                  <c:v>2553.2350729195769</c:v>
                </c:pt>
                <c:pt idx="3">
                  <c:v>0</c:v>
                </c:pt>
                <c:pt idx="4">
                  <c:v>0</c:v>
                </c:pt>
                <c:pt idx="5">
                  <c:v>0</c:v>
                </c:pt>
                <c:pt idx="6">
                  <c:v>0</c:v>
                </c:pt>
                <c:pt idx="7">
                  <c:v>754.3688625628829</c:v>
                </c:pt>
                <c:pt idx="8" formatCode="0">
                  <c:v>166.67252350575487</c:v>
                </c:pt>
              </c:numCache>
            </c:numRef>
          </c:val>
          <c:extLst>
            <c:ext xmlns:c16="http://schemas.microsoft.com/office/drawing/2014/chart" uri="{C3380CC4-5D6E-409C-BE32-E72D297353CC}">
              <c16:uniqueId val="{00000003-45EB-44B2-80D2-228C6456E9F1}"/>
            </c:ext>
          </c:extLst>
        </c:ser>
        <c:ser>
          <c:idx val="4"/>
          <c:order val="4"/>
          <c:tx>
            <c:strRef>
              <c:f>'R&amp;C-Painel de Controle'!$R$11</c:f>
              <c:strCache>
                <c:ptCount val="1"/>
                <c:pt idx="0">
                  <c:v>Receita Acessória (R$/t "Entr. Anual Tecnol")</c:v>
                </c:pt>
              </c:strCache>
            </c:strRef>
          </c:tx>
          <c:spPr>
            <a:gradFill rotWithShape="1">
              <a:gsLst>
                <a:gs pos="0">
                  <a:srgbClr val="E32914"/>
                </a:gs>
                <a:gs pos="50000">
                  <a:srgbClr val="FF0000"/>
                </a:gs>
                <a:gs pos="100000">
                  <a:srgbClr val="FF0000"/>
                </a:gs>
              </a:gsLst>
              <a:lin ang="5400000" scaled="0"/>
            </a:gradFill>
            <a:ln>
              <a:noFill/>
            </a:ln>
            <a:effectLst>
              <a:outerShdw blurRad="57150" dist="19050" dir="5400000" algn="ctr" rotWithShape="0">
                <a:srgbClr val="000000">
                  <a:alpha val="63000"/>
                </a:srgbClr>
              </a:outerShdw>
            </a:effectLst>
          </c:spPr>
          <c:invertIfNegative val="1"/>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'R&amp;C-Painel de Controle'!$S$6:$AA$6</c:f>
              <c:strCache>
                <c:ptCount val="9"/>
                <c:pt idx="0">
                  <c:v>Custo Médio Total Coleta RSU</c:v>
                </c:pt>
                <c:pt idx="1">
                  <c:v>Triag. Man</c:v>
                </c:pt>
                <c:pt idx="2">
                  <c:v>Triag. Mec</c:v>
                </c:pt>
                <c:pt idx="3">
                  <c:v>Prod. CDR - Trat. Mec</c:v>
                </c:pt>
                <c:pt idx="4">
                  <c:v>Prod. CDR - Trat. Mec./Biol.</c:v>
                </c:pt>
                <c:pt idx="5">
                  <c:v>Biodigestão Anaeróbia</c:v>
                </c:pt>
                <c:pt idx="6">
                  <c:v>Compostagem</c:v>
                </c:pt>
                <c:pt idx="7">
                  <c:v>Incineração</c:v>
                </c:pt>
                <c:pt idx="8">
                  <c:v>Aterro Sanitário</c:v>
                </c:pt>
              </c:strCache>
            </c:strRef>
          </c:cat>
          <c:val>
            <c:numRef>
              <c:f>'R&amp;C-Painel de Controle'!$S$11:$AA$11</c:f>
              <c:numCache>
                <c:formatCode>0</c:formatCode>
                <c:ptCount val="9"/>
                <c:pt idx="0">
                  <c:v>0</c:v>
                </c:pt>
                <c:pt idx="1">
                  <c:v>0</c:v>
                </c:pt>
                <c:pt idx="2" formatCode="#,##0">
                  <c:v>45.926300813318853</c:v>
                </c:pt>
                <c:pt idx="3" formatCode="#,##0">
                  <c:v>0</c:v>
                </c:pt>
                <c:pt idx="4" formatCode="#,##0">
                  <c:v>0</c:v>
                </c:pt>
                <c:pt idx="5" formatCode="#,##0">
                  <c:v>0</c:v>
                </c:pt>
                <c:pt idx="6" formatCode="#,##0">
                  <c:v>0</c:v>
                </c:pt>
                <c:pt idx="7" formatCode="#,##0">
                  <c:v>329.99059323514473</c:v>
                </c:pt>
                <c:pt idx="8" formatCode="#,##0">
                  <c:v>0</c:v>
                </c:pt>
              </c:numCache>
            </c:numRef>
          </c:val>
          <c:extLst>
            <c:ext xmlns:c16="http://schemas.microsoft.com/office/drawing/2014/chart" uri="{C3380CC4-5D6E-409C-BE32-E72D297353CC}">
              <c16:uniqueId val="{00000004-45EB-44B2-80D2-228C6456E9F1}"/>
            </c:ext>
          </c:extLst>
        </c:ser>
        <c:ser>
          <c:idx val="5"/>
          <c:order val="5"/>
          <c:tx>
            <c:strRef>
              <c:f>'R&amp;C-Painel de Controle'!$R$12</c:f>
              <c:strCache>
                <c:ptCount val="1"/>
                <c:pt idx="0">
                  <c:v>Qt (t/d "Entr. Tecnol")</c:v>
                </c:pt>
              </c:strCache>
            </c:strRef>
          </c:tx>
          <c:spPr>
            <a:gradFill rotWithShape="1">
              <a:gsLst>
                <a:gs pos="0">
                  <a:schemeClr val="accent6">
                    <a:lumMod val="50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1"/>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'R&amp;C-Painel de Controle'!$S$6:$AA$6</c:f>
              <c:strCache>
                <c:ptCount val="9"/>
                <c:pt idx="0">
                  <c:v>Custo Médio Total Coleta RSU</c:v>
                </c:pt>
                <c:pt idx="1">
                  <c:v>Triag. Man</c:v>
                </c:pt>
                <c:pt idx="2">
                  <c:v>Triag. Mec</c:v>
                </c:pt>
                <c:pt idx="3">
                  <c:v>Prod. CDR - Trat. Mec</c:v>
                </c:pt>
                <c:pt idx="4">
                  <c:v>Prod. CDR - Trat. Mec./Biol.</c:v>
                </c:pt>
                <c:pt idx="5">
                  <c:v>Biodigestão Anaeróbia</c:v>
                </c:pt>
                <c:pt idx="6">
                  <c:v>Compostagem</c:v>
                </c:pt>
                <c:pt idx="7">
                  <c:v>Incineração</c:v>
                </c:pt>
                <c:pt idx="8">
                  <c:v>Aterro Sanitário</c:v>
                </c:pt>
              </c:strCache>
            </c:strRef>
          </c:cat>
          <c:val>
            <c:numRef>
              <c:f>'R&amp;C-Painel de Controle'!$S$12:$AA$12</c:f>
              <c:numCache>
                <c:formatCode>0</c:formatCode>
                <c:ptCount val="9"/>
                <c:pt idx="0">
                  <c:v>73.8</c:v>
                </c:pt>
                <c:pt idx="1">
                  <c:v>0</c:v>
                </c:pt>
                <c:pt idx="2">
                  <c:v>9.2545673076923052</c:v>
                </c:pt>
                <c:pt idx="3">
                  <c:v>0</c:v>
                </c:pt>
                <c:pt idx="4">
                  <c:v>0</c:v>
                </c:pt>
                <c:pt idx="5">
                  <c:v>0</c:v>
                </c:pt>
                <c:pt idx="6">
                  <c:v>0</c:v>
                </c:pt>
                <c:pt idx="7">
                  <c:v>73.37229189302883</c:v>
                </c:pt>
                <c:pt idx="8">
                  <c:v>14.627575124999995</c:v>
                </c:pt>
              </c:numCache>
            </c:numRef>
          </c:val>
          <c:extLst>
            <c:ext xmlns:c16="http://schemas.microsoft.com/office/drawing/2014/chart" uri="{C3380CC4-5D6E-409C-BE32-E72D297353CC}">
              <c16:uniqueId val="{00000005-45EB-44B2-80D2-228C6456E9F1}"/>
            </c:ext>
          </c:extLst>
        </c:ser>
        <c:dLbls>
          <c:showLegendKey val="0"/>
          <c:showVal val="0"/>
          <c:showCatName val="0"/>
          <c:showSerName val="0"/>
          <c:showPercent val="0"/>
          <c:showBubbleSize val="0"/>
        </c:dLbls>
        <c:gapWidth val="115"/>
        <c:overlap val="-20"/>
        <c:axId val="75878784"/>
        <c:axId val="75880704"/>
      </c:barChart>
      <c:catAx>
        <c:axId val="75878784"/>
        <c:scaling>
          <c:orientation val="maxMin"/>
        </c:scaling>
        <c:delete val="0"/>
        <c:axPos val="l"/>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s-HN"/>
              </a:p>
            </c:rich>
          </c:tx>
          <c:overlay val="0"/>
          <c:spPr>
            <a:noFill/>
            <a:ln>
              <a:noFill/>
            </a:ln>
            <a:effectLst/>
          </c:spPr>
        </c:title>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1100" b="0" i="0" u="none" strike="noStrike" kern="1200" baseline="0">
                <a:solidFill>
                  <a:schemeClr val="bg1"/>
                </a:solidFill>
                <a:latin typeface="+mn-lt"/>
                <a:ea typeface="+mn-ea"/>
                <a:cs typeface="+mn-cs"/>
              </a:defRPr>
            </a:pPr>
            <a:endParaRPr lang="pt-BR"/>
          </a:p>
        </c:txPr>
        <c:crossAx val="75880704"/>
        <c:crosses val="autoZero"/>
        <c:auto val="1"/>
        <c:lblAlgn val="ctr"/>
        <c:lblOffset val="50"/>
        <c:noMultiLvlLbl val="1"/>
      </c:catAx>
      <c:valAx>
        <c:axId val="75880704"/>
        <c:scaling>
          <c:orientation val="minMax"/>
        </c:scaling>
        <c:delete val="0"/>
        <c:axPos val="b"/>
        <c:majorGridlines>
          <c:spPr>
            <a:ln w="9525" cap="flat" cmpd="sng" algn="ctr">
              <a:solidFill>
                <a:schemeClr val="lt1">
                  <a:lumMod val="95000"/>
                  <a:alpha val="10000"/>
                </a:schemeClr>
              </a:solidFill>
              <a:round/>
            </a:ln>
            <a:effectLst/>
          </c:spPr>
        </c:majorGridlines>
        <c:title>
          <c:tx>
            <c:rich>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s-HN"/>
              </a:p>
            </c:rich>
          </c:tx>
          <c:overlay val="0"/>
          <c:spPr>
            <a:noFill/>
            <a:ln>
              <a:noFill/>
            </a:ln>
            <a:effectLst/>
          </c:sp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chemeClr val="bg1"/>
                </a:solidFill>
                <a:latin typeface="Arial" panose="020B0604020202020204" pitchFamily="34" charset="0"/>
                <a:ea typeface="+mn-ea"/>
                <a:cs typeface="+mn-cs"/>
              </a:defRPr>
            </a:pPr>
            <a:endParaRPr lang="pt-BR"/>
          </a:p>
        </c:txPr>
        <c:crossAx val="75878784"/>
        <c:crosses val="max"/>
        <c:crossBetween val="between"/>
      </c:valAx>
      <c:spPr>
        <a:solidFill>
          <a:schemeClr val="tx1">
            <a:lumMod val="75000"/>
            <a:lumOff val="25000"/>
          </a:schemeClr>
        </a:solidFill>
        <a:ln>
          <a:noFill/>
        </a:ln>
        <a:effectLst/>
      </c:spPr>
    </c:plotArea>
    <c:legend>
      <c:legendPos val="b"/>
      <c:layout>
        <c:manualLayout>
          <c:xMode val="edge"/>
          <c:yMode val="edge"/>
          <c:x val="3.2525927527202472E-2"/>
          <c:y val="0.9181609443114237"/>
          <c:w val="0.94088721380986962"/>
          <c:h val="6.9764191530798034E-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bg1"/>
              </a:solidFill>
              <a:latin typeface="+mn-lt"/>
              <a:ea typeface="+mn-ea"/>
              <a:cs typeface="+mn-cs"/>
            </a:defRPr>
          </a:pPr>
          <a:endParaRPr lang="pt-BR"/>
        </a:p>
      </c:txPr>
    </c:legend>
    <c:plotVisOnly val="1"/>
    <c:dispBlanksAs val="zero"/>
    <c:showDLblsOverMax val="1"/>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pt-BR"/>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s-HN"/>
              <a:t>Evolução do Fluxo de Caixa Financeiro — Projeto e Acionista</a:t>
            </a:r>
          </a:p>
        </c:rich>
      </c:tx>
      <c:overlay val="0"/>
      <c:spPr>
        <a:noFill/>
        <a:ln>
          <a:noFill/>
        </a:ln>
        <a:effectLst/>
      </c:spPr>
    </c:title>
    <c:autoTitleDeleted val="0"/>
    <c:plotArea>
      <c:layout/>
      <c:lineChart>
        <c:grouping val="standard"/>
        <c:varyColors val="1"/>
        <c:ser>
          <c:idx val="0"/>
          <c:order val="0"/>
          <c:tx>
            <c:strRef>
              <c:f>'C-FCL Real'!$B$160</c:f>
              <c:strCache>
                <c:ptCount val="1"/>
                <c:pt idx="0">
                  <c:v>VPL Projeto Acc. (MR$)</c:v>
                </c:pt>
              </c:strCache>
            </c:strRef>
          </c:tx>
          <c:spPr>
            <a:ln w="34925" cap="rnd">
              <a:solidFill>
                <a:srgbClr val="00B0F0"/>
              </a:solidFill>
              <a:round/>
            </a:ln>
            <a:effectLst>
              <a:outerShdw blurRad="57150" dist="19050" dir="5400000" algn="ctr" rotWithShape="0">
                <a:srgbClr val="000000">
                  <a:alpha val="63000"/>
                </a:srgbClr>
              </a:outerShdw>
            </a:effectLst>
          </c:spPr>
          <c:marker>
            <c:symbol val="circle"/>
            <c:size val="6"/>
            <c:spPr>
              <a:gradFill rotWithShape="1">
                <a:gsLst>
                  <a:gs pos="0">
                    <a:srgbClr val="00B0F0"/>
                  </a:gs>
                  <a:gs pos="50000">
                    <a:srgbClr val="00B0F0"/>
                  </a:gs>
                  <a:gs pos="100000">
                    <a:srgbClr val="00B0F0"/>
                  </a:gs>
                </a:gsLst>
                <a:lin ang="5400000" scaled="0"/>
              </a:gradFill>
              <a:ln w="9525">
                <a:solidFill>
                  <a:schemeClr val="accent1"/>
                </a:solidFill>
                <a:round/>
              </a:ln>
              <a:effectLst>
                <a:outerShdw blurRad="57150" dist="19050" dir="5400000" algn="ctr" rotWithShape="0">
                  <a:srgbClr val="000000">
                    <a:alpha val="63000"/>
                  </a:srgbClr>
                </a:outerShdw>
              </a:effectLst>
            </c:spPr>
          </c:marker>
          <c:val>
            <c:numRef>
              <c:f>'C-FCL Real'!$C$160:$BC$160</c:f>
              <c:numCache>
                <c:formatCode>#,##0.000_ ;[Red]\-#,##0.000\ </c:formatCode>
                <c:ptCount val="53"/>
                <c:pt idx="0">
                  <c:v>-16.187523436393178</c:v>
                </c:pt>
                <c:pt idx="1">
                  <c:v>-56.162047707279875</c:v>
                </c:pt>
                <c:pt idx="2">
                  <c:v>-87.584198927178221</c:v>
                </c:pt>
                <c:pt idx="3">
                  <c:v>-87.036179305639592</c:v>
                </c:pt>
                <c:pt idx="4">
                  <c:v>-86.401433358158869</c:v>
                </c:pt>
                <c:pt idx="5">
                  <c:v>-85.679553471004112</c:v>
                </c:pt>
                <c:pt idx="6">
                  <c:v>-84.870130114658863</c:v>
                </c:pt>
                <c:pt idx="7">
                  <c:v>-83.972751834817927</c:v>
                </c:pt>
                <c:pt idx="8">
                  <c:v>-82.987005243340874</c:v>
                </c:pt>
                <c:pt idx="9">
                  <c:v>-81.912475009163003</c:v>
                </c:pt>
                <c:pt idx="10">
                  <c:v>-80.748743849163631</c:v>
                </c:pt>
                <c:pt idx="11">
                  <c:v>-79.495392518991395</c:v>
                </c:pt>
                <c:pt idx="12">
                  <c:v>-78.151999803846479</c:v>
                </c:pt>
                <c:pt idx="13">
                  <c:v>-76.718142509219533</c:v>
                </c:pt>
                <c:pt idx="14">
                  <c:v>-75.193395451586966</c:v>
                </c:pt>
                <c:pt idx="15">
                  <c:v>-73.577331449062655</c:v>
                </c:pt>
                <c:pt idx="16">
                  <c:v>-71.869521312005617</c:v>
                </c:pt>
                <c:pt idx="17">
                  <c:v>-70.069533833583534</c:v>
                </c:pt>
                <c:pt idx="18">
                  <c:v>-68.176935780292013</c:v>
                </c:pt>
                <c:pt idx="19">
                  <c:v>-66.191291882429141</c:v>
                </c:pt>
                <c:pt idx="20">
                  <c:v>-64.112164824525451</c:v>
                </c:pt>
                <c:pt idx="21">
                  <c:v>-61.939115235728742</c:v>
                </c:pt>
                <c:pt idx="22">
                  <c:v>-59.671701680143826</c:v>
                </c:pt>
                <c:pt idx="23">
                  <c:v>-57.309480647126797</c:v>
                </c:pt>
                <c:pt idx="24">
                  <c:v>-54.852006541533719</c:v>
                </c:pt>
                <c:pt idx="25">
                  <c:v>-52.298831673923488</c:v>
                </c:pt>
                <c:pt idx="26">
                  <c:v>-49.649506250714616</c:v>
                </c:pt>
                <c:pt idx="27">
                  <c:v>-46.903578364295804</c:v>
                </c:pt>
                <c:pt idx="28">
                  <c:v>-44.060593983089952</c:v>
                </c:pt>
                <c:pt idx="29">
                  <c:v>-41.120096941571568</c:v>
                </c:pt>
                <c:pt idx="30">
                  <c:v>-38.08162893023718</c:v>
                </c:pt>
                <c:pt idx="31">
                  <c:v>-34.944729485528654</c:v>
                </c:pt>
                <c:pt idx="32">
                  <c:v>-31.708935979709128</c:v>
                </c:pt>
                <c:pt idx="33">
                  <c:v>-28.373783610691383</c:v>
                </c:pt>
                <c:pt idx="34">
                  <c:v>-24.938805391818391</c:v>
                </c:pt>
                <c:pt idx="35">
                  <c:v>-21.403532141595832</c:v>
                </c:pt>
                <c:pt idx="36">
                  <c:v>-17.767492473376361</c:v>
                </c:pt>
                <c:pt idx="37">
                  <c:v>-14.03021278499539</c:v>
                </c:pt>
                <c:pt idx="38">
                  <c:v>-10.191217248358157</c:v>
                </c:pt>
                <c:pt idx="39">
                  <c:v>-6.2500277989778628</c:v>
                </c:pt>
                <c:pt idx="40">
                  <c:v>-2.2061641254646176</c:v>
                </c:pt>
                <c:pt idx="41">
                  <c:v>1.9408563410350084</c:v>
                </c:pt>
                <c:pt idx="42">
                  <c:v>6.1915184374480514</c:v>
                </c:pt>
                <c:pt idx="43">
                  <c:v>10.546309279435102</c:v>
                </c:pt>
                <c:pt idx="44">
                  <c:v>15.005718272100356</c:v>
                </c:pt>
                <c:pt idx="45">
                  <c:v>19.570237120752008</c:v>
                </c:pt>
                <c:pt idx="46">
                  <c:v>24.240359841713193</c:v>
                </c:pt>
                <c:pt idx="47">
                  <c:v>29.01658277318376</c:v>
                </c:pt>
                <c:pt idx="48">
                  <c:v>33.899404586153096</c:v>
                </c:pt>
                <c:pt idx="49">
                  <c:v>38.889326295364256</c:v>
                </c:pt>
                <c:pt idx="50">
                  <c:v>43.986851270329581</c:v>
                </c:pt>
                <c:pt idx="51">
                  <c:v>49.192485246398107</c:v>
                </c:pt>
                <c:pt idx="52">
                  <c:v>54.506736335875026</c:v>
                </c:pt>
              </c:numCache>
            </c:numRef>
          </c:val>
          <c:smooth val="0"/>
          <c:extLst>
            <c:ext xmlns:c16="http://schemas.microsoft.com/office/drawing/2014/chart" uri="{C3380CC4-5D6E-409C-BE32-E72D297353CC}">
              <c16:uniqueId val="{00000000-CF42-450A-A8F8-0D748C7AA13C}"/>
            </c:ext>
          </c:extLst>
        </c:ser>
        <c:ser>
          <c:idx val="1"/>
          <c:order val="1"/>
          <c:tx>
            <c:strRef>
              <c:f>'C-FCL Real'!$B$179</c:f>
              <c:strCache>
                <c:ptCount val="1"/>
                <c:pt idx="0">
                  <c:v>VPL Acionista Acc. (MR$)</c:v>
                </c:pt>
              </c:strCache>
            </c:strRef>
          </c:tx>
          <c:spPr>
            <a:ln w="34925" cap="rnd">
              <a:solidFill>
                <a:schemeClr val="accent2"/>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val>
            <c:numRef>
              <c:f>'C-FCL Real'!$C$179:$BC$179</c:f>
              <c:numCache>
                <c:formatCode>#,##0.000_ ;[Red]\-#,##0.000\ </c:formatCode>
                <c:ptCount val="53"/>
                <c:pt idx="0">
                  <c:v>15.938339688203628</c:v>
                </c:pt>
                <c:pt idx="1">
                  <c:v>23.250126235753108</c:v>
                </c:pt>
                <c:pt idx="2">
                  <c:v>31.220750826869459</c:v>
                </c:pt>
                <c:pt idx="3">
                  <c:v>21.450378334761432</c:v>
                </c:pt>
                <c:pt idx="4">
                  <c:v>12.081427528867339</c:v>
                </c:pt>
                <c:pt idx="5">
                  <c:v>3.114359772594014</c:v>
                </c:pt>
                <c:pt idx="6">
                  <c:v>-5.4503614022436935</c:v>
                </c:pt>
                <c:pt idx="7">
                  <c:v>-13.612270285231405</c:v>
                </c:pt>
                <c:pt idx="8">
                  <c:v>-21.370898977115793</c:v>
                </c:pt>
                <c:pt idx="9">
                  <c:v>-28.725777379517027</c:v>
                </c:pt>
                <c:pt idx="10">
                  <c:v>-35.676433184592916</c:v>
                </c:pt>
                <c:pt idx="11">
                  <c:v>-42.222391864654398</c:v>
                </c:pt>
                <c:pt idx="12">
                  <c:v>-48.363176661732261</c:v>
                </c:pt>
                <c:pt idx="13">
                  <c:v>-54.098308577094855</c:v>
                </c:pt>
                <c:pt idx="14">
                  <c:v>-59.427306360716486</c:v>
                </c:pt>
                <c:pt idx="15">
                  <c:v>-64.349686500696336</c:v>
                </c:pt>
                <c:pt idx="16">
                  <c:v>-68.864963212627657</c:v>
                </c:pt>
                <c:pt idx="17">
                  <c:v>-72.972648428916983</c:v>
                </c:pt>
                <c:pt idx="18">
                  <c:v>-76.67225178805316</c:v>
                </c:pt>
                <c:pt idx="19">
                  <c:v>-79.963280623825966</c:v>
                </c:pt>
                <c:pt idx="20">
                  <c:v>-82.845239954493934</c:v>
                </c:pt>
                <c:pt idx="21">
                  <c:v>-85.317632471901433</c:v>
                </c:pt>
                <c:pt idx="22">
                  <c:v>-87.379958530544513</c:v>
                </c:pt>
                <c:pt idx="23">
                  <c:v>-82.966530952045829</c:v>
                </c:pt>
                <c:pt idx="24">
                  <c:v>-78.44528982696302</c:v>
                </c:pt>
                <c:pt idx="25">
                  <c:v>-73.815728431627136</c:v>
                </c:pt>
                <c:pt idx="26">
                  <c:v>-69.077337660767995</c:v>
                </c:pt>
                <c:pt idx="27">
                  <c:v>-64.229606016320616</c:v>
                </c:pt>
                <c:pt idx="28">
                  <c:v>-59.272019596179142</c:v>
                </c:pt>
                <c:pt idx="29">
                  <c:v>-54.204062082897806</c:v>
                </c:pt>
                <c:pt idx="30">
                  <c:v>-49.025214732338867</c:v>
                </c:pt>
                <c:pt idx="31">
                  <c:v>-43.734956362267113</c:v>
                </c:pt>
                <c:pt idx="32">
                  <c:v>-38.332763340890843</c:v>
                </c:pt>
                <c:pt idx="33">
                  <c:v>-32.818109575348906</c:v>
                </c:pt>
                <c:pt idx="34">
                  <c:v>-27.190466500143735</c:v>
                </c:pt>
                <c:pt idx="35">
                  <c:v>-21.449303065519914</c:v>
                </c:pt>
                <c:pt idx="36">
                  <c:v>-15.594085725788169</c:v>
                </c:pt>
                <c:pt idx="37">
                  <c:v>-9.6242784275945041</c:v>
                </c:pt>
                <c:pt idx="38">
                  <c:v>-3.539342598134132</c:v>
                </c:pt>
                <c:pt idx="39">
                  <c:v>2.6612628666898894</c:v>
                </c:pt>
                <c:pt idx="40">
                  <c:v>8.978081614163786</c:v>
                </c:pt>
                <c:pt idx="41">
                  <c:v>15.411659846715992</c:v>
                </c:pt>
                <c:pt idx="42">
                  <c:v>21.96254633392638</c:v>
                </c:pt>
                <c:pt idx="43">
                  <c:v>28.631292424591845</c:v>
                </c:pt>
                <c:pt idx="44">
                  <c:v>35.418452058848629</c:v>
                </c:pt>
                <c:pt idx="45">
                  <c:v>42.3245817803516</c:v>
                </c:pt>
                <c:pt idx="46">
                  <c:v>49.350240748510821</c:v>
                </c:pt>
                <c:pt idx="47">
                  <c:v>56.49599075078558</c:v>
                </c:pt>
                <c:pt idx="48">
                  <c:v>63.762396215036226</c:v>
                </c:pt>
                <c:pt idx="49">
                  <c:v>71.150024221934046</c:v>
                </c:pt>
                <c:pt idx="50">
                  <c:v>78.659444517429463</c:v>
                </c:pt>
                <c:pt idx="51">
                  <c:v>86.291229525278908</c:v>
                </c:pt>
                <c:pt idx="52">
                  <c:v>94.045954359630429</c:v>
                </c:pt>
              </c:numCache>
            </c:numRef>
          </c:val>
          <c:smooth val="0"/>
          <c:extLst>
            <c:ext xmlns:c16="http://schemas.microsoft.com/office/drawing/2014/chart" uri="{C3380CC4-5D6E-409C-BE32-E72D297353CC}">
              <c16:uniqueId val="{00000001-CF42-450A-A8F8-0D748C7AA13C}"/>
            </c:ext>
          </c:extLst>
        </c:ser>
        <c:ser>
          <c:idx val="2"/>
          <c:order val="2"/>
          <c:tx>
            <c:strRef>
              <c:f>'C-FCL Real'!$B$157</c:f>
              <c:strCache>
                <c:ptCount val="1"/>
                <c:pt idx="0">
                  <c:v>FCL Projeto Acc (MR$)</c:v>
                </c:pt>
              </c:strCache>
            </c:strRef>
          </c:tx>
          <c:spPr>
            <a:ln w="34925" cap="rnd">
              <a:solidFill>
                <a:srgbClr val="95D6D3"/>
              </a:solidFill>
              <a:round/>
            </a:ln>
            <a:effectLst>
              <a:outerShdw blurRad="57150" dist="19050" dir="5400000" algn="ctr" rotWithShape="0">
                <a:srgbClr val="000000">
                  <a:alpha val="63000"/>
                </a:srgbClr>
              </a:outerShdw>
            </a:effectLst>
          </c:spPr>
          <c:marker>
            <c:symbol val="circle"/>
            <c:size val="6"/>
            <c:spPr>
              <a:gradFill rotWithShape="1">
                <a:gsLst>
                  <a:gs pos="0">
                    <a:srgbClr val="95D6D3"/>
                  </a:gs>
                  <a:gs pos="50000">
                    <a:srgbClr val="95D6D3"/>
                  </a:gs>
                  <a:gs pos="100000">
                    <a:srgbClr val="95D6D3"/>
                  </a:gs>
                </a:gsLst>
                <a:lin ang="5400000" scaled="0"/>
              </a:gradFill>
              <a:ln w="9525">
                <a:solidFill>
                  <a:schemeClr val="accent3"/>
                </a:solidFill>
                <a:round/>
              </a:ln>
              <a:effectLst>
                <a:outerShdw blurRad="57150" dist="19050" dir="5400000" algn="ctr" rotWithShape="0">
                  <a:srgbClr val="000000">
                    <a:alpha val="63000"/>
                  </a:srgbClr>
                </a:outerShdw>
              </a:effectLst>
            </c:spPr>
          </c:marker>
          <c:val>
            <c:numRef>
              <c:f>'C-FCL Real'!$C$157:$BC$157</c:f>
              <c:numCache>
                <c:formatCode>#,##0.000_ ;[Red]\-#,##0.000\ </c:formatCode>
                <c:ptCount val="53"/>
                <c:pt idx="0">
                  <c:v>-17.764188219097871</c:v>
                </c:pt>
                <c:pt idx="1">
                  <c:v>-61.632231153968931</c:v>
                </c:pt>
                <c:pt idx="2">
                  <c:v>-96.114899902685366</c:v>
                </c:pt>
                <c:pt idx="3">
                  <c:v>-95.513503170008875</c:v>
                </c:pt>
                <c:pt idx="4">
                  <c:v>-94.816932967243531</c:v>
                </c:pt>
                <c:pt idx="5">
                  <c:v>-94.024741979079906</c:v>
                </c:pt>
                <c:pt idx="6">
                  <c:v>-93.136480787826628</c:v>
                </c:pt>
                <c:pt idx="7">
                  <c:v>-92.151697863529179</c:v>
                </c:pt>
                <c:pt idx="8">
                  <c:v>-91.069939554042264</c:v>
                </c:pt>
                <c:pt idx="9">
                  <c:v>-89.890750075055479</c:v>
                </c:pt>
                <c:pt idx="10">
                  <c:v>-88.613671500072172</c:v>
                </c:pt>
                <c:pt idx="11">
                  <c:v>-87.238243750341169</c:v>
                </c:pt>
                <c:pt idx="12">
                  <c:v>-85.764004584741144</c:v>
                </c:pt>
                <c:pt idx="13">
                  <c:v>-84.190489589617528</c:v>
                </c:pt>
                <c:pt idx="14">
                  <c:v>-82.517232168571553</c:v>
                </c:pt>
                <c:pt idx="15">
                  <c:v>-80.74376353220137</c:v>
                </c:pt>
                <c:pt idx="16">
                  <c:v>-78.869612687794969</c:v>
                </c:pt>
                <c:pt idx="17">
                  <c:v>-76.894306428974588</c:v>
                </c:pt>
                <c:pt idx="18">
                  <c:v>-74.817369325292461</c:v>
                </c:pt>
                <c:pt idx="19">
                  <c:v>-72.638323711777744</c:v>
                </c:pt>
                <c:pt idx="20">
                  <c:v>-70.356689678434236</c:v>
                </c:pt>
                <c:pt idx="21">
                  <c:v>-67.971985059688734</c:v>
                </c:pt>
                <c:pt idx="22">
                  <c:v>-65.483725423789849</c:v>
                </c:pt>
                <c:pt idx="23">
                  <c:v>-62.891424062156958</c:v>
                </c:pt>
                <c:pt idx="24">
                  <c:v>-60.194591978679107</c:v>
                </c:pt>
                <c:pt idx="25">
                  <c:v>-57.392737878963636</c:v>
                </c:pt>
                <c:pt idx="26">
                  <c:v>-54.485368159534225</c:v>
                </c:pt>
                <c:pt idx="27">
                  <c:v>-51.471986896978215</c:v>
                </c:pt>
                <c:pt idx="28">
                  <c:v>-48.35209583704291</c:v>
                </c:pt>
                <c:pt idx="29">
                  <c:v>-45.125194383680636</c:v>
                </c:pt>
                <c:pt idx="30">
                  <c:v>-41.790779588042277</c:v>
                </c:pt>
                <c:pt idx="31">
                  <c:v>-38.348346137419142</c:v>
                </c:pt>
                <c:pt idx="32">
                  <c:v>-34.797386344132796</c:v>
                </c:pt>
                <c:pt idx="33">
                  <c:v>-31.137390134372723</c:v>
                </c:pt>
                <c:pt idx="34">
                  <c:v>-27.3678450369815</c:v>
                </c:pt>
                <c:pt idx="35">
                  <c:v>-23.488236172187261</c:v>
                </c:pt>
                <c:pt idx="36">
                  <c:v>-19.498046240283212</c:v>
                </c:pt>
                <c:pt idx="37">
                  <c:v>-15.396755510253936</c:v>
                </c:pt>
                <c:pt idx="38">
                  <c:v>-11.183841808348237</c:v>
                </c:pt>
                <c:pt idx="39">
                  <c:v>-6.8587805065983023</c:v>
                </c:pt>
                <c:pt idx="40">
                  <c:v>-2.4210445112848671</c:v>
                </c:pt>
                <c:pt idx="41">
                  <c:v>2.1298957486518226</c:v>
                </c:pt>
                <c:pt idx="42">
                  <c:v>6.7945723332554957</c:v>
                </c:pt>
                <c:pt idx="43">
                  <c:v>11.573519803252085</c:v>
                </c:pt>
                <c:pt idx="44">
                  <c:v>16.467275231802937</c:v>
                </c:pt>
                <c:pt idx="45">
                  <c:v>21.476378216313257</c:v>
                </c:pt>
                <c:pt idx="46">
                  <c:v>26.60137089029606</c:v>
                </c:pt>
                <c:pt idx="47">
                  <c:v>31.842797935291859</c:v>
                </c:pt>
                <c:pt idx="48">
                  <c:v>37.201206592844414</c:v>
                </c:pt>
                <c:pt idx="49">
                  <c:v>42.677146676532743</c:v>
                </c:pt>
                <c:pt idx="50">
                  <c:v>48.271170584059689</c:v>
                </c:pt>
                <c:pt idx="51">
                  <c:v>53.983833309397291</c:v>
                </c:pt>
                <c:pt idx="52">
                  <c:v>59.815692454989261</c:v>
                </c:pt>
              </c:numCache>
            </c:numRef>
          </c:val>
          <c:smooth val="0"/>
          <c:extLst>
            <c:ext xmlns:c16="http://schemas.microsoft.com/office/drawing/2014/chart" uri="{C3380CC4-5D6E-409C-BE32-E72D297353CC}">
              <c16:uniqueId val="{00000002-CF42-450A-A8F8-0D748C7AA13C}"/>
            </c:ext>
          </c:extLst>
        </c:ser>
        <c:ser>
          <c:idx val="3"/>
          <c:order val="3"/>
          <c:tx>
            <c:strRef>
              <c:f>'C-FCL Real'!$B$176</c:f>
              <c:strCache>
                <c:ptCount val="1"/>
                <c:pt idx="0">
                  <c:v>FCL Acionista Acc (MR$)</c:v>
                </c:pt>
              </c:strCache>
            </c:strRef>
          </c:tx>
          <c:spPr>
            <a:ln w="34925" cap="rnd">
              <a:solidFill>
                <a:schemeClr val="accent4"/>
              </a:solidFill>
              <a:round/>
            </a:ln>
            <a:effectLst>
              <a:outerShdw blurRad="57150" dist="19050" dir="5400000" algn="ctr" rotWithShape="0">
                <a:srgbClr val="000000">
                  <a:alpha val="63000"/>
                </a:srgbClr>
              </a:outerShdw>
            </a:effectLst>
          </c:spPr>
          <c:marker>
            <c:symbol val="circle"/>
            <c:size val="6"/>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w="9525">
                <a:solidFill>
                  <a:schemeClr val="accent4"/>
                </a:solidFill>
                <a:round/>
              </a:ln>
              <a:effectLst>
                <a:outerShdw blurRad="57150" dist="19050" dir="5400000" algn="ctr" rotWithShape="0">
                  <a:srgbClr val="000000">
                    <a:alpha val="63000"/>
                  </a:srgbClr>
                </a:outerShdw>
              </a:effectLst>
            </c:spPr>
          </c:marker>
          <c:val>
            <c:numRef>
              <c:f>'C-FCL Real'!$C$176:$BC$176</c:f>
              <c:numCache>
                <c:formatCode>#,##0.000_ ;[Red]\-#,##0.000\ </c:formatCode>
                <c:ptCount val="53"/>
                <c:pt idx="0">
                  <c:v>16.904203073308768</c:v>
                </c:pt>
                <c:pt idx="1">
                  <c:v>24.659083885639745</c:v>
                </c:pt>
                <c:pt idx="2">
                  <c:v>33.112728326977745</c:v>
                </c:pt>
                <c:pt idx="3">
                  <c:v>22.750271261847971</c:v>
                </c:pt>
                <c:pt idx="4">
                  <c:v>12.813562037116697</c:v>
                </c:pt>
                <c:pt idx="5">
                  <c:v>3.3030899748132079</c:v>
                </c:pt>
                <c:pt idx="6">
                  <c:v>-5.7806533032196654</c:v>
                </c:pt>
                <c:pt idx="7">
                  <c:v>-14.437173864516433</c:v>
                </c:pt>
                <c:pt idx="8">
                  <c:v>-22.665975455129015</c:v>
                </c:pt>
                <c:pt idx="9">
                  <c:v>-30.466559488715763</c:v>
                </c:pt>
                <c:pt idx="10">
                  <c:v>-37.838425035579249</c:v>
                </c:pt>
                <c:pt idx="11">
                  <c:v>-44.781068811652453</c:v>
                </c:pt>
                <c:pt idx="12">
                  <c:v>-51.293985167433235</c:v>
                </c:pt>
                <c:pt idx="13">
                  <c:v>-57.376666076866805</c:v>
                </c:pt>
                <c:pt idx="14">
                  <c:v>-63.028601126175907</c:v>
                </c:pt>
                <c:pt idx="15">
                  <c:v>-68.249277502638535</c:v>
                </c:pt>
                <c:pt idx="16">
                  <c:v>-73.038179983312901</c:v>
                </c:pt>
                <c:pt idx="17">
                  <c:v>-77.394790923709365</c:v>
                </c:pt>
                <c:pt idx="18">
                  <c:v>-81.318590246409201</c:v>
                </c:pt>
                <c:pt idx="19">
                  <c:v>-84.809055429629836</c:v>
                </c:pt>
                <c:pt idx="20">
                  <c:v>-87.865661495736276</c:v>
                </c:pt>
                <c:pt idx="21">
                  <c:v>-90.487880999698675</c:v>
                </c:pt>
                <c:pt idx="22">
                  <c:v>-92.675184017495525</c:v>
                </c:pt>
                <c:pt idx="23">
                  <c:v>-87.994302727739822</c:v>
                </c:pt>
                <c:pt idx="24">
                  <c:v>-83.199074390476994</c:v>
                </c:pt>
                <c:pt idx="25">
                  <c:v>-78.288961574583752</c:v>
                </c:pt>
                <c:pt idx="26">
                  <c:v>-73.26342432301054</c:v>
                </c:pt>
                <c:pt idx="27">
                  <c:v>-68.121920140909637</c:v>
                </c:pt>
                <c:pt idx="28">
                  <c:v>-62.863903983707594</c:v>
                </c:pt>
                <c:pt idx="29">
                  <c:v>-57.488828245121411</c:v>
                </c:pt>
                <c:pt idx="30">
                  <c:v>-51.996142745118604</c:v>
                </c:pt>
                <c:pt idx="31">
                  <c:v>-46.385294717820507</c:v>
                </c:pt>
                <c:pt idx="32">
                  <c:v>-40.655728799348836</c:v>
                </c:pt>
                <c:pt idx="33">
                  <c:v>-34.806887015615061</c:v>
                </c:pt>
                <c:pt idx="34">
                  <c:v>-28.838208770052457</c:v>
                </c:pt>
                <c:pt idx="35">
                  <c:v>-22.749130831290433</c:v>
                </c:pt>
                <c:pt idx="36">
                  <c:v>-16.539087320770946</c:v>
                </c:pt>
                <c:pt idx="37">
                  <c:v>-10.207509700306744</c:v>
                </c:pt>
                <c:pt idx="38">
                  <c:v>-3.7538267595810737</c:v>
                </c:pt>
                <c:pt idx="39">
                  <c:v>2.8225353964112836</c:v>
                </c:pt>
                <c:pt idx="40">
                  <c:v>9.5221533599820987</c:v>
                </c:pt>
                <c:pt idx="41">
                  <c:v>16.345606433426969</c:v>
                </c:pt>
                <c:pt idx="42">
                  <c:v>23.293476641762307</c:v>
                </c:pt>
                <c:pt idx="43">
                  <c:v>30.3663487455221</c:v>
                </c:pt>
                <c:pt idx="44">
                  <c:v>37.564810253614844</c:v>
                </c:pt>
                <c:pt idx="45">
                  <c:v>44.88945143624089</c:v>
                </c:pt>
                <c:pt idx="46">
                  <c:v>52.340865337870561</c:v>
                </c:pt>
                <c:pt idx="47">
                  <c:v>59.919647790283172</c:v>
                </c:pt>
                <c:pt idx="48">
                  <c:v>67.626397425667406</c:v>
                </c:pt>
                <c:pt idx="49">
                  <c:v>75.461715689783233</c:v>
                </c:pt>
                <c:pt idx="50">
                  <c:v>83.426206855185683</c:v>
                </c:pt>
                <c:pt idx="51">
                  <c:v>91.520478034510802</c:v>
                </c:pt>
                <c:pt idx="52">
                  <c:v>99.745139193824016</c:v>
                </c:pt>
              </c:numCache>
            </c:numRef>
          </c:val>
          <c:smooth val="0"/>
          <c:extLst>
            <c:ext xmlns:c16="http://schemas.microsoft.com/office/drawing/2014/chart" uri="{C3380CC4-5D6E-409C-BE32-E72D297353CC}">
              <c16:uniqueId val="{00000003-CF42-450A-A8F8-0D748C7AA13C}"/>
            </c:ext>
          </c:extLst>
        </c:ser>
        <c:dLbls>
          <c:showLegendKey val="0"/>
          <c:showVal val="0"/>
          <c:showCatName val="0"/>
          <c:showSerName val="0"/>
          <c:showPercent val="0"/>
          <c:showBubbleSize val="0"/>
        </c:dLbls>
        <c:marker val="1"/>
        <c:smooth val="0"/>
        <c:axId val="78250368"/>
        <c:axId val="78251520"/>
      </c:lineChart>
      <c:lineChart>
        <c:grouping val="standard"/>
        <c:varyColors val="0"/>
        <c:ser>
          <c:idx val="4"/>
          <c:order val="4"/>
          <c:tx>
            <c:strRef>
              <c:f>'C-FCL Real'!$B$31</c:f>
              <c:strCache>
                <c:ptCount val="1"/>
                <c:pt idx="0">
                  <c:v>Término do Contrato</c:v>
                </c:pt>
              </c:strCache>
            </c:strRef>
          </c:tx>
          <c:spPr>
            <a:ln w="25400" cap="rnd">
              <a:noFill/>
              <a:round/>
            </a:ln>
            <a:effectLst>
              <a:outerShdw blurRad="57150" dist="19050" dir="5400000" algn="ctr" rotWithShape="0">
                <a:srgbClr val="000000">
                  <a:alpha val="63000"/>
                </a:srgbClr>
              </a:outerShdw>
            </a:effectLst>
          </c:spPr>
          <c:marker>
            <c:symbol val="circle"/>
            <c:size val="6"/>
            <c:spPr>
              <a:gradFill rotWithShape="1">
                <a:gsLst>
                  <a:gs pos="0">
                    <a:srgbClr val="FFFF00"/>
                  </a:gs>
                  <a:gs pos="50000">
                    <a:srgbClr val="FFFF00"/>
                  </a:gs>
                  <a:gs pos="100000">
                    <a:srgbClr val="FFFF00"/>
                  </a:gs>
                </a:gsLst>
                <a:lin ang="5400000" scaled="0"/>
              </a:gradFill>
              <a:ln w="9525">
                <a:noFill/>
                <a:round/>
              </a:ln>
              <a:effectLst>
                <a:outerShdw blurRad="57150" dist="19050" dir="5400000" algn="ctr" rotWithShape="0">
                  <a:srgbClr val="000000">
                    <a:alpha val="63000"/>
                  </a:srgbClr>
                </a:outerShdw>
              </a:effectLst>
            </c:spPr>
          </c:marker>
          <c:val>
            <c:numRef>
              <c:f>'C-FCL Real'!$C$31:$BC$31</c:f>
              <c:numCache>
                <c:formatCode>General</c:formatCode>
                <c:ptCount val="5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1</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numCache>
            </c:numRef>
          </c:val>
          <c:smooth val="0"/>
          <c:extLst>
            <c:ext xmlns:c16="http://schemas.microsoft.com/office/drawing/2014/chart" uri="{C3380CC4-5D6E-409C-BE32-E72D297353CC}">
              <c16:uniqueId val="{00000004-CF42-450A-A8F8-0D748C7AA13C}"/>
            </c:ext>
          </c:extLst>
        </c:ser>
        <c:dLbls>
          <c:showLegendKey val="0"/>
          <c:showVal val="0"/>
          <c:showCatName val="0"/>
          <c:showSerName val="0"/>
          <c:showPercent val="0"/>
          <c:showBubbleSize val="0"/>
        </c:dLbls>
        <c:marker val="1"/>
        <c:smooth val="0"/>
        <c:axId val="78253440"/>
        <c:axId val="78263424"/>
      </c:lineChart>
      <c:catAx>
        <c:axId val="78250368"/>
        <c:scaling>
          <c:orientation val="minMax"/>
        </c:scaling>
        <c:delete val="0"/>
        <c:axPos val="b"/>
        <c:title>
          <c:tx>
            <c:rich>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s-HN"/>
              </a:p>
            </c:rich>
          </c:tx>
          <c:overlay val="0"/>
          <c:spPr>
            <a:noFill/>
            <a:ln>
              <a:noFill/>
            </a:ln>
            <a:effectLst/>
          </c:spPr>
        </c:title>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1000" b="1" i="0" u="none" strike="noStrike" kern="1200" baseline="0">
                <a:solidFill>
                  <a:schemeClr val="bg1"/>
                </a:solidFill>
                <a:latin typeface="+mn-lt"/>
                <a:ea typeface="+mn-ea"/>
                <a:cs typeface="+mn-cs"/>
              </a:defRPr>
            </a:pPr>
            <a:endParaRPr lang="pt-BR"/>
          </a:p>
        </c:txPr>
        <c:crossAx val="78251520"/>
        <c:crosses val="autoZero"/>
        <c:auto val="1"/>
        <c:lblAlgn val="ctr"/>
        <c:lblOffset val="100"/>
        <c:noMultiLvlLbl val="1"/>
      </c:catAx>
      <c:valAx>
        <c:axId val="78251520"/>
        <c:scaling>
          <c:orientation val="minMax"/>
        </c:scaling>
        <c:delete val="0"/>
        <c:axPos val="l"/>
        <c:majorGridlines>
          <c:spPr>
            <a:ln w="9525" cap="flat" cmpd="sng" algn="ctr">
              <a:solidFill>
                <a:schemeClr val="lt1">
                  <a:lumMod val="95000"/>
                  <a:alpha val="10000"/>
                </a:schemeClr>
              </a:solidFill>
              <a:round/>
            </a:ln>
            <a:effectLst/>
          </c:spPr>
        </c:majorGridlines>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s-HN"/>
              </a:p>
            </c:rich>
          </c:tx>
          <c:overlay val="0"/>
          <c:spPr>
            <a:noFill/>
            <a:ln>
              <a:noFill/>
            </a:ln>
            <a:effectLst/>
          </c:spPr>
        </c:title>
        <c:numFmt formatCode="#,##0.000_ ;[Red]\-#,##0.000\ "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chemeClr val="bg1"/>
                </a:solidFill>
                <a:latin typeface="+mn-lt"/>
                <a:ea typeface="+mn-ea"/>
                <a:cs typeface="+mn-cs"/>
              </a:defRPr>
            </a:pPr>
            <a:endParaRPr lang="pt-BR"/>
          </a:p>
        </c:txPr>
        <c:crossAx val="78250368"/>
        <c:crosses val="autoZero"/>
        <c:crossBetween val="between"/>
      </c:valAx>
      <c:catAx>
        <c:axId val="78253440"/>
        <c:scaling>
          <c:orientation val="minMax"/>
        </c:scaling>
        <c:delete val="1"/>
        <c:axPos val="b"/>
        <c:numFmt formatCode="General" sourceLinked="1"/>
        <c:majorTickMark val="none"/>
        <c:minorTickMark val="none"/>
        <c:tickLblPos val="nextTo"/>
        <c:crossAx val="78263424"/>
        <c:crosses val="autoZero"/>
        <c:auto val="1"/>
        <c:lblAlgn val="ctr"/>
        <c:lblOffset val="100"/>
        <c:noMultiLvlLbl val="1"/>
      </c:catAx>
      <c:valAx>
        <c:axId val="78263424"/>
        <c:scaling>
          <c:orientation val="minMax"/>
        </c:scaling>
        <c:delete val="0"/>
        <c:axPos val="r"/>
        <c:majorGridlines>
          <c:spPr>
            <a:ln w="9525" cap="flat" cmpd="sng" algn="ctr">
              <a:solidFill>
                <a:schemeClr val="lt1">
                  <a:lumMod val="95000"/>
                  <a:alpha val="10000"/>
                </a:schemeClr>
              </a:solidFill>
              <a:round/>
            </a:ln>
            <a:effectLst/>
          </c:spPr>
        </c:majorGridlines>
        <c:minorGridlines>
          <c:spPr>
            <a:ln>
              <a:solidFill>
                <a:schemeClr val="lt1">
                  <a:lumMod val="95000"/>
                  <a:alpha val="5000"/>
                </a:schemeClr>
              </a:solidFill>
            </a:ln>
            <a:effectLst/>
          </c:spPr>
        </c:minorGridlines>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s-HN"/>
              </a:p>
            </c:rich>
          </c:tx>
          <c:overlay val="0"/>
          <c:spPr>
            <a:noFill/>
            <a:ln>
              <a:noFill/>
            </a:ln>
            <a:effectLst/>
          </c:sp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chemeClr val="bg1"/>
                </a:solidFill>
                <a:latin typeface="+mn-lt"/>
                <a:ea typeface="+mn-ea"/>
                <a:cs typeface="+mn-cs"/>
              </a:defRPr>
            </a:pPr>
            <a:endParaRPr lang="pt-BR"/>
          </a:p>
        </c:txPr>
        <c:crossAx val="78253440"/>
        <c:crosses val="max"/>
        <c:crossBetween val="between"/>
      </c:valAx>
      <c:spPr>
        <a:noFill/>
        <a:ln>
          <a:noFill/>
        </a:ln>
        <a:effectLst/>
      </c:spPr>
    </c:plotArea>
    <c:legend>
      <c:legendPos val="b"/>
      <c:layout>
        <c:manualLayout>
          <c:xMode val="edge"/>
          <c:yMode val="edge"/>
          <c:x val="2.735524607466772E-2"/>
          <c:y val="0.95139418354445315"/>
          <c:w val="0.94528941444597003"/>
          <c:h val="3.5856815671031612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bg1"/>
              </a:solidFill>
              <a:latin typeface="+mn-lt"/>
              <a:ea typeface="+mn-ea"/>
              <a:cs typeface="+mn-cs"/>
            </a:defRPr>
          </a:pPr>
          <a:endParaRPr lang="pt-BR"/>
        </a:p>
      </c:txPr>
    </c:legend>
    <c:plotVisOnly val="1"/>
    <c:dispBlanksAs val="zero"/>
    <c:showDLblsOverMax val="1"/>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pt-BR"/>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75" b="1" i="0" u="none" strike="noStrike" baseline="0">
                <a:solidFill>
                  <a:srgbClr val="000000"/>
                </a:solidFill>
                <a:latin typeface="Arial"/>
                <a:ea typeface="Arial"/>
                <a:cs typeface="Arial"/>
              </a:defRPr>
            </a:pPr>
            <a:r>
              <a:rPr lang="de-DE"/>
              <a:t>Resíduos tratados</a:t>
            </a:r>
          </a:p>
        </c:rich>
      </c:tx>
      <c:layout>
        <c:manualLayout>
          <c:xMode val="edge"/>
          <c:yMode val="edge"/>
          <c:x val="0.42274881516587692"/>
          <c:y val="1.3365766834767139E-2"/>
        </c:manualLayout>
      </c:layout>
      <c:overlay val="0"/>
      <c:spPr>
        <a:noFill/>
        <a:ln w="25400">
          <a:noFill/>
        </a:ln>
      </c:spPr>
    </c:title>
    <c:autoTitleDeleted val="0"/>
    <c:plotArea>
      <c:layout>
        <c:manualLayout>
          <c:layoutTarget val="inner"/>
          <c:xMode val="edge"/>
          <c:yMode val="edge"/>
          <c:x val="0.18767772511848338"/>
          <c:y val="0.10935627410264016"/>
          <c:w val="0.78672985781990545"/>
          <c:h val="0.58201839216849605"/>
        </c:manualLayout>
      </c:layout>
      <c:barChart>
        <c:barDir val="col"/>
        <c:grouping val="clustered"/>
        <c:varyColors val="0"/>
        <c:ser>
          <c:idx val="0"/>
          <c:order val="0"/>
          <c:spPr>
            <a:solidFill>
              <a:srgbClr val="008000"/>
            </a:solidFill>
            <a:ln w="12700">
              <a:solidFill>
                <a:srgbClr val="000000"/>
              </a:solidFill>
              <a:prstDash val="solid"/>
            </a:ln>
          </c:spPr>
          <c:invertIfNegative val="0"/>
          <c:cat>
            <c:strRef>
              <c:f>('CO2 - Cenário Base'!$B$7:$B$15,'CO2 - Cenário Base'!$B$18:$B$27)</c:f>
              <c:strCache>
                <c:ptCount val="19"/>
                <c:pt idx="0">
                  <c:v>Resíduos de alimentos</c:v>
                </c:pt>
                <c:pt idx="1">
                  <c:v>Resíduos de jardins e parques</c:v>
                </c:pt>
                <c:pt idx="2">
                  <c:v>Papel, papelão</c:v>
                </c:pt>
                <c:pt idx="3">
                  <c:v>Plásticos</c:v>
                </c:pt>
                <c:pt idx="4">
                  <c:v>Vidros</c:v>
                </c:pt>
                <c:pt idx="5">
                  <c:v>Metais ferrosos</c:v>
                </c:pt>
                <c:pt idx="6">
                  <c:v>Alumínio</c:v>
                </c:pt>
                <c:pt idx="7">
                  <c:v>Têxteis</c:v>
                </c:pt>
                <c:pt idx="9">
                  <c:v>Resíduos dispersos</c:v>
                </c:pt>
                <c:pt idx="10">
                  <c:v>Queima a céu aberto</c:v>
                </c:pt>
                <c:pt idx="11">
                  <c:v>Lixão não controlado</c:v>
                </c:pt>
                <c:pt idx="12">
                  <c:v>Aterro controlado</c:v>
                </c:pt>
                <c:pt idx="13">
                  <c:v>Aterro sanitário</c:v>
                </c:pt>
                <c:pt idx="14">
                  <c:v>Trat. biol + cobertura at.</c:v>
                </c:pt>
                <c:pt idx="15">
                  <c:v>CDR seco + rejeito aterro</c:v>
                </c:pt>
                <c:pt idx="16">
                  <c:v>CDR seco + trat. biol.</c:v>
                </c:pt>
                <c:pt idx="17">
                  <c:v>CDR seco + CDR org.</c:v>
                </c:pt>
                <c:pt idx="18">
                  <c:v>Incineração</c:v>
                </c:pt>
              </c:strCache>
            </c:strRef>
          </c:cat>
          <c:val>
            <c:numRef>
              <c:f>('CO2 - Cenário Base'!$C$7:$C$15,'CO2 - Cenário Base'!$C$18:$C$27)</c:f>
              <c:numCache>
                <c:formatCode>#,##0</c:formatCode>
                <c:ptCount val="19"/>
                <c:pt idx="0">
                  <c:v>0</c:v>
                </c:pt>
                <c:pt idx="1">
                  <c:v>0</c:v>
                </c:pt>
                <c:pt idx="2">
                  <c:v>301.63535999999999</c:v>
                </c:pt>
                <c:pt idx="3">
                  <c:v>310.84560000000005</c:v>
                </c:pt>
                <c:pt idx="4">
                  <c:v>0</c:v>
                </c:pt>
                <c:pt idx="5">
                  <c:v>105.91776</c:v>
                </c:pt>
                <c:pt idx="6">
                  <c:v>27.630719999999997</c:v>
                </c:pt>
                <c:pt idx="7">
                  <c:v>0</c:v>
                </c:pt>
                <c:pt idx="9">
                  <c:v>0</c:v>
                </c:pt>
                <c:pt idx="10">
                  <c:v>0</c:v>
                </c:pt>
                <c:pt idx="11">
                  <c:v>0</c:v>
                </c:pt>
                <c:pt idx="12">
                  <c:v>0</c:v>
                </c:pt>
                <c:pt idx="13">
                  <c:v>22279.57056</c:v>
                </c:pt>
                <c:pt idx="14">
                  <c:v>0</c:v>
                </c:pt>
                <c:pt idx="15">
                  <c:v>0</c:v>
                </c:pt>
                <c:pt idx="16">
                  <c:v>0</c:v>
                </c:pt>
                <c:pt idx="17">
                  <c:v>0</c:v>
                </c:pt>
                <c:pt idx="18">
                  <c:v>0</c:v>
                </c:pt>
              </c:numCache>
            </c:numRef>
          </c:val>
          <c:extLst>
            <c:ext xmlns:c16="http://schemas.microsoft.com/office/drawing/2014/chart" uri="{C3380CC4-5D6E-409C-BE32-E72D297353CC}">
              <c16:uniqueId val="{00000000-2CA0-495C-9037-58273902B619}"/>
            </c:ext>
          </c:extLst>
        </c:ser>
        <c:dLbls>
          <c:showLegendKey val="0"/>
          <c:showVal val="0"/>
          <c:showCatName val="0"/>
          <c:showSerName val="0"/>
          <c:showPercent val="0"/>
          <c:showBubbleSize val="0"/>
        </c:dLbls>
        <c:gapWidth val="100"/>
        <c:axId val="193980672"/>
        <c:axId val="194056192"/>
      </c:barChart>
      <c:catAx>
        <c:axId val="193980672"/>
        <c:scaling>
          <c:orientation val="minMax"/>
        </c:scaling>
        <c:delete val="0"/>
        <c:axPos val="b"/>
        <c:numFmt formatCode="General" sourceLinked="1"/>
        <c:majorTickMark val="out"/>
        <c:minorTickMark val="none"/>
        <c:tickLblPos val="nextTo"/>
        <c:spPr>
          <a:ln w="3175">
            <a:solidFill>
              <a:srgbClr val="000000"/>
            </a:solidFill>
            <a:prstDash val="solid"/>
          </a:ln>
        </c:spPr>
        <c:txPr>
          <a:bodyPr rot="-3660000" vert="horz"/>
          <a:lstStyle/>
          <a:p>
            <a:pPr>
              <a:defRPr sz="875" b="0" i="0" u="none" strike="noStrike" baseline="0">
                <a:solidFill>
                  <a:srgbClr val="000000"/>
                </a:solidFill>
                <a:latin typeface="Arial"/>
                <a:ea typeface="Arial"/>
                <a:cs typeface="Arial"/>
              </a:defRPr>
            </a:pPr>
            <a:endParaRPr lang="pt-BR"/>
          </a:p>
        </c:txPr>
        <c:crossAx val="194056192"/>
        <c:crosses val="autoZero"/>
        <c:auto val="1"/>
        <c:lblAlgn val="ctr"/>
        <c:lblOffset val="100"/>
        <c:tickLblSkip val="1"/>
        <c:tickMarkSkip val="1"/>
        <c:noMultiLvlLbl val="0"/>
      </c:catAx>
      <c:valAx>
        <c:axId val="194056192"/>
        <c:scaling>
          <c:orientation val="minMax"/>
        </c:scaling>
        <c:delete val="0"/>
        <c:axPos val="l"/>
        <c:majorGridlines>
          <c:spPr>
            <a:ln w="3175">
              <a:solidFill>
                <a:srgbClr val="000000"/>
              </a:solidFill>
              <a:prstDash val="solid"/>
            </a:ln>
          </c:spPr>
        </c:majorGridlines>
        <c:title>
          <c:tx>
            <c:rich>
              <a:bodyPr/>
              <a:lstStyle/>
              <a:p>
                <a:pPr>
                  <a:defRPr sz="950" b="1" i="0" u="none" strike="noStrike" baseline="0">
                    <a:solidFill>
                      <a:sysClr val="windowText" lastClr="000000"/>
                    </a:solidFill>
                    <a:latin typeface="Arial"/>
                    <a:ea typeface="Arial"/>
                    <a:cs typeface="Arial"/>
                  </a:defRPr>
                </a:pPr>
                <a:r>
                  <a:rPr lang="de-DE">
                    <a:solidFill>
                      <a:sysClr val="windowText" lastClr="000000"/>
                    </a:solidFill>
                  </a:rPr>
                  <a:t>tonelada / ano</a:t>
                </a:r>
              </a:p>
            </c:rich>
          </c:tx>
          <c:layout>
            <c:manualLayout>
              <c:xMode val="edge"/>
              <c:yMode val="edge"/>
              <c:x val="1.0426540284360198E-2"/>
              <c:y val="0.36695105309997045"/>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975" b="0" i="0" u="none" strike="noStrike" baseline="0">
                <a:solidFill>
                  <a:srgbClr val="000000"/>
                </a:solidFill>
                <a:latin typeface="Arial"/>
                <a:ea typeface="Arial"/>
                <a:cs typeface="Arial"/>
              </a:defRPr>
            </a:pPr>
            <a:endParaRPr lang="pt-BR"/>
          </a:p>
        </c:txPr>
        <c:crossAx val="193980672"/>
        <c:crosses val="autoZero"/>
        <c:crossBetween val="between"/>
      </c:valAx>
      <c:spPr>
        <a:noFill/>
        <a:ln w="3175">
          <a:solidFill>
            <a:srgbClr val="000000"/>
          </a:solidFill>
          <a:prstDash val="solid"/>
        </a:ln>
      </c:spPr>
    </c:plotArea>
    <c:plotVisOnly val="1"/>
    <c:dispBlanksAs val="gap"/>
    <c:showDLblsOverMax val="0"/>
  </c:chart>
  <c:spPr>
    <a:no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pt-BR"/>
    </a:p>
  </c:txPr>
  <c:printSettings>
    <c:headerFooter alignWithMargins="0"/>
    <c:pageMargins b="0.98425196899999978" l="0.78740157499999996" r="0.78740157499999996" t="0.98425196899999978" header="0.49212598450000011" footer="0.49212598450000011"/>
    <c:pageSetup paperSize="9" orientation="landscape" horizontalDpi="1200" verticalDpi="1200"/>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de-DE" sz="975" b="1" i="0" u="none" strike="noStrike" kern="1200" baseline="0">
                <a:solidFill>
                  <a:srgbClr val="000000"/>
                </a:solidFill>
                <a:latin typeface="Arial"/>
                <a:ea typeface="Arial"/>
                <a:cs typeface="Arial"/>
              </a:defRPr>
            </a:pPr>
            <a:r>
              <a:rPr lang="de-DE" sz="975" b="1" i="0" u="none" strike="noStrike" kern="1200" baseline="0">
                <a:solidFill>
                  <a:srgbClr val="000000"/>
                </a:solidFill>
                <a:latin typeface="Arial"/>
                <a:ea typeface="Arial"/>
                <a:cs typeface="Arial"/>
              </a:rPr>
              <a:t>Emissões de GEE — Reciclagem</a:t>
            </a:r>
          </a:p>
        </c:rich>
      </c:tx>
      <c:layout>
        <c:manualLayout>
          <c:xMode val="edge"/>
          <c:yMode val="edge"/>
          <c:x val="0.25966850828729282"/>
          <c:y val="1.5988417481653919E-2"/>
        </c:manualLayout>
      </c:layout>
      <c:overlay val="0"/>
      <c:spPr>
        <a:noFill/>
        <a:ln w="25400">
          <a:noFill/>
        </a:ln>
      </c:spPr>
    </c:title>
    <c:autoTitleDeleted val="0"/>
    <c:plotArea>
      <c:layout>
        <c:manualLayout>
          <c:layoutTarget val="inner"/>
          <c:xMode val="edge"/>
          <c:yMode val="edge"/>
          <c:x val="0.21767955801104968"/>
          <c:y val="0.12354686235823484"/>
          <c:w val="0.50386740331491708"/>
          <c:h val="0.75872308412939515"/>
        </c:manualLayout>
      </c:layout>
      <c:barChart>
        <c:barDir val="col"/>
        <c:grouping val="stacked"/>
        <c:varyColors val="0"/>
        <c:ser>
          <c:idx val="0"/>
          <c:order val="0"/>
          <c:tx>
            <c:strRef>
              <c:f>'CO2 - Cenário Base'!$B$62</c:f>
              <c:strCache>
                <c:ptCount val="1"/>
                <c:pt idx="0">
                  <c:v>Resíduos de alimentos</c:v>
                </c:pt>
              </c:strCache>
            </c:strRef>
          </c:tx>
          <c:spPr>
            <a:solidFill>
              <a:srgbClr val="99CC00"/>
            </a:solidFill>
            <a:ln w="12700">
              <a:solidFill>
                <a:srgbClr val="000000"/>
              </a:solidFill>
              <a:prstDash val="solid"/>
            </a:ln>
          </c:spPr>
          <c:invertIfNegative val="0"/>
          <c:cat>
            <c:strRef>
              <c:f>'CO2 - Cenário Base'!$C$61:$D$61</c:f>
              <c:strCache>
                <c:ptCount val="2"/>
                <c:pt idx="0">
                  <c:v>Resíduos reciclados</c:v>
                </c:pt>
                <c:pt idx="1">
                  <c:v>Líquido</c:v>
                </c:pt>
              </c:strCache>
            </c:strRef>
          </c:cat>
          <c:val>
            <c:numRef>
              <c:f>'CO2 - Cenário Base'!$C$62:$D$62</c:f>
              <c:numCache>
                <c:formatCode>General</c:formatCode>
                <c:ptCount val="2"/>
                <c:pt idx="0" formatCode="#,##0">
                  <c:v>0</c:v>
                </c:pt>
              </c:numCache>
            </c:numRef>
          </c:val>
          <c:extLst>
            <c:ext xmlns:c16="http://schemas.microsoft.com/office/drawing/2014/chart" uri="{C3380CC4-5D6E-409C-BE32-E72D297353CC}">
              <c16:uniqueId val="{00000000-9B9F-48BA-A909-BBEB27775E51}"/>
            </c:ext>
          </c:extLst>
        </c:ser>
        <c:ser>
          <c:idx val="1"/>
          <c:order val="1"/>
          <c:tx>
            <c:strRef>
              <c:f>'CO2 - Cenário Base'!$B$63</c:f>
              <c:strCache>
                <c:ptCount val="1"/>
                <c:pt idx="0">
                  <c:v>Resíduos de jardins e parques</c:v>
                </c:pt>
              </c:strCache>
            </c:strRef>
          </c:tx>
          <c:spPr>
            <a:solidFill>
              <a:srgbClr val="000080"/>
            </a:solidFill>
            <a:ln w="12700">
              <a:solidFill>
                <a:srgbClr val="000000"/>
              </a:solidFill>
              <a:prstDash val="solid"/>
            </a:ln>
          </c:spPr>
          <c:invertIfNegative val="0"/>
          <c:cat>
            <c:strRef>
              <c:f>'CO2 - Cenário Base'!$C$61:$D$61</c:f>
              <c:strCache>
                <c:ptCount val="2"/>
                <c:pt idx="0">
                  <c:v>Resíduos reciclados</c:v>
                </c:pt>
                <c:pt idx="1">
                  <c:v>Líquido</c:v>
                </c:pt>
              </c:strCache>
            </c:strRef>
          </c:cat>
          <c:val>
            <c:numRef>
              <c:f>'CO2 - Cenário Base'!$C$63:$D$63</c:f>
              <c:numCache>
                <c:formatCode>General</c:formatCode>
                <c:ptCount val="2"/>
                <c:pt idx="0" formatCode="#,##0">
                  <c:v>0</c:v>
                </c:pt>
              </c:numCache>
            </c:numRef>
          </c:val>
          <c:extLst>
            <c:ext xmlns:c16="http://schemas.microsoft.com/office/drawing/2014/chart" uri="{C3380CC4-5D6E-409C-BE32-E72D297353CC}">
              <c16:uniqueId val="{00000001-9B9F-48BA-A909-BBEB27775E51}"/>
            </c:ext>
          </c:extLst>
        </c:ser>
        <c:ser>
          <c:idx val="2"/>
          <c:order val="2"/>
          <c:tx>
            <c:strRef>
              <c:f>'CO2 - Cenário Base'!$B$64</c:f>
              <c:strCache>
                <c:ptCount val="1"/>
                <c:pt idx="0">
                  <c:v>Papel, papelão</c:v>
                </c:pt>
              </c:strCache>
            </c:strRef>
          </c:tx>
          <c:spPr>
            <a:solidFill>
              <a:srgbClr val="CC99FF"/>
            </a:solidFill>
            <a:ln w="12700">
              <a:solidFill>
                <a:srgbClr val="000000"/>
              </a:solidFill>
              <a:prstDash val="solid"/>
            </a:ln>
          </c:spPr>
          <c:invertIfNegative val="0"/>
          <c:cat>
            <c:strRef>
              <c:f>'CO2 - Cenário Base'!$C$61:$D$61</c:f>
              <c:strCache>
                <c:ptCount val="2"/>
                <c:pt idx="0">
                  <c:v>Resíduos reciclados</c:v>
                </c:pt>
                <c:pt idx="1">
                  <c:v>Líquido</c:v>
                </c:pt>
              </c:strCache>
            </c:strRef>
          </c:cat>
          <c:val>
            <c:numRef>
              <c:f>'CO2 - Cenário Base'!$C$64:$D$64</c:f>
              <c:numCache>
                <c:formatCode>General</c:formatCode>
                <c:ptCount val="2"/>
                <c:pt idx="0" formatCode="#,##0">
                  <c:v>378.85401215999997</c:v>
                </c:pt>
              </c:numCache>
            </c:numRef>
          </c:val>
          <c:extLst>
            <c:ext xmlns:c16="http://schemas.microsoft.com/office/drawing/2014/chart" uri="{C3380CC4-5D6E-409C-BE32-E72D297353CC}">
              <c16:uniqueId val="{00000002-9B9F-48BA-A909-BBEB27775E51}"/>
            </c:ext>
          </c:extLst>
        </c:ser>
        <c:ser>
          <c:idx val="3"/>
          <c:order val="3"/>
          <c:tx>
            <c:strRef>
              <c:f>'CO2 - Cenário Base'!$B$65</c:f>
              <c:strCache>
                <c:ptCount val="1"/>
                <c:pt idx="0">
                  <c:v>Plásticos</c:v>
                </c:pt>
              </c:strCache>
            </c:strRef>
          </c:tx>
          <c:spPr>
            <a:solidFill>
              <a:srgbClr val="FFFF00"/>
            </a:solidFill>
            <a:ln w="12700">
              <a:solidFill>
                <a:srgbClr val="000000"/>
              </a:solidFill>
              <a:prstDash val="solid"/>
            </a:ln>
          </c:spPr>
          <c:invertIfNegative val="0"/>
          <c:cat>
            <c:strRef>
              <c:f>'CO2 - Cenário Base'!$C$61:$D$61</c:f>
              <c:strCache>
                <c:ptCount val="2"/>
                <c:pt idx="0">
                  <c:v>Resíduos reciclados</c:v>
                </c:pt>
                <c:pt idx="1">
                  <c:v>Líquido</c:v>
                </c:pt>
              </c:strCache>
            </c:strRef>
          </c:cat>
          <c:val>
            <c:numRef>
              <c:f>'CO2 - Cenário Base'!$C$65:$D$65</c:f>
              <c:numCache>
                <c:formatCode>General</c:formatCode>
                <c:ptCount val="2"/>
                <c:pt idx="0" formatCode="#,##0">
                  <c:v>127.44669600000003</c:v>
                </c:pt>
              </c:numCache>
            </c:numRef>
          </c:val>
          <c:extLst>
            <c:ext xmlns:c16="http://schemas.microsoft.com/office/drawing/2014/chart" uri="{C3380CC4-5D6E-409C-BE32-E72D297353CC}">
              <c16:uniqueId val="{00000003-9B9F-48BA-A909-BBEB27775E51}"/>
            </c:ext>
          </c:extLst>
        </c:ser>
        <c:ser>
          <c:idx val="4"/>
          <c:order val="4"/>
          <c:tx>
            <c:strRef>
              <c:f>'CO2 - Cenário Base'!$B$66</c:f>
              <c:strCache>
                <c:ptCount val="1"/>
                <c:pt idx="0">
                  <c:v>Vidros</c:v>
                </c:pt>
              </c:strCache>
            </c:strRef>
          </c:tx>
          <c:spPr>
            <a:solidFill>
              <a:srgbClr val="FF99CC"/>
            </a:solidFill>
            <a:ln w="12700">
              <a:solidFill>
                <a:srgbClr val="000000"/>
              </a:solidFill>
              <a:prstDash val="solid"/>
            </a:ln>
          </c:spPr>
          <c:invertIfNegative val="0"/>
          <c:cat>
            <c:strRef>
              <c:f>'CO2 - Cenário Base'!$C$61:$D$61</c:f>
              <c:strCache>
                <c:ptCount val="2"/>
                <c:pt idx="0">
                  <c:v>Resíduos reciclados</c:v>
                </c:pt>
                <c:pt idx="1">
                  <c:v>Líquido</c:v>
                </c:pt>
              </c:strCache>
            </c:strRef>
          </c:cat>
          <c:val>
            <c:numRef>
              <c:f>'CO2 - Cenário Base'!$C$66:$D$66</c:f>
              <c:numCache>
                <c:formatCode>General</c:formatCode>
                <c:ptCount val="2"/>
                <c:pt idx="0" formatCode="#,##0">
                  <c:v>0</c:v>
                </c:pt>
              </c:numCache>
            </c:numRef>
          </c:val>
          <c:extLst>
            <c:ext xmlns:c16="http://schemas.microsoft.com/office/drawing/2014/chart" uri="{C3380CC4-5D6E-409C-BE32-E72D297353CC}">
              <c16:uniqueId val="{00000004-9B9F-48BA-A909-BBEB27775E51}"/>
            </c:ext>
          </c:extLst>
        </c:ser>
        <c:ser>
          <c:idx val="5"/>
          <c:order val="5"/>
          <c:tx>
            <c:strRef>
              <c:f>'CO2 - Cenário Base'!$B$67</c:f>
              <c:strCache>
                <c:ptCount val="1"/>
                <c:pt idx="0">
                  <c:v>Metais ferrosos</c:v>
                </c:pt>
              </c:strCache>
            </c:strRef>
          </c:tx>
          <c:spPr>
            <a:solidFill>
              <a:srgbClr val="C0C0C0"/>
            </a:solidFill>
            <a:ln w="12700">
              <a:solidFill>
                <a:srgbClr val="000000"/>
              </a:solidFill>
              <a:prstDash val="solid"/>
            </a:ln>
          </c:spPr>
          <c:invertIfNegative val="0"/>
          <c:cat>
            <c:strRef>
              <c:f>'CO2 - Cenário Base'!$C$61:$D$61</c:f>
              <c:strCache>
                <c:ptCount val="2"/>
                <c:pt idx="0">
                  <c:v>Resíduos reciclados</c:v>
                </c:pt>
                <c:pt idx="1">
                  <c:v>Líquido</c:v>
                </c:pt>
              </c:strCache>
            </c:strRef>
          </c:cat>
          <c:val>
            <c:numRef>
              <c:f>'CO2 - Cenário Base'!$C$67:$D$67</c:f>
              <c:numCache>
                <c:formatCode>General</c:formatCode>
                <c:ptCount val="2"/>
                <c:pt idx="0" formatCode="#,##0">
                  <c:v>6.77873664</c:v>
                </c:pt>
              </c:numCache>
            </c:numRef>
          </c:val>
          <c:extLst>
            <c:ext xmlns:c16="http://schemas.microsoft.com/office/drawing/2014/chart" uri="{C3380CC4-5D6E-409C-BE32-E72D297353CC}">
              <c16:uniqueId val="{00000005-9B9F-48BA-A909-BBEB27775E51}"/>
            </c:ext>
          </c:extLst>
        </c:ser>
        <c:ser>
          <c:idx val="6"/>
          <c:order val="6"/>
          <c:tx>
            <c:strRef>
              <c:f>'CO2 - Cenário Base'!$B$68</c:f>
              <c:strCache>
                <c:ptCount val="1"/>
                <c:pt idx="0">
                  <c:v>Alumínio</c:v>
                </c:pt>
              </c:strCache>
            </c:strRef>
          </c:tx>
          <c:spPr>
            <a:solidFill>
              <a:srgbClr val="993366"/>
            </a:solidFill>
            <a:ln w="12700">
              <a:solidFill>
                <a:srgbClr val="000000"/>
              </a:solidFill>
              <a:prstDash val="solid"/>
            </a:ln>
          </c:spPr>
          <c:invertIfNegative val="0"/>
          <c:cat>
            <c:strRef>
              <c:f>'CO2 - Cenário Base'!$C$61:$D$61</c:f>
              <c:strCache>
                <c:ptCount val="2"/>
                <c:pt idx="0">
                  <c:v>Resíduos reciclados</c:v>
                </c:pt>
                <c:pt idx="1">
                  <c:v>Líquido</c:v>
                </c:pt>
              </c:strCache>
            </c:strRef>
          </c:cat>
          <c:val>
            <c:numRef>
              <c:f>'CO2 - Cenário Base'!$C$68:$D$68</c:f>
              <c:numCache>
                <c:formatCode>General</c:formatCode>
                <c:ptCount val="2"/>
                <c:pt idx="0" formatCode="#,##0">
                  <c:v>19.258611839999997</c:v>
                </c:pt>
              </c:numCache>
            </c:numRef>
          </c:val>
          <c:extLst>
            <c:ext xmlns:c16="http://schemas.microsoft.com/office/drawing/2014/chart" uri="{C3380CC4-5D6E-409C-BE32-E72D297353CC}">
              <c16:uniqueId val="{00000006-9B9F-48BA-A909-BBEB27775E51}"/>
            </c:ext>
          </c:extLst>
        </c:ser>
        <c:ser>
          <c:idx val="7"/>
          <c:order val="7"/>
          <c:tx>
            <c:strRef>
              <c:f>'CO2 - Cenário Base'!$B$69</c:f>
              <c:strCache>
                <c:ptCount val="1"/>
                <c:pt idx="0">
                  <c:v>Têxteis</c:v>
                </c:pt>
              </c:strCache>
            </c:strRef>
          </c:tx>
          <c:spPr>
            <a:solidFill>
              <a:srgbClr val="9999FF"/>
            </a:solidFill>
            <a:ln w="12700">
              <a:solidFill>
                <a:srgbClr val="000000"/>
              </a:solidFill>
              <a:prstDash val="solid"/>
            </a:ln>
          </c:spPr>
          <c:invertIfNegative val="0"/>
          <c:cat>
            <c:strRef>
              <c:f>'CO2 - Cenário Base'!$C$61:$D$61</c:f>
              <c:strCache>
                <c:ptCount val="2"/>
                <c:pt idx="0">
                  <c:v>Resíduos reciclados</c:v>
                </c:pt>
                <c:pt idx="1">
                  <c:v>Líquido</c:v>
                </c:pt>
              </c:strCache>
            </c:strRef>
          </c:cat>
          <c:val>
            <c:numRef>
              <c:f>'CO2 - Cenário Base'!$C$69:$D$69</c:f>
              <c:numCache>
                <c:formatCode>General</c:formatCode>
                <c:ptCount val="2"/>
                <c:pt idx="0" formatCode="#,##0">
                  <c:v>0</c:v>
                </c:pt>
              </c:numCache>
            </c:numRef>
          </c:val>
          <c:extLst>
            <c:ext xmlns:c16="http://schemas.microsoft.com/office/drawing/2014/chart" uri="{C3380CC4-5D6E-409C-BE32-E72D297353CC}">
              <c16:uniqueId val="{00000007-9B9F-48BA-A909-BBEB27775E51}"/>
            </c:ext>
          </c:extLst>
        </c:ser>
        <c:ser>
          <c:idx val="8"/>
          <c:order val="8"/>
          <c:tx>
            <c:strRef>
              <c:f>'CO2 - Cenário Base'!$B$70</c:f>
              <c:strCache>
                <c:ptCount val="1"/>
                <c:pt idx="0">
                  <c:v>Débitos</c:v>
                </c:pt>
              </c:strCache>
            </c:strRef>
          </c:tx>
          <c:spPr>
            <a:noFill/>
            <a:ln w="25400">
              <a:noFill/>
            </a:ln>
          </c:spPr>
          <c:invertIfNegative val="0"/>
          <c:cat>
            <c:strRef>
              <c:f>'CO2 - Cenário Base'!$C$61:$D$61</c:f>
              <c:strCache>
                <c:ptCount val="2"/>
                <c:pt idx="0">
                  <c:v>Resíduos reciclados</c:v>
                </c:pt>
                <c:pt idx="1">
                  <c:v>Líquido</c:v>
                </c:pt>
              </c:strCache>
            </c:strRef>
          </c:cat>
          <c:val>
            <c:numRef>
              <c:f>'CO2 - Cenário Base'!$C$70:$D$70</c:f>
              <c:numCache>
                <c:formatCode>#,##0</c:formatCode>
                <c:ptCount val="2"/>
              </c:numCache>
            </c:numRef>
          </c:val>
          <c:extLst>
            <c:ext xmlns:c16="http://schemas.microsoft.com/office/drawing/2014/chart" uri="{C3380CC4-5D6E-409C-BE32-E72D297353CC}">
              <c16:uniqueId val="{00000008-9B9F-48BA-A909-BBEB27775E51}"/>
            </c:ext>
          </c:extLst>
        </c:ser>
        <c:ser>
          <c:idx val="9"/>
          <c:order val="9"/>
          <c:tx>
            <c:strRef>
              <c:f>'CO2 - Cenário Base'!$B$71</c:f>
              <c:strCache>
                <c:ptCount val="1"/>
                <c:pt idx="0">
                  <c:v>Resíduos de alimentos</c:v>
                </c:pt>
              </c:strCache>
            </c:strRef>
          </c:tx>
          <c:spPr>
            <a:pattFill prst="wdDnDiag">
              <a:fgClr>
                <a:srgbClr val="99CC00"/>
              </a:fgClr>
              <a:bgClr>
                <a:srgbClr val="FFFFFF"/>
              </a:bgClr>
            </a:pattFill>
            <a:ln w="12700">
              <a:solidFill>
                <a:srgbClr val="000000"/>
              </a:solidFill>
              <a:prstDash val="solid"/>
            </a:ln>
          </c:spPr>
          <c:invertIfNegative val="0"/>
          <c:cat>
            <c:strRef>
              <c:f>'CO2 - Cenário Base'!$C$61:$D$61</c:f>
              <c:strCache>
                <c:ptCount val="2"/>
                <c:pt idx="0">
                  <c:v>Resíduos reciclados</c:v>
                </c:pt>
                <c:pt idx="1">
                  <c:v>Líquido</c:v>
                </c:pt>
              </c:strCache>
            </c:strRef>
          </c:cat>
          <c:val>
            <c:numRef>
              <c:f>'CO2 - Cenário Base'!$C$71:$D$71</c:f>
              <c:numCache>
                <c:formatCode>General</c:formatCode>
                <c:ptCount val="2"/>
                <c:pt idx="0" formatCode="#,##0">
                  <c:v>0</c:v>
                </c:pt>
              </c:numCache>
            </c:numRef>
          </c:val>
          <c:extLst>
            <c:ext xmlns:c16="http://schemas.microsoft.com/office/drawing/2014/chart" uri="{C3380CC4-5D6E-409C-BE32-E72D297353CC}">
              <c16:uniqueId val="{00000009-9B9F-48BA-A909-BBEB27775E51}"/>
            </c:ext>
          </c:extLst>
        </c:ser>
        <c:ser>
          <c:idx val="10"/>
          <c:order val="10"/>
          <c:tx>
            <c:strRef>
              <c:f>'CO2 - Cenário Base'!$B$72</c:f>
              <c:strCache>
                <c:ptCount val="1"/>
                <c:pt idx="0">
                  <c:v>Resíduos de jardins e parques</c:v>
                </c:pt>
              </c:strCache>
            </c:strRef>
          </c:tx>
          <c:spPr>
            <a:pattFill prst="wdUpDiag">
              <a:fgClr>
                <a:srgbClr val="000080"/>
              </a:fgClr>
              <a:bgClr>
                <a:srgbClr val="FFFFFF"/>
              </a:bgClr>
            </a:pattFill>
            <a:ln w="12700">
              <a:solidFill>
                <a:srgbClr val="000000"/>
              </a:solidFill>
              <a:prstDash val="solid"/>
            </a:ln>
          </c:spPr>
          <c:invertIfNegative val="0"/>
          <c:cat>
            <c:strRef>
              <c:f>'CO2 - Cenário Base'!$C$61:$D$61</c:f>
              <c:strCache>
                <c:ptCount val="2"/>
                <c:pt idx="0">
                  <c:v>Resíduos reciclados</c:v>
                </c:pt>
                <c:pt idx="1">
                  <c:v>Líquido</c:v>
                </c:pt>
              </c:strCache>
            </c:strRef>
          </c:cat>
          <c:val>
            <c:numRef>
              <c:f>'CO2 - Cenário Base'!$C$72:$D$72</c:f>
              <c:numCache>
                <c:formatCode>General</c:formatCode>
                <c:ptCount val="2"/>
                <c:pt idx="0" formatCode="#,##0">
                  <c:v>0</c:v>
                </c:pt>
              </c:numCache>
            </c:numRef>
          </c:val>
          <c:extLst>
            <c:ext xmlns:c16="http://schemas.microsoft.com/office/drawing/2014/chart" uri="{C3380CC4-5D6E-409C-BE32-E72D297353CC}">
              <c16:uniqueId val="{0000000A-9B9F-48BA-A909-BBEB27775E51}"/>
            </c:ext>
          </c:extLst>
        </c:ser>
        <c:ser>
          <c:idx val="11"/>
          <c:order val="11"/>
          <c:tx>
            <c:strRef>
              <c:f>'CO2 - Cenário Base'!$B$73</c:f>
              <c:strCache>
                <c:ptCount val="1"/>
                <c:pt idx="0">
                  <c:v>Papel, papelão</c:v>
                </c:pt>
              </c:strCache>
            </c:strRef>
          </c:tx>
          <c:spPr>
            <a:pattFill prst="wdDnDiag">
              <a:fgClr>
                <a:srgbClr val="CC99FF"/>
              </a:fgClr>
              <a:bgClr>
                <a:srgbClr val="FFFFFF"/>
              </a:bgClr>
            </a:pattFill>
            <a:ln w="12700">
              <a:solidFill>
                <a:srgbClr val="000000"/>
              </a:solidFill>
              <a:prstDash val="solid"/>
            </a:ln>
          </c:spPr>
          <c:invertIfNegative val="0"/>
          <c:cat>
            <c:strRef>
              <c:f>'CO2 - Cenário Base'!$C$61:$D$61</c:f>
              <c:strCache>
                <c:ptCount val="2"/>
                <c:pt idx="0">
                  <c:v>Resíduos reciclados</c:v>
                </c:pt>
                <c:pt idx="1">
                  <c:v>Líquido</c:v>
                </c:pt>
              </c:strCache>
            </c:strRef>
          </c:cat>
          <c:val>
            <c:numRef>
              <c:f>'CO2 - Cenário Base'!$C$73:$D$73</c:f>
              <c:numCache>
                <c:formatCode>General</c:formatCode>
                <c:ptCount val="2"/>
                <c:pt idx="0" formatCode="#,##0">
                  <c:v>-466.93153727999999</c:v>
                </c:pt>
              </c:numCache>
            </c:numRef>
          </c:val>
          <c:extLst>
            <c:ext xmlns:c16="http://schemas.microsoft.com/office/drawing/2014/chart" uri="{C3380CC4-5D6E-409C-BE32-E72D297353CC}">
              <c16:uniqueId val="{0000000B-9B9F-48BA-A909-BBEB27775E51}"/>
            </c:ext>
          </c:extLst>
        </c:ser>
        <c:ser>
          <c:idx val="12"/>
          <c:order val="12"/>
          <c:tx>
            <c:strRef>
              <c:f>'CO2 - Cenário Base'!$B$74</c:f>
              <c:strCache>
                <c:ptCount val="1"/>
                <c:pt idx="0">
                  <c:v>Plásticos</c:v>
                </c:pt>
              </c:strCache>
            </c:strRef>
          </c:tx>
          <c:spPr>
            <a:pattFill prst="wdUpDiag">
              <a:fgClr>
                <a:srgbClr val="FFFF00"/>
              </a:fgClr>
              <a:bgClr>
                <a:srgbClr val="FFFFFF"/>
              </a:bgClr>
            </a:pattFill>
            <a:ln w="12700">
              <a:solidFill>
                <a:srgbClr val="000000"/>
              </a:solidFill>
              <a:prstDash val="solid"/>
            </a:ln>
          </c:spPr>
          <c:invertIfNegative val="0"/>
          <c:cat>
            <c:strRef>
              <c:f>'CO2 - Cenário Base'!$C$61:$D$61</c:f>
              <c:strCache>
                <c:ptCount val="2"/>
                <c:pt idx="0">
                  <c:v>Resíduos reciclados</c:v>
                </c:pt>
                <c:pt idx="1">
                  <c:v>Líquido</c:v>
                </c:pt>
              </c:strCache>
            </c:strRef>
          </c:cat>
          <c:val>
            <c:numRef>
              <c:f>'CO2 - Cenário Base'!$C$74:$D$74</c:f>
              <c:numCache>
                <c:formatCode>General</c:formatCode>
                <c:ptCount val="2"/>
                <c:pt idx="0" formatCode="#,##0">
                  <c:v>-593.65292688</c:v>
                </c:pt>
              </c:numCache>
            </c:numRef>
          </c:val>
          <c:extLst>
            <c:ext xmlns:c16="http://schemas.microsoft.com/office/drawing/2014/chart" uri="{C3380CC4-5D6E-409C-BE32-E72D297353CC}">
              <c16:uniqueId val="{0000000C-9B9F-48BA-A909-BBEB27775E51}"/>
            </c:ext>
          </c:extLst>
        </c:ser>
        <c:ser>
          <c:idx val="13"/>
          <c:order val="13"/>
          <c:tx>
            <c:strRef>
              <c:f>'CO2 - Cenário Base'!$B$75</c:f>
              <c:strCache>
                <c:ptCount val="1"/>
                <c:pt idx="0">
                  <c:v>Vidros</c:v>
                </c:pt>
              </c:strCache>
            </c:strRef>
          </c:tx>
          <c:spPr>
            <a:pattFill prst="wdDnDiag">
              <a:fgClr>
                <a:srgbClr val="FF99CC"/>
              </a:fgClr>
              <a:bgClr>
                <a:srgbClr val="FFFFFF"/>
              </a:bgClr>
            </a:pattFill>
            <a:ln w="12700">
              <a:solidFill>
                <a:srgbClr val="000000"/>
              </a:solidFill>
              <a:prstDash val="solid"/>
            </a:ln>
          </c:spPr>
          <c:invertIfNegative val="0"/>
          <c:cat>
            <c:strRef>
              <c:f>'CO2 - Cenário Base'!$C$61:$D$61</c:f>
              <c:strCache>
                <c:ptCount val="2"/>
                <c:pt idx="0">
                  <c:v>Resíduos reciclados</c:v>
                </c:pt>
                <c:pt idx="1">
                  <c:v>Líquido</c:v>
                </c:pt>
              </c:strCache>
            </c:strRef>
          </c:cat>
          <c:val>
            <c:numRef>
              <c:f>'CO2 - Cenário Base'!$C$75:$D$75</c:f>
              <c:numCache>
                <c:formatCode>General</c:formatCode>
                <c:ptCount val="2"/>
                <c:pt idx="0" formatCode="#,##0">
                  <c:v>0</c:v>
                </c:pt>
              </c:numCache>
            </c:numRef>
          </c:val>
          <c:extLst>
            <c:ext xmlns:c16="http://schemas.microsoft.com/office/drawing/2014/chart" uri="{C3380CC4-5D6E-409C-BE32-E72D297353CC}">
              <c16:uniqueId val="{0000000D-9B9F-48BA-A909-BBEB27775E51}"/>
            </c:ext>
          </c:extLst>
        </c:ser>
        <c:ser>
          <c:idx val="14"/>
          <c:order val="14"/>
          <c:tx>
            <c:strRef>
              <c:f>'CO2 - Cenário Base'!$B$76</c:f>
              <c:strCache>
                <c:ptCount val="1"/>
                <c:pt idx="0">
                  <c:v>Metais ferrosos</c:v>
                </c:pt>
              </c:strCache>
            </c:strRef>
          </c:tx>
          <c:spPr>
            <a:pattFill prst="wdUpDiag">
              <a:fgClr>
                <a:srgbClr val="C0C0C0"/>
              </a:fgClr>
              <a:bgClr>
                <a:srgbClr val="FFFFFF"/>
              </a:bgClr>
            </a:pattFill>
            <a:ln w="12700">
              <a:solidFill>
                <a:srgbClr val="000000"/>
              </a:solidFill>
              <a:prstDash val="solid"/>
            </a:ln>
          </c:spPr>
          <c:invertIfNegative val="0"/>
          <c:cat>
            <c:strRef>
              <c:f>'CO2 - Cenário Base'!$C$61:$D$61</c:f>
              <c:strCache>
                <c:ptCount val="2"/>
                <c:pt idx="0">
                  <c:v>Resíduos reciclados</c:v>
                </c:pt>
                <c:pt idx="1">
                  <c:v>Líquido</c:v>
                </c:pt>
              </c:strCache>
            </c:strRef>
          </c:cat>
          <c:val>
            <c:numRef>
              <c:f>'CO2 - Cenário Base'!$C$76:$D$76</c:f>
              <c:numCache>
                <c:formatCode>General</c:formatCode>
                <c:ptCount val="2"/>
                <c:pt idx="0" formatCode="#,##0">
                  <c:v>-181.33120511999999</c:v>
                </c:pt>
              </c:numCache>
            </c:numRef>
          </c:val>
          <c:extLst>
            <c:ext xmlns:c16="http://schemas.microsoft.com/office/drawing/2014/chart" uri="{C3380CC4-5D6E-409C-BE32-E72D297353CC}">
              <c16:uniqueId val="{0000000E-9B9F-48BA-A909-BBEB27775E51}"/>
            </c:ext>
          </c:extLst>
        </c:ser>
        <c:ser>
          <c:idx val="15"/>
          <c:order val="15"/>
          <c:tx>
            <c:strRef>
              <c:f>'CO2 - Cenário Base'!$B$77</c:f>
              <c:strCache>
                <c:ptCount val="1"/>
                <c:pt idx="0">
                  <c:v>Alumínio</c:v>
                </c:pt>
              </c:strCache>
            </c:strRef>
          </c:tx>
          <c:spPr>
            <a:pattFill prst="wdDnDiag">
              <a:fgClr>
                <a:srgbClr val="993366"/>
              </a:fgClr>
              <a:bgClr>
                <a:srgbClr val="FFFFFF"/>
              </a:bgClr>
            </a:pattFill>
            <a:ln w="12700">
              <a:solidFill>
                <a:srgbClr val="000000"/>
              </a:solidFill>
              <a:prstDash val="solid"/>
            </a:ln>
          </c:spPr>
          <c:invertIfNegative val="0"/>
          <c:cat>
            <c:strRef>
              <c:f>'CO2 - Cenário Base'!$C$61:$D$61</c:f>
              <c:strCache>
                <c:ptCount val="2"/>
                <c:pt idx="0">
                  <c:v>Resíduos reciclados</c:v>
                </c:pt>
                <c:pt idx="1">
                  <c:v>Líquido</c:v>
                </c:pt>
              </c:strCache>
            </c:strRef>
          </c:cat>
          <c:val>
            <c:numRef>
              <c:f>'CO2 - Cenário Base'!$C$77:$D$77</c:f>
              <c:numCache>
                <c:formatCode>General</c:formatCode>
                <c:ptCount val="2"/>
                <c:pt idx="0" formatCode="#,##0">
                  <c:v>-272.99151359999996</c:v>
                </c:pt>
              </c:numCache>
            </c:numRef>
          </c:val>
          <c:extLst>
            <c:ext xmlns:c16="http://schemas.microsoft.com/office/drawing/2014/chart" uri="{C3380CC4-5D6E-409C-BE32-E72D297353CC}">
              <c16:uniqueId val="{0000000F-9B9F-48BA-A909-BBEB27775E51}"/>
            </c:ext>
          </c:extLst>
        </c:ser>
        <c:ser>
          <c:idx val="16"/>
          <c:order val="16"/>
          <c:tx>
            <c:strRef>
              <c:f>'CO2 - Cenário Base'!$B$78</c:f>
              <c:strCache>
                <c:ptCount val="1"/>
                <c:pt idx="0">
                  <c:v>Têxteis</c:v>
                </c:pt>
              </c:strCache>
            </c:strRef>
          </c:tx>
          <c:spPr>
            <a:pattFill prst="wdUpDiag">
              <a:fgClr>
                <a:srgbClr val="9999FF"/>
              </a:fgClr>
              <a:bgClr>
                <a:srgbClr val="FFFFFF"/>
              </a:bgClr>
            </a:pattFill>
            <a:ln w="12700">
              <a:solidFill>
                <a:srgbClr val="000000"/>
              </a:solidFill>
              <a:prstDash val="solid"/>
            </a:ln>
          </c:spPr>
          <c:invertIfNegative val="0"/>
          <c:cat>
            <c:strRef>
              <c:f>'CO2 - Cenário Base'!$C$61:$D$61</c:f>
              <c:strCache>
                <c:ptCount val="2"/>
                <c:pt idx="0">
                  <c:v>Resíduos reciclados</c:v>
                </c:pt>
                <c:pt idx="1">
                  <c:v>Líquido</c:v>
                </c:pt>
              </c:strCache>
            </c:strRef>
          </c:cat>
          <c:val>
            <c:numRef>
              <c:f>'CO2 - Cenário Base'!$C$78:$D$78</c:f>
              <c:numCache>
                <c:formatCode>General</c:formatCode>
                <c:ptCount val="2"/>
                <c:pt idx="0" formatCode="#,##0">
                  <c:v>0</c:v>
                </c:pt>
              </c:numCache>
            </c:numRef>
          </c:val>
          <c:extLst>
            <c:ext xmlns:c16="http://schemas.microsoft.com/office/drawing/2014/chart" uri="{C3380CC4-5D6E-409C-BE32-E72D297353CC}">
              <c16:uniqueId val="{00000010-9B9F-48BA-A909-BBEB27775E51}"/>
            </c:ext>
          </c:extLst>
        </c:ser>
        <c:ser>
          <c:idx val="17"/>
          <c:order val="17"/>
          <c:tx>
            <c:strRef>
              <c:f>'CO2 - Cenário Base'!$B$79</c:f>
              <c:strCache>
                <c:ptCount val="1"/>
                <c:pt idx="0">
                  <c:v>Créditos</c:v>
                </c:pt>
              </c:strCache>
            </c:strRef>
          </c:tx>
          <c:spPr>
            <a:noFill/>
            <a:ln w="25400">
              <a:noFill/>
            </a:ln>
          </c:spPr>
          <c:invertIfNegative val="0"/>
          <c:cat>
            <c:strRef>
              <c:f>'CO2 - Cenário Base'!$C$61:$D$61</c:f>
              <c:strCache>
                <c:ptCount val="2"/>
                <c:pt idx="0">
                  <c:v>Resíduos reciclados</c:v>
                </c:pt>
                <c:pt idx="1">
                  <c:v>Líquido</c:v>
                </c:pt>
              </c:strCache>
            </c:strRef>
          </c:cat>
          <c:val>
            <c:numRef>
              <c:f>'CO2 - Cenário Base'!$C$79:$D$79</c:f>
              <c:numCache>
                <c:formatCode>#,##0</c:formatCode>
                <c:ptCount val="2"/>
              </c:numCache>
            </c:numRef>
          </c:val>
          <c:extLst>
            <c:ext xmlns:c16="http://schemas.microsoft.com/office/drawing/2014/chart" uri="{C3380CC4-5D6E-409C-BE32-E72D297353CC}">
              <c16:uniqueId val="{00000011-9B9F-48BA-A909-BBEB27775E51}"/>
            </c:ext>
          </c:extLst>
        </c:ser>
        <c:ser>
          <c:idx val="18"/>
          <c:order val="18"/>
          <c:tx>
            <c:strRef>
              <c:f>'CO2 - Cenário Base'!$B$80</c:f>
              <c:strCache>
                <c:ptCount val="1"/>
                <c:pt idx="0">
                  <c:v>Líquidos</c:v>
                </c:pt>
              </c:strCache>
            </c:strRef>
          </c:tx>
          <c:spPr>
            <a:solidFill>
              <a:srgbClr val="0000FF"/>
            </a:solidFill>
            <a:ln w="12700">
              <a:solidFill>
                <a:srgbClr val="000000"/>
              </a:solidFill>
              <a:prstDash val="solid"/>
            </a:ln>
          </c:spPr>
          <c:invertIfNegative val="0"/>
          <c:cat>
            <c:strRef>
              <c:f>'CO2 - Cenário Base'!$C$61:$D$61</c:f>
              <c:strCache>
                <c:ptCount val="2"/>
                <c:pt idx="0">
                  <c:v>Resíduos reciclados</c:v>
                </c:pt>
                <c:pt idx="1">
                  <c:v>Líquido</c:v>
                </c:pt>
              </c:strCache>
            </c:strRef>
          </c:cat>
          <c:val>
            <c:numRef>
              <c:f>'CO2 - Cenário Base'!$C$80:$D$80</c:f>
              <c:numCache>
                <c:formatCode>#,##0</c:formatCode>
                <c:ptCount val="2"/>
                <c:pt idx="1">
                  <c:v>-982.56912624000006</c:v>
                </c:pt>
              </c:numCache>
            </c:numRef>
          </c:val>
          <c:extLst>
            <c:ext xmlns:c16="http://schemas.microsoft.com/office/drawing/2014/chart" uri="{C3380CC4-5D6E-409C-BE32-E72D297353CC}">
              <c16:uniqueId val="{00000012-9B9F-48BA-A909-BBEB27775E51}"/>
            </c:ext>
          </c:extLst>
        </c:ser>
        <c:dLbls>
          <c:showLegendKey val="0"/>
          <c:showVal val="0"/>
          <c:showCatName val="0"/>
          <c:showSerName val="0"/>
          <c:showPercent val="0"/>
          <c:showBubbleSize val="0"/>
        </c:dLbls>
        <c:gapWidth val="100"/>
        <c:overlap val="100"/>
        <c:axId val="196294912"/>
        <c:axId val="196300800"/>
      </c:barChart>
      <c:catAx>
        <c:axId val="196294912"/>
        <c:scaling>
          <c:orientation val="minMax"/>
        </c:scaling>
        <c:delete val="0"/>
        <c:axPos val="b"/>
        <c:numFmt formatCode="General" sourceLinked="1"/>
        <c:majorTickMark val="out"/>
        <c:minorTickMark val="none"/>
        <c:tickLblPos val="low"/>
        <c:spPr>
          <a:ln w="3175">
            <a:solidFill>
              <a:srgbClr val="000000"/>
            </a:solidFill>
            <a:prstDash val="solid"/>
          </a:ln>
        </c:spPr>
        <c:txPr>
          <a:bodyPr rot="0" vert="horz"/>
          <a:lstStyle/>
          <a:p>
            <a:pPr>
              <a:defRPr sz="875" b="1" i="0" u="none" strike="noStrike" baseline="0">
                <a:solidFill>
                  <a:srgbClr val="000000"/>
                </a:solidFill>
                <a:latin typeface="Arial"/>
                <a:ea typeface="Arial"/>
                <a:cs typeface="Arial"/>
              </a:defRPr>
            </a:pPr>
            <a:endParaRPr lang="pt-BR"/>
          </a:p>
        </c:txPr>
        <c:crossAx val="196300800"/>
        <c:crosses val="autoZero"/>
        <c:auto val="1"/>
        <c:lblAlgn val="ctr"/>
        <c:lblOffset val="100"/>
        <c:tickLblSkip val="1"/>
        <c:tickMarkSkip val="1"/>
        <c:noMultiLvlLbl val="0"/>
      </c:catAx>
      <c:valAx>
        <c:axId val="196300800"/>
        <c:scaling>
          <c:orientation val="minMax"/>
        </c:scaling>
        <c:delete val="0"/>
        <c:axPos val="l"/>
        <c:majorGridlines>
          <c:spPr>
            <a:ln w="3175">
              <a:solidFill>
                <a:srgbClr val="000000"/>
              </a:solidFill>
              <a:prstDash val="solid"/>
            </a:ln>
          </c:spPr>
        </c:majorGridlines>
        <c:title>
          <c:tx>
            <c:rich>
              <a:bodyPr/>
              <a:lstStyle/>
              <a:p>
                <a:pPr>
                  <a:defRPr sz="875" b="1" i="0" u="none" strike="noStrike" baseline="0">
                    <a:solidFill>
                      <a:sysClr val="windowText" lastClr="000000"/>
                    </a:solidFill>
                    <a:latin typeface="Arial"/>
                    <a:ea typeface="Arial"/>
                    <a:cs typeface="Arial"/>
                  </a:defRPr>
                </a:pPr>
                <a:r>
                  <a:rPr lang="de-DE">
                    <a:solidFill>
                      <a:sysClr val="windowText" lastClr="000000"/>
                    </a:solidFill>
                  </a:rPr>
                  <a:t>tonelada CO2-eq / ano</a:t>
                </a:r>
              </a:p>
            </c:rich>
          </c:tx>
          <c:layout>
            <c:manualLayout>
              <c:xMode val="edge"/>
              <c:yMode val="edge"/>
              <c:x val="2.142355967880253E-2"/>
              <c:y val="0.36337289770710562"/>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75" b="0" i="0" u="none" strike="noStrike" baseline="0">
                <a:solidFill>
                  <a:srgbClr val="000000"/>
                </a:solidFill>
                <a:latin typeface="Arial"/>
                <a:ea typeface="Arial"/>
                <a:cs typeface="Arial"/>
              </a:defRPr>
            </a:pPr>
            <a:endParaRPr lang="pt-BR"/>
          </a:p>
        </c:txPr>
        <c:crossAx val="196294912"/>
        <c:crosses val="autoZero"/>
        <c:crossBetween val="between"/>
      </c:valAx>
      <c:spPr>
        <a:noFill/>
        <a:ln w="12700">
          <a:solidFill>
            <a:srgbClr val="808080"/>
          </a:solidFill>
          <a:prstDash val="solid"/>
        </a:ln>
      </c:spPr>
    </c:plotArea>
    <c:legend>
      <c:legendPos val="r"/>
      <c:legendEntry>
        <c:idx val="0"/>
        <c:txPr>
          <a:bodyPr/>
          <a:lstStyle/>
          <a:p>
            <a:pPr>
              <a:defRPr sz="755" b="1" i="0" u="none" strike="noStrike" baseline="0">
                <a:solidFill>
                  <a:srgbClr val="000000"/>
                </a:solidFill>
                <a:latin typeface="Arial"/>
                <a:ea typeface="Arial"/>
                <a:cs typeface="Arial"/>
              </a:defRPr>
            </a:pPr>
            <a:endParaRPr lang="pt-BR"/>
          </a:p>
        </c:txPr>
      </c:legendEntry>
      <c:legendEntry>
        <c:idx val="1"/>
        <c:txPr>
          <a:bodyPr/>
          <a:lstStyle/>
          <a:p>
            <a:pPr>
              <a:defRPr sz="755" b="1" i="0" u="none" strike="noStrike" baseline="0">
                <a:solidFill>
                  <a:srgbClr val="000000"/>
                </a:solidFill>
                <a:latin typeface="Arial"/>
                <a:ea typeface="Arial"/>
                <a:cs typeface="Arial"/>
              </a:defRPr>
            </a:pPr>
            <a:endParaRPr lang="pt-BR"/>
          </a:p>
        </c:txPr>
      </c:legendEntry>
      <c:legendEntry>
        <c:idx val="4"/>
        <c:txPr>
          <a:bodyPr/>
          <a:lstStyle/>
          <a:p>
            <a:pPr>
              <a:defRPr sz="755" b="0" i="0" u="none" strike="noStrike" baseline="0">
                <a:solidFill>
                  <a:srgbClr val="000000"/>
                </a:solidFill>
                <a:latin typeface="Arial"/>
                <a:ea typeface="Arial"/>
                <a:cs typeface="Arial"/>
              </a:defRPr>
            </a:pPr>
            <a:endParaRPr lang="pt-BR"/>
          </a:p>
        </c:txPr>
      </c:legendEntry>
      <c:legendEntry>
        <c:idx val="5"/>
        <c:txPr>
          <a:bodyPr/>
          <a:lstStyle/>
          <a:p>
            <a:pPr>
              <a:defRPr sz="755" b="0" i="0" u="none" strike="noStrike" baseline="0">
                <a:solidFill>
                  <a:srgbClr val="000000"/>
                </a:solidFill>
                <a:latin typeface="Arial"/>
                <a:ea typeface="Arial"/>
                <a:cs typeface="Arial"/>
              </a:defRPr>
            </a:pPr>
            <a:endParaRPr lang="pt-BR"/>
          </a:p>
        </c:txPr>
      </c:legendEntry>
      <c:legendEntry>
        <c:idx val="6"/>
        <c:txPr>
          <a:bodyPr/>
          <a:lstStyle/>
          <a:p>
            <a:pPr>
              <a:defRPr sz="755" b="0" i="0" u="none" strike="noStrike" baseline="0">
                <a:solidFill>
                  <a:srgbClr val="000000"/>
                </a:solidFill>
                <a:latin typeface="Arial"/>
                <a:ea typeface="Arial"/>
                <a:cs typeface="Arial"/>
              </a:defRPr>
            </a:pPr>
            <a:endParaRPr lang="pt-BR"/>
          </a:p>
        </c:txPr>
      </c:legendEntry>
      <c:legendEntry>
        <c:idx val="7"/>
        <c:txPr>
          <a:bodyPr/>
          <a:lstStyle/>
          <a:p>
            <a:pPr>
              <a:defRPr sz="755" b="0" i="0" u="none" strike="noStrike" baseline="0">
                <a:solidFill>
                  <a:srgbClr val="000000"/>
                </a:solidFill>
                <a:latin typeface="Arial"/>
                <a:ea typeface="Arial"/>
                <a:cs typeface="Arial"/>
              </a:defRPr>
            </a:pPr>
            <a:endParaRPr lang="pt-BR"/>
          </a:p>
        </c:txPr>
      </c:legendEntry>
      <c:legendEntry>
        <c:idx val="9"/>
        <c:txPr>
          <a:bodyPr/>
          <a:lstStyle/>
          <a:p>
            <a:pPr>
              <a:defRPr sz="755" b="0" i="0" u="none" strike="noStrike" baseline="0">
                <a:solidFill>
                  <a:srgbClr val="000000"/>
                </a:solidFill>
                <a:latin typeface="Arial"/>
                <a:ea typeface="Arial"/>
                <a:cs typeface="Arial"/>
              </a:defRPr>
            </a:pPr>
            <a:endParaRPr lang="pt-BR"/>
          </a:p>
        </c:txPr>
      </c:legendEntry>
      <c:legendEntry>
        <c:idx val="10"/>
        <c:txPr>
          <a:bodyPr/>
          <a:lstStyle/>
          <a:p>
            <a:pPr>
              <a:defRPr sz="755" b="1" i="0" u="none" strike="noStrike" baseline="0">
                <a:solidFill>
                  <a:srgbClr val="000000"/>
                </a:solidFill>
                <a:latin typeface="Arial"/>
                <a:ea typeface="Arial"/>
                <a:cs typeface="Arial"/>
              </a:defRPr>
            </a:pPr>
            <a:endParaRPr lang="pt-BR"/>
          </a:p>
        </c:txPr>
      </c:legendEntry>
      <c:legendEntry>
        <c:idx val="12"/>
        <c:txPr>
          <a:bodyPr/>
          <a:lstStyle/>
          <a:p>
            <a:pPr>
              <a:defRPr sz="755" b="0" i="0" u="none" strike="noStrike" baseline="0">
                <a:solidFill>
                  <a:srgbClr val="000000"/>
                </a:solidFill>
                <a:latin typeface="Arial"/>
                <a:ea typeface="Arial"/>
                <a:cs typeface="Arial"/>
              </a:defRPr>
            </a:pPr>
            <a:endParaRPr lang="pt-BR"/>
          </a:p>
        </c:txPr>
      </c:legendEntry>
      <c:legendEntry>
        <c:idx val="13"/>
        <c:txPr>
          <a:bodyPr/>
          <a:lstStyle/>
          <a:p>
            <a:pPr>
              <a:defRPr sz="755" b="0" i="0" u="none" strike="noStrike" baseline="0">
                <a:solidFill>
                  <a:srgbClr val="000000"/>
                </a:solidFill>
                <a:latin typeface="Arial"/>
                <a:ea typeface="Arial"/>
                <a:cs typeface="Arial"/>
              </a:defRPr>
            </a:pPr>
            <a:endParaRPr lang="pt-BR"/>
          </a:p>
        </c:txPr>
      </c:legendEntry>
      <c:layout>
        <c:manualLayout>
          <c:xMode val="edge"/>
          <c:yMode val="edge"/>
          <c:x val="0.69944751381215453"/>
          <c:y val="1.5988417481653919E-2"/>
          <c:w val="0.28839779005524885"/>
          <c:h val="0.91279328895260536"/>
        </c:manualLayout>
      </c:layout>
      <c:overlay val="0"/>
      <c:spPr>
        <a:solidFill>
          <a:srgbClr val="FFFFFF"/>
        </a:solidFill>
        <a:ln w="3175">
          <a:solidFill>
            <a:srgbClr val="000000"/>
          </a:solidFill>
          <a:prstDash val="solid"/>
        </a:ln>
      </c:spPr>
      <c:txPr>
        <a:bodyPr/>
        <a:lstStyle/>
        <a:p>
          <a:pPr>
            <a:defRPr sz="755" b="0" i="0" u="none" strike="noStrike" baseline="0">
              <a:solidFill>
                <a:srgbClr val="000000"/>
              </a:solidFill>
              <a:latin typeface="Arial"/>
              <a:ea typeface="Arial"/>
              <a:cs typeface="Arial"/>
            </a:defRPr>
          </a:pPr>
          <a:endParaRPr lang="pt-BR"/>
        </a:p>
      </c:txPr>
    </c:legend>
    <c:plotVisOnly val="1"/>
    <c:dispBlanksAs val="gap"/>
    <c:showDLblsOverMax val="0"/>
  </c:chart>
  <c:spPr>
    <a:solidFill>
      <a:srgbClr val="FFFFFF"/>
    </a:solid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pt-BR"/>
    </a:p>
  </c:txPr>
  <c:printSettings>
    <c:headerFooter alignWithMargins="0"/>
    <c:pageMargins b="0.98425196899999978" l="0.78740157499999996" r="0.78740157499999996" t="0.98425196899999978" header="0.49212598450000011" footer="0.49212598450000011"/>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75" b="1" i="0" u="none" strike="noStrike" baseline="0">
                <a:solidFill>
                  <a:srgbClr val="000000"/>
                </a:solidFill>
                <a:latin typeface="Arial"/>
                <a:ea typeface="Arial"/>
                <a:cs typeface="Arial"/>
              </a:defRPr>
            </a:pPr>
            <a:r>
              <a:rPr lang="de-DE"/>
              <a:t>Emissões de </a:t>
            </a:r>
            <a:r>
              <a:rPr lang="de-DE">
                <a:solidFill>
                  <a:sysClr val="windowText" lastClr="000000"/>
                </a:solidFill>
              </a:rPr>
              <a:t>GEE </a:t>
            </a:r>
            <a:r>
              <a:rPr lang="pt-BR" sz="975" b="0" i="0" u="none" strike="noStrike" baseline="0">
                <a:solidFill>
                  <a:sysClr val="windowText" lastClr="000000"/>
                </a:solidFill>
                <a:effectLst/>
              </a:rPr>
              <a:t>—</a:t>
            </a:r>
            <a:r>
              <a:rPr lang="de-DE">
                <a:solidFill>
                  <a:sysClr val="windowText" lastClr="000000"/>
                </a:solidFill>
              </a:rPr>
              <a:t> Descarte</a:t>
            </a:r>
          </a:p>
        </c:rich>
      </c:tx>
      <c:layout>
        <c:manualLayout>
          <c:xMode val="edge"/>
          <c:yMode val="edge"/>
          <c:x val="0.29557157569515985"/>
          <c:y val="1.5172413793103448E-2"/>
        </c:manualLayout>
      </c:layout>
      <c:overlay val="0"/>
      <c:spPr>
        <a:noFill/>
        <a:ln w="25400">
          <a:noFill/>
        </a:ln>
      </c:spPr>
    </c:title>
    <c:autoTitleDeleted val="0"/>
    <c:plotArea>
      <c:layout>
        <c:manualLayout>
          <c:layoutTarget val="inner"/>
          <c:xMode val="edge"/>
          <c:yMode val="edge"/>
          <c:x val="0.18846555325663103"/>
          <c:y val="0.12326291283313692"/>
          <c:w val="0.52626158599382056"/>
          <c:h val="0.76137931034482786"/>
        </c:manualLayout>
      </c:layout>
      <c:barChart>
        <c:barDir val="col"/>
        <c:grouping val="stacked"/>
        <c:varyColors val="0"/>
        <c:ser>
          <c:idx val="0"/>
          <c:order val="0"/>
          <c:tx>
            <c:strRef>
              <c:f>'CO2 - Cenário Base'!$K$62</c:f>
              <c:strCache>
                <c:ptCount val="1"/>
                <c:pt idx="0">
                  <c:v>Resíduos dispersos</c:v>
                </c:pt>
              </c:strCache>
            </c:strRef>
          </c:tx>
          <c:spPr>
            <a:solidFill>
              <a:srgbClr val="FFFFFF"/>
            </a:solidFill>
            <a:ln w="12700">
              <a:solidFill>
                <a:srgbClr val="000000"/>
              </a:solidFill>
              <a:prstDash val="solid"/>
            </a:ln>
          </c:spPr>
          <c:invertIfNegative val="0"/>
          <c:cat>
            <c:strRef>
              <c:f>'CO2 - Cenário Base'!$L$61:$M$61</c:f>
              <c:strCache>
                <c:ptCount val="2"/>
                <c:pt idx="0">
                  <c:v>Resíduos descartados</c:v>
                </c:pt>
                <c:pt idx="1">
                  <c:v>Líquido</c:v>
                </c:pt>
              </c:strCache>
            </c:strRef>
          </c:cat>
          <c:val>
            <c:numRef>
              <c:f>'CO2 - Cenário Base'!$L$62:$M$62</c:f>
              <c:numCache>
                <c:formatCode>General</c:formatCode>
                <c:ptCount val="2"/>
                <c:pt idx="0" formatCode="#,##0">
                  <c:v>0</c:v>
                </c:pt>
              </c:numCache>
            </c:numRef>
          </c:val>
          <c:extLst>
            <c:ext xmlns:c16="http://schemas.microsoft.com/office/drawing/2014/chart" uri="{C3380CC4-5D6E-409C-BE32-E72D297353CC}">
              <c16:uniqueId val="{00000000-8C91-42AD-958F-CCD7FBCC0E84}"/>
            </c:ext>
          </c:extLst>
        </c:ser>
        <c:ser>
          <c:idx val="1"/>
          <c:order val="1"/>
          <c:tx>
            <c:strRef>
              <c:f>'CO2 - Cenário Base'!$K$63</c:f>
              <c:strCache>
                <c:ptCount val="1"/>
                <c:pt idx="0">
                  <c:v>Queima a céu aberto</c:v>
                </c:pt>
              </c:strCache>
            </c:strRef>
          </c:tx>
          <c:spPr>
            <a:solidFill>
              <a:srgbClr val="FF8080"/>
            </a:solidFill>
            <a:ln w="12700">
              <a:solidFill>
                <a:srgbClr val="000000"/>
              </a:solidFill>
              <a:prstDash val="solid"/>
            </a:ln>
          </c:spPr>
          <c:invertIfNegative val="0"/>
          <c:cat>
            <c:strRef>
              <c:f>'CO2 - Cenário Base'!$L$61:$M$61</c:f>
              <c:strCache>
                <c:ptCount val="2"/>
                <c:pt idx="0">
                  <c:v>Resíduos descartados</c:v>
                </c:pt>
                <c:pt idx="1">
                  <c:v>Líquido</c:v>
                </c:pt>
              </c:strCache>
            </c:strRef>
          </c:cat>
          <c:val>
            <c:numRef>
              <c:f>'CO2 - Cenário Base'!$L$63:$M$63</c:f>
              <c:numCache>
                <c:formatCode>General</c:formatCode>
                <c:ptCount val="2"/>
                <c:pt idx="0" formatCode="#,##0">
                  <c:v>0</c:v>
                </c:pt>
              </c:numCache>
            </c:numRef>
          </c:val>
          <c:extLst>
            <c:ext xmlns:c16="http://schemas.microsoft.com/office/drawing/2014/chart" uri="{C3380CC4-5D6E-409C-BE32-E72D297353CC}">
              <c16:uniqueId val="{00000001-8C91-42AD-958F-CCD7FBCC0E84}"/>
            </c:ext>
          </c:extLst>
        </c:ser>
        <c:ser>
          <c:idx val="2"/>
          <c:order val="2"/>
          <c:tx>
            <c:strRef>
              <c:f>'CO2 - Cenário Base'!$K$64</c:f>
              <c:strCache>
                <c:ptCount val="1"/>
                <c:pt idx="0">
                  <c:v>Lixão não controlado</c:v>
                </c:pt>
              </c:strCache>
            </c:strRef>
          </c:tx>
          <c:spPr>
            <a:solidFill>
              <a:srgbClr val="993300"/>
            </a:solidFill>
            <a:ln w="12700">
              <a:solidFill>
                <a:srgbClr val="000000"/>
              </a:solidFill>
              <a:prstDash val="solid"/>
            </a:ln>
          </c:spPr>
          <c:invertIfNegative val="0"/>
          <c:cat>
            <c:strRef>
              <c:f>'CO2 - Cenário Base'!$L$61:$M$61</c:f>
              <c:strCache>
                <c:ptCount val="2"/>
                <c:pt idx="0">
                  <c:v>Resíduos descartados</c:v>
                </c:pt>
                <c:pt idx="1">
                  <c:v>Líquido</c:v>
                </c:pt>
              </c:strCache>
            </c:strRef>
          </c:cat>
          <c:val>
            <c:numRef>
              <c:f>'CO2 - Cenário Base'!$L$64:$M$64</c:f>
              <c:numCache>
                <c:formatCode>General</c:formatCode>
                <c:ptCount val="2"/>
                <c:pt idx="0" formatCode="#,##0">
                  <c:v>0</c:v>
                </c:pt>
              </c:numCache>
            </c:numRef>
          </c:val>
          <c:extLst>
            <c:ext xmlns:c16="http://schemas.microsoft.com/office/drawing/2014/chart" uri="{C3380CC4-5D6E-409C-BE32-E72D297353CC}">
              <c16:uniqueId val="{00000002-8C91-42AD-958F-CCD7FBCC0E84}"/>
            </c:ext>
          </c:extLst>
        </c:ser>
        <c:ser>
          <c:idx val="3"/>
          <c:order val="3"/>
          <c:tx>
            <c:strRef>
              <c:f>'CO2 - Cenário Base'!$K$65</c:f>
              <c:strCache>
                <c:ptCount val="1"/>
                <c:pt idx="0">
                  <c:v>Aterro controlado</c:v>
                </c:pt>
              </c:strCache>
            </c:strRef>
          </c:tx>
          <c:spPr>
            <a:solidFill>
              <a:srgbClr val="99CC00"/>
            </a:solidFill>
            <a:ln w="12700">
              <a:solidFill>
                <a:srgbClr val="000000"/>
              </a:solidFill>
              <a:prstDash val="solid"/>
            </a:ln>
          </c:spPr>
          <c:invertIfNegative val="0"/>
          <c:cat>
            <c:strRef>
              <c:f>'CO2 - Cenário Base'!$L$61:$M$61</c:f>
              <c:strCache>
                <c:ptCount val="2"/>
                <c:pt idx="0">
                  <c:v>Resíduos descartados</c:v>
                </c:pt>
                <c:pt idx="1">
                  <c:v>Líquido</c:v>
                </c:pt>
              </c:strCache>
            </c:strRef>
          </c:cat>
          <c:val>
            <c:numRef>
              <c:f>'CO2 - Cenário Base'!$L$65:$M$65</c:f>
              <c:numCache>
                <c:formatCode>General</c:formatCode>
                <c:ptCount val="2"/>
                <c:pt idx="0" formatCode="#,##0">
                  <c:v>0</c:v>
                </c:pt>
              </c:numCache>
            </c:numRef>
          </c:val>
          <c:extLst>
            <c:ext xmlns:c16="http://schemas.microsoft.com/office/drawing/2014/chart" uri="{C3380CC4-5D6E-409C-BE32-E72D297353CC}">
              <c16:uniqueId val="{00000003-8C91-42AD-958F-CCD7FBCC0E84}"/>
            </c:ext>
          </c:extLst>
        </c:ser>
        <c:ser>
          <c:idx val="4"/>
          <c:order val="4"/>
          <c:tx>
            <c:strRef>
              <c:f>'CO2 - Cenário Base'!$K$66</c:f>
              <c:strCache>
                <c:ptCount val="1"/>
                <c:pt idx="0">
                  <c:v>Aterro sanitário</c:v>
                </c:pt>
              </c:strCache>
            </c:strRef>
          </c:tx>
          <c:spPr>
            <a:solidFill>
              <a:srgbClr val="FFFF00"/>
            </a:solidFill>
            <a:ln w="12700">
              <a:solidFill>
                <a:srgbClr val="000000"/>
              </a:solidFill>
              <a:prstDash val="solid"/>
            </a:ln>
          </c:spPr>
          <c:invertIfNegative val="0"/>
          <c:cat>
            <c:strRef>
              <c:f>'CO2 - Cenário Base'!$L$61:$M$61</c:f>
              <c:strCache>
                <c:ptCount val="2"/>
                <c:pt idx="0">
                  <c:v>Resíduos descartados</c:v>
                </c:pt>
                <c:pt idx="1">
                  <c:v>Líquido</c:v>
                </c:pt>
              </c:strCache>
            </c:strRef>
          </c:cat>
          <c:val>
            <c:numRef>
              <c:f>'CO2 - Cenário Base'!$L$66:$M$66</c:f>
              <c:numCache>
                <c:formatCode>General</c:formatCode>
                <c:ptCount val="2"/>
                <c:pt idx="0" formatCode="#,##0">
                  <c:v>26393.084303869578</c:v>
                </c:pt>
              </c:numCache>
            </c:numRef>
          </c:val>
          <c:extLst>
            <c:ext xmlns:c16="http://schemas.microsoft.com/office/drawing/2014/chart" uri="{C3380CC4-5D6E-409C-BE32-E72D297353CC}">
              <c16:uniqueId val="{00000004-8C91-42AD-958F-CCD7FBCC0E84}"/>
            </c:ext>
          </c:extLst>
        </c:ser>
        <c:ser>
          <c:idx val="5"/>
          <c:order val="5"/>
          <c:tx>
            <c:strRef>
              <c:f>'CO2 - Cenário Base'!$K$67</c:f>
              <c:strCache>
                <c:ptCount val="1"/>
                <c:pt idx="0">
                  <c:v>Trat. biol + cobertura at.</c:v>
                </c:pt>
              </c:strCache>
            </c:strRef>
          </c:tx>
          <c:spPr>
            <a:solidFill>
              <a:srgbClr val="FF00FF"/>
            </a:solidFill>
            <a:ln w="12700">
              <a:solidFill>
                <a:srgbClr val="000000"/>
              </a:solidFill>
              <a:prstDash val="solid"/>
            </a:ln>
          </c:spPr>
          <c:invertIfNegative val="0"/>
          <c:cat>
            <c:strRef>
              <c:f>'CO2 - Cenário Base'!$L$61:$M$61</c:f>
              <c:strCache>
                <c:ptCount val="2"/>
                <c:pt idx="0">
                  <c:v>Resíduos descartados</c:v>
                </c:pt>
                <c:pt idx="1">
                  <c:v>Líquido</c:v>
                </c:pt>
              </c:strCache>
            </c:strRef>
          </c:cat>
          <c:val>
            <c:numRef>
              <c:f>'CO2 - Cenário Base'!$L$67:$M$67</c:f>
              <c:numCache>
                <c:formatCode>General</c:formatCode>
                <c:ptCount val="2"/>
                <c:pt idx="0" formatCode="#,##0">
                  <c:v>0</c:v>
                </c:pt>
              </c:numCache>
            </c:numRef>
          </c:val>
          <c:extLst>
            <c:ext xmlns:c16="http://schemas.microsoft.com/office/drawing/2014/chart" uri="{C3380CC4-5D6E-409C-BE32-E72D297353CC}">
              <c16:uniqueId val="{00000005-8C91-42AD-958F-CCD7FBCC0E84}"/>
            </c:ext>
          </c:extLst>
        </c:ser>
        <c:ser>
          <c:idx val="6"/>
          <c:order val="6"/>
          <c:tx>
            <c:strRef>
              <c:f>'CO2 - Cenário Base'!$K$68</c:f>
              <c:strCache>
                <c:ptCount val="1"/>
                <c:pt idx="0">
                  <c:v>CDR seco + rejeito aterro</c:v>
                </c:pt>
              </c:strCache>
            </c:strRef>
          </c:tx>
          <c:spPr>
            <a:solidFill>
              <a:srgbClr val="008080"/>
            </a:solidFill>
            <a:ln w="12700">
              <a:solidFill>
                <a:srgbClr val="000000"/>
              </a:solidFill>
              <a:prstDash val="solid"/>
            </a:ln>
          </c:spPr>
          <c:invertIfNegative val="0"/>
          <c:cat>
            <c:strRef>
              <c:f>'CO2 - Cenário Base'!$L$61:$M$61</c:f>
              <c:strCache>
                <c:ptCount val="2"/>
                <c:pt idx="0">
                  <c:v>Resíduos descartados</c:v>
                </c:pt>
                <c:pt idx="1">
                  <c:v>Líquido</c:v>
                </c:pt>
              </c:strCache>
            </c:strRef>
          </c:cat>
          <c:val>
            <c:numRef>
              <c:f>'CO2 - Cenário Base'!$L$68:$M$68</c:f>
              <c:numCache>
                <c:formatCode>General</c:formatCode>
                <c:ptCount val="2"/>
                <c:pt idx="0" formatCode="#,##0">
                  <c:v>0</c:v>
                </c:pt>
              </c:numCache>
            </c:numRef>
          </c:val>
          <c:extLst>
            <c:ext xmlns:c16="http://schemas.microsoft.com/office/drawing/2014/chart" uri="{C3380CC4-5D6E-409C-BE32-E72D297353CC}">
              <c16:uniqueId val="{00000006-8C91-42AD-958F-CCD7FBCC0E84}"/>
            </c:ext>
          </c:extLst>
        </c:ser>
        <c:ser>
          <c:idx val="7"/>
          <c:order val="7"/>
          <c:tx>
            <c:strRef>
              <c:f>'CO2 - Cenário Base'!$K$69</c:f>
              <c:strCache>
                <c:ptCount val="1"/>
                <c:pt idx="0">
                  <c:v>CDR seco + trat. biol.</c:v>
                </c:pt>
              </c:strCache>
            </c:strRef>
          </c:tx>
          <c:spPr>
            <a:solidFill>
              <a:srgbClr val="FF9900"/>
            </a:solidFill>
            <a:ln w="12700">
              <a:solidFill>
                <a:srgbClr val="000000"/>
              </a:solidFill>
              <a:prstDash val="solid"/>
            </a:ln>
          </c:spPr>
          <c:invertIfNegative val="0"/>
          <c:cat>
            <c:strRef>
              <c:f>'CO2 - Cenário Base'!$L$61:$M$61</c:f>
              <c:strCache>
                <c:ptCount val="2"/>
                <c:pt idx="0">
                  <c:v>Resíduos descartados</c:v>
                </c:pt>
                <c:pt idx="1">
                  <c:v>Líquido</c:v>
                </c:pt>
              </c:strCache>
            </c:strRef>
          </c:cat>
          <c:val>
            <c:numRef>
              <c:f>'CO2 - Cenário Base'!$L$69:$M$69</c:f>
              <c:numCache>
                <c:formatCode>General</c:formatCode>
                <c:ptCount val="2"/>
                <c:pt idx="0" formatCode="#,##0">
                  <c:v>0</c:v>
                </c:pt>
              </c:numCache>
            </c:numRef>
          </c:val>
          <c:extLst>
            <c:ext xmlns:c16="http://schemas.microsoft.com/office/drawing/2014/chart" uri="{C3380CC4-5D6E-409C-BE32-E72D297353CC}">
              <c16:uniqueId val="{00000007-8C91-42AD-958F-CCD7FBCC0E84}"/>
            </c:ext>
          </c:extLst>
        </c:ser>
        <c:ser>
          <c:idx val="21"/>
          <c:order val="8"/>
          <c:tx>
            <c:strRef>
              <c:f>'CO2 - Cenário Base'!$K$70</c:f>
              <c:strCache>
                <c:ptCount val="1"/>
                <c:pt idx="0">
                  <c:v>CDR seco + CDR org.</c:v>
                </c:pt>
              </c:strCache>
            </c:strRef>
          </c:tx>
          <c:spPr>
            <a:solidFill>
              <a:srgbClr val="00B0F0"/>
            </a:solidFill>
            <a:ln w="12700">
              <a:solidFill>
                <a:srgbClr val="000000"/>
              </a:solidFill>
            </a:ln>
          </c:spPr>
          <c:invertIfNegative val="0"/>
          <c:cat>
            <c:strRef>
              <c:f>'CO2 - Cenário Base'!$L$61:$M$61</c:f>
              <c:strCache>
                <c:ptCount val="2"/>
                <c:pt idx="0">
                  <c:v>Resíduos descartados</c:v>
                </c:pt>
                <c:pt idx="1">
                  <c:v>Líquido</c:v>
                </c:pt>
              </c:strCache>
            </c:strRef>
          </c:cat>
          <c:val>
            <c:numRef>
              <c:f>'CO2 - Cenário Base'!$L$70:$M$70</c:f>
              <c:numCache>
                <c:formatCode>General</c:formatCode>
                <c:ptCount val="2"/>
                <c:pt idx="0" formatCode="#,##0">
                  <c:v>0</c:v>
                </c:pt>
              </c:numCache>
            </c:numRef>
          </c:val>
          <c:extLst>
            <c:ext xmlns:c16="http://schemas.microsoft.com/office/drawing/2014/chart" uri="{C3380CC4-5D6E-409C-BE32-E72D297353CC}">
              <c16:uniqueId val="{00000008-8C91-42AD-958F-CCD7FBCC0E84}"/>
            </c:ext>
          </c:extLst>
        </c:ser>
        <c:ser>
          <c:idx val="8"/>
          <c:order val="9"/>
          <c:tx>
            <c:strRef>
              <c:f>'CO2 - Cenário Base'!$K$71</c:f>
              <c:strCache>
                <c:ptCount val="1"/>
                <c:pt idx="0">
                  <c:v>Incineração</c:v>
                </c:pt>
              </c:strCache>
            </c:strRef>
          </c:tx>
          <c:spPr>
            <a:solidFill>
              <a:srgbClr val="CCCCFF"/>
            </a:solidFill>
            <a:ln w="12700">
              <a:solidFill>
                <a:srgbClr val="000000"/>
              </a:solidFill>
              <a:prstDash val="solid"/>
            </a:ln>
          </c:spPr>
          <c:invertIfNegative val="0"/>
          <c:cat>
            <c:strRef>
              <c:f>'CO2 - Cenário Base'!$L$61:$M$61</c:f>
              <c:strCache>
                <c:ptCount val="2"/>
                <c:pt idx="0">
                  <c:v>Resíduos descartados</c:v>
                </c:pt>
                <c:pt idx="1">
                  <c:v>Líquido</c:v>
                </c:pt>
              </c:strCache>
            </c:strRef>
          </c:cat>
          <c:val>
            <c:numRef>
              <c:f>'CO2 - Cenário Base'!$L$71:$M$71</c:f>
              <c:numCache>
                <c:formatCode>General</c:formatCode>
                <c:ptCount val="2"/>
                <c:pt idx="0" formatCode="#,##0">
                  <c:v>0</c:v>
                </c:pt>
              </c:numCache>
            </c:numRef>
          </c:val>
          <c:extLst>
            <c:ext xmlns:c16="http://schemas.microsoft.com/office/drawing/2014/chart" uri="{C3380CC4-5D6E-409C-BE32-E72D297353CC}">
              <c16:uniqueId val="{00000009-8C91-42AD-958F-CCD7FBCC0E84}"/>
            </c:ext>
          </c:extLst>
        </c:ser>
        <c:ser>
          <c:idx val="9"/>
          <c:order val="10"/>
          <c:tx>
            <c:strRef>
              <c:f>'CO2 - Cenário Base'!$K$72</c:f>
              <c:strCache>
                <c:ptCount val="1"/>
                <c:pt idx="0">
                  <c:v>Débitos</c:v>
                </c:pt>
              </c:strCache>
            </c:strRef>
          </c:tx>
          <c:spPr>
            <a:noFill/>
            <a:ln w="25400">
              <a:noFill/>
            </a:ln>
          </c:spPr>
          <c:invertIfNegative val="0"/>
          <c:cat>
            <c:strRef>
              <c:f>'CO2 - Cenário Base'!$L$61:$M$61</c:f>
              <c:strCache>
                <c:ptCount val="2"/>
                <c:pt idx="0">
                  <c:v>Resíduos descartados</c:v>
                </c:pt>
                <c:pt idx="1">
                  <c:v>Líquido</c:v>
                </c:pt>
              </c:strCache>
            </c:strRef>
          </c:cat>
          <c:val>
            <c:numRef>
              <c:f>'CO2 - Cenário Base'!$L$72:$M$72</c:f>
              <c:numCache>
                <c:formatCode>General</c:formatCode>
                <c:ptCount val="2"/>
              </c:numCache>
            </c:numRef>
          </c:val>
          <c:extLst>
            <c:ext xmlns:c16="http://schemas.microsoft.com/office/drawing/2014/chart" uri="{C3380CC4-5D6E-409C-BE32-E72D297353CC}">
              <c16:uniqueId val="{0000000A-8C91-42AD-958F-CCD7FBCC0E84}"/>
            </c:ext>
          </c:extLst>
        </c:ser>
        <c:ser>
          <c:idx val="10"/>
          <c:order val="11"/>
          <c:tx>
            <c:strRef>
              <c:f>'CO2 - Cenário Base'!$K$73</c:f>
              <c:strCache>
                <c:ptCount val="1"/>
                <c:pt idx="0">
                  <c:v>Resíduos dispersos</c:v>
                </c:pt>
              </c:strCache>
            </c:strRef>
          </c:tx>
          <c:spPr>
            <a:pattFill prst="wdUpDiag">
              <a:fgClr>
                <a:srgbClr val="FFFFFF"/>
              </a:fgClr>
              <a:bgClr>
                <a:srgbClr val="000000"/>
              </a:bgClr>
            </a:pattFill>
            <a:ln w="12700">
              <a:solidFill>
                <a:srgbClr val="000000"/>
              </a:solidFill>
              <a:prstDash val="solid"/>
            </a:ln>
          </c:spPr>
          <c:invertIfNegative val="0"/>
          <c:cat>
            <c:strRef>
              <c:f>'CO2 - Cenário Base'!$L$61:$M$61</c:f>
              <c:strCache>
                <c:ptCount val="2"/>
                <c:pt idx="0">
                  <c:v>Resíduos descartados</c:v>
                </c:pt>
                <c:pt idx="1">
                  <c:v>Líquido</c:v>
                </c:pt>
              </c:strCache>
            </c:strRef>
          </c:cat>
          <c:val>
            <c:numRef>
              <c:f>'CO2 - Cenário Base'!$L$73:$M$73</c:f>
              <c:numCache>
                <c:formatCode>General</c:formatCode>
                <c:ptCount val="2"/>
                <c:pt idx="0" formatCode="#,##0">
                  <c:v>0</c:v>
                </c:pt>
              </c:numCache>
            </c:numRef>
          </c:val>
          <c:extLst>
            <c:ext xmlns:c16="http://schemas.microsoft.com/office/drawing/2014/chart" uri="{C3380CC4-5D6E-409C-BE32-E72D297353CC}">
              <c16:uniqueId val="{0000000B-8C91-42AD-958F-CCD7FBCC0E84}"/>
            </c:ext>
          </c:extLst>
        </c:ser>
        <c:ser>
          <c:idx val="11"/>
          <c:order val="12"/>
          <c:tx>
            <c:strRef>
              <c:f>'CO2 - Cenário Base'!$K$74</c:f>
              <c:strCache>
                <c:ptCount val="1"/>
                <c:pt idx="0">
                  <c:v>Queima a céu aberto</c:v>
                </c:pt>
              </c:strCache>
            </c:strRef>
          </c:tx>
          <c:spPr>
            <a:pattFill prst="wdDnDiag">
              <a:fgClr>
                <a:srgbClr val="FF8080"/>
              </a:fgClr>
              <a:bgClr>
                <a:srgbClr val="FFFFFF"/>
              </a:bgClr>
            </a:pattFill>
            <a:ln w="12700">
              <a:solidFill>
                <a:srgbClr val="000000"/>
              </a:solidFill>
              <a:prstDash val="solid"/>
            </a:ln>
          </c:spPr>
          <c:invertIfNegative val="0"/>
          <c:cat>
            <c:strRef>
              <c:f>'CO2 - Cenário Base'!$L$61:$M$61</c:f>
              <c:strCache>
                <c:ptCount val="2"/>
                <c:pt idx="0">
                  <c:v>Resíduos descartados</c:v>
                </c:pt>
                <c:pt idx="1">
                  <c:v>Líquido</c:v>
                </c:pt>
              </c:strCache>
            </c:strRef>
          </c:cat>
          <c:val>
            <c:numRef>
              <c:f>'CO2 - Cenário Base'!$L$74:$M$74</c:f>
              <c:numCache>
                <c:formatCode>General</c:formatCode>
                <c:ptCount val="2"/>
                <c:pt idx="0" formatCode="#,##0">
                  <c:v>0</c:v>
                </c:pt>
              </c:numCache>
            </c:numRef>
          </c:val>
          <c:extLst>
            <c:ext xmlns:c16="http://schemas.microsoft.com/office/drawing/2014/chart" uri="{C3380CC4-5D6E-409C-BE32-E72D297353CC}">
              <c16:uniqueId val="{0000000C-8C91-42AD-958F-CCD7FBCC0E84}"/>
            </c:ext>
          </c:extLst>
        </c:ser>
        <c:ser>
          <c:idx val="12"/>
          <c:order val="13"/>
          <c:tx>
            <c:strRef>
              <c:f>'CO2 - Cenário Base'!$K$75</c:f>
              <c:strCache>
                <c:ptCount val="1"/>
                <c:pt idx="0">
                  <c:v>Lixão não controlado</c:v>
                </c:pt>
              </c:strCache>
            </c:strRef>
          </c:tx>
          <c:spPr>
            <a:pattFill prst="wdUpDiag">
              <a:fgClr>
                <a:srgbClr val="993300"/>
              </a:fgClr>
              <a:bgClr>
                <a:srgbClr val="FFFFFF"/>
              </a:bgClr>
            </a:pattFill>
            <a:ln w="12700">
              <a:solidFill>
                <a:srgbClr val="000000"/>
              </a:solidFill>
              <a:prstDash val="solid"/>
            </a:ln>
          </c:spPr>
          <c:invertIfNegative val="0"/>
          <c:cat>
            <c:strRef>
              <c:f>'CO2 - Cenário Base'!$L$61:$M$61</c:f>
              <c:strCache>
                <c:ptCount val="2"/>
                <c:pt idx="0">
                  <c:v>Resíduos descartados</c:v>
                </c:pt>
                <c:pt idx="1">
                  <c:v>Líquido</c:v>
                </c:pt>
              </c:strCache>
            </c:strRef>
          </c:cat>
          <c:val>
            <c:numRef>
              <c:f>'CO2 - Cenário Base'!$L$75:$M$75</c:f>
              <c:numCache>
                <c:formatCode>General</c:formatCode>
                <c:ptCount val="2"/>
                <c:pt idx="0" formatCode="#,##0">
                  <c:v>0</c:v>
                </c:pt>
              </c:numCache>
            </c:numRef>
          </c:val>
          <c:extLst>
            <c:ext xmlns:c16="http://schemas.microsoft.com/office/drawing/2014/chart" uri="{C3380CC4-5D6E-409C-BE32-E72D297353CC}">
              <c16:uniqueId val="{0000000D-8C91-42AD-958F-CCD7FBCC0E84}"/>
            </c:ext>
          </c:extLst>
        </c:ser>
        <c:ser>
          <c:idx val="13"/>
          <c:order val="14"/>
          <c:tx>
            <c:strRef>
              <c:f>'CO2 - Cenário Base'!$K$76</c:f>
              <c:strCache>
                <c:ptCount val="1"/>
                <c:pt idx="0">
                  <c:v>Aterro controlado</c:v>
                </c:pt>
              </c:strCache>
            </c:strRef>
          </c:tx>
          <c:spPr>
            <a:pattFill prst="wdDnDiag">
              <a:fgClr>
                <a:srgbClr val="99CC00"/>
              </a:fgClr>
              <a:bgClr>
                <a:srgbClr val="FFFFFF"/>
              </a:bgClr>
            </a:pattFill>
            <a:ln w="12700">
              <a:solidFill>
                <a:srgbClr val="000000"/>
              </a:solidFill>
              <a:prstDash val="solid"/>
            </a:ln>
          </c:spPr>
          <c:invertIfNegative val="0"/>
          <c:cat>
            <c:strRef>
              <c:f>'CO2 - Cenário Base'!$L$61:$M$61</c:f>
              <c:strCache>
                <c:ptCount val="2"/>
                <c:pt idx="0">
                  <c:v>Resíduos descartados</c:v>
                </c:pt>
                <c:pt idx="1">
                  <c:v>Líquido</c:v>
                </c:pt>
              </c:strCache>
            </c:strRef>
          </c:cat>
          <c:val>
            <c:numRef>
              <c:f>'CO2 - Cenário Base'!$L$76:$M$76</c:f>
              <c:numCache>
                <c:formatCode>General</c:formatCode>
                <c:ptCount val="2"/>
                <c:pt idx="0" formatCode="#,##0">
                  <c:v>0</c:v>
                </c:pt>
              </c:numCache>
            </c:numRef>
          </c:val>
          <c:extLst>
            <c:ext xmlns:c16="http://schemas.microsoft.com/office/drawing/2014/chart" uri="{C3380CC4-5D6E-409C-BE32-E72D297353CC}">
              <c16:uniqueId val="{0000000E-8C91-42AD-958F-CCD7FBCC0E84}"/>
            </c:ext>
          </c:extLst>
        </c:ser>
        <c:ser>
          <c:idx val="14"/>
          <c:order val="15"/>
          <c:tx>
            <c:strRef>
              <c:f>'CO2 - Cenário Base'!$K$77</c:f>
              <c:strCache>
                <c:ptCount val="1"/>
                <c:pt idx="0">
                  <c:v>Aterro sanitário</c:v>
                </c:pt>
              </c:strCache>
            </c:strRef>
          </c:tx>
          <c:spPr>
            <a:pattFill prst="wdUpDiag">
              <a:fgClr>
                <a:srgbClr val="FFFF00"/>
              </a:fgClr>
              <a:bgClr>
                <a:srgbClr val="FFFFFF"/>
              </a:bgClr>
            </a:pattFill>
            <a:ln w="12700">
              <a:solidFill>
                <a:srgbClr val="000000"/>
              </a:solidFill>
              <a:prstDash val="solid"/>
            </a:ln>
          </c:spPr>
          <c:invertIfNegative val="0"/>
          <c:cat>
            <c:strRef>
              <c:f>'CO2 - Cenário Base'!$L$61:$M$61</c:f>
              <c:strCache>
                <c:ptCount val="2"/>
                <c:pt idx="0">
                  <c:v>Resíduos descartados</c:v>
                </c:pt>
                <c:pt idx="1">
                  <c:v>Líquido</c:v>
                </c:pt>
              </c:strCache>
            </c:strRef>
          </c:cat>
          <c:val>
            <c:numRef>
              <c:f>'CO2 - Cenário Base'!$L$77:$M$77</c:f>
              <c:numCache>
                <c:formatCode>General</c:formatCode>
                <c:ptCount val="2"/>
                <c:pt idx="0" formatCode="#,##0">
                  <c:v>0</c:v>
                </c:pt>
              </c:numCache>
            </c:numRef>
          </c:val>
          <c:extLst>
            <c:ext xmlns:c16="http://schemas.microsoft.com/office/drawing/2014/chart" uri="{C3380CC4-5D6E-409C-BE32-E72D297353CC}">
              <c16:uniqueId val="{0000000F-8C91-42AD-958F-CCD7FBCC0E84}"/>
            </c:ext>
          </c:extLst>
        </c:ser>
        <c:ser>
          <c:idx val="15"/>
          <c:order val="16"/>
          <c:tx>
            <c:strRef>
              <c:f>'CO2 - Cenário Base'!$K$78</c:f>
              <c:strCache>
                <c:ptCount val="1"/>
                <c:pt idx="0">
                  <c:v>Trat. biol + cobertura at.</c:v>
                </c:pt>
              </c:strCache>
            </c:strRef>
          </c:tx>
          <c:spPr>
            <a:pattFill prst="wdDnDiag">
              <a:fgClr>
                <a:srgbClr val="FF00FF"/>
              </a:fgClr>
              <a:bgClr>
                <a:srgbClr val="FFFFFF"/>
              </a:bgClr>
            </a:pattFill>
            <a:ln w="12700">
              <a:solidFill>
                <a:srgbClr val="000000"/>
              </a:solidFill>
              <a:prstDash val="solid"/>
            </a:ln>
          </c:spPr>
          <c:invertIfNegative val="0"/>
          <c:cat>
            <c:strRef>
              <c:f>'CO2 - Cenário Base'!$L$61:$M$61</c:f>
              <c:strCache>
                <c:ptCount val="2"/>
                <c:pt idx="0">
                  <c:v>Resíduos descartados</c:v>
                </c:pt>
                <c:pt idx="1">
                  <c:v>Líquido</c:v>
                </c:pt>
              </c:strCache>
            </c:strRef>
          </c:cat>
          <c:val>
            <c:numRef>
              <c:f>'CO2 - Cenário Base'!$L$78:$M$78</c:f>
              <c:numCache>
                <c:formatCode>General</c:formatCode>
                <c:ptCount val="2"/>
                <c:pt idx="0" formatCode="#,##0">
                  <c:v>0</c:v>
                </c:pt>
              </c:numCache>
            </c:numRef>
          </c:val>
          <c:extLst>
            <c:ext xmlns:c16="http://schemas.microsoft.com/office/drawing/2014/chart" uri="{C3380CC4-5D6E-409C-BE32-E72D297353CC}">
              <c16:uniqueId val="{00000010-8C91-42AD-958F-CCD7FBCC0E84}"/>
            </c:ext>
          </c:extLst>
        </c:ser>
        <c:ser>
          <c:idx val="16"/>
          <c:order val="17"/>
          <c:tx>
            <c:strRef>
              <c:f>'CO2 - Cenário Base'!$K$79</c:f>
              <c:strCache>
                <c:ptCount val="1"/>
                <c:pt idx="0">
                  <c:v>CDR seco + rejeito aterro</c:v>
                </c:pt>
              </c:strCache>
            </c:strRef>
          </c:tx>
          <c:spPr>
            <a:pattFill prst="wdUpDiag">
              <a:fgClr>
                <a:srgbClr val="008080"/>
              </a:fgClr>
              <a:bgClr>
                <a:srgbClr val="FFFFFF"/>
              </a:bgClr>
            </a:pattFill>
            <a:ln w="12700">
              <a:solidFill>
                <a:srgbClr val="000000"/>
              </a:solidFill>
              <a:prstDash val="solid"/>
            </a:ln>
          </c:spPr>
          <c:invertIfNegative val="0"/>
          <c:cat>
            <c:strRef>
              <c:f>'CO2 - Cenário Base'!$L$61:$M$61</c:f>
              <c:strCache>
                <c:ptCount val="2"/>
                <c:pt idx="0">
                  <c:v>Resíduos descartados</c:v>
                </c:pt>
                <c:pt idx="1">
                  <c:v>Líquido</c:v>
                </c:pt>
              </c:strCache>
            </c:strRef>
          </c:cat>
          <c:val>
            <c:numRef>
              <c:f>'CO2 - Cenário Base'!$L$79:$M$79</c:f>
              <c:numCache>
                <c:formatCode>General</c:formatCode>
                <c:ptCount val="2"/>
                <c:pt idx="0" formatCode="#,##0">
                  <c:v>0</c:v>
                </c:pt>
              </c:numCache>
            </c:numRef>
          </c:val>
          <c:extLst>
            <c:ext xmlns:c16="http://schemas.microsoft.com/office/drawing/2014/chart" uri="{C3380CC4-5D6E-409C-BE32-E72D297353CC}">
              <c16:uniqueId val="{00000011-8C91-42AD-958F-CCD7FBCC0E84}"/>
            </c:ext>
          </c:extLst>
        </c:ser>
        <c:ser>
          <c:idx val="17"/>
          <c:order val="18"/>
          <c:tx>
            <c:strRef>
              <c:f>'CO2 - Cenário Base'!$K$80</c:f>
              <c:strCache>
                <c:ptCount val="1"/>
                <c:pt idx="0">
                  <c:v>CDR seco + trat. biol.</c:v>
                </c:pt>
              </c:strCache>
            </c:strRef>
          </c:tx>
          <c:spPr>
            <a:pattFill prst="wdDnDiag">
              <a:fgClr>
                <a:srgbClr val="FF9900"/>
              </a:fgClr>
              <a:bgClr>
                <a:srgbClr val="FFFFFF"/>
              </a:bgClr>
            </a:pattFill>
            <a:ln w="12700">
              <a:solidFill>
                <a:srgbClr val="000000"/>
              </a:solidFill>
              <a:prstDash val="solid"/>
            </a:ln>
          </c:spPr>
          <c:invertIfNegative val="0"/>
          <c:cat>
            <c:strRef>
              <c:f>'CO2 - Cenário Base'!$L$61:$M$61</c:f>
              <c:strCache>
                <c:ptCount val="2"/>
                <c:pt idx="0">
                  <c:v>Resíduos descartados</c:v>
                </c:pt>
                <c:pt idx="1">
                  <c:v>Líquido</c:v>
                </c:pt>
              </c:strCache>
            </c:strRef>
          </c:cat>
          <c:val>
            <c:numRef>
              <c:f>'CO2 - Cenário Base'!$L$80:$M$80</c:f>
              <c:numCache>
                <c:formatCode>General</c:formatCode>
                <c:ptCount val="2"/>
                <c:pt idx="0" formatCode="#,##0">
                  <c:v>0</c:v>
                </c:pt>
              </c:numCache>
            </c:numRef>
          </c:val>
          <c:extLst>
            <c:ext xmlns:c16="http://schemas.microsoft.com/office/drawing/2014/chart" uri="{C3380CC4-5D6E-409C-BE32-E72D297353CC}">
              <c16:uniqueId val="{00000012-8C91-42AD-958F-CCD7FBCC0E84}"/>
            </c:ext>
          </c:extLst>
        </c:ser>
        <c:ser>
          <c:idx val="22"/>
          <c:order val="19"/>
          <c:tx>
            <c:strRef>
              <c:f>'CO2 - Cenário Base'!$K$81</c:f>
              <c:strCache>
                <c:ptCount val="1"/>
                <c:pt idx="0">
                  <c:v>CDR seco + CDR org.</c:v>
                </c:pt>
              </c:strCache>
            </c:strRef>
          </c:tx>
          <c:spPr>
            <a:pattFill prst="wdUpDiag">
              <a:fgClr>
                <a:srgbClr val="00B0F0"/>
              </a:fgClr>
              <a:bgClr>
                <a:schemeClr val="bg1"/>
              </a:bgClr>
            </a:pattFill>
            <a:ln w="12700">
              <a:solidFill>
                <a:srgbClr val="000000"/>
              </a:solidFill>
            </a:ln>
          </c:spPr>
          <c:invertIfNegative val="0"/>
          <c:cat>
            <c:strRef>
              <c:f>'CO2 - Cenário Base'!$L$61:$M$61</c:f>
              <c:strCache>
                <c:ptCount val="2"/>
                <c:pt idx="0">
                  <c:v>Resíduos descartados</c:v>
                </c:pt>
                <c:pt idx="1">
                  <c:v>Líquido</c:v>
                </c:pt>
              </c:strCache>
            </c:strRef>
          </c:cat>
          <c:val>
            <c:numRef>
              <c:f>'CO2 - Cenário Base'!$L$81:$M$81</c:f>
              <c:numCache>
                <c:formatCode>General</c:formatCode>
                <c:ptCount val="2"/>
                <c:pt idx="0" formatCode="#,##0">
                  <c:v>0</c:v>
                </c:pt>
              </c:numCache>
            </c:numRef>
          </c:val>
          <c:extLst>
            <c:ext xmlns:c16="http://schemas.microsoft.com/office/drawing/2014/chart" uri="{C3380CC4-5D6E-409C-BE32-E72D297353CC}">
              <c16:uniqueId val="{00000013-8C91-42AD-958F-CCD7FBCC0E84}"/>
            </c:ext>
          </c:extLst>
        </c:ser>
        <c:ser>
          <c:idx val="18"/>
          <c:order val="20"/>
          <c:tx>
            <c:strRef>
              <c:f>'CO2 - Cenário Base'!$K$82</c:f>
              <c:strCache>
                <c:ptCount val="1"/>
                <c:pt idx="0">
                  <c:v>Incineração</c:v>
                </c:pt>
              </c:strCache>
            </c:strRef>
          </c:tx>
          <c:spPr>
            <a:pattFill prst="wdDnDiag">
              <a:fgClr>
                <a:srgbClr val="CCCCFF"/>
              </a:fgClr>
              <a:bgClr>
                <a:srgbClr val="FFFFFF"/>
              </a:bgClr>
            </a:pattFill>
            <a:ln w="12700">
              <a:solidFill>
                <a:srgbClr val="000000"/>
              </a:solidFill>
              <a:prstDash val="solid"/>
            </a:ln>
          </c:spPr>
          <c:invertIfNegative val="0"/>
          <c:cat>
            <c:strRef>
              <c:f>'CO2 - Cenário Base'!$L$61:$M$61</c:f>
              <c:strCache>
                <c:ptCount val="2"/>
                <c:pt idx="0">
                  <c:v>Resíduos descartados</c:v>
                </c:pt>
                <c:pt idx="1">
                  <c:v>Líquido</c:v>
                </c:pt>
              </c:strCache>
            </c:strRef>
          </c:cat>
          <c:val>
            <c:numRef>
              <c:f>'CO2 - Cenário Base'!$L$82:$M$82</c:f>
              <c:numCache>
                <c:formatCode>General</c:formatCode>
                <c:ptCount val="2"/>
                <c:pt idx="0" formatCode="#,##0">
                  <c:v>0</c:v>
                </c:pt>
              </c:numCache>
            </c:numRef>
          </c:val>
          <c:extLst>
            <c:ext xmlns:c16="http://schemas.microsoft.com/office/drawing/2014/chart" uri="{C3380CC4-5D6E-409C-BE32-E72D297353CC}">
              <c16:uniqueId val="{00000014-8C91-42AD-958F-CCD7FBCC0E84}"/>
            </c:ext>
          </c:extLst>
        </c:ser>
        <c:ser>
          <c:idx val="19"/>
          <c:order val="21"/>
          <c:tx>
            <c:strRef>
              <c:f>'CO2 - Cenário Base'!$K$83</c:f>
              <c:strCache>
                <c:ptCount val="1"/>
                <c:pt idx="0">
                  <c:v>Créditos</c:v>
                </c:pt>
              </c:strCache>
            </c:strRef>
          </c:tx>
          <c:spPr>
            <a:noFill/>
            <a:ln w="25400">
              <a:noFill/>
            </a:ln>
          </c:spPr>
          <c:invertIfNegative val="0"/>
          <c:cat>
            <c:strRef>
              <c:f>'CO2 - Cenário Base'!$L$61:$M$61</c:f>
              <c:strCache>
                <c:ptCount val="2"/>
                <c:pt idx="0">
                  <c:v>Resíduos descartados</c:v>
                </c:pt>
                <c:pt idx="1">
                  <c:v>Líquido</c:v>
                </c:pt>
              </c:strCache>
            </c:strRef>
          </c:cat>
          <c:val>
            <c:numRef>
              <c:f>'CO2 - Cenário Base'!$L$83:$M$83</c:f>
              <c:numCache>
                <c:formatCode>General</c:formatCode>
                <c:ptCount val="2"/>
              </c:numCache>
            </c:numRef>
          </c:val>
          <c:extLst>
            <c:ext xmlns:c16="http://schemas.microsoft.com/office/drawing/2014/chart" uri="{C3380CC4-5D6E-409C-BE32-E72D297353CC}">
              <c16:uniqueId val="{00000015-8C91-42AD-958F-CCD7FBCC0E84}"/>
            </c:ext>
          </c:extLst>
        </c:ser>
        <c:ser>
          <c:idx val="20"/>
          <c:order val="22"/>
          <c:tx>
            <c:strRef>
              <c:f>'CO2 - Cenário Base'!$K$84</c:f>
              <c:strCache>
                <c:ptCount val="1"/>
                <c:pt idx="0">
                  <c:v>Líquido</c:v>
                </c:pt>
              </c:strCache>
            </c:strRef>
          </c:tx>
          <c:spPr>
            <a:solidFill>
              <a:srgbClr val="0000FF"/>
            </a:solidFill>
            <a:ln w="12700">
              <a:solidFill>
                <a:srgbClr val="000000"/>
              </a:solidFill>
              <a:prstDash val="solid"/>
            </a:ln>
          </c:spPr>
          <c:invertIfNegative val="0"/>
          <c:cat>
            <c:strRef>
              <c:f>'CO2 - Cenário Base'!$L$61:$M$61</c:f>
              <c:strCache>
                <c:ptCount val="2"/>
                <c:pt idx="0">
                  <c:v>Resíduos descartados</c:v>
                </c:pt>
                <c:pt idx="1">
                  <c:v>Líquido</c:v>
                </c:pt>
              </c:strCache>
            </c:strRef>
          </c:cat>
          <c:val>
            <c:numRef>
              <c:f>'CO2 - Cenário Base'!$L$84:$M$84</c:f>
              <c:numCache>
                <c:formatCode>#,##0</c:formatCode>
                <c:ptCount val="2"/>
                <c:pt idx="1">
                  <c:v>26393.084303869578</c:v>
                </c:pt>
              </c:numCache>
            </c:numRef>
          </c:val>
          <c:extLst>
            <c:ext xmlns:c16="http://schemas.microsoft.com/office/drawing/2014/chart" uri="{C3380CC4-5D6E-409C-BE32-E72D297353CC}">
              <c16:uniqueId val="{00000016-8C91-42AD-958F-CCD7FBCC0E84}"/>
            </c:ext>
          </c:extLst>
        </c:ser>
        <c:dLbls>
          <c:showLegendKey val="0"/>
          <c:showVal val="0"/>
          <c:showCatName val="0"/>
          <c:showSerName val="0"/>
          <c:showPercent val="0"/>
          <c:showBubbleSize val="0"/>
        </c:dLbls>
        <c:gapWidth val="100"/>
        <c:overlap val="100"/>
        <c:axId val="196701568"/>
        <c:axId val="196707456"/>
      </c:barChart>
      <c:catAx>
        <c:axId val="196701568"/>
        <c:scaling>
          <c:orientation val="minMax"/>
        </c:scaling>
        <c:delete val="0"/>
        <c:axPos val="b"/>
        <c:numFmt formatCode="General" sourceLinked="1"/>
        <c:majorTickMark val="out"/>
        <c:minorTickMark val="none"/>
        <c:tickLblPos val="low"/>
        <c:spPr>
          <a:ln w="3175">
            <a:solidFill>
              <a:srgbClr val="000000"/>
            </a:solidFill>
            <a:prstDash val="solid"/>
          </a:ln>
        </c:spPr>
        <c:txPr>
          <a:bodyPr rot="0" vert="horz"/>
          <a:lstStyle/>
          <a:p>
            <a:pPr>
              <a:defRPr sz="875" b="1" i="0" u="none" strike="noStrike" baseline="0">
                <a:solidFill>
                  <a:srgbClr val="000000"/>
                </a:solidFill>
                <a:latin typeface="Arial"/>
                <a:ea typeface="Arial"/>
                <a:cs typeface="Arial"/>
              </a:defRPr>
            </a:pPr>
            <a:endParaRPr lang="pt-BR"/>
          </a:p>
        </c:txPr>
        <c:crossAx val="196707456"/>
        <c:crosses val="autoZero"/>
        <c:auto val="1"/>
        <c:lblAlgn val="ctr"/>
        <c:lblOffset val="100"/>
        <c:tickLblSkip val="1"/>
        <c:tickMarkSkip val="1"/>
        <c:noMultiLvlLbl val="0"/>
      </c:catAx>
      <c:valAx>
        <c:axId val="196707456"/>
        <c:scaling>
          <c:orientation val="minMax"/>
        </c:scaling>
        <c:delete val="0"/>
        <c:axPos val="l"/>
        <c:majorGridlines>
          <c:spPr>
            <a:ln w="3175">
              <a:solidFill>
                <a:srgbClr val="000000"/>
              </a:solidFill>
              <a:prstDash val="solid"/>
            </a:ln>
          </c:spPr>
        </c:majorGridlines>
        <c:title>
          <c:tx>
            <c:rich>
              <a:bodyPr/>
              <a:lstStyle/>
              <a:p>
                <a:pPr>
                  <a:defRPr sz="875" b="1" i="0" u="none" strike="noStrike" baseline="0">
                    <a:solidFill>
                      <a:sysClr val="windowText" lastClr="000000"/>
                    </a:solidFill>
                    <a:latin typeface="Arial"/>
                    <a:ea typeface="Arial"/>
                    <a:cs typeface="Arial"/>
                  </a:defRPr>
                </a:pPr>
                <a:r>
                  <a:rPr lang="de-DE">
                    <a:solidFill>
                      <a:sysClr val="windowText" lastClr="000000"/>
                    </a:solidFill>
                  </a:rPr>
                  <a:t>tonelada CO2-eq / ano</a:t>
                </a:r>
              </a:p>
            </c:rich>
          </c:tx>
          <c:layout>
            <c:manualLayout>
              <c:xMode val="edge"/>
              <c:yMode val="edge"/>
              <c:x val="8.4909134568555231E-3"/>
              <c:y val="0.37517247588771191"/>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75" b="0" i="0" u="none" strike="noStrike" baseline="0">
                <a:solidFill>
                  <a:srgbClr val="000000"/>
                </a:solidFill>
                <a:latin typeface="Arial"/>
                <a:ea typeface="Arial"/>
                <a:cs typeface="Arial"/>
              </a:defRPr>
            </a:pPr>
            <a:endParaRPr lang="pt-BR"/>
          </a:p>
        </c:txPr>
        <c:crossAx val="196701568"/>
        <c:crosses val="autoZero"/>
        <c:crossBetween val="between"/>
      </c:valAx>
      <c:spPr>
        <a:noFill/>
        <a:ln w="12700">
          <a:solidFill>
            <a:srgbClr val="808080"/>
          </a:solidFill>
          <a:prstDash val="solid"/>
        </a:ln>
      </c:spPr>
    </c:plotArea>
    <c:legend>
      <c:legendPos val="r"/>
      <c:legendEntry>
        <c:idx val="0"/>
        <c:txPr>
          <a:bodyPr/>
          <a:lstStyle/>
          <a:p>
            <a:pPr>
              <a:defRPr sz="780" b="1" i="0" u="none" strike="noStrike" baseline="0">
                <a:solidFill>
                  <a:srgbClr val="000000"/>
                </a:solidFill>
                <a:latin typeface="Arial"/>
                <a:ea typeface="Arial"/>
                <a:cs typeface="Arial"/>
              </a:defRPr>
            </a:pPr>
            <a:endParaRPr lang="pt-BR"/>
          </a:p>
        </c:txPr>
      </c:legendEntry>
      <c:legendEntry>
        <c:idx val="1"/>
        <c:txPr>
          <a:bodyPr/>
          <a:lstStyle/>
          <a:p>
            <a:pPr>
              <a:defRPr sz="780" b="1" i="0" u="none" strike="noStrike" baseline="0">
                <a:solidFill>
                  <a:srgbClr val="000000"/>
                </a:solidFill>
                <a:latin typeface="Arial"/>
                <a:ea typeface="Arial"/>
                <a:cs typeface="Arial"/>
              </a:defRPr>
            </a:pPr>
            <a:endParaRPr lang="pt-BR"/>
          </a:p>
        </c:txPr>
      </c:legendEntry>
      <c:legendEntry>
        <c:idx val="5"/>
        <c:txPr>
          <a:bodyPr/>
          <a:lstStyle/>
          <a:p>
            <a:pPr>
              <a:defRPr sz="780" b="0" i="0" u="none" strike="noStrike" baseline="0">
                <a:solidFill>
                  <a:srgbClr val="000000"/>
                </a:solidFill>
                <a:latin typeface="Arial"/>
                <a:ea typeface="Arial"/>
                <a:cs typeface="Arial"/>
              </a:defRPr>
            </a:pPr>
            <a:endParaRPr lang="pt-BR"/>
          </a:p>
        </c:txPr>
      </c:legendEntry>
      <c:legendEntry>
        <c:idx val="6"/>
        <c:txPr>
          <a:bodyPr/>
          <a:lstStyle/>
          <a:p>
            <a:pPr>
              <a:defRPr sz="780" b="0" i="0" u="none" strike="noStrike" baseline="0">
                <a:solidFill>
                  <a:srgbClr val="000000"/>
                </a:solidFill>
                <a:latin typeface="Arial"/>
                <a:ea typeface="Arial"/>
                <a:cs typeface="Arial"/>
              </a:defRPr>
            </a:pPr>
            <a:endParaRPr lang="pt-BR"/>
          </a:p>
        </c:txPr>
      </c:legendEntry>
      <c:legendEntry>
        <c:idx val="9"/>
        <c:txPr>
          <a:bodyPr/>
          <a:lstStyle/>
          <a:p>
            <a:pPr>
              <a:defRPr sz="780" b="0" i="0" u="none" strike="noStrike" baseline="0">
                <a:solidFill>
                  <a:srgbClr val="000000"/>
                </a:solidFill>
                <a:latin typeface="Arial"/>
                <a:ea typeface="Arial"/>
                <a:cs typeface="Arial"/>
              </a:defRPr>
            </a:pPr>
            <a:endParaRPr lang="pt-BR"/>
          </a:p>
        </c:txPr>
      </c:legendEntry>
      <c:legendEntry>
        <c:idx val="10"/>
        <c:txPr>
          <a:bodyPr/>
          <a:lstStyle/>
          <a:p>
            <a:pPr>
              <a:defRPr sz="780" b="0" i="0" u="none" strike="noStrike" baseline="0">
                <a:solidFill>
                  <a:srgbClr val="000000"/>
                </a:solidFill>
                <a:latin typeface="Arial"/>
                <a:ea typeface="Arial"/>
                <a:cs typeface="Arial"/>
              </a:defRPr>
            </a:pPr>
            <a:endParaRPr lang="pt-BR"/>
          </a:p>
        </c:txPr>
      </c:legendEntry>
      <c:legendEntry>
        <c:idx val="12"/>
        <c:txPr>
          <a:bodyPr/>
          <a:lstStyle/>
          <a:p>
            <a:pPr>
              <a:defRPr sz="780" b="1" i="0" u="none" strike="noStrike" baseline="0">
                <a:solidFill>
                  <a:srgbClr val="000000"/>
                </a:solidFill>
                <a:latin typeface="Arial"/>
                <a:ea typeface="Arial"/>
                <a:cs typeface="Arial"/>
              </a:defRPr>
            </a:pPr>
            <a:endParaRPr lang="pt-BR"/>
          </a:p>
        </c:txPr>
      </c:legendEntry>
      <c:legendEntry>
        <c:idx val="15"/>
        <c:txPr>
          <a:bodyPr/>
          <a:lstStyle/>
          <a:p>
            <a:pPr>
              <a:defRPr sz="780" b="0" i="0" u="none" strike="noStrike" baseline="0">
                <a:solidFill>
                  <a:srgbClr val="000000"/>
                </a:solidFill>
                <a:latin typeface="Arial"/>
                <a:ea typeface="Arial"/>
                <a:cs typeface="Arial"/>
              </a:defRPr>
            </a:pPr>
            <a:endParaRPr lang="pt-BR"/>
          </a:p>
        </c:txPr>
      </c:legendEntry>
      <c:legendEntry>
        <c:idx val="17"/>
        <c:txPr>
          <a:bodyPr/>
          <a:lstStyle/>
          <a:p>
            <a:pPr>
              <a:defRPr sz="780" b="0" i="0" u="none" strike="noStrike" baseline="0">
                <a:solidFill>
                  <a:srgbClr val="000000"/>
                </a:solidFill>
                <a:latin typeface="Arial"/>
                <a:ea typeface="Arial"/>
                <a:cs typeface="Arial"/>
              </a:defRPr>
            </a:pPr>
            <a:endParaRPr lang="pt-BR"/>
          </a:p>
        </c:txPr>
      </c:legendEntry>
      <c:layout>
        <c:manualLayout>
          <c:xMode val="edge"/>
          <c:yMode val="edge"/>
          <c:x val="0.7206927822902609"/>
          <c:y val="1.517246627967293E-2"/>
          <c:w val="0.26393698167491142"/>
          <c:h val="0.97168874442190845"/>
        </c:manualLayout>
      </c:layout>
      <c:overlay val="0"/>
      <c:spPr>
        <a:solidFill>
          <a:srgbClr val="FFFFFF"/>
        </a:solidFill>
        <a:ln w="3175">
          <a:solidFill>
            <a:srgbClr val="000000"/>
          </a:solidFill>
          <a:prstDash val="solid"/>
        </a:ln>
      </c:spPr>
      <c:txPr>
        <a:bodyPr/>
        <a:lstStyle/>
        <a:p>
          <a:pPr>
            <a:defRPr sz="780" b="0" i="0" u="none" strike="noStrike" baseline="0">
              <a:solidFill>
                <a:srgbClr val="000000"/>
              </a:solidFill>
              <a:latin typeface="Arial"/>
              <a:ea typeface="Arial"/>
              <a:cs typeface="Arial"/>
            </a:defRPr>
          </a:pPr>
          <a:endParaRPr lang="pt-BR"/>
        </a:p>
      </c:txPr>
    </c:legend>
    <c:plotVisOnly val="1"/>
    <c:dispBlanksAs val="gap"/>
    <c:showDLblsOverMax val="0"/>
  </c:chart>
  <c:spPr>
    <a:solidFill>
      <a:srgbClr val="FFFFFF"/>
    </a:solid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pt-BR"/>
    </a:p>
  </c:txPr>
  <c:printSettings>
    <c:headerFooter alignWithMargins="0"/>
    <c:pageMargins b="0.98425196899999978" l="0.78740157499999996" r="0.78740157499999996" t="0.98425196899999978" header="0.49212598450000011" footer="0.49212598450000011"/>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50" b="1" i="0" u="none" strike="noStrike" baseline="0">
                <a:solidFill>
                  <a:srgbClr val="000000"/>
                </a:solidFill>
                <a:latin typeface="Arial"/>
                <a:ea typeface="Arial"/>
                <a:cs typeface="Arial"/>
              </a:defRPr>
            </a:pPr>
            <a:r>
              <a:rPr lang="de-DE"/>
              <a:t>Emissões de GEE</a:t>
            </a:r>
          </a:p>
        </c:rich>
      </c:tx>
      <c:layout>
        <c:manualLayout>
          <c:xMode val="edge"/>
          <c:yMode val="edge"/>
          <c:x val="0.46597353497164473"/>
          <c:y val="1.5449480582537591E-2"/>
        </c:manualLayout>
      </c:layout>
      <c:overlay val="0"/>
      <c:spPr>
        <a:noFill/>
        <a:ln w="25400">
          <a:noFill/>
        </a:ln>
      </c:spPr>
    </c:title>
    <c:autoTitleDeleted val="0"/>
    <c:plotArea>
      <c:layout>
        <c:manualLayout>
          <c:layoutTarget val="inner"/>
          <c:xMode val="edge"/>
          <c:yMode val="edge"/>
          <c:x val="0.17485822306238191"/>
          <c:y val="0.11516885525164389"/>
          <c:w val="0.79300567107750475"/>
          <c:h val="0.77247402912687979"/>
        </c:manualLayout>
      </c:layout>
      <c:barChart>
        <c:barDir val="col"/>
        <c:grouping val="clustered"/>
        <c:varyColors val="0"/>
        <c:ser>
          <c:idx val="0"/>
          <c:order val="0"/>
          <c:tx>
            <c:strRef>
              <c:f>'CO2 - Cenário Base'!$G$53</c:f>
              <c:strCache>
                <c:ptCount val="1"/>
                <c:pt idx="0">
                  <c:v>Débitos</c:v>
                </c:pt>
              </c:strCache>
            </c:strRef>
          </c:tx>
          <c:spPr>
            <a:solidFill>
              <a:srgbClr val="FFCC99"/>
            </a:solidFill>
            <a:ln w="12700">
              <a:solidFill>
                <a:srgbClr val="000000"/>
              </a:solidFill>
              <a:prstDash val="solid"/>
            </a:ln>
          </c:spPr>
          <c:invertIfNegative val="0"/>
          <c:cat>
            <c:strRef>
              <c:f>'CO2 - Cenário Base'!$H$52:$J$52</c:f>
              <c:strCache>
                <c:ptCount val="3"/>
                <c:pt idx="0">
                  <c:v>Resíduo reciclado</c:v>
                </c:pt>
                <c:pt idx="1">
                  <c:v>Descarte de resíduos</c:v>
                </c:pt>
                <c:pt idx="2">
                  <c:v>RSU total</c:v>
                </c:pt>
              </c:strCache>
            </c:strRef>
          </c:cat>
          <c:val>
            <c:numRef>
              <c:f>'CO2 - Cenário Base'!$H$53:$J$53</c:f>
              <c:numCache>
                <c:formatCode>#,##0</c:formatCode>
                <c:ptCount val="3"/>
                <c:pt idx="0">
                  <c:v>532.33805663999999</c:v>
                </c:pt>
                <c:pt idx="1">
                  <c:v>26393.084303869578</c:v>
                </c:pt>
                <c:pt idx="2">
                  <c:v>26925.422360509579</c:v>
                </c:pt>
              </c:numCache>
            </c:numRef>
          </c:val>
          <c:extLst>
            <c:ext xmlns:c16="http://schemas.microsoft.com/office/drawing/2014/chart" uri="{C3380CC4-5D6E-409C-BE32-E72D297353CC}">
              <c16:uniqueId val="{00000000-3855-49FA-AB59-6A3407DCC0A5}"/>
            </c:ext>
          </c:extLst>
        </c:ser>
        <c:ser>
          <c:idx val="1"/>
          <c:order val="1"/>
          <c:tx>
            <c:strRef>
              <c:f>'CO2 - Cenário Base'!$G$54</c:f>
              <c:strCache>
                <c:ptCount val="1"/>
                <c:pt idx="0">
                  <c:v>Créditos</c:v>
                </c:pt>
              </c:strCache>
            </c:strRef>
          </c:tx>
          <c:spPr>
            <a:pattFill prst="wdUpDiag">
              <a:fgClr>
                <a:srgbClr val="FF99CC"/>
              </a:fgClr>
              <a:bgClr>
                <a:srgbClr val="800080"/>
              </a:bgClr>
            </a:pattFill>
            <a:ln w="12700">
              <a:solidFill>
                <a:srgbClr val="000000"/>
              </a:solidFill>
              <a:prstDash val="solid"/>
            </a:ln>
          </c:spPr>
          <c:invertIfNegative val="0"/>
          <c:cat>
            <c:strRef>
              <c:f>'CO2 - Cenário Base'!$H$52:$J$52</c:f>
              <c:strCache>
                <c:ptCount val="3"/>
                <c:pt idx="0">
                  <c:v>Resíduo reciclado</c:v>
                </c:pt>
                <c:pt idx="1">
                  <c:v>Descarte de resíduos</c:v>
                </c:pt>
                <c:pt idx="2">
                  <c:v>RSU total</c:v>
                </c:pt>
              </c:strCache>
            </c:strRef>
          </c:cat>
          <c:val>
            <c:numRef>
              <c:f>'CO2 - Cenário Base'!$H$54:$J$54</c:f>
              <c:numCache>
                <c:formatCode>#,##0</c:formatCode>
                <c:ptCount val="3"/>
                <c:pt idx="0">
                  <c:v>-1514.9071828799999</c:v>
                </c:pt>
                <c:pt idx="1">
                  <c:v>0</c:v>
                </c:pt>
                <c:pt idx="2">
                  <c:v>-1514.9071828799999</c:v>
                </c:pt>
              </c:numCache>
            </c:numRef>
          </c:val>
          <c:extLst>
            <c:ext xmlns:c16="http://schemas.microsoft.com/office/drawing/2014/chart" uri="{C3380CC4-5D6E-409C-BE32-E72D297353CC}">
              <c16:uniqueId val="{00000001-3855-49FA-AB59-6A3407DCC0A5}"/>
            </c:ext>
          </c:extLst>
        </c:ser>
        <c:ser>
          <c:idx val="2"/>
          <c:order val="2"/>
          <c:tx>
            <c:strRef>
              <c:f>'CO2 - Cenário Base'!$G$55</c:f>
              <c:strCache>
                <c:ptCount val="1"/>
                <c:pt idx="0">
                  <c:v>Líquido</c:v>
                </c:pt>
              </c:strCache>
            </c:strRef>
          </c:tx>
          <c:spPr>
            <a:solidFill>
              <a:srgbClr val="0000FF"/>
            </a:solidFill>
            <a:ln w="12700">
              <a:solidFill>
                <a:srgbClr val="000000"/>
              </a:solidFill>
              <a:prstDash val="solid"/>
            </a:ln>
          </c:spPr>
          <c:invertIfNegative val="0"/>
          <c:cat>
            <c:strRef>
              <c:f>'CO2 - Cenário Base'!$H$52:$J$52</c:f>
              <c:strCache>
                <c:ptCount val="3"/>
                <c:pt idx="0">
                  <c:v>Resíduo reciclado</c:v>
                </c:pt>
                <c:pt idx="1">
                  <c:v>Descarte de resíduos</c:v>
                </c:pt>
                <c:pt idx="2">
                  <c:v>RSU total</c:v>
                </c:pt>
              </c:strCache>
            </c:strRef>
          </c:cat>
          <c:val>
            <c:numRef>
              <c:f>'CO2 - Cenário Base'!$H$55:$J$55</c:f>
              <c:numCache>
                <c:formatCode>#,##0</c:formatCode>
                <c:ptCount val="3"/>
                <c:pt idx="0">
                  <c:v>-982.56912623999995</c:v>
                </c:pt>
                <c:pt idx="1">
                  <c:v>26393.084303869578</c:v>
                </c:pt>
                <c:pt idx="2">
                  <c:v>25410.515177629579</c:v>
                </c:pt>
              </c:numCache>
            </c:numRef>
          </c:val>
          <c:extLst>
            <c:ext xmlns:c16="http://schemas.microsoft.com/office/drawing/2014/chart" uri="{C3380CC4-5D6E-409C-BE32-E72D297353CC}">
              <c16:uniqueId val="{00000002-3855-49FA-AB59-6A3407DCC0A5}"/>
            </c:ext>
          </c:extLst>
        </c:ser>
        <c:dLbls>
          <c:showLegendKey val="0"/>
          <c:showVal val="0"/>
          <c:showCatName val="0"/>
          <c:showSerName val="0"/>
          <c:showPercent val="0"/>
          <c:showBubbleSize val="0"/>
        </c:dLbls>
        <c:gapWidth val="100"/>
        <c:axId val="196452352"/>
        <c:axId val="196453888"/>
      </c:barChart>
      <c:catAx>
        <c:axId val="196452352"/>
        <c:scaling>
          <c:orientation val="minMax"/>
        </c:scaling>
        <c:delete val="0"/>
        <c:axPos val="b"/>
        <c:numFmt formatCode="General" sourceLinked="1"/>
        <c:majorTickMark val="out"/>
        <c:minorTickMark val="none"/>
        <c:tickLblPos val="low"/>
        <c:spPr>
          <a:ln w="3175">
            <a:solidFill>
              <a:srgbClr val="000000"/>
            </a:solidFill>
            <a:prstDash val="solid"/>
          </a:ln>
        </c:spPr>
        <c:txPr>
          <a:bodyPr rot="0" vert="horz"/>
          <a:lstStyle/>
          <a:p>
            <a:pPr>
              <a:defRPr sz="925" b="0" i="0" u="none" strike="noStrike" baseline="0">
                <a:solidFill>
                  <a:srgbClr val="000000"/>
                </a:solidFill>
                <a:latin typeface="Arial"/>
                <a:ea typeface="Arial"/>
                <a:cs typeface="Arial"/>
              </a:defRPr>
            </a:pPr>
            <a:endParaRPr lang="pt-BR"/>
          </a:p>
        </c:txPr>
        <c:crossAx val="196453888"/>
        <c:crosses val="autoZero"/>
        <c:auto val="1"/>
        <c:lblAlgn val="ctr"/>
        <c:lblOffset val="50"/>
        <c:tickLblSkip val="1"/>
        <c:tickMarkSkip val="1"/>
        <c:noMultiLvlLbl val="0"/>
      </c:catAx>
      <c:valAx>
        <c:axId val="196453888"/>
        <c:scaling>
          <c:orientation val="minMax"/>
        </c:scaling>
        <c:delete val="0"/>
        <c:axPos val="l"/>
        <c:majorGridlines>
          <c:spPr>
            <a:ln w="3175">
              <a:solidFill>
                <a:srgbClr val="000000"/>
              </a:solidFill>
              <a:prstDash val="solid"/>
            </a:ln>
          </c:spPr>
        </c:majorGridlines>
        <c:title>
          <c:tx>
            <c:rich>
              <a:bodyPr/>
              <a:lstStyle/>
              <a:p>
                <a:pPr>
                  <a:defRPr sz="925" b="1" i="0" u="none" strike="noStrike" baseline="0">
                    <a:solidFill>
                      <a:sysClr val="windowText" lastClr="000000"/>
                    </a:solidFill>
                    <a:latin typeface="Arial"/>
                    <a:ea typeface="Arial"/>
                    <a:cs typeface="Arial"/>
                  </a:defRPr>
                </a:pPr>
                <a:r>
                  <a:rPr lang="de-DE">
                    <a:solidFill>
                      <a:sysClr val="windowText" lastClr="000000"/>
                    </a:solidFill>
                  </a:rPr>
                  <a:t>tonelada CO2-eq / ano</a:t>
                </a:r>
              </a:p>
            </c:rich>
          </c:tx>
          <c:layout>
            <c:manualLayout>
              <c:xMode val="edge"/>
              <c:yMode val="edge"/>
              <c:x val="2.2694673940568004E-2"/>
              <c:y val="0.35252912206198944"/>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925" b="0" i="0" u="none" strike="noStrike" baseline="0">
                <a:solidFill>
                  <a:srgbClr val="000000"/>
                </a:solidFill>
                <a:latin typeface="Arial"/>
                <a:ea typeface="Arial"/>
                <a:cs typeface="Arial"/>
              </a:defRPr>
            </a:pPr>
            <a:endParaRPr lang="pt-BR"/>
          </a:p>
        </c:txPr>
        <c:crossAx val="196452352"/>
        <c:crosses val="autoZero"/>
        <c:crossBetween val="between"/>
      </c:valAx>
      <c:spPr>
        <a:noFill/>
        <a:ln w="3175">
          <a:solidFill>
            <a:srgbClr val="000000"/>
          </a:solidFill>
          <a:prstDash val="solid"/>
        </a:ln>
      </c:spPr>
    </c:plotArea>
    <c:legend>
      <c:legendPos val="r"/>
      <c:layout>
        <c:manualLayout>
          <c:xMode val="edge"/>
          <c:yMode val="edge"/>
          <c:x val="0.1994328922495274"/>
          <c:y val="0.12500034289507692"/>
          <c:w val="0.16351606805293012"/>
          <c:h val="0.18539376699045113"/>
        </c:manualLayout>
      </c:layout>
      <c:overlay val="0"/>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pt-BR"/>
        </a:p>
      </c:txPr>
    </c:legend>
    <c:plotVisOnly val="1"/>
    <c:dispBlanksAs val="gap"/>
    <c:showDLblsOverMax val="0"/>
  </c:chart>
  <c:spPr>
    <a:solidFill>
      <a:srgbClr val="FFFFFF"/>
    </a:solid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pt-BR"/>
    </a:p>
  </c:txPr>
  <c:printSettings>
    <c:headerFooter alignWithMargins="0"/>
    <c:pageMargins b="0.98425196899999978" l="0.78740157499999996" r="0.78740157499999996" t="0.98425196899999978" header="0.49212598450000011" footer="0.49212598450000011"/>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75" b="1" i="0" u="none" strike="noStrike" baseline="0">
                <a:solidFill>
                  <a:srgbClr val="000000"/>
                </a:solidFill>
                <a:latin typeface="Arial"/>
                <a:ea typeface="Arial"/>
                <a:cs typeface="Arial"/>
              </a:defRPr>
            </a:pPr>
            <a:r>
              <a:rPr lang="de-DE"/>
              <a:t>Resíduos tratados</a:t>
            </a:r>
          </a:p>
        </c:rich>
      </c:tx>
      <c:layout>
        <c:manualLayout>
          <c:xMode val="edge"/>
          <c:yMode val="edge"/>
          <c:x val="0.42260248119443095"/>
          <c:y val="1.3496932515337422E-2"/>
        </c:manualLayout>
      </c:layout>
      <c:overlay val="0"/>
      <c:spPr>
        <a:noFill/>
        <a:ln w="25400">
          <a:noFill/>
        </a:ln>
      </c:spPr>
    </c:title>
    <c:autoTitleDeleted val="0"/>
    <c:plotArea>
      <c:layout>
        <c:manualLayout>
          <c:layoutTarget val="inner"/>
          <c:xMode val="edge"/>
          <c:yMode val="edge"/>
          <c:x val="0.18803436241909513"/>
          <c:y val="0.1116564417177914"/>
          <c:w val="0.78632551557076091"/>
          <c:h val="0.57668711656441762"/>
        </c:manualLayout>
      </c:layout>
      <c:barChart>
        <c:barDir val="col"/>
        <c:grouping val="clustered"/>
        <c:varyColors val="0"/>
        <c:ser>
          <c:idx val="0"/>
          <c:order val="0"/>
          <c:spPr>
            <a:solidFill>
              <a:srgbClr val="008000"/>
            </a:solidFill>
            <a:ln w="12700">
              <a:solidFill>
                <a:srgbClr val="000000"/>
              </a:solidFill>
              <a:prstDash val="solid"/>
            </a:ln>
          </c:spPr>
          <c:invertIfNegative val="0"/>
          <c:cat>
            <c:strRef>
              <c:f>('CO2 - Cenário RT 1A'!$B$7:$B$15,'CO2 - Cenário RT 1A'!$B$18:$B$27)</c:f>
              <c:strCache>
                <c:ptCount val="19"/>
                <c:pt idx="0">
                  <c:v>Resíduos de alimentos</c:v>
                </c:pt>
                <c:pt idx="1">
                  <c:v>Resíduos de jardins e parques</c:v>
                </c:pt>
                <c:pt idx="2">
                  <c:v>Papel, papelão</c:v>
                </c:pt>
                <c:pt idx="3">
                  <c:v>Plásticos</c:v>
                </c:pt>
                <c:pt idx="4">
                  <c:v>Vidros</c:v>
                </c:pt>
                <c:pt idx="5">
                  <c:v>Metais ferrosos</c:v>
                </c:pt>
                <c:pt idx="6">
                  <c:v>Alumínio</c:v>
                </c:pt>
                <c:pt idx="7">
                  <c:v>Têxteis</c:v>
                </c:pt>
                <c:pt idx="9">
                  <c:v>Resíduos dispersos</c:v>
                </c:pt>
                <c:pt idx="10">
                  <c:v>Queima a céu aberto</c:v>
                </c:pt>
                <c:pt idx="11">
                  <c:v>Lixão não controlado</c:v>
                </c:pt>
                <c:pt idx="12">
                  <c:v>Aterro controlado</c:v>
                </c:pt>
                <c:pt idx="13">
                  <c:v>Aterro sanitário</c:v>
                </c:pt>
                <c:pt idx="14">
                  <c:v>Trat. biol + cobertura at.</c:v>
                </c:pt>
                <c:pt idx="15">
                  <c:v>CDR seco + rejeito aterro</c:v>
                </c:pt>
                <c:pt idx="16">
                  <c:v>CDR seco + trat. biol.</c:v>
                </c:pt>
                <c:pt idx="17">
                  <c:v>CDR seco + CDR org.</c:v>
                </c:pt>
                <c:pt idx="18">
                  <c:v>Incineração</c:v>
                </c:pt>
              </c:strCache>
            </c:strRef>
          </c:cat>
          <c:val>
            <c:numRef>
              <c:f>('CO2 - Cenário RT 1A'!$C$7:$C$15,'CO2 - Cenário RT 1A'!$C$18:$C$27)</c:f>
              <c:numCache>
                <c:formatCode>#,##0</c:formatCode>
                <c:ptCount val="19"/>
                <c:pt idx="0">
                  <c:v>0</c:v>
                </c:pt>
                <c:pt idx="1">
                  <c:v>0</c:v>
                </c:pt>
                <c:pt idx="2">
                  <c:v>1004.4457488</c:v>
                </c:pt>
                <c:pt idx="3">
                  <c:v>683.86032</c:v>
                </c:pt>
                <c:pt idx="4">
                  <c:v>0</c:v>
                </c:pt>
                <c:pt idx="5">
                  <c:v>503.10935999999998</c:v>
                </c:pt>
                <c:pt idx="6">
                  <c:v>131.24591999999998</c:v>
                </c:pt>
                <c:pt idx="7">
                  <c:v>0</c:v>
                </c:pt>
                <c:pt idx="9">
                  <c:v>0</c:v>
                </c:pt>
                <c:pt idx="10">
                  <c:v>0</c:v>
                </c:pt>
                <c:pt idx="11">
                  <c:v>0</c:v>
                </c:pt>
                <c:pt idx="12">
                  <c:v>0</c:v>
                </c:pt>
                <c:pt idx="13">
                  <c:v>7246.0285279199989</c:v>
                </c:pt>
                <c:pt idx="14">
                  <c:v>0</c:v>
                </c:pt>
                <c:pt idx="15">
                  <c:v>2587.8673313999998</c:v>
                </c:pt>
                <c:pt idx="16">
                  <c:v>10869.04279188</c:v>
                </c:pt>
                <c:pt idx="17">
                  <c:v>0</c:v>
                </c:pt>
                <c:pt idx="18">
                  <c:v>0</c:v>
                </c:pt>
              </c:numCache>
            </c:numRef>
          </c:val>
          <c:extLst>
            <c:ext xmlns:c16="http://schemas.microsoft.com/office/drawing/2014/chart" uri="{C3380CC4-5D6E-409C-BE32-E72D297353CC}">
              <c16:uniqueId val="{00000000-01A0-4BE3-BB8E-5210D72A7B1D}"/>
            </c:ext>
          </c:extLst>
        </c:ser>
        <c:dLbls>
          <c:showLegendKey val="0"/>
          <c:showVal val="0"/>
          <c:showCatName val="0"/>
          <c:showSerName val="0"/>
          <c:showPercent val="0"/>
          <c:showBubbleSize val="0"/>
        </c:dLbls>
        <c:gapWidth val="100"/>
        <c:axId val="196595712"/>
        <c:axId val="196597248"/>
      </c:barChart>
      <c:catAx>
        <c:axId val="196595712"/>
        <c:scaling>
          <c:orientation val="minMax"/>
        </c:scaling>
        <c:delete val="0"/>
        <c:axPos val="b"/>
        <c:numFmt formatCode="General" sourceLinked="1"/>
        <c:majorTickMark val="out"/>
        <c:minorTickMark val="none"/>
        <c:tickLblPos val="nextTo"/>
        <c:spPr>
          <a:ln w="3175">
            <a:solidFill>
              <a:srgbClr val="000000"/>
            </a:solidFill>
            <a:prstDash val="solid"/>
          </a:ln>
        </c:spPr>
        <c:txPr>
          <a:bodyPr rot="-3660000" vert="horz"/>
          <a:lstStyle/>
          <a:p>
            <a:pPr>
              <a:defRPr sz="850" b="0" i="0" u="none" strike="noStrike" baseline="0">
                <a:solidFill>
                  <a:srgbClr val="000000"/>
                </a:solidFill>
                <a:latin typeface="Arial"/>
                <a:ea typeface="Arial"/>
                <a:cs typeface="Arial"/>
              </a:defRPr>
            </a:pPr>
            <a:endParaRPr lang="pt-BR"/>
          </a:p>
        </c:txPr>
        <c:crossAx val="196597248"/>
        <c:crosses val="autoZero"/>
        <c:auto val="1"/>
        <c:lblAlgn val="ctr"/>
        <c:lblOffset val="100"/>
        <c:tickLblSkip val="1"/>
        <c:tickMarkSkip val="1"/>
        <c:noMultiLvlLbl val="0"/>
      </c:catAx>
      <c:valAx>
        <c:axId val="196597248"/>
        <c:scaling>
          <c:orientation val="minMax"/>
        </c:scaling>
        <c:delete val="0"/>
        <c:axPos val="l"/>
        <c:majorGridlines>
          <c:spPr>
            <a:ln w="3175">
              <a:solidFill>
                <a:srgbClr val="000000"/>
              </a:solidFill>
              <a:prstDash val="solid"/>
            </a:ln>
          </c:spPr>
        </c:majorGridlines>
        <c:title>
          <c:tx>
            <c:rich>
              <a:bodyPr/>
              <a:lstStyle/>
              <a:p>
                <a:pPr>
                  <a:defRPr sz="950" b="1" i="0" u="none" strike="noStrike" baseline="0">
                    <a:solidFill>
                      <a:sysClr val="windowText" lastClr="000000"/>
                    </a:solidFill>
                    <a:latin typeface="Arial"/>
                    <a:ea typeface="Arial"/>
                    <a:cs typeface="Arial"/>
                  </a:defRPr>
                </a:pPr>
                <a:r>
                  <a:rPr lang="de-DE">
                    <a:solidFill>
                      <a:sysClr val="windowText" lastClr="000000"/>
                    </a:solidFill>
                  </a:rPr>
                  <a:t>tonelada / ano</a:t>
                </a:r>
              </a:p>
            </c:rich>
          </c:tx>
          <c:layout>
            <c:manualLayout>
              <c:xMode val="edge"/>
              <c:yMode val="edge"/>
              <c:x val="1.0446353467727501E-2"/>
              <c:y val="0.36687116564417194"/>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950" b="0" i="0" u="none" strike="noStrike" baseline="0">
                <a:solidFill>
                  <a:srgbClr val="000000"/>
                </a:solidFill>
                <a:latin typeface="Arial"/>
                <a:ea typeface="Arial"/>
                <a:cs typeface="Arial"/>
              </a:defRPr>
            </a:pPr>
            <a:endParaRPr lang="pt-BR"/>
          </a:p>
        </c:txPr>
        <c:crossAx val="196595712"/>
        <c:crosses val="autoZero"/>
        <c:crossBetween val="between"/>
      </c:valAx>
      <c:spPr>
        <a:noFill/>
        <a:ln w="3175">
          <a:solidFill>
            <a:srgbClr val="000000"/>
          </a:solidFill>
          <a:prstDash val="solid"/>
        </a:ln>
      </c:spPr>
    </c:plotArea>
    <c:plotVisOnly val="1"/>
    <c:dispBlanksAs val="gap"/>
    <c:showDLblsOverMax val="0"/>
  </c:chart>
  <c:spPr>
    <a:no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pt-BR"/>
    </a:p>
  </c:txPr>
  <c:printSettings>
    <c:headerFooter alignWithMargins="0"/>
    <c:pageMargins b="0.98425196899999978" l="0.78740157499999996" r="0.78740157499999996" t="0.98425196899999978" header="0.49212598450000011" footer="0.49212598450000011"/>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75" b="1" i="0" u="none" strike="noStrike" baseline="0">
                <a:solidFill>
                  <a:srgbClr val="000000"/>
                </a:solidFill>
                <a:latin typeface="Arial"/>
                <a:ea typeface="Arial"/>
                <a:cs typeface="Arial"/>
              </a:defRPr>
            </a:pPr>
            <a:r>
              <a:rPr lang="de-DE"/>
              <a:t>Emissões de GEE </a:t>
            </a:r>
            <a:r>
              <a:rPr lang="de-DE">
                <a:solidFill>
                  <a:sysClr val="windowText" lastClr="000000"/>
                </a:solidFill>
              </a:rPr>
              <a:t>— Reciclagem</a:t>
            </a:r>
          </a:p>
        </c:rich>
      </c:tx>
      <c:layout>
        <c:manualLayout>
          <c:xMode val="edge"/>
          <c:yMode val="edge"/>
          <c:x val="0.25966850828729282"/>
          <c:y val="1.5988417481653919E-2"/>
        </c:manualLayout>
      </c:layout>
      <c:overlay val="0"/>
      <c:spPr>
        <a:noFill/>
        <a:ln w="25400">
          <a:noFill/>
        </a:ln>
      </c:spPr>
    </c:title>
    <c:autoTitleDeleted val="0"/>
    <c:plotArea>
      <c:layout>
        <c:manualLayout>
          <c:layoutTarget val="inner"/>
          <c:xMode val="edge"/>
          <c:yMode val="edge"/>
          <c:x val="0.21767955801104968"/>
          <c:y val="0.12354686235823484"/>
          <c:w val="0.50386740331491708"/>
          <c:h val="0.75872308412939515"/>
        </c:manualLayout>
      </c:layout>
      <c:barChart>
        <c:barDir val="col"/>
        <c:grouping val="stacked"/>
        <c:varyColors val="0"/>
        <c:ser>
          <c:idx val="0"/>
          <c:order val="0"/>
          <c:tx>
            <c:strRef>
              <c:f>'CO2 - Cenário RT 1A'!$B$62</c:f>
              <c:strCache>
                <c:ptCount val="1"/>
                <c:pt idx="0">
                  <c:v>Resíduos de alimentos</c:v>
                </c:pt>
              </c:strCache>
            </c:strRef>
          </c:tx>
          <c:spPr>
            <a:solidFill>
              <a:srgbClr val="99CC00"/>
            </a:solidFill>
            <a:ln w="12700">
              <a:solidFill>
                <a:srgbClr val="000000"/>
              </a:solidFill>
              <a:prstDash val="solid"/>
            </a:ln>
          </c:spPr>
          <c:invertIfNegative val="0"/>
          <c:cat>
            <c:strRef>
              <c:f>'CO2 - Cenário RT 1A'!$C$61:$D$61</c:f>
              <c:strCache>
                <c:ptCount val="2"/>
                <c:pt idx="0">
                  <c:v>Resíduos reciclados</c:v>
                </c:pt>
                <c:pt idx="1">
                  <c:v>Líquido</c:v>
                </c:pt>
              </c:strCache>
            </c:strRef>
          </c:cat>
          <c:val>
            <c:numRef>
              <c:f>'CO2 - Cenário RT 1A'!$C$62:$D$62</c:f>
              <c:numCache>
                <c:formatCode>General</c:formatCode>
                <c:ptCount val="2"/>
                <c:pt idx="0" formatCode="#,##0">
                  <c:v>0</c:v>
                </c:pt>
              </c:numCache>
            </c:numRef>
          </c:val>
          <c:extLst>
            <c:ext xmlns:c16="http://schemas.microsoft.com/office/drawing/2014/chart" uri="{C3380CC4-5D6E-409C-BE32-E72D297353CC}">
              <c16:uniqueId val="{00000000-A59E-46F5-94F7-FC3DEB80E6CA}"/>
            </c:ext>
          </c:extLst>
        </c:ser>
        <c:ser>
          <c:idx val="1"/>
          <c:order val="1"/>
          <c:tx>
            <c:strRef>
              <c:f>'CO2 - Cenário RT 1A'!$B$63</c:f>
              <c:strCache>
                <c:ptCount val="1"/>
                <c:pt idx="0">
                  <c:v>Resíduos de jardins e parques</c:v>
                </c:pt>
              </c:strCache>
            </c:strRef>
          </c:tx>
          <c:spPr>
            <a:solidFill>
              <a:srgbClr val="000080"/>
            </a:solidFill>
            <a:ln w="12700">
              <a:solidFill>
                <a:srgbClr val="000000"/>
              </a:solidFill>
              <a:prstDash val="solid"/>
            </a:ln>
          </c:spPr>
          <c:invertIfNegative val="0"/>
          <c:cat>
            <c:strRef>
              <c:f>'CO2 - Cenário RT 1A'!$C$61:$D$61</c:f>
              <c:strCache>
                <c:ptCount val="2"/>
                <c:pt idx="0">
                  <c:v>Resíduos reciclados</c:v>
                </c:pt>
                <c:pt idx="1">
                  <c:v>Líquido</c:v>
                </c:pt>
              </c:strCache>
            </c:strRef>
          </c:cat>
          <c:val>
            <c:numRef>
              <c:f>'CO2 - Cenário RT 1A'!$C$63:$D$63</c:f>
              <c:numCache>
                <c:formatCode>General</c:formatCode>
                <c:ptCount val="2"/>
                <c:pt idx="0" formatCode="#,##0">
                  <c:v>0</c:v>
                </c:pt>
              </c:numCache>
            </c:numRef>
          </c:val>
          <c:extLst>
            <c:ext xmlns:c16="http://schemas.microsoft.com/office/drawing/2014/chart" uri="{C3380CC4-5D6E-409C-BE32-E72D297353CC}">
              <c16:uniqueId val="{00000001-A59E-46F5-94F7-FC3DEB80E6CA}"/>
            </c:ext>
          </c:extLst>
        </c:ser>
        <c:ser>
          <c:idx val="2"/>
          <c:order val="2"/>
          <c:tx>
            <c:strRef>
              <c:f>'CO2 - Cenário RT 1A'!$B$64</c:f>
              <c:strCache>
                <c:ptCount val="1"/>
                <c:pt idx="0">
                  <c:v>Papel, papelão</c:v>
                </c:pt>
              </c:strCache>
            </c:strRef>
          </c:tx>
          <c:spPr>
            <a:solidFill>
              <a:srgbClr val="CC99FF"/>
            </a:solidFill>
            <a:ln w="12700">
              <a:solidFill>
                <a:srgbClr val="000000"/>
              </a:solidFill>
              <a:prstDash val="solid"/>
            </a:ln>
          </c:spPr>
          <c:invertIfNegative val="0"/>
          <c:cat>
            <c:strRef>
              <c:f>'CO2 - Cenário RT 1A'!$C$61:$D$61</c:f>
              <c:strCache>
                <c:ptCount val="2"/>
                <c:pt idx="0">
                  <c:v>Resíduos reciclados</c:v>
                </c:pt>
                <c:pt idx="1">
                  <c:v>Líquido</c:v>
                </c:pt>
              </c:strCache>
            </c:strRef>
          </c:cat>
          <c:val>
            <c:numRef>
              <c:f>'CO2 - Cenário RT 1A'!$C$64:$D$64</c:f>
              <c:numCache>
                <c:formatCode>General</c:formatCode>
                <c:ptCount val="2"/>
                <c:pt idx="0" formatCode="#,##0">
                  <c:v>1261.5838604928001</c:v>
                </c:pt>
              </c:numCache>
            </c:numRef>
          </c:val>
          <c:extLst>
            <c:ext xmlns:c16="http://schemas.microsoft.com/office/drawing/2014/chart" uri="{C3380CC4-5D6E-409C-BE32-E72D297353CC}">
              <c16:uniqueId val="{00000002-A59E-46F5-94F7-FC3DEB80E6CA}"/>
            </c:ext>
          </c:extLst>
        </c:ser>
        <c:ser>
          <c:idx val="3"/>
          <c:order val="3"/>
          <c:tx>
            <c:strRef>
              <c:f>'CO2 - Cenário RT 1A'!$B$65</c:f>
              <c:strCache>
                <c:ptCount val="1"/>
                <c:pt idx="0">
                  <c:v>Plásticos</c:v>
                </c:pt>
              </c:strCache>
            </c:strRef>
          </c:tx>
          <c:spPr>
            <a:solidFill>
              <a:srgbClr val="FFFF00"/>
            </a:solidFill>
            <a:ln w="12700">
              <a:solidFill>
                <a:srgbClr val="000000"/>
              </a:solidFill>
              <a:prstDash val="solid"/>
            </a:ln>
          </c:spPr>
          <c:invertIfNegative val="0"/>
          <c:cat>
            <c:strRef>
              <c:f>'CO2 - Cenário RT 1A'!$C$61:$D$61</c:f>
              <c:strCache>
                <c:ptCount val="2"/>
                <c:pt idx="0">
                  <c:v>Resíduos reciclados</c:v>
                </c:pt>
                <c:pt idx="1">
                  <c:v>Líquido</c:v>
                </c:pt>
              </c:strCache>
            </c:strRef>
          </c:cat>
          <c:val>
            <c:numRef>
              <c:f>'CO2 - Cenário RT 1A'!$C$65:$D$65</c:f>
              <c:numCache>
                <c:formatCode>General</c:formatCode>
                <c:ptCount val="2"/>
                <c:pt idx="0" formatCode="#,##0">
                  <c:v>280.38273119999997</c:v>
                </c:pt>
              </c:numCache>
            </c:numRef>
          </c:val>
          <c:extLst>
            <c:ext xmlns:c16="http://schemas.microsoft.com/office/drawing/2014/chart" uri="{C3380CC4-5D6E-409C-BE32-E72D297353CC}">
              <c16:uniqueId val="{00000003-A59E-46F5-94F7-FC3DEB80E6CA}"/>
            </c:ext>
          </c:extLst>
        </c:ser>
        <c:ser>
          <c:idx val="4"/>
          <c:order val="4"/>
          <c:tx>
            <c:strRef>
              <c:f>'CO2 - Cenário RT 1A'!$B$66</c:f>
              <c:strCache>
                <c:ptCount val="1"/>
                <c:pt idx="0">
                  <c:v>Vidros</c:v>
                </c:pt>
              </c:strCache>
            </c:strRef>
          </c:tx>
          <c:spPr>
            <a:solidFill>
              <a:srgbClr val="FF99CC"/>
            </a:solidFill>
            <a:ln w="12700">
              <a:solidFill>
                <a:srgbClr val="000000"/>
              </a:solidFill>
              <a:prstDash val="solid"/>
            </a:ln>
          </c:spPr>
          <c:invertIfNegative val="0"/>
          <c:cat>
            <c:strRef>
              <c:f>'CO2 - Cenário RT 1A'!$C$61:$D$61</c:f>
              <c:strCache>
                <c:ptCount val="2"/>
                <c:pt idx="0">
                  <c:v>Resíduos reciclados</c:v>
                </c:pt>
                <c:pt idx="1">
                  <c:v>Líquido</c:v>
                </c:pt>
              </c:strCache>
            </c:strRef>
          </c:cat>
          <c:val>
            <c:numRef>
              <c:f>'CO2 - Cenário RT 1A'!$C$66:$D$66</c:f>
              <c:numCache>
                <c:formatCode>General</c:formatCode>
                <c:ptCount val="2"/>
                <c:pt idx="0" formatCode="#,##0">
                  <c:v>0</c:v>
                </c:pt>
              </c:numCache>
            </c:numRef>
          </c:val>
          <c:extLst>
            <c:ext xmlns:c16="http://schemas.microsoft.com/office/drawing/2014/chart" uri="{C3380CC4-5D6E-409C-BE32-E72D297353CC}">
              <c16:uniqueId val="{00000004-A59E-46F5-94F7-FC3DEB80E6CA}"/>
            </c:ext>
          </c:extLst>
        </c:ser>
        <c:ser>
          <c:idx val="5"/>
          <c:order val="5"/>
          <c:tx>
            <c:strRef>
              <c:f>'CO2 - Cenário RT 1A'!$B$67</c:f>
              <c:strCache>
                <c:ptCount val="1"/>
                <c:pt idx="0">
                  <c:v>Metais ferrosos</c:v>
                </c:pt>
              </c:strCache>
            </c:strRef>
          </c:tx>
          <c:spPr>
            <a:solidFill>
              <a:srgbClr val="C0C0C0"/>
            </a:solidFill>
            <a:ln w="12700">
              <a:solidFill>
                <a:srgbClr val="000000"/>
              </a:solidFill>
              <a:prstDash val="solid"/>
            </a:ln>
          </c:spPr>
          <c:invertIfNegative val="0"/>
          <c:cat>
            <c:strRef>
              <c:f>'CO2 - Cenário RT 1A'!$C$61:$D$61</c:f>
              <c:strCache>
                <c:ptCount val="2"/>
                <c:pt idx="0">
                  <c:v>Resíduos reciclados</c:v>
                </c:pt>
                <c:pt idx="1">
                  <c:v>Líquido</c:v>
                </c:pt>
              </c:strCache>
            </c:strRef>
          </c:cat>
          <c:val>
            <c:numRef>
              <c:f>'CO2 - Cenário RT 1A'!$C$67:$D$67</c:f>
              <c:numCache>
                <c:formatCode>General</c:formatCode>
                <c:ptCount val="2"/>
                <c:pt idx="0" formatCode="#,##0">
                  <c:v>32.198999039999997</c:v>
                </c:pt>
              </c:numCache>
            </c:numRef>
          </c:val>
          <c:extLst>
            <c:ext xmlns:c16="http://schemas.microsoft.com/office/drawing/2014/chart" uri="{C3380CC4-5D6E-409C-BE32-E72D297353CC}">
              <c16:uniqueId val="{00000005-A59E-46F5-94F7-FC3DEB80E6CA}"/>
            </c:ext>
          </c:extLst>
        </c:ser>
        <c:ser>
          <c:idx val="6"/>
          <c:order val="6"/>
          <c:tx>
            <c:strRef>
              <c:f>'CO2 - Cenário RT 1A'!$B$68</c:f>
              <c:strCache>
                <c:ptCount val="1"/>
                <c:pt idx="0">
                  <c:v>Alumínio</c:v>
                </c:pt>
              </c:strCache>
            </c:strRef>
          </c:tx>
          <c:spPr>
            <a:solidFill>
              <a:srgbClr val="993366"/>
            </a:solidFill>
            <a:ln w="12700">
              <a:solidFill>
                <a:srgbClr val="000000"/>
              </a:solidFill>
              <a:prstDash val="solid"/>
            </a:ln>
          </c:spPr>
          <c:invertIfNegative val="0"/>
          <c:cat>
            <c:strRef>
              <c:f>'CO2 - Cenário RT 1A'!$C$61:$D$61</c:f>
              <c:strCache>
                <c:ptCount val="2"/>
                <c:pt idx="0">
                  <c:v>Resíduos reciclados</c:v>
                </c:pt>
                <c:pt idx="1">
                  <c:v>Líquido</c:v>
                </c:pt>
              </c:strCache>
            </c:strRef>
          </c:cat>
          <c:val>
            <c:numRef>
              <c:f>'CO2 - Cenário RT 1A'!$C$68:$D$68</c:f>
              <c:numCache>
                <c:formatCode>General</c:formatCode>
                <c:ptCount val="2"/>
                <c:pt idx="0" formatCode="#,##0">
                  <c:v>91.478406239999984</c:v>
                </c:pt>
              </c:numCache>
            </c:numRef>
          </c:val>
          <c:extLst>
            <c:ext xmlns:c16="http://schemas.microsoft.com/office/drawing/2014/chart" uri="{C3380CC4-5D6E-409C-BE32-E72D297353CC}">
              <c16:uniqueId val="{00000006-A59E-46F5-94F7-FC3DEB80E6CA}"/>
            </c:ext>
          </c:extLst>
        </c:ser>
        <c:ser>
          <c:idx val="7"/>
          <c:order val="7"/>
          <c:tx>
            <c:strRef>
              <c:f>'CO2 - Cenário RT 1A'!$B$69</c:f>
              <c:strCache>
                <c:ptCount val="1"/>
                <c:pt idx="0">
                  <c:v>Têxteis</c:v>
                </c:pt>
              </c:strCache>
            </c:strRef>
          </c:tx>
          <c:spPr>
            <a:solidFill>
              <a:srgbClr val="9999FF"/>
            </a:solidFill>
            <a:ln w="12700">
              <a:solidFill>
                <a:srgbClr val="000000"/>
              </a:solidFill>
              <a:prstDash val="solid"/>
            </a:ln>
          </c:spPr>
          <c:invertIfNegative val="0"/>
          <c:cat>
            <c:strRef>
              <c:f>'CO2 - Cenário RT 1A'!$C$61:$D$61</c:f>
              <c:strCache>
                <c:ptCount val="2"/>
                <c:pt idx="0">
                  <c:v>Resíduos reciclados</c:v>
                </c:pt>
                <c:pt idx="1">
                  <c:v>Líquido</c:v>
                </c:pt>
              </c:strCache>
            </c:strRef>
          </c:cat>
          <c:val>
            <c:numRef>
              <c:f>'CO2 - Cenário RT 1A'!$C$69:$D$69</c:f>
              <c:numCache>
                <c:formatCode>General</c:formatCode>
                <c:ptCount val="2"/>
                <c:pt idx="0" formatCode="#,##0">
                  <c:v>0</c:v>
                </c:pt>
              </c:numCache>
            </c:numRef>
          </c:val>
          <c:extLst>
            <c:ext xmlns:c16="http://schemas.microsoft.com/office/drawing/2014/chart" uri="{C3380CC4-5D6E-409C-BE32-E72D297353CC}">
              <c16:uniqueId val="{00000007-A59E-46F5-94F7-FC3DEB80E6CA}"/>
            </c:ext>
          </c:extLst>
        </c:ser>
        <c:ser>
          <c:idx val="8"/>
          <c:order val="8"/>
          <c:tx>
            <c:strRef>
              <c:f>'CO2 - Cenário RT 1A'!$B$70</c:f>
              <c:strCache>
                <c:ptCount val="1"/>
                <c:pt idx="0">
                  <c:v>Débitos</c:v>
                </c:pt>
              </c:strCache>
            </c:strRef>
          </c:tx>
          <c:spPr>
            <a:noFill/>
            <a:ln w="25400">
              <a:noFill/>
            </a:ln>
          </c:spPr>
          <c:invertIfNegative val="0"/>
          <c:cat>
            <c:strRef>
              <c:f>'CO2 - Cenário RT 1A'!$C$61:$D$61</c:f>
              <c:strCache>
                <c:ptCount val="2"/>
                <c:pt idx="0">
                  <c:v>Resíduos reciclados</c:v>
                </c:pt>
                <c:pt idx="1">
                  <c:v>Líquido</c:v>
                </c:pt>
              </c:strCache>
            </c:strRef>
          </c:cat>
          <c:val>
            <c:numRef>
              <c:f>'CO2 - Cenário RT 1A'!$C$70:$D$70</c:f>
              <c:numCache>
                <c:formatCode>#,##0</c:formatCode>
                <c:ptCount val="2"/>
              </c:numCache>
            </c:numRef>
          </c:val>
          <c:extLst>
            <c:ext xmlns:c16="http://schemas.microsoft.com/office/drawing/2014/chart" uri="{C3380CC4-5D6E-409C-BE32-E72D297353CC}">
              <c16:uniqueId val="{00000008-A59E-46F5-94F7-FC3DEB80E6CA}"/>
            </c:ext>
          </c:extLst>
        </c:ser>
        <c:ser>
          <c:idx val="9"/>
          <c:order val="9"/>
          <c:tx>
            <c:strRef>
              <c:f>'CO2 - Cenário RT 1A'!$B$71</c:f>
              <c:strCache>
                <c:ptCount val="1"/>
                <c:pt idx="0">
                  <c:v>Resíduos de alimentos</c:v>
                </c:pt>
              </c:strCache>
            </c:strRef>
          </c:tx>
          <c:spPr>
            <a:pattFill prst="wdDnDiag">
              <a:fgClr>
                <a:srgbClr val="99CC00"/>
              </a:fgClr>
              <a:bgClr>
                <a:srgbClr val="FFFFFF"/>
              </a:bgClr>
            </a:pattFill>
            <a:ln w="12700">
              <a:solidFill>
                <a:srgbClr val="000000"/>
              </a:solidFill>
              <a:prstDash val="solid"/>
            </a:ln>
          </c:spPr>
          <c:invertIfNegative val="0"/>
          <c:cat>
            <c:strRef>
              <c:f>'CO2 - Cenário RT 1A'!$C$61:$D$61</c:f>
              <c:strCache>
                <c:ptCount val="2"/>
                <c:pt idx="0">
                  <c:v>Resíduos reciclados</c:v>
                </c:pt>
                <c:pt idx="1">
                  <c:v>Líquido</c:v>
                </c:pt>
              </c:strCache>
            </c:strRef>
          </c:cat>
          <c:val>
            <c:numRef>
              <c:f>'CO2 - Cenário RT 1A'!$C$71:$D$71</c:f>
              <c:numCache>
                <c:formatCode>General</c:formatCode>
                <c:ptCount val="2"/>
                <c:pt idx="0" formatCode="#,##0">
                  <c:v>0</c:v>
                </c:pt>
              </c:numCache>
            </c:numRef>
          </c:val>
          <c:extLst>
            <c:ext xmlns:c16="http://schemas.microsoft.com/office/drawing/2014/chart" uri="{C3380CC4-5D6E-409C-BE32-E72D297353CC}">
              <c16:uniqueId val="{00000009-A59E-46F5-94F7-FC3DEB80E6CA}"/>
            </c:ext>
          </c:extLst>
        </c:ser>
        <c:ser>
          <c:idx val="10"/>
          <c:order val="10"/>
          <c:tx>
            <c:strRef>
              <c:f>'CO2 - Cenário RT 1A'!$B$72</c:f>
              <c:strCache>
                <c:ptCount val="1"/>
                <c:pt idx="0">
                  <c:v>Resíduos de jardins e parques</c:v>
                </c:pt>
              </c:strCache>
            </c:strRef>
          </c:tx>
          <c:spPr>
            <a:pattFill prst="wdUpDiag">
              <a:fgClr>
                <a:srgbClr val="000080"/>
              </a:fgClr>
              <a:bgClr>
                <a:srgbClr val="FFFFFF"/>
              </a:bgClr>
            </a:pattFill>
            <a:ln w="12700">
              <a:solidFill>
                <a:srgbClr val="000000"/>
              </a:solidFill>
              <a:prstDash val="solid"/>
            </a:ln>
          </c:spPr>
          <c:invertIfNegative val="0"/>
          <c:cat>
            <c:strRef>
              <c:f>'CO2 - Cenário RT 1A'!$C$61:$D$61</c:f>
              <c:strCache>
                <c:ptCount val="2"/>
                <c:pt idx="0">
                  <c:v>Resíduos reciclados</c:v>
                </c:pt>
                <c:pt idx="1">
                  <c:v>Líquido</c:v>
                </c:pt>
              </c:strCache>
            </c:strRef>
          </c:cat>
          <c:val>
            <c:numRef>
              <c:f>'CO2 - Cenário RT 1A'!$C$72:$D$72</c:f>
              <c:numCache>
                <c:formatCode>General</c:formatCode>
                <c:ptCount val="2"/>
                <c:pt idx="0" formatCode="#,##0">
                  <c:v>0</c:v>
                </c:pt>
              </c:numCache>
            </c:numRef>
          </c:val>
          <c:extLst>
            <c:ext xmlns:c16="http://schemas.microsoft.com/office/drawing/2014/chart" uri="{C3380CC4-5D6E-409C-BE32-E72D297353CC}">
              <c16:uniqueId val="{0000000A-A59E-46F5-94F7-FC3DEB80E6CA}"/>
            </c:ext>
          </c:extLst>
        </c:ser>
        <c:ser>
          <c:idx val="11"/>
          <c:order val="11"/>
          <c:tx>
            <c:strRef>
              <c:f>'CO2 - Cenário RT 1A'!$B$73</c:f>
              <c:strCache>
                <c:ptCount val="1"/>
                <c:pt idx="0">
                  <c:v>Papel, papelão</c:v>
                </c:pt>
              </c:strCache>
            </c:strRef>
          </c:tx>
          <c:spPr>
            <a:pattFill prst="wdDnDiag">
              <a:fgClr>
                <a:srgbClr val="CC99FF"/>
              </a:fgClr>
              <a:bgClr>
                <a:srgbClr val="FFFFFF"/>
              </a:bgClr>
            </a:pattFill>
            <a:ln w="12700">
              <a:solidFill>
                <a:srgbClr val="000000"/>
              </a:solidFill>
              <a:prstDash val="solid"/>
            </a:ln>
          </c:spPr>
          <c:invertIfNegative val="0"/>
          <c:cat>
            <c:strRef>
              <c:f>'CO2 - Cenário RT 1A'!$C$61:$D$61</c:f>
              <c:strCache>
                <c:ptCount val="2"/>
                <c:pt idx="0">
                  <c:v>Resíduos reciclados</c:v>
                </c:pt>
                <c:pt idx="1">
                  <c:v>Líquido</c:v>
                </c:pt>
              </c:strCache>
            </c:strRef>
          </c:cat>
          <c:val>
            <c:numRef>
              <c:f>'CO2 - Cenário RT 1A'!$C$73:$D$73</c:f>
              <c:numCache>
                <c:formatCode>General</c:formatCode>
                <c:ptCount val="2"/>
                <c:pt idx="0" formatCode="#,##0">
                  <c:v>-1554.8820191423999</c:v>
                </c:pt>
              </c:numCache>
            </c:numRef>
          </c:val>
          <c:extLst>
            <c:ext xmlns:c16="http://schemas.microsoft.com/office/drawing/2014/chart" uri="{C3380CC4-5D6E-409C-BE32-E72D297353CC}">
              <c16:uniqueId val="{0000000B-A59E-46F5-94F7-FC3DEB80E6CA}"/>
            </c:ext>
          </c:extLst>
        </c:ser>
        <c:ser>
          <c:idx val="12"/>
          <c:order val="12"/>
          <c:tx>
            <c:strRef>
              <c:f>'CO2 - Cenário RT 1A'!$B$74</c:f>
              <c:strCache>
                <c:ptCount val="1"/>
                <c:pt idx="0">
                  <c:v>Plásticos</c:v>
                </c:pt>
              </c:strCache>
            </c:strRef>
          </c:tx>
          <c:spPr>
            <a:pattFill prst="wdUpDiag">
              <a:fgClr>
                <a:srgbClr val="FFFF00"/>
              </a:fgClr>
              <a:bgClr>
                <a:srgbClr val="FFFFFF"/>
              </a:bgClr>
            </a:pattFill>
            <a:ln w="12700">
              <a:solidFill>
                <a:srgbClr val="000000"/>
              </a:solidFill>
              <a:prstDash val="solid"/>
            </a:ln>
          </c:spPr>
          <c:invertIfNegative val="0"/>
          <c:cat>
            <c:strRef>
              <c:f>'CO2 - Cenário RT 1A'!$C$61:$D$61</c:f>
              <c:strCache>
                <c:ptCount val="2"/>
                <c:pt idx="0">
                  <c:v>Resíduos reciclados</c:v>
                </c:pt>
                <c:pt idx="1">
                  <c:v>Líquido</c:v>
                </c:pt>
              </c:strCache>
            </c:strRef>
          </c:cat>
          <c:val>
            <c:numRef>
              <c:f>'CO2 - Cenário RT 1A'!$C$74:$D$74</c:f>
              <c:numCache>
                <c:formatCode>General</c:formatCode>
                <c:ptCount val="2"/>
                <c:pt idx="0" formatCode="#,##0">
                  <c:v>-1306.0364391359999</c:v>
                </c:pt>
              </c:numCache>
            </c:numRef>
          </c:val>
          <c:extLst>
            <c:ext xmlns:c16="http://schemas.microsoft.com/office/drawing/2014/chart" uri="{C3380CC4-5D6E-409C-BE32-E72D297353CC}">
              <c16:uniqueId val="{0000000C-A59E-46F5-94F7-FC3DEB80E6CA}"/>
            </c:ext>
          </c:extLst>
        </c:ser>
        <c:ser>
          <c:idx val="13"/>
          <c:order val="13"/>
          <c:tx>
            <c:strRef>
              <c:f>'CO2 - Cenário RT 1A'!$B$75</c:f>
              <c:strCache>
                <c:ptCount val="1"/>
                <c:pt idx="0">
                  <c:v>Vidros</c:v>
                </c:pt>
              </c:strCache>
            </c:strRef>
          </c:tx>
          <c:spPr>
            <a:pattFill prst="wdDnDiag">
              <a:fgClr>
                <a:srgbClr val="FF99CC"/>
              </a:fgClr>
              <a:bgClr>
                <a:srgbClr val="FFFFFF"/>
              </a:bgClr>
            </a:pattFill>
            <a:ln w="12700">
              <a:solidFill>
                <a:srgbClr val="000000"/>
              </a:solidFill>
              <a:prstDash val="solid"/>
            </a:ln>
          </c:spPr>
          <c:invertIfNegative val="0"/>
          <c:cat>
            <c:strRef>
              <c:f>'CO2 - Cenário RT 1A'!$C$61:$D$61</c:f>
              <c:strCache>
                <c:ptCount val="2"/>
                <c:pt idx="0">
                  <c:v>Resíduos reciclados</c:v>
                </c:pt>
                <c:pt idx="1">
                  <c:v>Líquido</c:v>
                </c:pt>
              </c:strCache>
            </c:strRef>
          </c:cat>
          <c:val>
            <c:numRef>
              <c:f>'CO2 - Cenário RT 1A'!$C$75:$D$75</c:f>
              <c:numCache>
                <c:formatCode>General</c:formatCode>
                <c:ptCount val="2"/>
                <c:pt idx="0" formatCode="#,##0">
                  <c:v>0</c:v>
                </c:pt>
              </c:numCache>
            </c:numRef>
          </c:val>
          <c:extLst>
            <c:ext xmlns:c16="http://schemas.microsoft.com/office/drawing/2014/chart" uri="{C3380CC4-5D6E-409C-BE32-E72D297353CC}">
              <c16:uniqueId val="{0000000D-A59E-46F5-94F7-FC3DEB80E6CA}"/>
            </c:ext>
          </c:extLst>
        </c:ser>
        <c:ser>
          <c:idx val="14"/>
          <c:order val="14"/>
          <c:tx>
            <c:strRef>
              <c:f>'CO2 - Cenário RT 1A'!$B$76</c:f>
              <c:strCache>
                <c:ptCount val="1"/>
                <c:pt idx="0">
                  <c:v>Metais ferrosos</c:v>
                </c:pt>
              </c:strCache>
            </c:strRef>
          </c:tx>
          <c:spPr>
            <a:pattFill prst="wdUpDiag">
              <a:fgClr>
                <a:srgbClr val="C0C0C0"/>
              </a:fgClr>
              <a:bgClr>
                <a:srgbClr val="FFFFFF"/>
              </a:bgClr>
            </a:pattFill>
            <a:ln w="12700">
              <a:solidFill>
                <a:srgbClr val="000000"/>
              </a:solidFill>
              <a:prstDash val="solid"/>
            </a:ln>
          </c:spPr>
          <c:invertIfNegative val="0"/>
          <c:cat>
            <c:strRef>
              <c:f>'CO2 - Cenário RT 1A'!$C$61:$D$61</c:f>
              <c:strCache>
                <c:ptCount val="2"/>
                <c:pt idx="0">
                  <c:v>Resíduos reciclados</c:v>
                </c:pt>
                <c:pt idx="1">
                  <c:v>Líquido</c:v>
                </c:pt>
              </c:strCache>
            </c:strRef>
          </c:cat>
          <c:val>
            <c:numRef>
              <c:f>'CO2 - Cenário RT 1A'!$C$76:$D$76</c:f>
              <c:numCache>
                <c:formatCode>General</c:formatCode>
                <c:ptCount val="2"/>
                <c:pt idx="0" formatCode="#,##0">
                  <c:v>-861.32322431999989</c:v>
                </c:pt>
              </c:numCache>
            </c:numRef>
          </c:val>
          <c:extLst>
            <c:ext xmlns:c16="http://schemas.microsoft.com/office/drawing/2014/chart" uri="{C3380CC4-5D6E-409C-BE32-E72D297353CC}">
              <c16:uniqueId val="{0000000E-A59E-46F5-94F7-FC3DEB80E6CA}"/>
            </c:ext>
          </c:extLst>
        </c:ser>
        <c:ser>
          <c:idx val="15"/>
          <c:order val="15"/>
          <c:tx>
            <c:strRef>
              <c:f>'CO2 - Cenário RT 1A'!$B$77</c:f>
              <c:strCache>
                <c:ptCount val="1"/>
                <c:pt idx="0">
                  <c:v>Alumínio</c:v>
                </c:pt>
              </c:strCache>
            </c:strRef>
          </c:tx>
          <c:spPr>
            <a:pattFill prst="wdDnDiag">
              <a:fgClr>
                <a:srgbClr val="993366"/>
              </a:fgClr>
              <a:bgClr>
                <a:srgbClr val="FFFFFF"/>
              </a:bgClr>
            </a:pattFill>
            <a:ln w="12700">
              <a:solidFill>
                <a:srgbClr val="000000"/>
              </a:solidFill>
              <a:prstDash val="solid"/>
            </a:ln>
          </c:spPr>
          <c:invertIfNegative val="0"/>
          <c:cat>
            <c:strRef>
              <c:f>'CO2 - Cenário RT 1A'!$C$61:$D$61</c:f>
              <c:strCache>
                <c:ptCount val="2"/>
                <c:pt idx="0">
                  <c:v>Resíduos reciclados</c:v>
                </c:pt>
                <c:pt idx="1">
                  <c:v>Líquido</c:v>
                </c:pt>
              </c:strCache>
            </c:strRef>
          </c:cat>
          <c:val>
            <c:numRef>
              <c:f>'CO2 - Cenário RT 1A'!$C$77:$D$77</c:f>
              <c:numCache>
                <c:formatCode>General</c:formatCode>
                <c:ptCount val="2"/>
                <c:pt idx="0" formatCode="#,##0">
                  <c:v>-1296.7096895999998</c:v>
                </c:pt>
              </c:numCache>
            </c:numRef>
          </c:val>
          <c:extLst>
            <c:ext xmlns:c16="http://schemas.microsoft.com/office/drawing/2014/chart" uri="{C3380CC4-5D6E-409C-BE32-E72D297353CC}">
              <c16:uniqueId val="{0000000F-A59E-46F5-94F7-FC3DEB80E6CA}"/>
            </c:ext>
          </c:extLst>
        </c:ser>
        <c:ser>
          <c:idx val="16"/>
          <c:order val="16"/>
          <c:tx>
            <c:strRef>
              <c:f>'CO2 - Cenário RT 1A'!$B$78</c:f>
              <c:strCache>
                <c:ptCount val="1"/>
                <c:pt idx="0">
                  <c:v>Têxteis</c:v>
                </c:pt>
              </c:strCache>
            </c:strRef>
          </c:tx>
          <c:spPr>
            <a:pattFill prst="wdUpDiag">
              <a:fgClr>
                <a:srgbClr val="9999FF"/>
              </a:fgClr>
              <a:bgClr>
                <a:srgbClr val="FFFFFF"/>
              </a:bgClr>
            </a:pattFill>
            <a:ln w="12700">
              <a:solidFill>
                <a:srgbClr val="000000"/>
              </a:solidFill>
              <a:prstDash val="solid"/>
            </a:ln>
          </c:spPr>
          <c:invertIfNegative val="0"/>
          <c:cat>
            <c:strRef>
              <c:f>'CO2 - Cenário RT 1A'!$C$61:$D$61</c:f>
              <c:strCache>
                <c:ptCount val="2"/>
                <c:pt idx="0">
                  <c:v>Resíduos reciclados</c:v>
                </c:pt>
                <c:pt idx="1">
                  <c:v>Líquido</c:v>
                </c:pt>
              </c:strCache>
            </c:strRef>
          </c:cat>
          <c:val>
            <c:numRef>
              <c:f>'CO2 - Cenário RT 1A'!$C$78:$D$78</c:f>
              <c:numCache>
                <c:formatCode>General</c:formatCode>
                <c:ptCount val="2"/>
                <c:pt idx="0" formatCode="#,##0">
                  <c:v>0</c:v>
                </c:pt>
              </c:numCache>
            </c:numRef>
          </c:val>
          <c:extLst>
            <c:ext xmlns:c16="http://schemas.microsoft.com/office/drawing/2014/chart" uri="{C3380CC4-5D6E-409C-BE32-E72D297353CC}">
              <c16:uniqueId val="{00000010-A59E-46F5-94F7-FC3DEB80E6CA}"/>
            </c:ext>
          </c:extLst>
        </c:ser>
        <c:ser>
          <c:idx val="17"/>
          <c:order val="17"/>
          <c:tx>
            <c:strRef>
              <c:f>'CO2 - Cenário RT 1A'!$B$79</c:f>
              <c:strCache>
                <c:ptCount val="1"/>
                <c:pt idx="0">
                  <c:v>Créditos</c:v>
                </c:pt>
              </c:strCache>
            </c:strRef>
          </c:tx>
          <c:spPr>
            <a:noFill/>
            <a:ln w="25400">
              <a:noFill/>
            </a:ln>
          </c:spPr>
          <c:invertIfNegative val="0"/>
          <c:cat>
            <c:strRef>
              <c:f>'CO2 - Cenário RT 1A'!$C$61:$D$61</c:f>
              <c:strCache>
                <c:ptCount val="2"/>
                <c:pt idx="0">
                  <c:v>Resíduos reciclados</c:v>
                </c:pt>
                <c:pt idx="1">
                  <c:v>Líquido</c:v>
                </c:pt>
              </c:strCache>
            </c:strRef>
          </c:cat>
          <c:val>
            <c:numRef>
              <c:f>'CO2 - Cenário RT 1A'!$C$79:$D$79</c:f>
              <c:numCache>
                <c:formatCode>#,##0</c:formatCode>
                <c:ptCount val="2"/>
              </c:numCache>
            </c:numRef>
          </c:val>
          <c:extLst>
            <c:ext xmlns:c16="http://schemas.microsoft.com/office/drawing/2014/chart" uri="{C3380CC4-5D6E-409C-BE32-E72D297353CC}">
              <c16:uniqueId val="{00000011-A59E-46F5-94F7-FC3DEB80E6CA}"/>
            </c:ext>
          </c:extLst>
        </c:ser>
        <c:ser>
          <c:idx val="18"/>
          <c:order val="18"/>
          <c:tx>
            <c:strRef>
              <c:f>'CO2 - Cenário RT 1A'!$B$80</c:f>
              <c:strCache>
                <c:ptCount val="1"/>
                <c:pt idx="0">
                  <c:v>Líquido</c:v>
                </c:pt>
              </c:strCache>
            </c:strRef>
          </c:tx>
          <c:spPr>
            <a:solidFill>
              <a:srgbClr val="0000FF"/>
            </a:solidFill>
            <a:ln w="12700">
              <a:solidFill>
                <a:srgbClr val="000000"/>
              </a:solidFill>
              <a:prstDash val="solid"/>
            </a:ln>
          </c:spPr>
          <c:invertIfNegative val="0"/>
          <c:cat>
            <c:strRef>
              <c:f>'CO2 - Cenário RT 1A'!$C$61:$D$61</c:f>
              <c:strCache>
                <c:ptCount val="2"/>
                <c:pt idx="0">
                  <c:v>Resíduos reciclados</c:v>
                </c:pt>
                <c:pt idx="1">
                  <c:v>Líquido</c:v>
                </c:pt>
              </c:strCache>
            </c:strRef>
          </c:cat>
          <c:val>
            <c:numRef>
              <c:f>'CO2 - Cenário RT 1A'!$C$80:$D$80</c:f>
              <c:numCache>
                <c:formatCode>#,##0</c:formatCode>
                <c:ptCount val="2"/>
                <c:pt idx="1">
                  <c:v>-3353.3073752255996</c:v>
                </c:pt>
              </c:numCache>
            </c:numRef>
          </c:val>
          <c:extLst>
            <c:ext xmlns:c16="http://schemas.microsoft.com/office/drawing/2014/chart" uri="{C3380CC4-5D6E-409C-BE32-E72D297353CC}">
              <c16:uniqueId val="{00000012-A59E-46F5-94F7-FC3DEB80E6CA}"/>
            </c:ext>
          </c:extLst>
        </c:ser>
        <c:dLbls>
          <c:showLegendKey val="0"/>
          <c:showVal val="0"/>
          <c:showCatName val="0"/>
          <c:showSerName val="0"/>
          <c:showPercent val="0"/>
          <c:showBubbleSize val="0"/>
        </c:dLbls>
        <c:gapWidth val="100"/>
        <c:overlap val="100"/>
        <c:axId val="195374464"/>
        <c:axId val="195392640"/>
      </c:barChart>
      <c:catAx>
        <c:axId val="195374464"/>
        <c:scaling>
          <c:orientation val="minMax"/>
        </c:scaling>
        <c:delete val="0"/>
        <c:axPos val="b"/>
        <c:numFmt formatCode="General" sourceLinked="1"/>
        <c:majorTickMark val="out"/>
        <c:minorTickMark val="none"/>
        <c:tickLblPos val="low"/>
        <c:spPr>
          <a:ln w="3175">
            <a:solidFill>
              <a:srgbClr val="000000"/>
            </a:solidFill>
            <a:prstDash val="solid"/>
          </a:ln>
        </c:spPr>
        <c:txPr>
          <a:bodyPr rot="0" vert="horz"/>
          <a:lstStyle/>
          <a:p>
            <a:pPr>
              <a:defRPr sz="875" b="1" i="0" u="none" strike="noStrike" baseline="0">
                <a:solidFill>
                  <a:srgbClr val="000000"/>
                </a:solidFill>
                <a:latin typeface="Arial"/>
                <a:ea typeface="Arial"/>
                <a:cs typeface="Arial"/>
              </a:defRPr>
            </a:pPr>
            <a:endParaRPr lang="pt-BR"/>
          </a:p>
        </c:txPr>
        <c:crossAx val="195392640"/>
        <c:crosses val="autoZero"/>
        <c:auto val="1"/>
        <c:lblAlgn val="ctr"/>
        <c:lblOffset val="100"/>
        <c:tickLblSkip val="1"/>
        <c:tickMarkSkip val="1"/>
        <c:noMultiLvlLbl val="0"/>
      </c:catAx>
      <c:valAx>
        <c:axId val="195392640"/>
        <c:scaling>
          <c:orientation val="minMax"/>
        </c:scaling>
        <c:delete val="0"/>
        <c:axPos val="l"/>
        <c:majorGridlines>
          <c:spPr>
            <a:ln w="3175">
              <a:solidFill>
                <a:srgbClr val="000000"/>
              </a:solidFill>
              <a:prstDash val="solid"/>
            </a:ln>
          </c:spPr>
        </c:majorGridlines>
        <c:title>
          <c:tx>
            <c:rich>
              <a:bodyPr/>
              <a:lstStyle/>
              <a:p>
                <a:pPr>
                  <a:defRPr sz="875" b="1" i="0" u="none" strike="noStrike" baseline="0">
                    <a:solidFill>
                      <a:sysClr val="windowText" lastClr="000000"/>
                    </a:solidFill>
                    <a:latin typeface="Arial"/>
                    <a:ea typeface="Arial"/>
                    <a:cs typeface="Arial"/>
                  </a:defRPr>
                </a:pPr>
                <a:r>
                  <a:rPr lang="de-DE">
                    <a:solidFill>
                      <a:sysClr val="windowText" lastClr="000000"/>
                    </a:solidFill>
                  </a:rPr>
                  <a:t>tonelada CO2-eq / ano</a:t>
                </a:r>
              </a:p>
            </c:rich>
          </c:tx>
          <c:layout>
            <c:manualLayout>
              <c:xMode val="edge"/>
              <c:yMode val="edge"/>
              <c:x val="2.0131744232360058E-2"/>
              <c:y val="0.36337316499060635"/>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75" b="0" i="0" u="none" strike="noStrike" baseline="0">
                <a:solidFill>
                  <a:srgbClr val="000000"/>
                </a:solidFill>
                <a:latin typeface="Arial"/>
                <a:ea typeface="Arial"/>
                <a:cs typeface="Arial"/>
              </a:defRPr>
            </a:pPr>
            <a:endParaRPr lang="pt-BR"/>
          </a:p>
        </c:txPr>
        <c:crossAx val="195374464"/>
        <c:crosses val="autoZero"/>
        <c:crossBetween val="between"/>
      </c:valAx>
      <c:spPr>
        <a:noFill/>
        <a:ln w="12700">
          <a:solidFill>
            <a:srgbClr val="808080"/>
          </a:solidFill>
          <a:prstDash val="solid"/>
        </a:ln>
      </c:spPr>
    </c:plotArea>
    <c:legend>
      <c:legendPos val="r"/>
      <c:legendEntry>
        <c:idx val="0"/>
        <c:txPr>
          <a:bodyPr/>
          <a:lstStyle/>
          <a:p>
            <a:pPr>
              <a:defRPr sz="755" b="1" i="0" u="none" strike="noStrike" baseline="0">
                <a:solidFill>
                  <a:srgbClr val="000000"/>
                </a:solidFill>
                <a:latin typeface="Arial"/>
                <a:ea typeface="Arial"/>
                <a:cs typeface="Arial"/>
              </a:defRPr>
            </a:pPr>
            <a:endParaRPr lang="pt-BR"/>
          </a:p>
        </c:txPr>
      </c:legendEntry>
      <c:legendEntry>
        <c:idx val="1"/>
        <c:txPr>
          <a:bodyPr/>
          <a:lstStyle/>
          <a:p>
            <a:pPr>
              <a:defRPr sz="755" b="1" i="0" u="none" strike="noStrike" baseline="0">
                <a:solidFill>
                  <a:srgbClr val="000000"/>
                </a:solidFill>
                <a:latin typeface="Arial"/>
                <a:ea typeface="Arial"/>
                <a:cs typeface="Arial"/>
              </a:defRPr>
            </a:pPr>
            <a:endParaRPr lang="pt-BR"/>
          </a:p>
        </c:txPr>
      </c:legendEntry>
      <c:legendEntry>
        <c:idx val="4"/>
        <c:txPr>
          <a:bodyPr/>
          <a:lstStyle/>
          <a:p>
            <a:pPr>
              <a:defRPr sz="755" b="0" i="0" u="none" strike="noStrike" baseline="0">
                <a:solidFill>
                  <a:srgbClr val="000000"/>
                </a:solidFill>
                <a:latin typeface="Arial"/>
                <a:ea typeface="Arial"/>
                <a:cs typeface="Arial"/>
              </a:defRPr>
            </a:pPr>
            <a:endParaRPr lang="pt-BR"/>
          </a:p>
        </c:txPr>
      </c:legendEntry>
      <c:legendEntry>
        <c:idx val="5"/>
        <c:txPr>
          <a:bodyPr/>
          <a:lstStyle/>
          <a:p>
            <a:pPr>
              <a:defRPr sz="755" b="0" i="0" u="none" strike="noStrike" baseline="0">
                <a:solidFill>
                  <a:srgbClr val="000000"/>
                </a:solidFill>
                <a:latin typeface="Arial"/>
                <a:ea typeface="Arial"/>
                <a:cs typeface="Arial"/>
              </a:defRPr>
            </a:pPr>
            <a:endParaRPr lang="pt-BR"/>
          </a:p>
        </c:txPr>
      </c:legendEntry>
      <c:legendEntry>
        <c:idx val="6"/>
        <c:txPr>
          <a:bodyPr/>
          <a:lstStyle/>
          <a:p>
            <a:pPr>
              <a:defRPr sz="755" b="0" i="0" u="none" strike="noStrike" baseline="0">
                <a:solidFill>
                  <a:srgbClr val="000000"/>
                </a:solidFill>
                <a:latin typeface="Arial"/>
                <a:ea typeface="Arial"/>
                <a:cs typeface="Arial"/>
              </a:defRPr>
            </a:pPr>
            <a:endParaRPr lang="pt-BR"/>
          </a:p>
        </c:txPr>
      </c:legendEntry>
      <c:legendEntry>
        <c:idx val="7"/>
        <c:txPr>
          <a:bodyPr/>
          <a:lstStyle/>
          <a:p>
            <a:pPr>
              <a:defRPr sz="755" b="0" i="0" u="none" strike="noStrike" baseline="0">
                <a:solidFill>
                  <a:srgbClr val="000000"/>
                </a:solidFill>
                <a:latin typeface="Arial"/>
                <a:ea typeface="Arial"/>
                <a:cs typeface="Arial"/>
              </a:defRPr>
            </a:pPr>
            <a:endParaRPr lang="pt-BR"/>
          </a:p>
        </c:txPr>
      </c:legendEntry>
      <c:legendEntry>
        <c:idx val="9"/>
        <c:txPr>
          <a:bodyPr/>
          <a:lstStyle/>
          <a:p>
            <a:pPr>
              <a:defRPr sz="755" b="0" i="0" u="none" strike="noStrike" baseline="0">
                <a:solidFill>
                  <a:srgbClr val="000000"/>
                </a:solidFill>
                <a:latin typeface="Arial"/>
                <a:ea typeface="Arial"/>
                <a:cs typeface="Arial"/>
              </a:defRPr>
            </a:pPr>
            <a:endParaRPr lang="pt-BR"/>
          </a:p>
        </c:txPr>
      </c:legendEntry>
      <c:legendEntry>
        <c:idx val="10"/>
        <c:txPr>
          <a:bodyPr/>
          <a:lstStyle/>
          <a:p>
            <a:pPr>
              <a:defRPr sz="755" b="1" i="0" u="none" strike="noStrike" baseline="0">
                <a:solidFill>
                  <a:srgbClr val="000000"/>
                </a:solidFill>
                <a:latin typeface="Arial"/>
                <a:ea typeface="Arial"/>
                <a:cs typeface="Arial"/>
              </a:defRPr>
            </a:pPr>
            <a:endParaRPr lang="pt-BR"/>
          </a:p>
        </c:txPr>
      </c:legendEntry>
      <c:legendEntry>
        <c:idx val="12"/>
        <c:txPr>
          <a:bodyPr/>
          <a:lstStyle/>
          <a:p>
            <a:pPr>
              <a:defRPr sz="755" b="0" i="0" u="none" strike="noStrike" baseline="0">
                <a:solidFill>
                  <a:srgbClr val="000000"/>
                </a:solidFill>
                <a:latin typeface="Arial"/>
                <a:ea typeface="Arial"/>
                <a:cs typeface="Arial"/>
              </a:defRPr>
            </a:pPr>
            <a:endParaRPr lang="pt-BR"/>
          </a:p>
        </c:txPr>
      </c:legendEntry>
      <c:legendEntry>
        <c:idx val="13"/>
        <c:txPr>
          <a:bodyPr/>
          <a:lstStyle/>
          <a:p>
            <a:pPr>
              <a:defRPr sz="755" b="0" i="0" u="none" strike="noStrike" baseline="0">
                <a:solidFill>
                  <a:srgbClr val="000000"/>
                </a:solidFill>
                <a:latin typeface="Arial"/>
                <a:ea typeface="Arial"/>
                <a:cs typeface="Arial"/>
              </a:defRPr>
            </a:pPr>
            <a:endParaRPr lang="pt-BR"/>
          </a:p>
        </c:txPr>
      </c:legendEntry>
      <c:layout>
        <c:manualLayout>
          <c:xMode val="edge"/>
          <c:yMode val="edge"/>
          <c:x val="0.73683323631238706"/>
          <c:y val="1.5988349370523305E-2"/>
          <c:w val="0.24322996710015687"/>
          <c:h val="0.98286614435831265"/>
        </c:manualLayout>
      </c:layout>
      <c:overlay val="0"/>
      <c:spPr>
        <a:solidFill>
          <a:srgbClr val="FFFFFF"/>
        </a:solidFill>
        <a:ln w="3175">
          <a:solidFill>
            <a:srgbClr val="000000"/>
          </a:solidFill>
          <a:prstDash val="solid"/>
        </a:ln>
      </c:spPr>
      <c:txPr>
        <a:bodyPr/>
        <a:lstStyle/>
        <a:p>
          <a:pPr>
            <a:defRPr sz="755" b="0" i="0" u="none" strike="noStrike" baseline="0">
              <a:solidFill>
                <a:srgbClr val="000000"/>
              </a:solidFill>
              <a:latin typeface="Arial"/>
              <a:ea typeface="Arial"/>
              <a:cs typeface="Arial"/>
            </a:defRPr>
          </a:pPr>
          <a:endParaRPr lang="pt-BR"/>
        </a:p>
      </c:txPr>
    </c:legend>
    <c:plotVisOnly val="1"/>
    <c:dispBlanksAs val="gap"/>
    <c:showDLblsOverMax val="0"/>
  </c:chart>
  <c:spPr>
    <a:solidFill>
      <a:srgbClr val="FFFFFF"/>
    </a:solid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pt-BR"/>
    </a:p>
  </c:txPr>
  <c:printSettings>
    <c:headerFooter alignWithMargins="0"/>
    <c:pageMargins b="0.98425196899999978" l="0.78740157499999996" r="0.78740157499999996" t="0.98425196899999978" header="0.49212598450000011" footer="0.49212598450000011"/>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75" b="1" i="0" u="none" strike="noStrike" baseline="0">
                <a:solidFill>
                  <a:srgbClr val="000000"/>
                </a:solidFill>
                <a:latin typeface="Arial"/>
                <a:ea typeface="Arial"/>
                <a:cs typeface="Arial"/>
              </a:defRPr>
            </a:pPr>
            <a:r>
              <a:rPr lang="de-DE"/>
              <a:t>Emissões </a:t>
            </a:r>
            <a:r>
              <a:rPr lang="de-DE" sz="975" b="1" i="0" u="none" strike="noStrike" kern="1200" baseline="0">
                <a:solidFill>
                  <a:srgbClr val="000000"/>
                </a:solidFill>
                <a:latin typeface="Arial"/>
                <a:ea typeface="Arial"/>
                <a:cs typeface="Arial"/>
              </a:rPr>
              <a:t>de GEE — Destinação</a:t>
            </a:r>
          </a:p>
        </c:rich>
      </c:tx>
      <c:layout>
        <c:manualLayout>
          <c:xMode val="edge"/>
          <c:yMode val="edge"/>
          <c:x val="0.29399615642403876"/>
          <c:y val="1.5172413793103448E-2"/>
        </c:manualLayout>
      </c:layout>
      <c:overlay val="0"/>
      <c:spPr>
        <a:noFill/>
        <a:ln w="25400">
          <a:noFill/>
        </a:ln>
      </c:spPr>
    </c:title>
    <c:autoTitleDeleted val="0"/>
    <c:plotArea>
      <c:layout>
        <c:manualLayout>
          <c:layoutTarget val="inner"/>
          <c:xMode val="edge"/>
          <c:yMode val="edge"/>
          <c:x val="0.18944118530140547"/>
          <c:y val="0.12689655172413788"/>
          <c:w val="0.52588044881482998"/>
          <c:h val="0.76137931034482786"/>
        </c:manualLayout>
      </c:layout>
      <c:barChart>
        <c:barDir val="col"/>
        <c:grouping val="stacked"/>
        <c:varyColors val="0"/>
        <c:ser>
          <c:idx val="0"/>
          <c:order val="0"/>
          <c:tx>
            <c:strRef>
              <c:f>'CO2 - Cenário RT 1A'!$K$62</c:f>
              <c:strCache>
                <c:ptCount val="1"/>
                <c:pt idx="0">
                  <c:v>Resíduos dispersos</c:v>
                </c:pt>
              </c:strCache>
            </c:strRef>
          </c:tx>
          <c:spPr>
            <a:solidFill>
              <a:srgbClr val="FFFFFF"/>
            </a:solidFill>
            <a:ln w="12700">
              <a:solidFill>
                <a:srgbClr val="000000"/>
              </a:solidFill>
              <a:prstDash val="solid"/>
            </a:ln>
          </c:spPr>
          <c:invertIfNegative val="0"/>
          <c:cat>
            <c:strRef>
              <c:f>'CO2 - Cenário RT 1A'!$L$61:$M$61</c:f>
              <c:strCache>
                <c:ptCount val="2"/>
                <c:pt idx="0">
                  <c:v>Destinação de resíduos</c:v>
                </c:pt>
                <c:pt idx="1">
                  <c:v>Líquido</c:v>
                </c:pt>
              </c:strCache>
            </c:strRef>
          </c:cat>
          <c:val>
            <c:numRef>
              <c:f>'CO2 - Cenário RT 1A'!$L$62:$M$62</c:f>
              <c:numCache>
                <c:formatCode>General</c:formatCode>
                <c:ptCount val="2"/>
                <c:pt idx="0" formatCode="#,##0">
                  <c:v>0</c:v>
                </c:pt>
              </c:numCache>
            </c:numRef>
          </c:val>
          <c:extLst>
            <c:ext xmlns:c16="http://schemas.microsoft.com/office/drawing/2014/chart" uri="{C3380CC4-5D6E-409C-BE32-E72D297353CC}">
              <c16:uniqueId val="{00000000-56D3-43BF-959F-143FD4C84364}"/>
            </c:ext>
          </c:extLst>
        </c:ser>
        <c:ser>
          <c:idx val="1"/>
          <c:order val="1"/>
          <c:tx>
            <c:strRef>
              <c:f>'CO2 - Cenário RT 1A'!$K$63</c:f>
              <c:strCache>
                <c:ptCount val="1"/>
                <c:pt idx="0">
                  <c:v>Queima a céu aberto</c:v>
                </c:pt>
              </c:strCache>
            </c:strRef>
          </c:tx>
          <c:spPr>
            <a:solidFill>
              <a:srgbClr val="FF8080"/>
            </a:solidFill>
            <a:ln w="12700">
              <a:solidFill>
                <a:srgbClr val="000000"/>
              </a:solidFill>
              <a:prstDash val="solid"/>
            </a:ln>
          </c:spPr>
          <c:invertIfNegative val="0"/>
          <c:cat>
            <c:strRef>
              <c:f>'CO2 - Cenário RT 1A'!$L$61:$M$61</c:f>
              <c:strCache>
                <c:ptCount val="2"/>
                <c:pt idx="0">
                  <c:v>Destinação de resíduos</c:v>
                </c:pt>
                <c:pt idx="1">
                  <c:v>Líquido</c:v>
                </c:pt>
              </c:strCache>
            </c:strRef>
          </c:cat>
          <c:val>
            <c:numRef>
              <c:f>'CO2 - Cenário RT 1A'!$L$63:$M$63</c:f>
              <c:numCache>
                <c:formatCode>General</c:formatCode>
                <c:ptCount val="2"/>
                <c:pt idx="0" formatCode="#,##0">
                  <c:v>0</c:v>
                </c:pt>
              </c:numCache>
            </c:numRef>
          </c:val>
          <c:extLst>
            <c:ext xmlns:c16="http://schemas.microsoft.com/office/drawing/2014/chart" uri="{C3380CC4-5D6E-409C-BE32-E72D297353CC}">
              <c16:uniqueId val="{00000001-56D3-43BF-959F-143FD4C84364}"/>
            </c:ext>
          </c:extLst>
        </c:ser>
        <c:ser>
          <c:idx val="2"/>
          <c:order val="2"/>
          <c:tx>
            <c:strRef>
              <c:f>'CO2 - Cenário RT 1A'!$K$64</c:f>
              <c:strCache>
                <c:ptCount val="1"/>
                <c:pt idx="0">
                  <c:v>Lixão não controlado</c:v>
                </c:pt>
              </c:strCache>
            </c:strRef>
          </c:tx>
          <c:spPr>
            <a:solidFill>
              <a:srgbClr val="993300"/>
            </a:solidFill>
            <a:ln w="12700">
              <a:solidFill>
                <a:srgbClr val="000000"/>
              </a:solidFill>
              <a:prstDash val="solid"/>
            </a:ln>
          </c:spPr>
          <c:invertIfNegative val="0"/>
          <c:cat>
            <c:strRef>
              <c:f>'CO2 - Cenário RT 1A'!$L$61:$M$61</c:f>
              <c:strCache>
                <c:ptCount val="2"/>
                <c:pt idx="0">
                  <c:v>Destinação de resíduos</c:v>
                </c:pt>
                <c:pt idx="1">
                  <c:v>Líquido</c:v>
                </c:pt>
              </c:strCache>
            </c:strRef>
          </c:cat>
          <c:val>
            <c:numRef>
              <c:f>'CO2 - Cenário RT 1A'!$L$64:$M$64</c:f>
              <c:numCache>
                <c:formatCode>General</c:formatCode>
                <c:ptCount val="2"/>
                <c:pt idx="0" formatCode="#,##0">
                  <c:v>0</c:v>
                </c:pt>
              </c:numCache>
            </c:numRef>
          </c:val>
          <c:extLst>
            <c:ext xmlns:c16="http://schemas.microsoft.com/office/drawing/2014/chart" uri="{C3380CC4-5D6E-409C-BE32-E72D297353CC}">
              <c16:uniqueId val="{00000002-56D3-43BF-959F-143FD4C84364}"/>
            </c:ext>
          </c:extLst>
        </c:ser>
        <c:ser>
          <c:idx val="3"/>
          <c:order val="3"/>
          <c:tx>
            <c:strRef>
              <c:f>'CO2 - Cenário RT 1A'!$K$65</c:f>
              <c:strCache>
                <c:ptCount val="1"/>
                <c:pt idx="0">
                  <c:v>Aterro controlado</c:v>
                </c:pt>
              </c:strCache>
            </c:strRef>
          </c:tx>
          <c:spPr>
            <a:solidFill>
              <a:srgbClr val="99CC00"/>
            </a:solidFill>
            <a:ln w="12700">
              <a:solidFill>
                <a:srgbClr val="000000"/>
              </a:solidFill>
              <a:prstDash val="solid"/>
            </a:ln>
          </c:spPr>
          <c:invertIfNegative val="0"/>
          <c:cat>
            <c:strRef>
              <c:f>'CO2 - Cenário RT 1A'!$L$61:$M$61</c:f>
              <c:strCache>
                <c:ptCount val="2"/>
                <c:pt idx="0">
                  <c:v>Destinação de resíduos</c:v>
                </c:pt>
                <c:pt idx="1">
                  <c:v>Líquido</c:v>
                </c:pt>
              </c:strCache>
            </c:strRef>
          </c:cat>
          <c:val>
            <c:numRef>
              <c:f>'CO2 - Cenário RT 1A'!$L$65:$M$65</c:f>
              <c:numCache>
                <c:formatCode>General</c:formatCode>
                <c:ptCount val="2"/>
                <c:pt idx="0" formatCode="#,##0">
                  <c:v>0</c:v>
                </c:pt>
              </c:numCache>
            </c:numRef>
          </c:val>
          <c:extLst>
            <c:ext xmlns:c16="http://schemas.microsoft.com/office/drawing/2014/chart" uri="{C3380CC4-5D6E-409C-BE32-E72D297353CC}">
              <c16:uniqueId val="{00000003-56D3-43BF-959F-143FD4C84364}"/>
            </c:ext>
          </c:extLst>
        </c:ser>
        <c:ser>
          <c:idx val="4"/>
          <c:order val="4"/>
          <c:tx>
            <c:strRef>
              <c:f>'CO2 - Cenário RT 1A'!$K$66</c:f>
              <c:strCache>
                <c:ptCount val="1"/>
                <c:pt idx="0">
                  <c:v>Aterro sanitário</c:v>
                </c:pt>
              </c:strCache>
            </c:strRef>
          </c:tx>
          <c:spPr>
            <a:solidFill>
              <a:srgbClr val="FFFF00"/>
            </a:solidFill>
            <a:ln w="12700">
              <a:solidFill>
                <a:srgbClr val="000000"/>
              </a:solidFill>
              <a:prstDash val="solid"/>
            </a:ln>
          </c:spPr>
          <c:invertIfNegative val="0"/>
          <c:cat>
            <c:strRef>
              <c:f>'CO2 - Cenário RT 1A'!$L$61:$M$61</c:f>
              <c:strCache>
                <c:ptCount val="2"/>
                <c:pt idx="0">
                  <c:v>Destinação de resíduos</c:v>
                </c:pt>
                <c:pt idx="1">
                  <c:v>Líquido</c:v>
                </c:pt>
              </c:strCache>
            </c:strRef>
          </c:cat>
          <c:val>
            <c:numRef>
              <c:f>'CO2 - Cenário RT 1A'!$L$66:$M$66</c:f>
              <c:numCache>
                <c:formatCode>General</c:formatCode>
                <c:ptCount val="2"/>
                <c:pt idx="0" formatCode="#,##0">
                  <c:v>8513.3129213582743</c:v>
                </c:pt>
              </c:numCache>
            </c:numRef>
          </c:val>
          <c:extLst>
            <c:ext xmlns:c16="http://schemas.microsoft.com/office/drawing/2014/chart" uri="{C3380CC4-5D6E-409C-BE32-E72D297353CC}">
              <c16:uniqueId val="{00000004-56D3-43BF-959F-143FD4C84364}"/>
            </c:ext>
          </c:extLst>
        </c:ser>
        <c:ser>
          <c:idx val="5"/>
          <c:order val="5"/>
          <c:tx>
            <c:strRef>
              <c:f>'CO2 - Cenário RT 1A'!$K$67</c:f>
              <c:strCache>
                <c:ptCount val="1"/>
                <c:pt idx="0">
                  <c:v>Trat. biol + cobertura at.</c:v>
                </c:pt>
              </c:strCache>
            </c:strRef>
          </c:tx>
          <c:spPr>
            <a:solidFill>
              <a:srgbClr val="FF00FF"/>
            </a:solidFill>
            <a:ln w="12700">
              <a:solidFill>
                <a:srgbClr val="000000"/>
              </a:solidFill>
              <a:prstDash val="solid"/>
            </a:ln>
          </c:spPr>
          <c:invertIfNegative val="0"/>
          <c:cat>
            <c:strRef>
              <c:f>'CO2 - Cenário RT 1A'!$L$61:$M$61</c:f>
              <c:strCache>
                <c:ptCount val="2"/>
                <c:pt idx="0">
                  <c:v>Destinação de resíduos</c:v>
                </c:pt>
                <c:pt idx="1">
                  <c:v>Líquido</c:v>
                </c:pt>
              </c:strCache>
            </c:strRef>
          </c:cat>
          <c:val>
            <c:numRef>
              <c:f>'CO2 - Cenário RT 1A'!$L$67:$M$67</c:f>
              <c:numCache>
                <c:formatCode>General</c:formatCode>
                <c:ptCount val="2"/>
                <c:pt idx="0" formatCode="#,##0">
                  <c:v>0</c:v>
                </c:pt>
              </c:numCache>
            </c:numRef>
          </c:val>
          <c:extLst>
            <c:ext xmlns:c16="http://schemas.microsoft.com/office/drawing/2014/chart" uri="{C3380CC4-5D6E-409C-BE32-E72D297353CC}">
              <c16:uniqueId val="{00000005-56D3-43BF-959F-143FD4C84364}"/>
            </c:ext>
          </c:extLst>
        </c:ser>
        <c:ser>
          <c:idx val="6"/>
          <c:order val="6"/>
          <c:tx>
            <c:strRef>
              <c:f>'CO2 - Cenário RT 1A'!$K$68</c:f>
              <c:strCache>
                <c:ptCount val="1"/>
                <c:pt idx="0">
                  <c:v>CDR seco + rejeito aterro</c:v>
                </c:pt>
              </c:strCache>
            </c:strRef>
          </c:tx>
          <c:spPr>
            <a:solidFill>
              <a:srgbClr val="008080"/>
            </a:solidFill>
            <a:ln w="12700">
              <a:solidFill>
                <a:srgbClr val="000000"/>
              </a:solidFill>
              <a:prstDash val="solid"/>
            </a:ln>
          </c:spPr>
          <c:invertIfNegative val="0"/>
          <c:cat>
            <c:strRef>
              <c:f>'CO2 - Cenário RT 1A'!$L$61:$M$61</c:f>
              <c:strCache>
                <c:ptCount val="2"/>
                <c:pt idx="0">
                  <c:v>Destinação de resíduos</c:v>
                </c:pt>
                <c:pt idx="1">
                  <c:v>Líquido</c:v>
                </c:pt>
              </c:strCache>
            </c:strRef>
          </c:cat>
          <c:val>
            <c:numRef>
              <c:f>'CO2 - Cenário RT 1A'!$L$68:$M$68</c:f>
              <c:numCache>
                <c:formatCode>General</c:formatCode>
                <c:ptCount val="2"/>
                <c:pt idx="0" formatCode="#,##0">
                  <c:v>1557.9926977483726</c:v>
                </c:pt>
              </c:numCache>
            </c:numRef>
          </c:val>
          <c:extLst>
            <c:ext xmlns:c16="http://schemas.microsoft.com/office/drawing/2014/chart" uri="{C3380CC4-5D6E-409C-BE32-E72D297353CC}">
              <c16:uniqueId val="{00000006-56D3-43BF-959F-143FD4C84364}"/>
            </c:ext>
          </c:extLst>
        </c:ser>
        <c:ser>
          <c:idx val="7"/>
          <c:order val="7"/>
          <c:tx>
            <c:strRef>
              <c:f>'CO2 - Cenário RT 1A'!$K$69</c:f>
              <c:strCache>
                <c:ptCount val="1"/>
                <c:pt idx="0">
                  <c:v>CDR seco + trat. biol.</c:v>
                </c:pt>
              </c:strCache>
            </c:strRef>
          </c:tx>
          <c:spPr>
            <a:solidFill>
              <a:srgbClr val="FF9900"/>
            </a:solidFill>
            <a:ln w="12700">
              <a:solidFill>
                <a:srgbClr val="000000"/>
              </a:solidFill>
              <a:prstDash val="solid"/>
            </a:ln>
          </c:spPr>
          <c:invertIfNegative val="0"/>
          <c:cat>
            <c:strRef>
              <c:f>'CO2 - Cenário RT 1A'!$L$61:$M$61</c:f>
              <c:strCache>
                <c:ptCount val="2"/>
                <c:pt idx="0">
                  <c:v>Destinação de resíduos</c:v>
                </c:pt>
                <c:pt idx="1">
                  <c:v>Líquido</c:v>
                </c:pt>
              </c:strCache>
            </c:strRef>
          </c:cat>
          <c:val>
            <c:numRef>
              <c:f>'CO2 - Cenário RT 1A'!$L$69:$M$69</c:f>
              <c:numCache>
                <c:formatCode>General</c:formatCode>
                <c:ptCount val="2"/>
                <c:pt idx="0" formatCode="#,##0">
                  <c:v>1149.6270448781202</c:v>
                </c:pt>
              </c:numCache>
            </c:numRef>
          </c:val>
          <c:extLst>
            <c:ext xmlns:c16="http://schemas.microsoft.com/office/drawing/2014/chart" uri="{C3380CC4-5D6E-409C-BE32-E72D297353CC}">
              <c16:uniqueId val="{00000007-56D3-43BF-959F-143FD4C84364}"/>
            </c:ext>
          </c:extLst>
        </c:ser>
        <c:ser>
          <c:idx val="21"/>
          <c:order val="8"/>
          <c:tx>
            <c:strRef>
              <c:f>'CO2 - Cenário RT 1A'!$K$70</c:f>
              <c:strCache>
                <c:ptCount val="1"/>
                <c:pt idx="0">
                  <c:v>CDR seco + CDR org.</c:v>
                </c:pt>
              </c:strCache>
            </c:strRef>
          </c:tx>
          <c:spPr>
            <a:solidFill>
              <a:srgbClr val="00B0F0"/>
            </a:solidFill>
            <a:ln w="12700">
              <a:solidFill>
                <a:srgbClr val="000000"/>
              </a:solidFill>
            </a:ln>
          </c:spPr>
          <c:invertIfNegative val="0"/>
          <c:cat>
            <c:strRef>
              <c:f>'CO2 - Cenário RT 1A'!$L$61:$M$61</c:f>
              <c:strCache>
                <c:ptCount val="2"/>
                <c:pt idx="0">
                  <c:v>Destinação de resíduos</c:v>
                </c:pt>
                <c:pt idx="1">
                  <c:v>Líquido</c:v>
                </c:pt>
              </c:strCache>
            </c:strRef>
          </c:cat>
          <c:val>
            <c:numRef>
              <c:f>'CO2 - Cenário RT 1A'!$L$70:$M$70</c:f>
              <c:numCache>
                <c:formatCode>General</c:formatCode>
                <c:ptCount val="2"/>
                <c:pt idx="0" formatCode="#,##0">
                  <c:v>0</c:v>
                </c:pt>
              </c:numCache>
            </c:numRef>
          </c:val>
          <c:extLst>
            <c:ext xmlns:c16="http://schemas.microsoft.com/office/drawing/2014/chart" uri="{C3380CC4-5D6E-409C-BE32-E72D297353CC}">
              <c16:uniqueId val="{00000008-56D3-43BF-959F-143FD4C84364}"/>
            </c:ext>
          </c:extLst>
        </c:ser>
        <c:ser>
          <c:idx val="8"/>
          <c:order val="9"/>
          <c:tx>
            <c:strRef>
              <c:f>'CO2 - Cenário RT 1A'!$K$71</c:f>
              <c:strCache>
                <c:ptCount val="1"/>
                <c:pt idx="0">
                  <c:v>Incineração</c:v>
                </c:pt>
              </c:strCache>
            </c:strRef>
          </c:tx>
          <c:spPr>
            <a:solidFill>
              <a:srgbClr val="CCCCFF"/>
            </a:solidFill>
            <a:ln w="12700">
              <a:solidFill>
                <a:srgbClr val="000000"/>
              </a:solidFill>
              <a:prstDash val="solid"/>
            </a:ln>
          </c:spPr>
          <c:invertIfNegative val="0"/>
          <c:cat>
            <c:strRef>
              <c:f>'CO2 - Cenário RT 1A'!$L$61:$M$61</c:f>
              <c:strCache>
                <c:ptCount val="2"/>
                <c:pt idx="0">
                  <c:v>Destinação de resíduos</c:v>
                </c:pt>
                <c:pt idx="1">
                  <c:v>Líquido</c:v>
                </c:pt>
              </c:strCache>
            </c:strRef>
          </c:cat>
          <c:val>
            <c:numRef>
              <c:f>'CO2 - Cenário RT 1A'!$L$71:$M$71</c:f>
              <c:numCache>
                <c:formatCode>General</c:formatCode>
                <c:ptCount val="2"/>
                <c:pt idx="0" formatCode="#,##0">
                  <c:v>0</c:v>
                </c:pt>
              </c:numCache>
            </c:numRef>
          </c:val>
          <c:extLst>
            <c:ext xmlns:c16="http://schemas.microsoft.com/office/drawing/2014/chart" uri="{C3380CC4-5D6E-409C-BE32-E72D297353CC}">
              <c16:uniqueId val="{00000009-56D3-43BF-959F-143FD4C84364}"/>
            </c:ext>
          </c:extLst>
        </c:ser>
        <c:ser>
          <c:idx val="9"/>
          <c:order val="10"/>
          <c:tx>
            <c:strRef>
              <c:f>'CO2 - Cenário RT 1A'!$K$72</c:f>
              <c:strCache>
                <c:ptCount val="1"/>
                <c:pt idx="0">
                  <c:v>Débitos</c:v>
                </c:pt>
              </c:strCache>
            </c:strRef>
          </c:tx>
          <c:spPr>
            <a:noFill/>
            <a:ln w="25400">
              <a:noFill/>
            </a:ln>
          </c:spPr>
          <c:invertIfNegative val="0"/>
          <c:cat>
            <c:strRef>
              <c:f>'CO2 - Cenário RT 1A'!$L$61:$M$61</c:f>
              <c:strCache>
                <c:ptCount val="2"/>
                <c:pt idx="0">
                  <c:v>Destinação de resíduos</c:v>
                </c:pt>
                <c:pt idx="1">
                  <c:v>Líquido</c:v>
                </c:pt>
              </c:strCache>
            </c:strRef>
          </c:cat>
          <c:val>
            <c:numRef>
              <c:f>'CO2 - Cenário RT 1A'!$L$72:$M$72</c:f>
              <c:numCache>
                <c:formatCode>General</c:formatCode>
                <c:ptCount val="2"/>
              </c:numCache>
            </c:numRef>
          </c:val>
          <c:extLst>
            <c:ext xmlns:c16="http://schemas.microsoft.com/office/drawing/2014/chart" uri="{C3380CC4-5D6E-409C-BE32-E72D297353CC}">
              <c16:uniqueId val="{0000000A-56D3-43BF-959F-143FD4C84364}"/>
            </c:ext>
          </c:extLst>
        </c:ser>
        <c:ser>
          <c:idx val="10"/>
          <c:order val="11"/>
          <c:tx>
            <c:strRef>
              <c:f>'CO2 - Cenário RT 1A'!$K$73</c:f>
              <c:strCache>
                <c:ptCount val="1"/>
                <c:pt idx="0">
                  <c:v>Resíduos dispersos</c:v>
                </c:pt>
              </c:strCache>
            </c:strRef>
          </c:tx>
          <c:spPr>
            <a:pattFill prst="wdUpDiag">
              <a:fgClr>
                <a:srgbClr val="FFFFFF"/>
              </a:fgClr>
              <a:bgClr>
                <a:srgbClr val="000000"/>
              </a:bgClr>
            </a:pattFill>
            <a:ln w="12700">
              <a:solidFill>
                <a:srgbClr val="000000"/>
              </a:solidFill>
              <a:prstDash val="solid"/>
            </a:ln>
          </c:spPr>
          <c:invertIfNegative val="0"/>
          <c:cat>
            <c:strRef>
              <c:f>'CO2 - Cenário RT 1A'!$L$61:$M$61</c:f>
              <c:strCache>
                <c:ptCount val="2"/>
                <c:pt idx="0">
                  <c:v>Destinação de resíduos</c:v>
                </c:pt>
                <c:pt idx="1">
                  <c:v>Líquido</c:v>
                </c:pt>
              </c:strCache>
            </c:strRef>
          </c:cat>
          <c:val>
            <c:numRef>
              <c:f>'CO2 - Cenário RT 1A'!$L$73:$M$73</c:f>
              <c:numCache>
                <c:formatCode>General</c:formatCode>
                <c:ptCount val="2"/>
                <c:pt idx="0" formatCode="#,##0">
                  <c:v>0</c:v>
                </c:pt>
              </c:numCache>
            </c:numRef>
          </c:val>
          <c:extLst>
            <c:ext xmlns:c16="http://schemas.microsoft.com/office/drawing/2014/chart" uri="{C3380CC4-5D6E-409C-BE32-E72D297353CC}">
              <c16:uniqueId val="{0000000B-56D3-43BF-959F-143FD4C84364}"/>
            </c:ext>
          </c:extLst>
        </c:ser>
        <c:ser>
          <c:idx val="11"/>
          <c:order val="12"/>
          <c:tx>
            <c:strRef>
              <c:f>'CO2 - Cenário RT 1A'!$K$74</c:f>
              <c:strCache>
                <c:ptCount val="1"/>
                <c:pt idx="0">
                  <c:v>Queima a céu aberto</c:v>
                </c:pt>
              </c:strCache>
            </c:strRef>
          </c:tx>
          <c:spPr>
            <a:pattFill prst="wdDnDiag">
              <a:fgClr>
                <a:srgbClr val="FF8080"/>
              </a:fgClr>
              <a:bgClr>
                <a:srgbClr val="FFFFFF"/>
              </a:bgClr>
            </a:pattFill>
            <a:ln w="12700">
              <a:solidFill>
                <a:srgbClr val="000000"/>
              </a:solidFill>
              <a:prstDash val="solid"/>
            </a:ln>
          </c:spPr>
          <c:invertIfNegative val="0"/>
          <c:cat>
            <c:strRef>
              <c:f>'CO2 - Cenário RT 1A'!$L$61:$M$61</c:f>
              <c:strCache>
                <c:ptCount val="2"/>
                <c:pt idx="0">
                  <c:v>Destinação de resíduos</c:v>
                </c:pt>
                <c:pt idx="1">
                  <c:v>Líquido</c:v>
                </c:pt>
              </c:strCache>
            </c:strRef>
          </c:cat>
          <c:val>
            <c:numRef>
              <c:f>'CO2 - Cenário RT 1A'!$L$74:$M$74</c:f>
              <c:numCache>
                <c:formatCode>General</c:formatCode>
                <c:ptCount val="2"/>
                <c:pt idx="0" formatCode="#,##0">
                  <c:v>0</c:v>
                </c:pt>
              </c:numCache>
            </c:numRef>
          </c:val>
          <c:extLst>
            <c:ext xmlns:c16="http://schemas.microsoft.com/office/drawing/2014/chart" uri="{C3380CC4-5D6E-409C-BE32-E72D297353CC}">
              <c16:uniqueId val="{0000000C-56D3-43BF-959F-143FD4C84364}"/>
            </c:ext>
          </c:extLst>
        </c:ser>
        <c:ser>
          <c:idx val="12"/>
          <c:order val="13"/>
          <c:tx>
            <c:strRef>
              <c:f>'CO2 - Cenário RT 1A'!$K$75</c:f>
              <c:strCache>
                <c:ptCount val="1"/>
                <c:pt idx="0">
                  <c:v>Lixão não controlado</c:v>
                </c:pt>
              </c:strCache>
            </c:strRef>
          </c:tx>
          <c:spPr>
            <a:pattFill prst="wdUpDiag">
              <a:fgClr>
                <a:srgbClr val="993300"/>
              </a:fgClr>
              <a:bgClr>
                <a:srgbClr val="FFFFFF"/>
              </a:bgClr>
            </a:pattFill>
            <a:ln w="12700">
              <a:solidFill>
                <a:srgbClr val="000000"/>
              </a:solidFill>
              <a:prstDash val="solid"/>
            </a:ln>
          </c:spPr>
          <c:invertIfNegative val="0"/>
          <c:cat>
            <c:strRef>
              <c:f>'CO2 - Cenário RT 1A'!$L$61:$M$61</c:f>
              <c:strCache>
                <c:ptCount val="2"/>
                <c:pt idx="0">
                  <c:v>Destinação de resíduos</c:v>
                </c:pt>
                <c:pt idx="1">
                  <c:v>Líquido</c:v>
                </c:pt>
              </c:strCache>
            </c:strRef>
          </c:cat>
          <c:val>
            <c:numRef>
              <c:f>'CO2 - Cenário RT 1A'!$L$75:$M$75</c:f>
              <c:numCache>
                <c:formatCode>General</c:formatCode>
                <c:ptCount val="2"/>
                <c:pt idx="0" formatCode="#,##0">
                  <c:v>0</c:v>
                </c:pt>
              </c:numCache>
            </c:numRef>
          </c:val>
          <c:extLst>
            <c:ext xmlns:c16="http://schemas.microsoft.com/office/drawing/2014/chart" uri="{C3380CC4-5D6E-409C-BE32-E72D297353CC}">
              <c16:uniqueId val="{0000000D-56D3-43BF-959F-143FD4C84364}"/>
            </c:ext>
          </c:extLst>
        </c:ser>
        <c:ser>
          <c:idx val="13"/>
          <c:order val="14"/>
          <c:tx>
            <c:strRef>
              <c:f>'CO2 - Cenário RT 1A'!$K$76</c:f>
              <c:strCache>
                <c:ptCount val="1"/>
                <c:pt idx="0">
                  <c:v>Aterro controlado</c:v>
                </c:pt>
              </c:strCache>
            </c:strRef>
          </c:tx>
          <c:spPr>
            <a:pattFill prst="wdDnDiag">
              <a:fgClr>
                <a:srgbClr val="99CC00"/>
              </a:fgClr>
              <a:bgClr>
                <a:srgbClr val="FFFFFF"/>
              </a:bgClr>
            </a:pattFill>
            <a:ln w="12700">
              <a:solidFill>
                <a:srgbClr val="000000"/>
              </a:solidFill>
              <a:prstDash val="solid"/>
            </a:ln>
          </c:spPr>
          <c:invertIfNegative val="0"/>
          <c:cat>
            <c:strRef>
              <c:f>'CO2 - Cenário RT 1A'!$L$61:$M$61</c:f>
              <c:strCache>
                <c:ptCount val="2"/>
                <c:pt idx="0">
                  <c:v>Destinação de resíduos</c:v>
                </c:pt>
                <c:pt idx="1">
                  <c:v>Líquido</c:v>
                </c:pt>
              </c:strCache>
            </c:strRef>
          </c:cat>
          <c:val>
            <c:numRef>
              <c:f>'CO2 - Cenário RT 1A'!$L$76:$M$76</c:f>
              <c:numCache>
                <c:formatCode>General</c:formatCode>
                <c:ptCount val="2"/>
                <c:pt idx="0" formatCode="#,##0">
                  <c:v>0</c:v>
                </c:pt>
              </c:numCache>
            </c:numRef>
          </c:val>
          <c:extLst>
            <c:ext xmlns:c16="http://schemas.microsoft.com/office/drawing/2014/chart" uri="{C3380CC4-5D6E-409C-BE32-E72D297353CC}">
              <c16:uniqueId val="{0000000E-56D3-43BF-959F-143FD4C84364}"/>
            </c:ext>
          </c:extLst>
        </c:ser>
        <c:ser>
          <c:idx val="14"/>
          <c:order val="15"/>
          <c:tx>
            <c:strRef>
              <c:f>'CO2 - Cenário RT 1A'!$K$77</c:f>
              <c:strCache>
                <c:ptCount val="1"/>
                <c:pt idx="0">
                  <c:v>Aterro sanitário</c:v>
                </c:pt>
              </c:strCache>
            </c:strRef>
          </c:tx>
          <c:spPr>
            <a:pattFill prst="wdUpDiag">
              <a:fgClr>
                <a:srgbClr val="FFFF00"/>
              </a:fgClr>
              <a:bgClr>
                <a:srgbClr val="FFFFFF"/>
              </a:bgClr>
            </a:pattFill>
            <a:ln w="12700">
              <a:solidFill>
                <a:srgbClr val="000000"/>
              </a:solidFill>
              <a:prstDash val="solid"/>
            </a:ln>
          </c:spPr>
          <c:invertIfNegative val="0"/>
          <c:cat>
            <c:strRef>
              <c:f>'CO2 - Cenário RT 1A'!$L$61:$M$61</c:f>
              <c:strCache>
                <c:ptCount val="2"/>
                <c:pt idx="0">
                  <c:v>Destinação de resíduos</c:v>
                </c:pt>
                <c:pt idx="1">
                  <c:v>Líquido</c:v>
                </c:pt>
              </c:strCache>
            </c:strRef>
          </c:cat>
          <c:val>
            <c:numRef>
              <c:f>'CO2 - Cenário RT 1A'!$L$77:$M$77</c:f>
              <c:numCache>
                <c:formatCode>General</c:formatCode>
                <c:ptCount val="2"/>
                <c:pt idx="0" formatCode="#,##0">
                  <c:v>0</c:v>
                </c:pt>
              </c:numCache>
            </c:numRef>
          </c:val>
          <c:extLst>
            <c:ext xmlns:c16="http://schemas.microsoft.com/office/drawing/2014/chart" uri="{C3380CC4-5D6E-409C-BE32-E72D297353CC}">
              <c16:uniqueId val="{0000000F-56D3-43BF-959F-143FD4C84364}"/>
            </c:ext>
          </c:extLst>
        </c:ser>
        <c:ser>
          <c:idx val="15"/>
          <c:order val="16"/>
          <c:tx>
            <c:strRef>
              <c:f>'CO2 - Cenário RT 1A'!$K$78</c:f>
              <c:strCache>
                <c:ptCount val="1"/>
                <c:pt idx="0">
                  <c:v>Trat. biol + cobertura at.</c:v>
                </c:pt>
              </c:strCache>
            </c:strRef>
          </c:tx>
          <c:spPr>
            <a:pattFill prst="wdDnDiag">
              <a:fgClr>
                <a:srgbClr val="FF00FF"/>
              </a:fgClr>
              <a:bgClr>
                <a:srgbClr val="FFFFFF"/>
              </a:bgClr>
            </a:pattFill>
            <a:ln w="12700">
              <a:solidFill>
                <a:srgbClr val="000000"/>
              </a:solidFill>
              <a:prstDash val="solid"/>
            </a:ln>
          </c:spPr>
          <c:invertIfNegative val="0"/>
          <c:cat>
            <c:strRef>
              <c:f>'CO2 - Cenário RT 1A'!$L$61:$M$61</c:f>
              <c:strCache>
                <c:ptCount val="2"/>
                <c:pt idx="0">
                  <c:v>Destinação de resíduos</c:v>
                </c:pt>
                <c:pt idx="1">
                  <c:v>Líquido</c:v>
                </c:pt>
              </c:strCache>
            </c:strRef>
          </c:cat>
          <c:val>
            <c:numRef>
              <c:f>'CO2 - Cenário RT 1A'!$L$78:$M$78</c:f>
              <c:numCache>
                <c:formatCode>General</c:formatCode>
                <c:ptCount val="2"/>
                <c:pt idx="0" formatCode="#,##0">
                  <c:v>0</c:v>
                </c:pt>
              </c:numCache>
            </c:numRef>
          </c:val>
          <c:extLst>
            <c:ext xmlns:c16="http://schemas.microsoft.com/office/drawing/2014/chart" uri="{C3380CC4-5D6E-409C-BE32-E72D297353CC}">
              <c16:uniqueId val="{00000010-56D3-43BF-959F-143FD4C84364}"/>
            </c:ext>
          </c:extLst>
        </c:ser>
        <c:ser>
          <c:idx val="16"/>
          <c:order val="17"/>
          <c:tx>
            <c:strRef>
              <c:f>'CO2 - Cenário RT 1A'!$K$79</c:f>
              <c:strCache>
                <c:ptCount val="1"/>
                <c:pt idx="0">
                  <c:v>CDR seco + rejeito aterro</c:v>
                </c:pt>
              </c:strCache>
            </c:strRef>
          </c:tx>
          <c:spPr>
            <a:pattFill prst="wdUpDiag">
              <a:fgClr>
                <a:srgbClr val="008080"/>
              </a:fgClr>
              <a:bgClr>
                <a:srgbClr val="FFFFFF"/>
              </a:bgClr>
            </a:pattFill>
            <a:ln w="12700">
              <a:solidFill>
                <a:srgbClr val="000000"/>
              </a:solidFill>
              <a:prstDash val="solid"/>
            </a:ln>
          </c:spPr>
          <c:invertIfNegative val="0"/>
          <c:cat>
            <c:strRef>
              <c:f>'CO2 - Cenário RT 1A'!$L$61:$M$61</c:f>
              <c:strCache>
                <c:ptCount val="2"/>
                <c:pt idx="0">
                  <c:v>Destinação de resíduos</c:v>
                </c:pt>
                <c:pt idx="1">
                  <c:v>Líquido</c:v>
                </c:pt>
              </c:strCache>
            </c:strRef>
          </c:cat>
          <c:val>
            <c:numRef>
              <c:f>'CO2 - Cenário RT 1A'!$L$79:$M$79</c:f>
              <c:numCache>
                <c:formatCode>General</c:formatCode>
                <c:ptCount val="2"/>
                <c:pt idx="0" formatCode="#,##0">
                  <c:v>-1295.3249665304779</c:v>
                </c:pt>
              </c:numCache>
            </c:numRef>
          </c:val>
          <c:extLst>
            <c:ext xmlns:c16="http://schemas.microsoft.com/office/drawing/2014/chart" uri="{C3380CC4-5D6E-409C-BE32-E72D297353CC}">
              <c16:uniqueId val="{00000011-56D3-43BF-959F-143FD4C84364}"/>
            </c:ext>
          </c:extLst>
        </c:ser>
        <c:ser>
          <c:idx val="17"/>
          <c:order val="18"/>
          <c:tx>
            <c:strRef>
              <c:f>'CO2 - Cenário RT 1A'!$K$80</c:f>
              <c:strCache>
                <c:ptCount val="1"/>
                <c:pt idx="0">
                  <c:v>CDR seco + trat. biol.</c:v>
                </c:pt>
              </c:strCache>
            </c:strRef>
          </c:tx>
          <c:spPr>
            <a:pattFill prst="wdDnDiag">
              <a:fgClr>
                <a:srgbClr val="FF9900"/>
              </a:fgClr>
              <a:bgClr>
                <a:srgbClr val="FFFFFF"/>
              </a:bgClr>
            </a:pattFill>
            <a:ln w="12700">
              <a:solidFill>
                <a:srgbClr val="000000"/>
              </a:solidFill>
              <a:prstDash val="solid"/>
            </a:ln>
          </c:spPr>
          <c:invertIfNegative val="0"/>
          <c:cat>
            <c:strRef>
              <c:f>'CO2 - Cenário RT 1A'!$L$61:$M$61</c:f>
              <c:strCache>
                <c:ptCount val="2"/>
                <c:pt idx="0">
                  <c:v>Destinação de resíduos</c:v>
                </c:pt>
                <c:pt idx="1">
                  <c:v>Líquido</c:v>
                </c:pt>
              </c:strCache>
            </c:strRef>
          </c:cat>
          <c:val>
            <c:numRef>
              <c:f>'CO2 - Cenário RT 1A'!$L$80:$M$80</c:f>
              <c:numCache>
                <c:formatCode>General</c:formatCode>
                <c:ptCount val="2"/>
                <c:pt idx="0" formatCode="#,##0">
                  <c:v>-5511.3645994213884</c:v>
                </c:pt>
              </c:numCache>
            </c:numRef>
          </c:val>
          <c:extLst>
            <c:ext xmlns:c16="http://schemas.microsoft.com/office/drawing/2014/chart" uri="{C3380CC4-5D6E-409C-BE32-E72D297353CC}">
              <c16:uniqueId val="{00000012-56D3-43BF-959F-143FD4C84364}"/>
            </c:ext>
          </c:extLst>
        </c:ser>
        <c:ser>
          <c:idx val="22"/>
          <c:order val="19"/>
          <c:tx>
            <c:strRef>
              <c:f>'CO2 - Cenário RT 1A'!$K$81</c:f>
              <c:strCache>
                <c:ptCount val="1"/>
                <c:pt idx="0">
                  <c:v>CDR seco + CDR org.</c:v>
                </c:pt>
              </c:strCache>
            </c:strRef>
          </c:tx>
          <c:spPr>
            <a:pattFill prst="wdUpDiag">
              <a:fgClr>
                <a:srgbClr val="00B0F0"/>
              </a:fgClr>
              <a:bgClr>
                <a:schemeClr val="bg1"/>
              </a:bgClr>
            </a:pattFill>
            <a:ln w="12700">
              <a:solidFill>
                <a:schemeClr val="tx1"/>
              </a:solidFill>
            </a:ln>
          </c:spPr>
          <c:invertIfNegative val="0"/>
          <c:cat>
            <c:strRef>
              <c:f>'CO2 - Cenário RT 1A'!$L$61:$M$61</c:f>
              <c:strCache>
                <c:ptCount val="2"/>
                <c:pt idx="0">
                  <c:v>Destinação de resíduos</c:v>
                </c:pt>
                <c:pt idx="1">
                  <c:v>Líquido</c:v>
                </c:pt>
              </c:strCache>
            </c:strRef>
          </c:cat>
          <c:val>
            <c:numRef>
              <c:f>'CO2 - Cenário RT 1A'!$L$81:$M$81</c:f>
              <c:numCache>
                <c:formatCode>General</c:formatCode>
                <c:ptCount val="2"/>
                <c:pt idx="0" formatCode="#,##0">
                  <c:v>0</c:v>
                </c:pt>
              </c:numCache>
            </c:numRef>
          </c:val>
          <c:extLst>
            <c:ext xmlns:c16="http://schemas.microsoft.com/office/drawing/2014/chart" uri="{C3380CC4-5D6E-409C-BE32-E72D297353CC}">
              <c16:uniqueId val="{00000013-56D3-43BF-959F-143FD4C84364}"/>
            </c:ext>
          </c:extLst>
        </c:ser>
        <c:ser>
          <c:idx val="18"/>
          <c:order val="20"/>
          <c:tx>
            <c:strRef>
              <c:f>'CO2 - Cenário RT 1A'!$K$82</c:f>
              <c:strCache>
                <c:ptCount val="1"/>
                <c:pt idx="0">
                  <c:v>Incineração</c:v>
                </c:pt>
              </c:strCache>
            </c:strRef>
          </c:tx>
          <c:spPr>
            <a:pattFill prst="wdDnDiag">
              <a:fgClr>
                <a:srgbClr val="CCCCFF"/>
              </a:fgClr>
              <a:bgClr>
                <a:srgbClr val="FFFFFF"/>
              </a:bgClr>
            </a:pattFill>
            <a:ln w="12700">
              <a:solidFill>
                <a:srgbClr val="000000"/>
              </a:solidFill>
              <a:prstDash val="solid"/>
            </a:ln>
          </c:spPr>
          <c:invertIfNegative val="0"/>
          <c:cat>
            <c:strRef>
              <c:f>'CO2 - Cenário RT 1A'!$L$61:$M$61</c:f>
              <c:strCache>
                <c:ptCount val="2"/>
                <c:pt idx="0">
                  <c:v>Destinação de resíduos</c:v>
                </c:pt>
                <c:pt idx="1">
                  <c:v>Líquido</c:v>
                </c:pt>
              </c:strCache>
            </c:strRef>
          </c:cat>
          <c:val>
            <c:numRef>
              <c:f>'CO2 - Cenário RT 1A'!$L$82:$M$82</c:f>
              <c:numCache>
                <c:formatCode>General</c:formatCode>
                <c:ptCount val="2"/>
                <c:pt idx="0" formatCode="#,##0">
                  <c:v>0</c:v>
                </c:pt>
              </c:numCache>
            </c:numRef>
          </c:val>
          <c:extLst>
            <c:ext xmlns:c16="http://schemas.microsoft.com/office/drawing/2014/chart" uri="{C3380CC4-5D6E-409C-BE32-E72D297353CC}">
              <c16:uniqueId val="{00000014-56D3-43BF-959F-143FD4C84364}"/>
            </c:ext>
          </c:extLst>
        </c:ser>
        <c:ser>
          <c:idx val="19"/>
          <c:order val="21"/>
          <c:tx>
            <c:strRef>
              <c:f>'CO2 - Cenário RT 1A'!$K$83</c:f>
              <c:strCache>
                <c:ptCount val="1"/>
                <c:pt idx="0">
                  <c:v>Créditos</c:v>
                </c:pt>
              </c:strCache>
            </c:strRef>
          </c:tx>
          <c:spPr>
            <a:noFill/>
            <a:ln w="25400">
              <a:noFill/>
            </a:ln>
          </c:spPr>
          <c:invertIfNegative val="0"/>
          <c:cat>
            <c:strRef>
              <c:f>'CO2 - Cenário RT 1A'!$L$61:$M$61</c:f>
              <c:strCache>
                <c:ptCount val="2"/>
                <c:pt idx="0">
                  <c:v>Destinação de resíduos</c:v>
                </c:pt>
                <c:pt idx="1">
                  <c:v>Líquido</c:v>
                </c:pt>
              </c:strCache>
            </c:strRef>
          </c:cat>
          <c:val>
            <c:numRef>
              <c:f>'CO2 - Cenário RT 1A'!$L$83:$M$83</c:f>
              <c:numCache>
                <c:formatCode>General</c:formatCode>
                <c:ptCount val="2"/>
              </c:numCache>
            </c:numRef>
          </c:val>
          <c:extLst>
            <c:ext xmlns:c16="http://schemas.microsoft.com/office/drawing/2014/chart" uri="{C3380CC4-5D6E-409C-BE32-E72D297353CC}">
              <c16:uniqueId val="{00000015-56D3-43BF-959F-143FD4C84364}"/>
            </c:ext>
          </c:extLst>
        </c:ser>
        <c:ser>
          <c:idx val="20"/>
          <c:order val="22"/>
          <c:tx>
            <c:strRef>
              <c:f>'CO2 - Cenário RT 1A'!$K$84</c:f>
              <c:strCache>
                <c:ptCount val="1"/>
                <c:pt idx="0">
                  <c:v>Líquido</c:v>
                </c:pt>
              </c:strCache>
            </c:strRef>
          </c:tx>
          <c:spPr>
            <a:solidFill>
              <a:srgbClr val="0000FF"/>
            </a:solidFill>
            <a:ln w="12700">
              <a:solidFill>
                <a:srgbClr val="000000"/>
              </a:solidFill>
              <a:prstDash val="solid"/>
            </a:ln>
          </c:spPr>
          <c:invertIfNegative val="0"/>
          <c:cat>
            <c:strRef>
              <c:f>'CO2 - Cenário RT 1A'!$L$61:$M$61</c:f>
              <c:strCache>
                <c:ptCount val="2"/>
                <c:pt idx="0">
                  <c:v>Destinação de resíduos</c:v>
                </c:pt>
                <c:pt idx="1">
                  <c:v>Líquido</c:v>
                </c:pt>
              </c:strCache>
            </c:strRef>
          </c:cat>
          <c:val>
            <c:numRef>
              <c:f>'CO2 - Cenário RT 1A'!$L$84:$M$84</c:f>
              <c:numCache>
                <c:formatCode>#,##0</c:formatCode>
                <c:ptCount val="2"/>
                <c:pt idx="1">
                  <c:v>4414.2430980329</c:v>
                </c:pt>
              </c:numCache>
            </c:numRef>
          </c:val>
          <c:extLst>
            <c:ext xmlns:c16="http://schemas.microsoft.com/office/drawing/2014/chart" uri="{C3380CC4-5D6E-409C-BE32-E72D297353CC}">
              <c16:uniqueId val="{00000016-56D3-43BF-959F-143FD4C84364}"/>
            </c:ext>
          </c:extLst>
        </c:ser>
        <c:dLbls>
          <c:showLegendKey val="0"/>
          <c:showVal val="0"/>
          <c:showCatName val="0"/>
          <c:showSerName val="0"/>
          <c:showPercent val="0"/>
          <c:showBubbleSize val="0"/>
        </c:dLbls>
        <c:gapWidth val="100"/>
        <c:overlap val="100"/>
        <c:axId val="196662016"/>
        <c:axId val="196663552"/>
      </c:barChart>
      <c:catAx>
        <c:axId val="196662016"/>
        <c:scaling>
          <c:orientation val="minMax"/>
        </c:scaling>
        <c:delete val="0"/>
        <c:axPos val="b"/>
        <c:numFmt formatCode="General" sourceLinked="1"/>
        <c:majorTickMark val="out"/>
        <c:minorTickMark val="none"/>
        <c:tickLblPos val="low"/>
        <c:spPr>
          <a:ln w="3175">
            <a:solidFill>
              <a:srgbClr val="000000"/>
            </a:solidFill>
            <a:prstDash val="solid"/>
          </a:ln>
        </c:spPr>
        <c:txPr>
          <a:bodyPr rot="0" vert="horz"/>
          <a:lstStyle/>
          <a:p>
            <a:pPr>
              <a:defRPr sz="875" b="1" i="0" u="none" strike="noStrike" baseline="0">
                <a:solidFill>
                  <a:srgbClr val="000000"/>
                </a:solidFill>
                <a:latin typeface="Arial"/>
                <a:ea typeface="Arial"/>
                <a:cs typeface="Arial"/>
              </a:defRPr>
            </a:pPr>
            <a:endParaRPr lang="pt-BR"/>
          </a:p>
        </c:txPr>
        <c:crossAx val="196663552"/>
        <c:crosses val="autoZero"/>
        <c:auto val="1"/>
        <c:lblAlgn val="ctr"/>
        <c:lblOffset val="100"/>
        <c:tickLblSkip val="1"/>
        <c:tickMarkSkip val="1"/>
        <c:noMultiLvlLbl val="0"/>
      </c:catAx>
      <c:valAx>
        <c:axId val="196663552"/>
        <c:scaling>
          <c:orientation val="minMax"/>
        </c:scaling>
        <c:delete val="0"/>
        <c:axPos val="l"/>
        <c:majorGridlines>
          <c:spPr>
            <a:ln w="3175">
              <a:solidFill>
                <a:srgbClr val="000000"/>
              </a:solidFill>
              <a:prstDash val="solid"/>
            </a:ln>
          </c:spPr>
        </c:majorGridlines>
        <c:title>
          <c:tx>
            <c:rich>
              <a:bodyPr/>
              <a:lstStyle/>
              <a:p>
                <a:pPr>
                  <a:defRPr sz="875" b="1" i="0" u="none" strike="noStrike" baseline="0">
                    <a:solidFill>
                      <a:sysClr val="windowText" lastClr="000000"/>
                    </a:solidFill>
                    <a:latin typeface="Arial"/>
                    <a:ea typeface="Arial"/>
                    <a:cs typeface="Arial"/>
                  </a:defRPr>
                </a:pPr>
                <a:r>
                  <a:rPr lang="de-DE">
                    <a:solidFill>
                      <a:sysClr val="windowText" lastClr="000000"/>
                    </a:solidFill>
                  </a:rPr>
                  <a:t>tonelada CO2-eq / ano</a:t>
                </a:r>
              </a:p>
            </c:rich>
          </c:tx>
          <c:layout>
            <c:manualLayout>
              <c:xMode val="edge"/>
              <c:yMode val="edge"/>
              <c:x val="8.8212774921771833E-3"/>
              <c:y val="0.37517229357203086"/>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75" b="0" i="0" u="none" strike="noStrike" baseline="0">
                <a:solidFill>
                  <a:srgbClr val="000000"/>
                </a:solidFill>
                <a:latin typeface="Arial"/>
                <a:ea typeface="Arial"/>
                <a:cs typeface="Arial"/>
              </a:defRPr>
            </a:pPr>
            <a:endParaRPr lang="pt-BR"/>
          </a:p>
        </c:txPr>
        <c:crossAx val="196662016"/>
        <c:crosses val="autoZero"/>
        <c:crossBetween val="between"/>
      </c:valAx>
      <c:spPr>
        <a:noFill/>
        <a:ln w="12700">
          <a:solidFill>
            <a:srgbClr val="808080"/>
          </a:solidFill>
          <a:prstDash val="solid"/>
        </a:ln>
      </c:spPr>
    </c:plotArea>
    <c:legend>
      <c:legendPos val="r"/>
      <c:legendEntry>
        <c:idx val="0"/>
        <c:txPr>
          <a:bodyPr/>
          <a:lstStyle/>
          <a:p>
            <a:pPr>
              <a:defRPr sz="780" b="1" i="0" u="none" strike="noStrike" baseline="0">
                <a:solidFill>
                  <a:srgbClr val="000000"/>
                </a:solidFill>
                <a:latin typeface="Arial"/>
                <a:ea typeface="Arial"/>
                <a:cs typeface="Arial"/>
              </a:defRPr>
            </a:pPr>
            <a:endParaRPr lang="pt-BR"/>
          </a:p>
        </c:txPr>
      </c:legendEntry>
      <c:legendEntry>
        <c:idx val="1"/>
        <c:txPr>
          <a:bodyPr/>
          <a:lstStyle/>
          <a:p>
            <a:pPr>
              <a:defRPr sz="780" b="1" i="0" u="none" strike="noStrike" baseline="0">
                <a:solidFill>
                  <a:srgbClr val="000000"/>
                </a:solidFill>
                <a:latin typeface="Arial"/>
                <a:ea typeface="Arial"/>
                <a:cs typeface="Arial"/>
              </a:defRPr>
            </a:pPr>
            <a:endParaRPr lang="pt-BR"/>
          </a:p>
        </c:txPr>
      </c:legendEntry>
      <c:legendEntry>
        <c:idx val="5"/>
        <c:txPr>
          <a:bodyPr/>
          <a:lstStyle/>
          <a:p>
            <a:pPr>
              <a:defRPr sz="780" b="0" i="0" u="none" strike="noStrike" baseline="0">
                <a:solidFill>
                  <a:srgbClr val="000000"/>
                </a:solidFill>
                <a:latin typeface="Arial"/>
                <a:ea typeface="Arial"/>
                <a:cs typeface="Arial"/>
              </a:defRPr>
            </a:pPr>
            <a:endParaRPr lang="pt-BR"/>
          </a:p>
        </c:txPr>
      </c:legendEntry>
      <c:legendEntry>
        <c:idx val="6"/>
        <c:txPr>
          <a:bodyPr/>
          <a:lstStyle/>
          <a:p>
            <a:pPr>
              <a:defRPr sz="780" b="0" i="0" u="none" strike="noStrike" baseline="0">
                <a:solidFill>
                  <a:srgbClr val="000000"/>
                </a:solidFill>
                <a:latin typeface="Arial"/>
                <a:ea typeface="Arial"/>
                <a:cs typeface="Arial"/>
              </a:defRPr>
            </a:pPr>
            <a:endParaRPr lang="pt-BR"/>
          </a:p>
        </c:txPr>
      </c:legendEntry>
      <c:legendEntry>
        <c:idx val="9"/>
        <c:txPr>
          <a:bodyPr/>
          <a:lstStyle/>
          <a:p>
            <a:pPr>
              <a:defRPr sz="780" b="0" i="0" u="none" strike="noStrike" baseline="0">
                <a:solidFill>
                  <a:srgbClr val="000000"/>
                </a:solidFill>
                <a:latin typeface="Arial"/>
                <a:ea typeface="Arial"/>
                <a:cs typeface="Arial"/>
              </a:defRPr>
            </a:pPr>
            <a:endParaRPr lang="pt-BR"/>
          </a:p>
        </c:txPr>
      </c:legendEntry>
      <c:legendEntry>
        <c:idx val="10"/>
        <c:txPr>
          <a:bodyPr/>
          <a:lstStyle/>
          <a:p>
            <a:pPr>
              <a:defRPr sz="780" b="0" i="0" u="none" strike="noStrike" baseline="0">
                <a:solidFill>
                  <a:srgbClr val="000000"/>
                </a:solidFill>
                <a:latin typeface="Arial"/>
                <a:ea typeface="Arial"/>
                <a:cs typeface="Arial"/>
              </a:defRPr>
            </a:pPr>
            <a:endParaRPr lang="pt-BR"/>
          </a:p>
        </c:txPr>
      </c:legendEntry>
      <c:legendEntry>
        <c:idx val="12"/>
        <c:txPr>
          <a:bodyPr/>
          <a:lstStyle/>
          <a:p>
            <a:pPr>
              <a:defRPr sz="780" b="1" i="0" u="none" strike="noStrike" baseline="0">
                <a:solidFill>
                  <a:srgbClr val="000000"/>
                </a:solidFill>
                <a:latin typeface="Arial"/>
                <a:ea typeface="Arial"/>
                <a:cs typeface="Arial"/>
              </a:defRPr>
            </a:pPr>
            <a:endParaRPr lang="pt-BR"/>
          </a:p>
        </c:txPr>
      </c:legendEntry>
      <c:legendEntry>
        <c:idx val="15"/>
        <c:txPr>
          <a:bodyPr/>
          <a:lstStyle/>
          <a:p>
            <a:pPr>
              <a:defRPr sz="780" b="0" i="0" u="none" strike="noStrike" baseline="0">
                <a:solidFill>
                  <a:srgbClr val="000000"/>
                </a:solidFill>
                <a:latin typeface="Arial"/>
                <a:ea typeface="Arial"/>
                <a:cs typeface="Arial"/>
              </a:defRPr>
            </a:pPr>
            <a:endParaRPr lang="pt-BR"/>
          </a:p>
        </c:txPr>
      </c:legendEntry>
      <c:legendEntry>
        <c:idx val="17"/>
        <c:txPr>
          <a:bodyPr/>
          <a:lstStyle/>
          <a:p>
            <a:pPr>
              <a:defRPr sz="780" b="0" i="0" u="none" strike="noStrike" baseline="0">
                <a:solidFill>
                  <a:srgbClr val="000000"/>
                </a:solidFill>
                <a:latin typeface="Arial"/>
                <a:ea typeface="Arial"/>
                <a:cs typeface="Arial"/>
              </a:defRPr>
            </a:pPr>
            <a:endParaRPr lang="pt-BR"/>
          </a:p>
        </c:txPr>
      </c:legendEntry>
      <c:layout>
        <c:manualLayout>
          <c:xMode val="edge"/>
          <c:yMode val="edge"/>
          <c:x val="0.72805585816659091"/>
          <c:y val="1.379406613671616E-3"/>
          <c:w val="0.23982592382137799"/>
          <c:h val="0.98536066700002301"/>
        </c:manualLayout>
      </c:layout>
      <c:overlay val="0"/>
      <c:spPr>
        <a:solidFill>
          <a:srgbClr val="FFFFFF"/>
        </a:solidFill>
        <a:ln w="3175">
          <a:solidFill>
            <a:srgbClr val="000000"/>
          </a:solidFill>
          <a:prstDash val="solid"/>
        </a:ln>
      </c:spPr>
      <c:txPr>
        <a:bodyPr/>
        <a:lstStyle/>
        <a:p>
          <a:pPr>
            <a:defRPr sz="780" b="0" i="0" u="none" strike="noStrike" baseline="0">
              <a:solidFill>
                <a:srgbClr val="000000"/>
              </a:solidFill>
              <a:latin typeface="Arial"/>
              <a:ea typeface="Arial"/>
              <a:cs typeface="Arial"/>
            </a:defRPr>
          </a:pPr>
          <a:endParaRPr lang="pt-BR"/>
        </a:p>
      </c:txPr>
    </c:legend>
    <c:plotVisOnly val="1"/>
    <c:dispBlanksAs val="gap"/>
    <c:showDLblsOverMax val="0"/>
  </c:chart>
  <c:spPr>
    <a:solidFill>
      <a:srgbClr val="FFFFFF"/>
    </a:solid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pt-BR"/>
    </a:p>
  </c:txPr>
  <c:printSettings>
    <c:headerFooter alignWithMargins="0"/>
    <c:pageMargins b="0.98425196899999978" l="0.78740157499999996" r="0.78740157499999996" t="0.98425196899999978" header="0.49212598450000011" footer="0.49212598450000011"/>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50" b="1" i="0" u="none" strike="noStrike" baseline="0">
                <a:solidFill>
                  <a:srgbClr val="000000"/>
                </a:solidFill>
                <a:latin typeface="Arial"/>
                <a:ea typeface="Arial"/>
                <a:cs typeface="Arial"/>
              </a:defRPr>
            </a:pPr>
            <a:r>
              <a:rPr lang="de-DE"/>
              <a:t>Emissões de GEE</a:t>
            </a:r>
          </a:p>
        </c:rich>
      </c:tx>
      <c:layout>
        <c:manualLayout>
          <c:xMode val="edge"/>
          <c:yMode val="edge"/>
          <c:x val="0.40831758034026489"/>
          <c:y val="1.5363128491620118E-2"/>
        </c:manualLayout>
      </c:layout>
      <c:overlay val="0"/>
      <c:spPr>
        <a:noFill/>
        <a:ln w="25400">
          <a:noFill/>
        </a:ln>
      </c:spPr>
    </c:title>
    <c:autoTitleDeleted val="0"/>
    <c:plotArea>
      <c:layout>
        <c:manualLayout>
          <c:layoutTarget val="inner"/>
          <c:xMode val="edge"/>
          <c:yMode val="edge"/>
          <c:x val="0.17202268431001888"/>
          <c:y val="0.11312849162011174"/>
          <c:w val="0.79584120982986772"/>
          <c:h val="0.77374301675977719"/>
        </c:manualLayout>
      </c:layout>
      <c:barChart>
        <c:barDir val="col"/>
        <c:grouping val="clustered"/>
        <c:varyColors val="0"/>
        <c:ser>
          <c:idx val="0"/>
          <c:order val="0"/>
          <c:tx>
            <c:strRef>
              <c:f>'CO2 - Cenário RT 1A'!$G$53</c:f>
              <c:strCache>
                <c:ptCount val="1"/>
                <c:pt idx="0">
                  <c:v>Débitos</c:v>
                </c:pt>
              </c:strCache>
            </c:strRef>
          </c:tx>
          <c:spPr>
            <a:solidFill>
              <a:srgbClr val="FFCC99"/>
            </a:solidFill>
            <a:ln w="12700">
              <a:solidFill>
                <a:srgbClr val="000000"/>
              </a:solidFill>
              <a:prstDash val="solid"/>
            </a:ln>
          </c:spPr>
          <c:invertIfNegative val="0"/>
          <c:cat>
            <c:strRef>
              <c:f>'CO2 - Cenário RT 1A'!$H$52:$J$52</c:f>
              <c:strCache>
                <c:ptCount val="3"/>
                <c:pt idx="0">
                  <c:v>Resíduo reciclado</c:v>
                </c:pt>
                <c:pt idx="1">
                  <c:v>Destinação de resíduos</c:v>
                </c:pt>
                <c:pt idx="2">
                  <c:v>RSU total</c:v>
                </c:pt>
              </c:strCache>
            </c:strRef>
          </c:cat>
          <c:val>
            <c:numRef>
              <c:f>'CO2 - Cenário RT 1A'!$H$53:$J$53</c:f>
              <c:numCache>
                <c:formatCode>#,##0</c:formatCode>
                <c:ptCount val="3"/>
                <c:pt idx="0">
                  <c:v>1665.6439969728001</c:v>
                </c:pt>
                <c:pt idx="1">
                  <c:v>11220.932663984766</c:v>
                </c:pt>
                <c:pt idx="2">
                  <c:v>12886.576660957566</c:v>
                </c:pt>
              </c:numCache>
            </c:numRef>
          </c:val>
          <c:extLst>
            <c:ext xmlns:c16="http://schemas.microsoft.com/office/drawing/2014/chart" uri="{C3380CC4-5D6E-409C-BE32-E72D297353CC}">
              <c16:uniqueId val="{00000000-39FF-4152-B7E1-43D7DF5E615E}"/>
            </c:ext>
          </c:extLst>
        </c:ser>
        <c:ser>
          <c:idx val="1"/>
          <c:order val="1"/>
          <c:tx>
            <c:strRef>
              <c:f>'CO2 - Cenário RT 1A'!$G$54</c:f>
              <c:strCache>
                <c:ptCount val="1"/>
                <c:pt idx="0">
                  <c:v>Créditos</c:v>
                </c:pt>
              </c:strCache>
            </c:strRef>
          </c:tx>
          <c:spPr>
            <a:pattFill prst="wdUpDiag">
              <a:fgClr>
                <a:srgbClr val="FF99CC"/>
              </a:fgClr>
              <a:bgClr>
                <a:srgbClr val="800080"/>
              </a:bgClr>
            </a:pattFill>
            <a:ln w="12700">
              <a:solidFill>
                <a:srgbClr val="000000"/>
              </a:solidFill>
              <a:prstDash val="solid"/>
            </a:ln>
          </c:spPr>
          <c:invertIfNegative val="0"/>
          <c:cat>
            <c:strRef>
              <c:f>'CO2 - Cenário RT 1A'!$H$52:$J$52</c:f>
              <c:strCache>
                <c:ptCount val="3"/>
                <c:pt idx="0">
                  <c:v>Resíduo reciclado</c:v>
                </c:pt>
                <c:pt idx="1">
                  <c:v>Destinação de resíduos</c:v>
                </c:pt>
                <c:pt idx="2">
                  <c:v>RSU total</c:v>
                </c:pt>
              </c:strCache>
            </c:strRef>
          </c:cat>
          <c:val>
            <c:numRef>
              <c:f>'CO2 - Cenário RT 1A'!$H$54:$J$54</c:f>
              <c:numCache>
                <c:formatCode>#,##0</c:formatCode>
                <c:ptCount val="3"/>
                <c:pt idx="0">
                  <c:v>-5018.9513721984003</c:v>
                </c:pt>
                <c:pt idx="1">
                  <c:v>-6806.6895659518668</c:v>
                </c:pt>
                <c:pt idx="2">
                  <c:v>-11825.640938150267</c:v>
                </c:pt>
              </c:numCache>
            </c:numRef>
          </c:val>
          <c:extLst>
            <c:ext xmlns:c16="http://schemas.microsoft.com/office/drawing/2014/chart" uri="{C3380CC4-5D6E-409C-BE32-E72D297353CC}">
              <c16:uniqueId val="{00000001-39FF-4152-B7E1-43D7DF5E615E}"/>
            </c:ext>
          </c:extLst>
        </c:ser>
        <c:ser>
          <c:idx val="2"/>
          <c:order val="2"/>
          <c:tx>
            <c:strRef>
              <c:f>'CO2 - Cenário RT 1A'!$G$55</c:f>
              <c:strCache>
                <c:ptCount val="1"/>
                <c:pt idx="0">
                  <c:v>Líquido</c:v>
                </c:pt>
              </c:strCache>
            </c:strRef>
          </c:tx>
          <c:spPr>
            <a:solidFill>
              <a:srgbClr val="0000FF"/>
            </a:solidFill>
            <a:ln w="12700">
              <a:solidFill>
                <a:srgbClr val="000000"/>
              </a:solidFill>
              <a:prstDash val="solid"/>
            </a:ln>
          </c:spPr>
          <c:invertIfNegative val="0"/>
          <c:cat>
            <c:strRef>
              <c:f>'CO2 - Cenário RT 1A'!$H$52:$J$52</c:f>
              <c:strCache>
                <c:ptCount val="3"/>
                <c:pt idx="0">
                  <c:v>Resíduo reciclado</c:v>
                </c:pt>
                <c:pt idx="1">
                  <c:v>Destinação de resíduos</c:v>
                </c:pt>
                <c:pt idx="2">
                  <c:v>RSU total</c:v>
                </c:pt>
              </c:strCache>
            </c:strRef>
          </c:cat>
          <c:val>
            <c:numRef>
              <c:f>'CO2 - Cenário RT 1A'!$H$55:$J$55</c:f>
              <c:numCache>
                <c:formatCode>#,##0</c:formatCode>
                <c:ptCount val="3"/>
                <c:pt idx="0">
                  <c:v>-3353.3073752256005</c:v>
                </c:pt>
                <c:pt idx="1">
                  <c:v>4414.2430980328991</c:v>
                </c:pt>
                <c:pt idx="2">
                  <c:v>1060.9357228072986</c:v>
                </c:pt>
              </c:numCache>
            </c:numRef>
          </c:val>
          <c:extLst>
            <c:ext xmlns:c16="http://schemas.microsoft.com/office/drawing/2014/chart" uri="{C3380CC4-5D6E-409C-BE32-E72D297353CC}">
              <c16:uniqueId val="{00000002-39FF-4152-B7E1-43D7DF5E615E}"/>
            </c:ext>
          </c:extLst>
        </c:ser>
        <c:dLbls>
          <c:showLegendKey val="0"/>
          <c:showVal val="0"/>
          <c:showCatName val="0"/>
          <c:showSerName val="0"/>
          <c:showPercent val="0"/>
          <c:showBubbleSize val="0"/>
        </c:dLbls>
        <c:gapWidth val="100"/>
        <c:axId val="197125248"/>
        <c:axId val="197126784"/>
      </c:barChart>
      <c:catAx>
        <c:axId val="197125248"/>
        <c:scaling>
          <c:orientation val="minMax"/>
        </c:scaling>
        <c:delete val="0"/>
        <c:axPos val="b"/>
        <c:numFmt formatCode="General" sourceLinked="1"/>
        <c:majorTickMark val="out"/>
        <c:minorTickMark val="none"/>
        <c:tickLblPos val="low"/>
        <c:spPr>
          <a:ln w="3175">
            <a:solidFill>
              <a:srgbClr val="000000"/>
            </a:solidFill>
            <a:prstDash val="solid"/>
          </a:ln>
        </c:spPr>
        <c:txPr>
          <a:bodyPr rot="0" vert="horz"/>
          <a:lstStyle/>
          <a:p>
            <a:pPr>
              <a:defRPr sz="925" b="0" i="0" u="none" strike="noStrike" baseline="0">
                <a:solidFill>
                  <a:srgbClr val="000000"/>
                </a:solidFill>
                <a:latin typeface="Arial"/>
                <a:ea typeface="Arial"/>
                <a:cs typeface="Arial"/>
              </a:defRPr>
            </a:pPr>
            <a:endParaRPr lang="pt-BR"/>
          </a:p>
        </c:txPr>
        <c:crossAx val="197126784"/>
        <c:crosses val="autoZero"/>
        <c:auto val="1"/>
        <c:lblAlgn val="ctr"/>
        <c:lblOffset val="50"/>
        <c:tickLblSkip val="1"/>
        <c:tickMarkSkip val="1"/>
        <c:noMultiLvlLbl val="0"/>
      </c:catAx>
      <c:valAx>
        <c:axId val="197126784"/>
        <c:scaling>
          <c:orientation val="minMax"/>
        </c:scaling>
        <c:delete val="0"/>
        <c:axPos val="l"/>
        <c:majorGridlines>
          <c:spPr>
            <a:ln w="3175">
              <a:solidFill>
                <a:srgbClr val="000000"/>
              </a:solidFill>
              <a:prstDash val="solid"/>
            </a:ln>
          </c:spPr>
        </c:majorGridlines>
        <c:title>
          <c:tx>
            <c:rich>
              <a:bodyPr/>
              <a:lstStyle/>
              <a:p>
                <a:pPr>
                  <a:defRPr sz="925" b="1" i="0" u="none" strike="noStrike" baseline="0">
                    <a:solidFill>
                      <a:sysClr val="windowText" lastClr="000000"/>
                    </a:solidFill>
                    <a:latin typeface="Arial"/>
                    <a:ea typeface="Arial"/>
                    <a:cs typeface="Arial"/>
                  </a:defRPr>
                </a:pPr>
                <a:r>
                  <a:rPr lang="de-DE">
                    <a:solidFill>
                      <a:sysClr val="windowText" lastClr="000000"/>
                    </a:solidFill>
                  </a:rPr>
                  <a:t>tonelada CO2-eq / ano</a:t>
                </a:r>
              </a:p>
            </c:rich>
          </c:tx>
          <c:layout>
            <c:manualLayout>
              <c:xMode val="edge"/>
              <c:yMode val="edge"/>
              <c:x val="3.0073021116594712E-4"/>
              <c:y val="0.3547485558903678"/>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925" b="0" i="0" u="none" strike="noStrike" baseline="0">
                <a:solidFill>
                  <a:srgbClr val="000000"/>
                </a:solidFill>
                <a:latin typeface="Arial"/>
                <a:ea typeface="Arial"/>
                <a:cs typeface="Arial"/>
              </a:defRPr>
            </a:pPr>
            <a:endParaRPr lang="pt-BR"/>
          </a:p>
        </c:txPr>
        <c:crossAx val="197125248"/>
        <c:crosses val="autoZero"/>
        <c:crossBetween val="between"/>
      </c:valAx>
      <c:spPr>
        <a:noFill/>
        <a:ln w="3175">
          <a:solidFill>
            <a:srgbClr val="000000"/>
          </a:solidFill>
          <a:prstDash val="solid"/>
        </a:ln>
      </c:spPr>
    </c:plotArea>
    <c:legend>
      <c:legendPos val="r"/>
      <c:layout>
        <c:manualLayout>
          <c:xMode val="edge"/>
          <c:yMode val="edge"/>
          <c:x val="0.17863904063031819"/>
          <c:y val="4.0037243947858472E-2"/>
          <c:w val="0.18431001890359169"/>
          <c:h val="0.19134078212290509"/>
        </c:manualLayout>
      </c:layout>
      <c:overlay val="0"/>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pt-BR"/>
        </a:p>
      </c:txPr>
    </c:legend>
    <c:plotVisOnly val="1"/>
    <c:dispBlanksAs val="gap"/>
    <c:showDLblsOverMax val="0"/>
  </c:chart>
  <c:spPr>
    <a:solidFill>
      <a:srgbClr val="FFFFFF"/>
    </a:solid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pt-BR"/>
    </a:p>
  </c:txPr>
  <c:printSettings>
    <c:headerFooter alignWithMargins="0"/>
    <c:pageMargins b="0.98425196899999978" l="0.78740157499999996" r="0.78740157499999996" t="0.98425196899999978" header="0.49212598450000011" footer="0.49212598450000011"/>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75" b="1" i="0" u="none" strike="noStrike" baseline="0">
                <a:solidFill>
                  <a:srgbClr val="000000"/>
                </a:solidFill>
                <a:latin typeface="Arial"/>
                <a:ea typeface="Arial"/>
                <a:cs typeface="Arial"/>
              </a:defRPr>
            </a:pPr>
            <a:r>
              <a:rPr lang="de-DE"/>
              <a:t>Resíduos tratados</a:t>
            </a:r>
          </a:p>
        </c:rich>
      </c:tx>
      <c:layout>
        <c:manualLayout>
          <c:xMode val="edge"/>
          <c:yMode val="edge"/>
          <c:x val="0.42260248119443095"/>
          <c:y val="1.3496932515337422E-2"/>
        </c:manualLayout>
      </c:layout>
      <c:overlay val="0"/>
      <c:spPr>
        <a:noFill/>
        <a:ln w="25400">
          <a:noFill/>
        </a:ln>
      </c:spPr>
    </c:title>
    <c:autoTitleDeleted val="0"/>
    <c:plotArea>
      <c:layout>
        <c:manualLayout>
          <c:layoutTarget val="inner"/>
          <c:xMode val="edge"/>
          <c:yMode val="edge"/>
          <c:x val="0.18803436241909513"/>
          <c:y val="0.1116564417177914"/>
          <c:w val="0.78632551557076091"/>
          <c:h val="0.57668711656441762"/>
        </c:manualLayout>
      </c:layout>
      <c:barChart>
        <c:barDir val="col"/>
        <c:grouping val="clustered"/>
        <c:varyColors val="0"/>
        <c:ser>
          <c:idx val="0"/>
          <c:order val="0"/>
          <c:spPr>
            <a:solidFill>
              <a:srgbClr val="008000"/>
            </a:solidFill>
            <a:ln w="12700">
              <a:solidFill>
                <a:srgbClr val="000000"/>
              </a:solidFill>
              <a:prstDash val="solid"/>
            </a:ln>
          </c:spPr>
          <c:invertIfNegative val="0"/>
          <c:cat>
            <c:strRef>
              <c:f>('CO2 - Cenário RT 1B'!$B$7:$B$15,'CO2 - Cenário RT 1B'!$B$18:$B$27)</c:f>
              <c:strCache>
                <c:ptCount val="19"/>
                <c:pt idx="0">
                  <c:v>Resíduos de alimentos</c:v>
                </c:pt>
                <c:pt idx="1">
                  <c:v>Resíduos de jardins e parques</c:v>
                </c:pt>
                <c:pt idx="2">
                  <c:v>Papel, papelão</c:v>
                </c:pt>
                <c:pt idx="3">
                  <c:v>Plásticos</c:v>
                </c:pt>
                <c:pt idx="4">
                  <c:v>Vidros</c:v>
                </c:pt>
                <c:pt idx="5">
                  <c:v>Metais ferrosos</c:v>
                </c:pt>
                <c:pt idx="6">
                  <c:v>Alumínio</c:v>
                </c:pt>
                <c:pt idx="7">
                  <c:v>Têxteis</c:v>
                </c:pt>
                <c:pt idx="9">
                  <c:v>Resíduos dispersos</c:v>
                </c:pt>
                <c:pt idx="10">
                  <c:v>Queima a céu aberto</c:v>
                </c:pt>
                <c:pt idx="11">
                  <c:v>Lixão não controlado</c:v>
                </c:pt>
                <c:pt idx="12">
                  <c:v>Aterro controlado</c:v>
                </c:pt>
                <c:pt idx="13">
                  <c:v>Aterro sanitário</c:v>
                </c:pt>
                <c:pt idx="14">
                  <c:v>Trat. biol + cobertura at.</c:v>
                </c:pt>
                <c:pt idx="15">
                  <c:v>CDR seco + rejeito aterro</c:v>
                </c:pt>
                <c:pt idx="16">
                  <c:v>CDR seco + trat. biol.</c:v>
                </c:pt>
                <c:pt idx="17">
                  <c:v>CDR seco + CDR org.</c:v>
                </c:pt>
                <c:pt idx="18">
                  <c:v>Incineração</c:v>
                </c:pt>
              </c:strCache>
            </c:strRef>
          </c:cat>
          <c:val>
            <c:numRef>
              <c:f>('CO2 - Cenário RT 1B'!$C$7:$C$15,'CO2 - Cenário RT 1B'!$C$18:$C$27)</c:f>
              <c:numCache>
                <c:formatCode>#,##0</c:formatCode>
                <c:ptCount val="19"/>
                <c:pt idx="0">
                  <c:v>0</c:v>
                </c:pt>
                <c:pt idx="1">
                  <c:v>0</c:v>
                </c:pt>
                <c:pt idx="2">
                  <c:v>1004.4457488</c:v>
                </c:pt>
                <c:pt idx="3">
                  <c:v>683.86032</c:v>
                </c:pt>
                <c:pt idx="4">
                  <c:v>0</c:v>
                </c:pt>
                <c:pt idx="5">
                  <c:v>503.10935999999998</c:v>
                </c:pt>
                <c:pt idx="6">
                  <c:v>131.24591999999998</c:v>
                </c:pt>
                <c:pt idx="7">
                  <c:v>0</c:v>
                </c:pt>
                <c:pt idx="9">
                  <c:v>0</c:v>
                </c:pt>
                <c:pt idx="10">
                  <c:v>0</c:v>
                </c:pt>
                <c:pt idx="11">
                  <c:v>0</c:v>
                </c:pt>
                <c:pt idx="12">
                  <c:v>0</c:v>
                </c:pt>
                <c:pt idx="13">
                  <c:v>7246.0285279199989</c:v>
                </c:pt>
                <c:pt idx="14">
                  <c:v>0</c:v>
                </c:pt>
                <c:pt idx="15">
                  <c:v>2587.8673313999998</c:v>
                </c:pt>
                <c:pt idx="16">
                  <c:v>10869.04279188</c:v>
                </c:pt>
                <c:pt idx="17">
                  <c:v>0</c:v>
                </c:pt>
                <c:pt idx="18">
                  <c:v>0</c:v>
                </c:pt>
              </c:numCache>
            </c:numRef>
          </c:val>
          <c:extLst>
            <c:ext xmlns:c16="http://schemas.microsoft.com/office/drawing/2014/chart" uri="{C3380CC4-5D6E-409C-BE32-E72D297353CC}">
              <c16:uniqueId val="{00000000-95F0-45BF-9E1D-7C161E756AA1}"/>
            </c:ext>
          </c:extLst>
        </c:ser>
        <c:dLbls>
          <c:showLegendKey val="0"/>
          <c:showVal val="0"/>
          <c:showCatName val="0"/>
          <c:showSerName val="0"/>
          <c:showPercent val="0"/>
          <c:showBubbleSize val="0"/>
        </c:dLbls>
        <c:gapWidth val="100"/>
        <c:axId val="196595712"/>
        <c:axId val="196597248"/>
      </c:barChart>
      <c:catAx>
        <c:axId val="196595712"/>
        <c:scaling>
          <c:orientation val="minMax"/>
        </c:scaling>
        <c:delete val="0"/>
        <c:axPos val="b"/>
        <c:numFmt formatCode="General" sourceLinked="1"/>
        <c:majorTickMark val="out"/>
        <c:minorTickMark val="none"/>
        <c:tickLblPos val="nextTo"/>
        <c:spPr>
          <a:ln w="3175">
            <a:solidFill>
              <a:srgbClr val="000000"/>
            </a:solidFill>
            <a:prstDash val="solid"/>
          </a:ln>
        </c:spPr>
        <c:txPr>
          <a:bodyPr rot="-3660000" vert="horz"/>
          <a:lstStyle/>
          <a:p>
            <a:pPr>
              <a:defRPr sz="850" b="0" i="0" u="none" strike="noStrike" baseline="0">
                <a:solidFill>
                  <a:srgbClr val="000000"/>
                </a:solidFill>
                <a:latin typeface="Arial"/>
                <a:ea typeface="Arial"/>
                <a:cs typeface="Arial"/>
              </a:defRPr>
            </a:pPr>
            <a:endParaRPr lang="pt-BR"/>
          </a:p>
        </c:txPr>
        <c:crossAx val="196597248"/>
        <c:crosses val="autoZero"/>
        <c:auto val="1"/>
        <c:lblAlgn val="ctr"/>
        <c:lblOffset val="100"/>
        <c:tickLblSkip val="1"/>
        <c:tickMarkSkip val="1"/>
        <c:noMultiLvlLbl val="0"/>
      </c:catAx>
      <c:valAx>
        <c:axId val="196597248"/>
        <c:scaling>
          <c:orientation val="minMax"/>
        </c:scaling>
        <c:delete val="0"/>
        <c:axPos val="l"/>
        <c:majorGridlines>
          <c:spPr>
            <a:ln w="3175">
              <a:solidFill>
                <a:srgbClr val="000000"/>
              </a:solidFill>
              <a:prstDash val="solid"/>
            </a:ln>
          </c:spPr>
        </c:majorGridlines>
        <c:title>
          <c:tx>
            <c:rich>
              <a:bodyPr/>
              <a:lstStyle/>
              <a:p>
                <a:pPr>
                  <a:defRPr sz="950" b="1" i="0" u="none" strike="noStrike" baseline="0">
                    <a:solidFill>
                      <a:sysClr val="windowText" lastClr="000000"/>
                    </a:solidFill>
                    <a:latin typeface="Arial"/>
                    <a:ea typeface="Arial"/>
                    <a:cs typeface="Arial"/>
                  </a:defRPr>
                </a:pPr>
                <a:r>
                  <a:rPr lang="de-DE">
                    <a:solidFill>
                      <a:sysClr val="windowText" lastClr="000000"/>
                    </a:solidFill>
                  </a:rPr>
                  <a:t>tonelada / ano</a:t>
                </a:r>
              </a:p>
            </c:rich>
          </c:tx>
          <c:layout>
            <c:manualLayout>
              <c:xMode val="edge"/>
              <c:yMode val="edge"/>
              <c:x val="1.0446353467727501E-2"/>
              <c:y val="0.36687116564417194"/>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950" b="0" i="0" u="none" strike="noStrike" baseline="0">
                <a:solidFill>
                  <a:srgbClr val="000000"/>
                </a:solidFill>
                <a:latin typeface="Arial"/>
                <a:ea typeface="Arial"/>
                <a:cs typeface="Arial"/>
              </a:defRPr>
            </a:pPr>
            <a:endParaRPr lang="pt-BR"/>
          </a:p>
        </c:txPr>
        <c:crossAx val="196595712"/>
        <c:crosses val="autoZero"/>
        <c:crossBetween val="between"/>
      </c:valAx>
      <c:spPr>
        <a:noFill/>
        <a:ln w="3175">
          <a:solidFill>
            <a:srgbClr val="000000"/>
          </a:solidFill>
          <a:prstDash val="solid"/>
        </a:ln>
      </c:spPr>
    </c:plotArea>
    <c:plotVisOnly val="1"/>
    <c:dispBlanksAs val="gap"/>
    <c:showDLblsOverMax val="0"/>
  </c:chart>
  <c:spPr>
    <a:no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pt-BR"/>
    </a:p>
  </c:txPr>
  <c:printSettings>
    <c:headerFooter alignWithMargins="0"/>
    <c:pageMargins b="0.98425196899999978" l="0.78740157499999996" r="0.78740157499999996" t="0.98425196899999978" header="0.49212598450000011" footer="0.49212598450000011"/>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75" b="1" i="0" u="none" strike="noStrike" baseline="0">
                <a:solidFill>
                  <a:srgbClr val="000000"/>
                </a:solidFill>
                <a:latin typeface="Arial"/>
                <a:ea typeface="Arial"/>
                <a:cs typeface="Arial"/>
              </a:defRPr>
            </a:pPr>
            <a:r>
              <a:rPr lang="de-DE"/>
              <a:t>Emissões de GEE </a:t>
            </a:r>
            <a:r>
              <a:rPr lang="de-DE">
                <a:solidFill>
                  <a:sysClr val="windowText" lastClr="000000"/>
                </a:solidFill>
              </a:rPr>
              <a:t>— Reciclagem</a:t>
            </a:r>
          </a:p>
        </c:rich>
      </c:tx>
      <c:layout>
        <c:manualLayout>
          <c:xMode val="edge"/>
          <c:yMode val="edge"/>
          <c:x val="0.25966850828729282"/>
          <c:y val="1.5988417481653919E-2"/>
        </c:manualLayout>
      </c:layout>
      <c:overlay val="0"/>
      <c:spPr>
        <a:noFill/>
        <a:ln w="25400">
          <a:noFill/>
        </a:ln>
      </c:spPr>
    </c:title>
    <c:autoTitleDeleted val="0"/>
    <c:plotArea>
      <c:layout>
        <c:manualLayout>
          <c:layoutTarget val="inner"/>
          <c:xMode val="edge"/>
          <c:yMode val="edge"/>
          <c:x val="0.21767955801104968"/>
          <c:y val="0.12354686235823484"/>
          <c:w val="0.50386740331491708"/>
          <c:h val="0.75872308412939515"/>
        </c:manualLayout>
      </c:layout>
      <c:barChart>
        <c:barDir val="col"/>
        <c:grouping val="stacked"/>
        <c:varyColors val="0"/>
        <c:ser>
          <c:idx val="0"/>
          <c:order val="0"/>
          <c:tx>
            <c:strRef>
              <c:f>'CO2 - Cenário RT 1B'!$B$62</c:f>
              <c:strCache>
                <c:ptCount val="1"/>
                <c:pt idx="0">
                  <c:v>Resíduos de alimentos</c:v>
                </c:pt>
              </c:strCache>
            </c:strRef>
          </c:tx>
          <c:spPr>
            <a:solidFill>
              <a:srgbClr val="99CC00"/>
            </a:solidFill>
            <a:ln w="12700">
              <a:solidFill>
                <a:srgbClr val="000000"/>
              </a:solidFill>
              <a:prstDash val="solid"/>
            </a:ln>
          </c:spPr>
          <c:invertIfNegative val="0"/>
          <c:cat>
            <c:strRef>
              <c:f>'CO2 - Cenário RT 1B'!$C$61:$D$61</c:f>
              <c:strCache>
                <c:ptCount val="2"/>
                <c:pt idx="0">
                  <c:v>Resíduos reciclados</c:v>
                </c:pt>
                <c:pt idx="1">
                  <c:v>Líquido</c:v>
                </c:pt>
              </c:strCache>
            </c:strRef>
          </c:cat>
          <c:val>
            <c:numRef>
              <c:f>'CO2 - Cenário RT 1B'!$C$62:$D$62</c:f>
              <c:numCache>
                <c:formatCode>General</c:formatCode>
                <c:ptCount val="2"/>
                <c:pt idx="0" formatCode="#,##0">
                  <c:v>0</c:v>
                </c:pt>
              </c:numCache>
            </c:numRef>
          </c:val>
          <c:extLst>
            <c:ext xmlns:c16="http://schemas.microsoft.com/office/drawing/2014/chart" uri="{C3380CC4-5D6E-409C-BE32-E72D297353CC}">
              <c16:uniqueId val="{00000000-36B0-4C57-B2A7-CBD523F049CD}"/>
            </c:ext>
          </c:extLst>
        </c:ser>
        <c:ser>
          <c:idx val="1"/>
          <c:order val="1"/>
          <c:tx>
            <c:strRef>
              <c:f>'CO2 - Cenário RT 1B'!$B$63</c:f>
              <c:strCache>
                <c:ptCount val="1"/>
                <c:pt idx="0">
                  <c:v>Resíduos de jardins e parques</c:v>
                </c:pt>
              </c:strCache>
            </c:strRef>
          </c:tx>
          <c:spPr>
            <a:solidFill>
              <a:srgbClr val="000080"/>
            </a:solidFill>
            <a:ln w="12700">
              <a:solidFill>
                <a:srgbClr val="000000"/>
              </a:solidFill>
              <a:prstDash val="solid"/>
            </a:ln>
          </c:spPr>
          <c:invertIfNegative val="0"/>
          <c:cat>
            <c:strRef>
              <c:f>'CO2 - Cenário RT 1B'!$C$61:$D$61</c:f>
              <c:strCache>
                <c:ptCount val="2"/>
                <c:pt idx="0">
                  <c:v>Resíduos reciclados</c:v>
                </c:pt>
                <c:pt idx="1">
                  <c:v>Líquido</c:v>
                </c:pt>
              </c:strCache>
            </c:strRef>
          </c:cat>
          <c:val>
            <c:numRef>
              <c:f>'CO2 - Cenário RT 1B'!$C$63:$D$63</c:f>
              <c:numCache>
                <c:formatCode>General</c:formatCode>
                <c:ptCount val="2"/>
                <c:pt idx="0" formatCode="#,##0">
                  <c:v>0</c:v>
                </c:pt>
              </c:numCache>
            </c:numRef>
          </c:val>
          <c:extLst>
            <c:ext xmlns:c16="http://schemas.microsoft.com/office/drawing/2014/chart" uri="{C3380CC4-5D6E-409C-BE32-E72D297353CC}">
              <c16:uniqueId val="{00000001-36B0-4C57-B2A7-CBD523F049CD}"/>
            </c:ext>
          </c:extLst>
        </c:ser>
        <c:ser>
          <c:idx val="2"/>
          <c:order val="2"/>
          <c:tx>
            <c:strRef>
              <c:f>'CO2 - Cenário RT 1B'!$B$64</c:f>
              <c:strCache>
                <c:ptCount val="1"/>
                <c:pt idx="0">
                  <c:v>Papel, papelão</c:v>
                </c:pt>
              </c:strCache>
            </c:strRef>
          </c:tx>
          <c:spPr>
            <a:solidFill>
              <a:srgbClr val="CC99FF"/>
            </a:solidFill>
            <a:ln w="12700">
              <a:solidFill>
                <a:srgbClr val="000000"/>
              </a:solidFill>
              <a:prstDash val="solid"/>
            </a:ln>
          </c:spPr>
          <c:invertIfNegative val="0"/>
          <c:cat>
            <c:strRef>
              <c:f>'CO2 - Cenário RT 1B'!$C$61:$D$61</c:f>
              <c:strCache>
                <c:ptCount val="2"/>
                <c:pt idx="0">
                  <c:v>Resíduos reciclados</c:v>
                </c:pt>
                <c:pt idx="1">
                  <c:v>Líquido</c:v>
                </c:pt>
              </c:strCache>
            </c:strRef>
          </c:cat>
          <c:val>
            <c:numRef>
              <c:f>'CO2 - Cenário RT 1B'!$C$64:$D$64</c:f>
              <c:numCache>
                <c:formatCode>General</c:formatCode>
                <c:ptCount val="2"/>
                <c:pt idx="0" formatCode="#,##0">
                  <c:v>1261.5838604928001</c:v>
                </c:pt>
              </c:numCache>
            </c:numRef>
          </c:val>
          <c:extLst>
            <c:ext xmlns:c16="http://schemas.microsoft.com/office/drawing/2014/chart" uri="{C3380CC4-5D6E-409C-BE32-E72D297353CC}">
              <c16:uniqueId val="{00000002-36B0-4C57-B2A7-CBD523F049CD}"/>
            </c:ext>
          </c:extLst>
        </c:ser>
        <c:ser>
          <c:idx val="3"/>
          <c:order val="3"/>
          <c:tx>
            <c:strRef>
              <c:f>'CO2 - Cenário RT 1B'!$B$65</c:f>
              <c:strCache>
                <c:ptCount val="1"/>
                <c:pt idx="0">
                  <c:v>Plásticos</c:v>
                </c:pt>
              </c:strCache>
            </c:strRef>
          </c:tx>
          <c:spPr>
            <a:solidFill>
              <a:srgbClr val="FFFF00"/>
            </a:solidFill>
            <a:ln w="12700">
              <a:solidFill>
                <a:srgbClr val="000000"/>
              </a:solidFill>
              <a:prstDash val="solid"/>
            </a:ln>
          </c:spPr>
          <c:invertIfNegative val="0"/>
          <c:cat>
            <c:strRef>
              <c:f>'CO2 - Cenário RT 1B'!$C$61:$D$61</c:f>
              <c:strCache>
                <c:ptCount val="2"/>
                <c:pt idx="0">
                  <c:v>Resíduos reciclados</c:v>
                </c:pt>
                <c:pt idx="1">
                  <c:v>Líquido</c:v>
                </c:pt>
              </c:strCache>
            </c:strRef>
          </c:cat>
          <c:val>
            <c:numRef>
              <c:f>'CO2 - Cenário RT 1B'!$C$65:$D$65</c:f>
              <c:numCache>
                <c:formatCode>General</c:formatCode>
                <c:ptCount val="2"/>
                <c:pt idx="0" formatCode="#,##0">
                  <c:v>280.38273119999997</c:v>
                </c:pt>
              </c:numCache>
            </c:numRef>
          </c:val>
          <c:extLst>
            <c:ext xmlns:c16="http://schemas.microsoft.com/office/drawing/2014/chart" uri="{C3380CC4-5D6E-409C-BE32-E72D297353CC}">
              <c16:uniqueId val="{00000003-36B0-4C57-B2A7-CBD523F049CD}"/>
            </c:ext>
          </c:extLst>
        </c:ser>
        <c:ser>
          <c:idx val="4"/>
          <c:order val="4"/>
          <c:tx>
            <c:strRef>
              <c:f>'CO2 - Cenário RT 1B'!$B$66</c:f>
              <c:strCache>
                <c:ptCount val="1"/>
                <c:pt idx="0">
                  <c:v>Vidros</c:v>
                </c:pt>
              </c:strCache>
            </c:strRef>
          </c:tx>
          <c:spPr>
            <a:solidFill>
              <a:srgbClr val="FF99CC"/>
            </a:solidFill>
            <a:ln w="12700">
              <a:solidFill>
                <a:srgbClr val="000000"/>
              </a:solidFill>
              <a:prstDash val="solid"/>
            </a:ln>
          </c:spPr>
          <c:invertIfNegative val="0"/>
          <c:cat>
            <c:strRef>
              <c:f>'CO2 - Cenário RT 1B'!$C$61:$D$61</c:f>
              <c:strCache>
                <c:ptCount val="2"/>
                <c:pt idx="0">
                  <c:v>Resíduos reciclados</c:v>
                </c:pt>
                <c:pt idx="1">
                  <c:v>Líquido</c:v>
                </c:pt>
              </c:strCache>
            </c:strRef>
          </c:cat>
          <c:val>
            <c:numRef>
              <c:f>'CO2 - Cenário RT 1B'!$C$66:$D$66</c:f>
              <c:numCache>
                <c:formatCode>General</c:formatCode>
                <c:ptCount val="2"/>
                <c:pt idx="0" formatCode="#,##0">
                  <c:v>0</c:v>
                </c:pt>
              </c:numCache>
            </c:numRef>
          </c:val>
          <c:extLst>
            <c:ext xmlns:c16="http://schemas.microsoft.com/office/drawing/2014/chart" uri="{C3380CC4-5D6E-409C-BE32-E72D297353CC}">
              <c16:uniqueId val="{00000004-36B0-4C57-B2A7-CBD523F049CD}"/>
            </c:ext>
          </c:extLst>
        </c:ser>
        <c:ser>
          <c:idx val="5"/>
          <c:order val="5"/>
          <c:tx>
            <c:strRef>
              <c:f>'CO2 - Cenário RT 1B'!$B$67</c:f>
              <c:strCache>
                <c:ptCount val="1"/>
                <c:pt idx="0">
                  <c:v>Metais ferrosos</c:v>
                </c:pt>
              </c:strCache>
            </c:strRef>
          </c:tx>
          <c:spPr>
            <a:solidFill>
              <a:srgbClr val="C0C0C0"/>
            </a:solidFill>
            <a:ln w="12700">
              <a:solidFill>
                <a:srgbClr val="000000"/>
              </a:solidFill>
              <a:prstDash val="solid"/>
            </a:ln>
          </c:spPr>
          <c:invertIfNegative val="0"/>
          <c:cat>
            <c:strRef>
              <c:f>'CO2 - Cenário RT 1B'!$C$61:$D$61</c:f>
              <c:strCache>
                <c:ptCount val="2"/>
                <c:pt idx="0">
                  <c:v>Resíduos reciclados</c:v>
                </c:pt>
                <c:pt idx="1">
                  <c:v>Líquido</c:v>
                </c:pt>
              </c:strCache>
            </c:strRef>
          </c:cat>
          <c:val>
            <c:numRef>
              <c:f>'CO2 - Cenário RT 1B'!$C$67:$D$67</c:f>
              <c:numCache>
                <c:formatCode>General</c:formatCode>
                <c:ptCount val="2"/>
                <c:pt idx="0" formatCode="#,##0">
                  <c:v>32.198999039999997</c:v>
                </c:pt>
              </c:numCache>
            </c:numRef>
          </c:val>
          <c:extLst>
            <c:ext xmlns:c16="http://schemas.microsoft.com/office/drawing/2014/chart" uri="{C3380CC4-5D6E-409C-BE32-E72D297353CC}">
              <c16:uniqueId val="{00000005-36B0-4C57-B2A7-CBD523F049CD}"/>
            </c:ext>
          </c:extLst>
        </c:ser>
        <c:ser>
          <c:idx val="6"/>
          <c:order val="6"/>
          <c:tx>
            <c:strRef>
              <c:f>'CO2 - Cenário RT 1B'!$B$68</c:f>
              <c:strCache>
                <c:ptCount val="1"/>
                <c:pt idx="0">
                  <c:v>Alumínio</c:v>
                </c:pt>
              </c:strCache>
            </c:strRef>
          </c:tx>
          <c:spPr>
            <a:solidFill>
              <a:srgbClr val="993366"/>
            </a:solidFill>
            <a:ln w="12700">
              <a:solidFill>
                <a:srgbClr val="000000"/>
              </a:solidFill>
              <a:prstDash val="solid"/>
            </a:ln>
          </c:spPr>
          <c:invertIfNegative val="0"/>
          <c:cat>
            <c:strRef>
              <c:f>'CO2 - Cenário RT 1B'!$C$61:$D$61</c:f>
              <c:strCache>
                <c:ptCount val="2"/>
                <c:pt idx="0">
                  <c:v>Resíduos reciclados</c:v>
                </c:pt>
                <c:pt idx="1">
                  <c:v>Líquido</c:v>
                </c:pt>
              </c:strCache>
            </c:strRef>
          </c:cat>
          <c:val>
            <c:numRef>
              <c:f>'CO2 - Cenário RT 1B'!$C$68:$D$68</c:f>
              <c:numCache>
                <c:formatCode>General</c:formatCode>
                <c:ptCount val="2"/>
                <c:pt idx="0" formatCode="#,##0">
                  <c:v>91.478406239999984</c:v>
                </c:pt>
              </c:numCache>
            </c:numRef>
          </c:val>
          <c:extLst>
            <c:ext xmlns:c16="http://schemas.microsoft.com/office/drawing/2014/chart" uri="{C3380CC4-5D6E-409C-BE32-E72D297353CC}">
              <c16:uniqueId val="{00000006-36B0-4C57-B2A7-CBD523F049CD}"/>
            </c:ext>
          </c:extLst>
        </c:ser>
        <c:ser>
          <c:idx val="7"/>
          <c:order val="7"/>
          <c:tx>
            <c:strRef>
              <c:f>'CO2 - Cenário RT 1B'!$B$69</c:f>
              <c:strCache>
                <c:ptCount val="1"/>
                <c:pt idx="0">
                  <c:v>Têxteis</c:v>
                </c:pt>
              </c:strCache>
            </c:strRef>
          </c:tx>
          <c:spPr>
            <a:solidFill>
              <a:srgbClr val="9999FF"/>
            </a:solidFill>
            <a:ln w="12700">
              <a:solidFill>
                <a:srgbClr val="000000"/>
              </a:solidFill>
              <a:prstDash val="solid"/>
            </a:ln>
          </c:spPr>
          <c:invertIfNegative val="0"/>
          <c:cat>
            <c:strRef>
              <c:f>'CO2 - Cenário RT 1B'!$C$61:$D$61</c:f>
              <c:strCache>
                <c:ptCount val="2"/>
                <c:pt idx="0">
                  <c:v>Resíduos reciclados</c:v>
                </c:pt>
                <c:pt idx="1">
                  <c:v>Líquido</c:v>
                </c:pt>
              </c:strCache>
            </c:strRef>
          </c:cat>
          <c:val>
            <c:numRef>
              <c:f>'CO2 - Cenário RT 1B'!$C$69:$D$69</c:f>
              <c:numCache>
                <c:formatCode>General</c:formatCode>
                <c:ptCount val="2"/>
                <c:pt idx="0" formatCode="#,##0">
                  <c:v>0</c:v>
                </c:pt>
              </c:numCache>
            </c:numRef>
          </c:val>
          <c:extLst>
            <c:ext xmlns:c16="http://schemas.microsoft.com/office/drawing/2014/chart" uri="{C3380CC4-5D6E-409C-BE32-E72D297353CC}">
              <c16:uniqueId val="{00000007-36B0-4C57-B2A7-CBD523F049CD}"/>
            </c:ext>
          </c:extLst>
        </c:ser>
        <c:ser>
          <c:idx val="8"/>
          <c:order val="8"/>
          <c:tx>
            <c:strRef>
              <c:f>'CO2 - Cenário RT 1B'!$B$70</c:f>
              <c:strCache>
                <c:ptCount val="1"/>
                <c:pt idx="0">
                  <c:v>Débitos</c:v>
                </c:pt>
              </c:strCache>
            </c:strRef>
          </c:tx>
          <c:spPr>
            <a:noFill/>
            <a:ln w="25400">
              <a:noFill/>
            </a:ln>
          </c:spPr>
          <c:invertIfNegative val="0"/>
          <c:cat>
            <c:strRef>
              <c:f>'CO2 - Cenário RT 1B'!$C$61:$D$61</c:f>
              <c:strCache>
                <c:ptCount val="2"/>
                <c:pt idx="0">
                  <c:v>Resíduos reciclados</c:v>
                </c:pt>
                <c:pt idx="1">
                  <c:v>Líquido</c:v>
                </c:pt>
              </c:strCache>
            </c:strRef>
          </c:cat>
          <c:val>
            <c:numRef>
              <c:f>'CO2 - Cenário RT 1B'!$C$70:$D$70</c:f>
              <c:numCache>
                <c:formatCode>#,##0</c:formatCode>
                <c:ptCount val="2"/>
              </c:numCache>
            </c:numRef>
          </c:val>
          <c:extLst>
            <c:ext xmlns:c16="http://schemas.microsoft.com/office/drawing/2014/chart" uri="{C3380CC4-5D6E-409C-BE32-E72D297353CC}">
              <c16:uniqueId val="{00000008-36B0-4C57-B2A7-CBD523F049CD}"/>
            </c:ext>
          </c:extLst>
        </c:ser>
        <c:ser>
          <c:idx val="9"/>
          <c:order val="9"/>
          <c:tx>
            <c:strRef>
              <c:f>'CO2 - Cenário RT 1B'!$B$71</c:f>
              <c:strCache>
                <c:ptCount val="1"/>
                <c:pt idx="0">
                  <c:v>Resíduos de alimentos</c:v>
                </c:pt>
              </c:strCache>
            </c:strRef>
          </c:tx>
          <c:spPr>
            <a:pattFill prst="wdDnDiag">
              <a:fgClr>
                <a:srgbClr val="99CC00"/>
              </a:fgClr>
              <a:bgClr>
                <a:srgbClr val="FFFFFF"/>
              </a:bgClr>
            </a:pattFill>
            <a:ln w="12700">
              <a:solidFill>
                <a:srgbClr val="000000"/>
              </a:solidFill>
              <a:prstDash val="solid"/>
            </a:ln>
          </c:spPr>
          <c:invertIfNegative val="0"/>
          <c:cat>
            <c:strRef>
              <c:f>'CO2 - Cenário RT 1B'!$C$61:$D$61</c:f>
              <c:strCache>
                <c:ptCount val="2"/>
                <c:pt idx="0">
                  <c:v>Resíduos reciclados</c:v>
                </c:pt>
                <c:pt idx="1">
                  <c:v>Líquido</c:v>
                </c:pt>
              </c:strCache>
            </c:strRef>
          </c:cat>
          <c:val>
            <c:numRef>
              <c:f>'CO2 - Cenário RT 1B'!$C$71:$D$71</c:f>
              <c:numCache>
                <c:formatCode>General</c:formatCode>
                <c:ptCount val="2"/>
                <c:pt idx="0" formatCode="#,##0">
                  <c:v>0</c:v>
                </c:pt>
              </c:numCache>
            </c:numRef>
          </c:val>
          <c:extLst>
            <c:ext xmlns:c16="http://schemas.microsoft.com/office/drawing/2014/chart" uri="{C3380CC4-5D6E-409C-BE32-E72D297353CC}">
              <c16:uniqueId val="{00000009-36B0-4C57-B2A7-CBD523F049CD}"/>
            </c:ext>
          </c:extLst>
        </c:ser>
        <c:ser>
          <c:idx val="10"/>
          <c:order val="10"/>
          <c:tx>
            <c:strRef>
              <c:f>'CO2 - Cenário RT 1B'!$B$72</c:f>
              <c:strCache>
                <c:ptCount val="1"/>
                <c:pt idx="0">
                  <c:v>Resíduos de jardins e parques</c:v>
                </c:pt>
              </c:strCache>
            </c:strRef>
          </c:tx>
          <c:spPr>
            <a:pattFill prst="wdUpDiag">
              <a:fgClr>
                <a:srgbClr val="000080"/>
              </a:fgClr>
              <a:bgClr>
                <a:srgbClr val="FFFFFF"/>
              </a:bgClr>
            </a:pattFill>
            <a:ln w="12700">
              <a:solidFill>
                <a:srgbClr val="000000"/>
              </a:solidFill>
              <a:prstDash val="solid"/>
            </a:ln>
          </c:spPr>
          <c:invertIfNegative val="0"/>
          <c:cat>
            <c:strRef>
              <c:f>'CO2 - Cenário RT 1B'!$C$61:$D$61</c:f>
              <c:strCache>
                <c:ptCount val="2"/>
                <c:pt idx="0">
                  <c:v>Resíduos reciclados</c:v>
                </c:pt>
                <c:pt idx="1">
                  <c:v>Líquido</c:v>
                </c:pt>
              </c:strCache>
            </c:strRef>
          </c:cat>
          <c:val>
            <c:numRef>
              <c:f>'CO2 - Cenário RT 1B'!$C$72:$D$72</c:f>
              <c:numCache>
                <c:formatCode>General</c:formatCode>
                <c:ptCount val="2"/>
                <c:pt idx="0" formatCode="#,##0">
                  <c:v>0</c:v>
                </c:pt>
              </c:numCache>
            </c:numRef>
          </c:val>
          <c:extLst>
            <c:ext xmlns:c16="http://schemas.microsoft.com/office/drawing/2014/chart" uri="{C3380CC4-5D6E-409C-BE32-E72D297353CC}">
              <c16:uniqueId val="{0000000A-36B0-4C57-B2A7-CBD523F049CD}"/>
            </c:ext>
          </c:extLst>
        </c:ser>
        <c:ser>
          <c:idx val="11"/>
          <c:order val="11"/>
          <c:tx>
            <c:strRef>
              <c:f>'CO2 - Cenário RT 1B'!$B$73</c:f>
              <c:strCache>
                <c:ptCount val="1"/>
                <c:pt idx="0">
                  <c:v>Papel, papelão</c:v>
                </c:pt>
              </c:strCache>
            </c:strRef>
          </c:tx>
          <c:spPr>
            <a:pattFill prst="wdDnDiag">
              <a:fgClr>
                <a:srgbClr val="CC99FF"/>
              </a:fgClr>
              <a:bgClr>
                <a:srgbClr val="FFFFFF"/>
              </a:bgClr>
            </a:pattFill>
            <a:ln w="12700">
              <a:solidFill>
                <a:srgbClr val="000000"/>
              </a:solidFill>
              <a:prstDash val="solid"/>
            </a:ln>
          </c:spPr>
          <c:invertIfNegative val="0"/>
          <c:cat>
            <c:strRef>
              <c:f>'CO2 - Cenário RT 1B'!$C$61:$D$61</c:f>
              <c:strCache>
                <c:ptCount val="2"/>
                <c:pt idx="0">
                  <c:v>Resíduos reciclados</c:v>
                </c:pt>
                <c:pt idx="1">
                  <c:v>Líquido</c:v>
                </c:pt>
              </c:strCache>
            </c:strRef>
          </c:cat>
          <c:val>
            <c:numRef>
              <c:f>'CO2 - Cenário RT 1B'!$C$73:$D$73</c:f>
              <c:numCache>
                <c:formatCode>General</c:formatCode>
                <c:ptCount val="2"/>
                <c:pt idx="0" formatCode="#,##0">
                  <c:v>-1554.8820191423999</c:v>
                </c:pt>
              </c:numCache>
            </c:numRef>
          </c:val>
          <c:extLst>
            <c:ext xmlns:c16="http://schemas.microsoft.com/office/drawing/2014/chart" uri="{C3380CC4-5D6E-409C-BE32-E72D297353CC}">
              <c16:uniqueId val="{0000000B-36B0-4C57-B2A7-CBD523F049CD}"/>
            </c:ext>
          </c:extLst>
        </c:ser>
        <c:ser>
          <c:idx val="12"/>
          <c:order val="12"/>
          <c:tx>
            <c:strRef>
              <c:f>'CO2 - Cenário RT 1B'!$B$74</c:f>
              <c:strCache>
                <c:ptCount val="1"/>
                <c:pt idx="0">
                  <c:v>Plásticos</c:v>
                </c:pt>
              </c:strCache>
            </c:strRef>
          </c:tx>
          <c:spPr>
            <a:pattFill prst="wdUpDiag">
              <a:fgClr>
                <a:srgbClr val="FFFF00"/>
              </a:fgClr>
              <a:bgClr>
                <a:srgbClr val="FFFFFF"/>
              </a:bgClr>
            </a:pattFill>
            <a:ln w="12700">
              <a:solidFill>
                <a:srgbClr val="000000"/>
              </a:solidFill>
              <a:prstDash val="solid"/>
            </a:ln>
          </c:spPr>
          <c:invertIfNegative val="0"/>
          <c:cat>
            <c:strRef>
              <c:f>'CO2 - Cenário RT 1B'!$C$61:$D$61</c:f>
              <c:strCache>
                <c:ptCount val="2"/>
                <c:pt idx="0">
                  <c:v>Resíduos reciclados</c:v>
                </c:pt>
                <c:pt idx="1">
                  <c:v>Líquido</c:v>
                </c:pt>
              </c:strCache>
            </c:strRef>
          </c:cat>
          <c:val>
            <c:numRef>
              <c:f>'CO2 - Cenário RT 1B'!$C$74:$D$74</c:f>
              <c:numCache>
                <c:formatCode>General</c:formatCode>
                <c:ptCount val="2"/>
                <c:pt idx="0" formatCode="#,##0">
                  <c:v>-1306.0364391359999</c:v>
                </c:pt>
              </c:numCache>
            </c:numRef>
          </c:val>
          <c:extLst>
            <c:ext xmlns:c16="http://schemas.microsoft.com/office/drawing/2014/chart" uri="{C3380CC4-5D6E-409C-BE32-E72D297353CC}">
              <c16:uniqueId val="{0000000C-36B0-4C57-B2A7-CBD523F049CD}"/>
            </c:ext>
          </c:extLst>
        </c:ser>
        <c:ser>
          <c:idx val="13"/>
          <c:order val="13"/>
          <c:tx>
            <c:strRef>
              <c:f>'CO2 - Cenário RT 1B'!$B$75</c:f>
              <c:strCache>
                <c:ptCount val="1"/>
                <c:pt idx="0">
                  <c:v>Vidros</c:v>
                </c:pt>
              </c:strCache>
            </c:strRef>
          </c:tx>
          <c:spPr>
            <a:pattFill prst="wdDnDiag">
              <a:fgClr>
                <a:srgbClr val="FF99CC"/>
              </a:fgClr>
              <a:bgClr>
                <a:srgbClr val="FFFFFF"/>
              </a:bgClr>
            </a:pattFill>
            <a:ln w="12700">
              <a:solidFill>
                <a:srgbClr val="000000"/>
              </a:solidFill>
              <a:prstDash val="solid"/>
            </a:ln>
          </c:spPr>
          <c:invertIfNegative val="0"/>
          <c:cat>
            <c:strRef>
              <c:f>'CO2 - Cenário RT 1B'!$C$61:$D$61</c:f>
              <c:strCache>
                <c:ptCount val="2"/>
                <c:pt idx="0">
                  <c:v>Resíduos reciclados</c:v>
                </c:pt>
                <c:pt idx="1">
                  <c:v>Líquido</c:v>
                </c:pt>
              </c:strCache>
            </c:strRef>
          </c:cat>
          <c:val>
            <c:numRef>
              <c:f>'CO2 - Cenário RT 1B'!$C$75:$D$75</c:f>
              <c:numCache>
                <c:formatCode>General</c:formatCode>
                <c:ptCount val="2"/>
                <c:pt idx="0" formatCode="#,##0">
                  <c:v>0</c:v>
                </c:pt>
              </c:numCache>
            </c:numRef>
          </c:val>
          <c:extLst>
            <c:ext xmlns:c16="http://schemas.microsoft.com/office/drawing/2014/chart" uri="{C3380CC4-5D6E-409C-BE32-E72D297353CC}">
              <c16:uniqueId val="{0000000D-36B0-4C57-B2A7-CBD523F049CD}"/>
            </c:ext>
          </c:extLst>
        </c:ser>
        <c:ser>
          <c:idx val="14"/>
          <c:order val="14"/>
          <c:tx>
            <c:strRef>
              <c:f>'CO2 - Cenário RT 1B'!$B$76</c:f>
              <c:strCache>
                <c:ptCount val="1"/>
                <c:pt idx="0">
                  <c:v>Metais ferrosos</c:v>
                </c:pt>
              </c:strCache>
            </c:strRef>
          </c:tx>
          <c:spPr>
            <a:pattFill prst="wdUpDiag">
              <a:fgClr>
                <a:srgbClr val="C0C0C0"/>
              </a:fgClr>
              <a:bgClr>
                <a:srgbClr val="FFFFFF"/>
              </a:bgClr>
            </a:pattFill>
            <a:ln w="12700">
              <a:solidFill>
                <a:srgbClr val="000000"/>
              </a:solidFill>
              <a:prstDash val="solid"/>
            </a:ln>
          </c:spPr>
          <c:invertIfNegative val="0"/>
          <c:cat>
            <c:strRef>
              <c:f>'CO2 - Cenário RT 1B'!$C$61:$D$61</c:f>
              <c:strCache>
                <c:ptCount val="2"/>
                <c:pt idx="0">
                  <c:v>Resíduos reciclados</c:v>
                </c:pt>
                <c:pt idx="1">
                  <c:v>Líquido</c:v>
                </c:pt>
              </c:strCache>
            </c:strRef>
          </c:cat>
          <c:val>
            <c:numRef>
              <c:f>'CO2 - Cenário RT 1B'!$C$76:$D$76</c:f>
              <c:numCache>
                <c:formatCode>General</c:formatCode>
                <c:ptCount val="2"/>
                <c:pt idx="0" formatCode="#,##0">
                  <c:v>-861.32322431999989</c:v>
                </c:pt>
              </c:numCache>
            </c:numRef>
          </c:val>
          <c:extLst>
            <c:ext xmlns:c16="http://schemas.microsoft.com/office/drawing/2014/chart" uri="{C3380CC4-5D6E-409C-BE32-E72D297353CC}">
              <c16:uniqueId val="{0000000E-36B0-4C57-B2A7-CBD523F049CD}"/>
            </c:ext>
          </c:extLst>
        </c:ser>
        <c:ser>
          <c:idx val="15"/>
          <c:order val="15"/>
          <c:tx>
            <c:strRef>
              <c:f>'CO2 - Cenário RT 1B'!$B$77</c:f>
              <c:strCache>
                <c:ptCount val="1"/>
                <c:pt idx="0">
                  <c:v>Alumínio</c:v>
                </c:pt>
              </c:strCache>
            </c:strRef>
          </c:tx>
          <c:spPr>
            <a:pattFill prst="wdDnDiag">
              <a:fgClr>
                <a:srgbClr val="993366"/>
              </a:fgClr>
              <a:bgClr>
                <a:srgbClr val="FFFFFF"/>
              </a:bgClr>
            </a:pattFill>
            <a:ln w="12700">
              <a:solidFill>
                <a:srgbClr val="000000"/>
              </a:solidFill>
              <a:prstDash val="solid"/>
            </a:ln>
          </c:spPr>
          <c:invertIfNegative val="0"/>
          <c:cat>
            <c:strRef>
              <c:f>'CO2 - Cenário RT 1B'!$C$61:$D$61</c:f>
              <c:strCache>
                <c:ptCount val="2"/>
                <c:pt idx="0">
                  <c:v>Resíduos reciclados</c:v>
                </c:pt>
                <c:pt idx="1">
                  <c:v>Líquido</c:v>
                </c:pt>
              </c:strCache>
            </c:strRef>
          </c:cat>
          <c:val>
            <c:numRef>
              <c:f>'CO2 - Cenário RT 1B'!$C$77:$D$77</c:f>
              <c:numCache>
                <c:formatCode>General</c:formatCode>
                <c:ptCount val="2"/>
                <c:pt idx="0" formatCode="#,##0">
                  <c:v>-1296.7096895999998</c:v>
                </c:pt>
              </c:numCache>
            </c:numRef>
          </c:val>
          <c:extLst>
            <c:ext xmlns:c16="http://schemas.microsoft.com/office/drawing/2014/chart" uri="{C3380CC4-5D6E-409C-BE32-E72D297353CC}">
              <c16:uniqueId val="{0000000F-36B0-4C57-B2A7-CBD523F049CD}"/>
            </c:ext>
          </c:extLst>
        </c:ser>
        <c:ser>
          <c:idx val="16"/>
          <c:order val="16"/>
          <c:tx>
            <c:strRef>
              <c:f>'CO2 - Cenário RT 1B'!$B$78</c:f>
              <c:strCache>
                <c:ptCount val="1"/>
                <c:pt idx="0">
                  <c:v>Têxteis</c:v>
                </c:pt>
              </c:strCache>
            </c:strRef>
          </c:tx>
          <c:spPr>
            <a:pattFill prst="wdUpDiag">
              <a:fgClr>
                <a:srgbClr val="9999FF"/>
              </a:fgClr>
              <a:bgClr>
                <a:srgbClr val="FFFFFF"/>
              </a:bgClr>
            </a:pattFill>
            <a:ln w="12700">
              <a:solidFill>
                <a:srgbClr val="000000"/>
              </a:solidFill>
              <a:prstDash val="solid"/>
            </a:ln>
          </c:spPr>
          <c:invertIfNegative val="0"/>
          <c:cat>
            <c:strRef>
              <c:f>'CO2 - Cenário RT 1B'!$C$61:$D$61</c:f>
              <c:strCache>
                <c:ptCount val="2"/>
                <c:pt idx="0">
                  <c:v>Resíduos reciclados</c:v>
                </c:pt>
                <c:pt idx="1">
                  <c:v>Líquido</c:v>
                </c:pt>
              </c:strCache>
            </c:strRef>
          </c:cat>
          <c:val>
            <c:numRef>
              <c:f>'CO2 - Cenário RT 1B'!$C$78:$D$78</c:f>
              <c:numCache>
                <c:formatCode>General</c:formatCode>
                <c:ptCount val="2"/>
                <c:pt idx="0" formatCode="#,##0">
                  <c:v>0</c:v>
                </c:pt>
              </c:numCache>
            </c:numRef>
          </c:val>
          <c:extLst>
            <c:ext xmlns:c16="http://schemas.microsoft.com/office/drawing/2014/chart" uri="{C3380CC4-5D6E-409C-BE32-E72D297353CC}">
              <c16:uniqueId val="{00000010-36B0-4C57-B2A7-CBD523F049CD}"/>
            </c:ext>
          </c:extLst>
        </c:ser>
        <c:ser>
          <c:idx val="17"/>
          <c:order val="17"/>
          <c:tx>
            <c:strRef>
              <c:f>'CO2 - Cenário RT 1B'!$B$79</c:f>
              <c:strCache>
                <c:ptCount val="1"/>
                <c:pt idx="0">
                  <c:v>Créditos</c:v>
                </c:pt>
              </c:strCache>
            </c:strRef>
          </c:tx>
          <c:spPr>
            <a:noFill/>
            <a:ln w="25400">
              <a:noFill/>
            </a:ln>
          </c:spPr>
          <c:invertIfNegative val="0"/>
          <c:cat>
            <c:strRef>
              <c:f>'CO2 - Cenário RT 1B'!$C$61:$D$61</c:f>
              <c:strCache>
                <c:ptCount val="2"/>
                <c:pt idx="0">
                  <c:v>Resíduos reciclados</c:v>
                </c:pt>
                <c:pt idx="1">
                  <c:v>Líquido</c:v>
                </c:pt>
              </c:strCache>
            </c:strRef>
          </c:cat>
          <c:val>
            <c:numRef>
              <c:f>'CO2 - Cenário RT 1B'!$C$79:$D$79</c:f>
              <c:numCache>
                <c:formatCode>#,##0</c:formatCode>
                <c:ptCount val="2"/>
              </c:numCache>
            </c:numRef>
          </c:val>
          <c:extLst>
            <c:ext xmlns:c16="http://schemas.microsoft.com/office/drawing/2014/chart" uri="{C3380CC4-5D6E-409C-BE32-E72D297353CC}">
              <c16:uniqueId val="{00000011-36B0-4C57-B2A7-CBD523F049CD}"/>
            </c:ext>
          </c:extLst>
        </c:ser>
        <c:ser>
          <c:idx val="18"/>
          <c:order val="18"/>
          <c:tx>
            <c:strRef>
              <c:f>'CO2 - Cenário RT 1B'!$B$80</c:f>
              <c:strCache>
                <c:ptCount val="1"/>
                <c:pt idx="0">
                  <c:v>Líquido</c:v>
                </c:pt>
              </c:strCache>
            </c:strRef>
          </c:tx>
          <c:spPr>
            <a:solidFill>
              <a:srgbClr val="0000FF"/>
            </a:solidFill>
            <a:ln w="12700">
              <a:solidFill>
                <a:srgbClr val="000000"/>
              </a:solidFill>
              <a:prstDash val="solid"/>
            </a:ln>
          </c:spPr>
          <c:invertIfNegative val="0"/>
          <c:cat>
            <c:strRef>
              <c:f>'CO2 - Cenário RT 1B'!$C$61:$D$61</c:f>
              <c:strCache>
                <c:ptCount val="2"/>
                <c:pt idx="0">
                  <c:v>Resíduos reciclados</c:v>
                </c:pt>
                <c:pt idx="1">
                  <c:v>Líquido</c:v>
                </c:pt>
              </c:strCache>
            </c:strRef>
          </c:cat>
          <c:val>
            <c:numRef>
              <c:f>'CO2 - Cenário RT 1B'!$C$80:$D$80</c:f>
              <c:numCache>
                <c:formatCode>#,##0</c:formatCode>
                <c:ptCount val="2"/>
                <c:pt idx="1">
                  <c:v>-3353.3073752255996</c:v>
                </c:pt>
              </c:numCache>
            </c:numRef>
          </c:val>
          <c:extLst>
            <c:ext xmlns:c16="http://schemas.microsoft.com/office/drawing/2014/chart" uri="{C3380CC4-5D6E-409C-BE32-E72D297353CC}">
              <c16:uniqueId val="{00000012-36B0-4C57-B2A7-CBD523F049CD}"/>
            </c:ext>
          </c:extLst>
        </c:ser>
        <c:dLbls>
          <c:showLegendKey val="0"/>
          <c:showVal val="0"/>
          <c:showCatName val="0"/>
          <c:showSerName val="0"/>
          <c:showPercent val="0"/>
          <c:showBubbleSize val="0"/>
        </c:dLbls>
        <c:gapWidth val="100"/>
        <c:overlap val="100"/>
        <c:axId val="195374464"/>
        <c:axId val="195392640"/>
      </c:barChart>
      <c:catAx>
        <c:axId val="195374464"/>
        <c:scaling>
          <c:orientation val="minMax"/>
        </c:scaling>
        <c:delete val="0"/>
        <c:axPos val="b"/>
        <c:numFmt formatCode="General" sourceLinked="1"/>
        <c:majorTickMark val="out"/>
        <c:minorTickMark val="none"/>
        <c:tickLblPos val="low"/>
        <c:spPr>
          <a:ln w="3175">
            <a:solidFill>
              <a:srgbClr val="000000"/>
            </a:solidFill>
            <a:prstDash val="solid"/>
          </a:ln>
        </c:spPr>
        <c:txPr>
          <a:bodyPr rot="0" vert="horz"/>
          <a:lstStyle/>
          <a:p>
            <a:pPr>
              <a:defRPr sz="875" b="1" i="0" u="none" strike="noStrike" baseline="0">
                <a:solidFill>
                  <a:srgbClr val="000000"/>
                </a:solidFill>
                <a:latin typeface="Arial"/>
                <a:ea typeface="Arial"/>
                <a:cs typeface="Arial"/>
              </a:defRPr>
            </a:pPr>
            <a:endParaRPr lang="pt-BR"/>
          </a:p>
        </c:txPr>
        <c:crossAx val="195392640"/>
        <c:crosses val="autoZero"/>
        <c:auto val="1"/>
        <c:lblAlgn val="ctr"/>
        <c:lblOffset val="100"/>
        <c:tickLblSkip val="1"/>
        <c:tickMarkSkip val="1"/>
        <c:noMultiLvlLbl val="0"/>
      </c:catAx>
      <c:valAx>
        <c:axId val="195392640"/>
        <c:scaling>
          <c:orientation val="minMax"/>
        </c:scaling>
        <c:delete val="0"/>
        <c:axPos val="l"/>
        <c:majorGridlines>
          <c:spPr>
            <a:ln w="3175">
              <a:solidFill>
                <a:srgbClr val="000000"/>
              </a:solidFill>
              <a:prstDash val="solid"/>
            </a:ln>
          </c:spPr>
        </c:majorGridlines>
        <c:title>
          <c:tx>
            <c:rich>
              <a:bodyPr/>
              <a:lstStyle/>
              <a:p>
                <a:pPr>
                  <a:defRPr sz="875" b="1" i="0" u="none" strike="noStrike" baseline="0">
                    <a:solidFill>
                      <a:sysClr val="windowText" lastClr="000000"/>
                    </a:solidFill>
                    <a:latin typeface="Arial"/>
                    <a:ea typeface="Arial"/>
                    <a:cs typeface="Arial"/>
                  </a:defRPr>
                </a:pPr>
                <a:r>
                  <a:rPr lang="de-DE">
                    <a:solidFill>
                      <a:sysClr val="windowText" lastClr="000000"/>
                    </a:solidFill>
                  </a:rPr>
                  <a:t>tonelada CO2-eq / ano</a:t>
                </a:r>
              </a:p>
            </c:rich>
          </c:tx>
          <c:layout>
            <c:manualLayout>
              <c:xMode val="edge"/>
              <c:yMode val="edge"/>
              <c:x val="2.0131744232360058E-2"/>
              <c:y val="0.36337316499060635"/>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75" b="0" i="0" u="none" strike="noStrike" baseline="0">
                <a:solidFill>
                  <a:srgbClr val="000000"/>
                </a:solidFill>
                <a:latin typeface="Arial"/>
                <a:ea typeface="Arial"/>
                <a:cs typeface="Arial"/>
              </a:defRPr>
            </a:pPr>
            <a:endParaRPr lang="pt-BR"/>
          </a:p>
        </c:txPr>
        <c:crossAx val="195374464"/>
        <c:crosses val="autoZero"/>
        <c:crossBetween val="between"/>
      </c:valAx>
      <c:spPr>
        <a:noFill/>
        <a:ln w="12700">
          <a:solidFill>
            <a:srgbClr val="808080"/>
          </a:solidFill>
          <a:prstDash val="solid"/>
        </a:ln>
      </c:spPr>
    </c:plotArea>
    <c:legend>
      <c:legendPos val="r"/>
      <c:legendEntry>
        <c:idx val="0"/>
        <c:txPr>
          <a:bodyPr/>
          <a:lstStyle/>
          <a:p>
            <a:pPr>
              <a:defRPr sz="755" b="1" i="0" u="none" strike="noStrike" baseline="0">
                <a:solidFill>
                  <a:srgbClr val="000000"/>
                </a:solidFill>
                <a:latin typeface="Arial"/>
                <a:ea typeface="Arial"/>
                <a:cs typeface="Arial"/>
              </a:defRPr>
            </a:pPr>
            <a:endParaRPr lang="pt-BR"/>
          </a:p>
        </c:txPr>
      </c:legendEntry>
      <c:legendEntry>
        <c:idx val="1"/>
        <c:txPr>
          <a:bodyPr/>
          <a:lstStyle/>
          <a:p>
            <a:pPr>
              <a:defRPr sz="755" b="1" i="0" u="none" strike="noStrike" baseline="0">
                <a:solidFill>
                  <a:srgbClr val="000000"/>
                </a:solidFill>
                <a:latin typeface="Arial"/>
                <a:ea typeface="Arial"/>
                <a:cs typeface="Arial"/>
              </a:defRPr>
            </a:pPr>
            <a:endParaRPr lang="pt-BR"/>
          </a:p>
        </c:txPr>
      </c:legendEntry>
      <c:legendEntry>
        <c:idx val="4"/>
        <c:txPr>
          <a:bodyPr/>
          <a:lstStyle/>
          <a:p>
            <a:pPr>
              <a:defRPr sz="755" b="0" i="0" u="none" strike="noStrike" baseline="0">
                <a:solidFill>
                  <a:srgbClr val="000000"/>
                </a:solidFill>
                <a:latin typeface="Arial"/>
                <a:ea typeface="Arial"/>
                <a:cs typeface="Arial"/>
              </a:defRPr>
            </a:pPr>
            <a:endParaRPr lang="pt-BR"/>
          </a:p>
        </c:txPr>
      </c:legendEntry>
      <c:legendEntry>
        <c:idx val="5"/>
        <c:txPr>
          <a:bodyPr/>
          <a:lstStyle/>
          <a:p>
            <a:pPr>
              <a:defRPr sz="755" b="0" i="0" u="none" strike="noStrike" baseline="0">
                <a:solidFill>
                  <a:srgbClr val="000000"/>
                </a:solidFill>
                <a:latin typeface="Arial"/>
                <a:ea typeface="Arial"/>
                <a:cs typeface="Arial"/>
              </a:defRPr>
            </a:pPr>
            <a:endParaRPr lang="pt-BR"/>
          </a:p>
        </c:txPr>
      </c:legendEntry>
      <c:legendEntry>
        <c:idx val="6"/>
        <c:txPr>
          <a:bodyPr/>
          <a:lstStyle/>
          <a:p>
            <a:pPr>
              <a:defRPr sz="755" b="0" i="0" u="none" strike="noStrike" baseline="0">
                <a:solidFill>
                  <a:srgbClr val="000000"/>
                </a:solidFill>
                <a:latin typeface="Arial"/>
                <a:ea typeface="Arial"/>
                <a:cs typeface="Arial"/>
              </a:defRPr>
            </a:pPr>
            <a:endParaRPr lang="pt-BR"/>
          </a:p>
        </c:txPr>
      </c:legendEntry>
      <c:legendEntry>
        <c:idx val="7"/>
        <c:txPr>
          <a:bodyPr/>
          <a:lstStyle/>
          <a:p>
            <a:pPr>
              <a:defRPr sz="755" b="0" i="0" u="none" strike="noStrike" baseline="0">
                <a:solidFill>
                  <a:srgbClr val="000000"/>
                </a:solidFill>
                <a:latin typeface="Arial"/>
                <a:ea typeface="Arial"/>
                <a:cs typeface="Arial"/>
              </a:defRPr>
            </a:pPr>
            <a:endParaRPr lang="pt-BR"/>
          </a:p>
        </c:txPr>
      </c:legendEntry>
      <c:legendEntry>
        <c:idx val="9"/>
        <c:txPr>
          <a:bodyPr/>
          <a:lstStyle/>
          <a:p>
            <a:pPr>
              <a:defRPr sz="755" b="0" i="0" u="none" strike="noStrike" baseline="0">
                <a:solidFill>
                  <a:srgbClr val="000000"/>
                </a:solidFill>
                <a:latin typeface="Arial"/>
                <a:ea typeface="Arial"/>
                <a:cs typeface="Arial"/>
              </a:defRPr>
            </a:pPr>
            <a:endParaRPr lang="pt-BR"/>
          </a:p>
        </c:txPr>
      </c:legendEntry>
      <c:legendEntry>
        <c:idx val="10"/>
        <c:txPr>
          <a:bodyPr/>
          <a:lstStyle/>
          <a:p>
            <a:pPr>
              <a:defRPr sz="755" b="1" i="0" u="none" strike="noStrike" baseline="0">
                <a:solidFill>
                  <a:srgbClr val="000000"/>
                </a:solidFill>
                <a:latin typeface="Arial"/>
                <a:ea typeface="Arial"/>
                <a:cs typeface="Arial"/>
              </a:defRPr>
            </a:pPr>
            <a:endParaRPr lang="pt-BR"/>
          </a:p>
        </c:txPr>
      </c:legendEntry>
      <c:legendEntry>
        <c:idx val="12"/>
        <c:txPr>
          <a:bodyPr/>
          <a:lstStyle/>
          <a:p>
            <a:pPr>
              <a:defRPr sz="755" b="0" i="0" u="none" strike="noStrike" baseline="0">
                <a:solidFill>
                  <a:srgbClr val="000000"/>
                </a:solidFill>
                <a:latin typeface="Arial"/>
                <a:ea typeface="Arial"/>
                <a:cs typeface="Arial"/>
              </a:defRPr>
            </a:pPr>
            <a:endParaRPr lang="pt-BR"/>
          </a:p>
        </c:txPr>
      </c:legendEntry>
      <c:legendEntry>
        <c:idx val="13"/>
        <c:txPr>
          <a:bodyPr/>
          <a:lstStyle/>
          <a:p>
            <a:pPr>
              <a:defRPr sz="755" b="0" i="0" u="none" strike="noStrike" baseline="0">
                <a:solidFill>
                  <a:srgbClr val="000000"/>
                </a:solidFill>
                <a:latin typeface="Arial"/>
                <a:ea typeface="Arial"/>
                <a:cs typeface="Arial"/>
              </a:defRPr>
            </a:pPr>
            <a:endParaRPr lang="pt-BR"/>
          </a:p>
        </c:txPr>
      </c:legendEntry>
      <c:layout>
        <c:manualLayout>
          <c:xMode val="edge"/>
          <c:yMode val="edge"/>
          <c:x val="0.73683323631238706"/>
          <c:y val="1.5988349370523305E-2"/>
          <c:w val="0.24322996710015687"/>
          <c:h val="0.98286614435831265"/>
        </c:manualLayout>
      </c:layout>
      <c:overlay val="0"/>
      <c:spPr>
        <a:solidFill>
          <a:srgbClr val="FFFFFF"/>
        </a:solidFill>
        <a:ln w="3175">
          <a:solidFill>
            <a:srgbClr val="000000"/>
          </a:solidFill>
          <a:prstDash val="solid"/>
        </a:ln>
      </c:spPr>
      <c:txPr>
        <a:bodyPr/>
        <a:lstStyle/>
        <a:p>
          <a:pPr>
            <a:defRPr sz="755" b="0" i="0" u="none" strike="noStrike" baseline="0">
              <a:solidFill>
                <a:srgbClr val="000000"/>
              </a:solidFill>
              <a:latin typeface="Arial"/>
              <a:ea typeface="Arial"/>
              <a:cs typeface="Arial"/>
            </a:defRPr>
          </a:pPr>
          <a:endParaRPr lang="pt-BR"/>
        </a:p>
      </c:txPr>
    </c:legend>
    <c:plotVisOnly val="1"/>
    <c:dispBlanksAs val="gap"/>
    <c:showDLblsOverMax val="0"/>
  </c:chart>
  <c:spPr>
    <a:solidFill>
      <a:srgbClr val="FFFFFF"/>
    </a:solid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pt-BR"/>
    </a:p>
  </c:txPr>
  <c:printSettings>
    <c:headerFooter alignWithMargins="0"/>
    <c:pageMargins b="0.98425196899999978" l="0.78740157499999996" r="0.78740157499999996" t="0.98425196899999978" header="0.49212598450000011" footer="0.49212598450000011"/>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75" b="1" i="0" u="none" strike="noStrike" baseline="0">
                <a:solidFill>
                  <a:srgbClr val="000000"/>
                </a:solidFill>
                <a:latin typeface="Arial"/>
                <a:ea typeface="Arial"/>
                <a:cs typeface="Arial"/>
              </a:defRPr>
            </a:pPr>
            <a:r>
              <a:rPr lang="de-DE"/>
              <a:t>Emissões </a:t>
            </a:r>
            <a:r>
              <a:rPr lang="de-DE" sz="975" b="1" i="0" u="none" strike="noStrike" kern="1200" baseline="0">
                <a:solidFill>
                  <a:srgbClr val="000000"/>
                </a:solidFill>
                <a:latin typeface="Arial"/>
                <a:ea typeface="Arial"/>
                <a:cs typeface="Arial"/>
              </a:rPr>
              <a:t>de GEE — Destinação</a:t>
            </a:r>
          </a:p>
        </c:rich>
      </c:tx>
      <c:layout>
        <c:manualLayout>
          <c:xMode val="edge"/>
          <c:yMode val="edge"/>
          <c:x val="0.29399615642403876"/>
          <c:y val="1.5172413793103448E-2"/>
        </c:manualLayout>
      </c:layout>
      <c:overlay val="0"/>
      <c:spPr>
        <a:noFill/>
        <a:ln w="25400">
          <a:noFill/>
        </a:ln>
      </c:spPr>
    </c:title>
    <c:autoTitleDeleted val="0"/>
    <c:plotArea>
      <c:layout>
        <c:manualLayout>
          <c:layoutTarget val="inner"/>
          <c:xMode val="edge"/>
          <c:yMode val="edge"/>
          <c:x val="0.18944118530140547"/>
          <c:y val="0.12689655172413788"/>
          <c:w val="0.52588044881482998"/>
          <c:h val="0.76137931034482786"/>
        </c:manualLayout>
      </c:layout>
      <c:barChart>
        <c:barDir val="col"/>
        <c:grouping val="stacked"/>
        <c:varyColors val="0"/>
        <c:ser>
          <c:idx val="0"/>
          <c:order val="0"/>
          <c:tx>
            <c:strRef>
              <c:f>'CO2 - Cenário RT 1B'!$K$62</c:f>
              <c:strCache>
                <c:ptCount val="1"/>
                <c:pt idx="0">
                  <c:v>Resíduos dispersos</c:v>
                </c:pt>
              </c:strCache>
            </c:strRef>
          </c:tx>
          <c:spPr>
            <a:solidFill>
              <a:srgbClr val="FFFFFF"/>
            </a:solidFill>
            <a:ln w="12700">
              <a:solidFill>
                <a:srgbClr val="000000"/>
              </a:solidFill>
              <a:prstDash val="solid"/>
            </a:ln>
          </c:spPr>
          <c:invertIfNegative val="0"/>
          <c:cat>
            <c:strRef>
              <c:f>'CO2 - Cenário RT 1B'!$L$61:$M$61</c:f>
              <c:strCache>
                <c:ptCount val="2"/>
                <c:pt idx="0">
                  <c:v>Destinação de resíduos</c:v>
                </c:pt>
                <c:pt idx="1">
                  <c:v>Líquido</c:v>
                </c:pt>
              </c:strCache>
            </c:strRef>
          </c:cat>
          <c:val>
            <c:numRef>
              <c:f>'CO2 - Cenário RT 1B'!$L$62:$M$62</c:f>
              <c:numCache>
                <c:formatCode>General</c:formatCode>
                <c:ptCount val="2"/>
                <c:pt idx="0" formatCode="#,##0">
                  <c:v>0</c:v>
                </c:pt>
              </c:numCache>
            </c:numRef>
          </c:val>
          <c:extLst>
            <c:ext xmlns:c16="http://schemas.microsoft.com/office/drawing/2014/chart" uri="{C3380CC4-5D6E-409C-BE32-E72D297353CC}">
              <c16:uniqueId val="{00000000-6B83-4AA8-B84C-D246EAA4C859}"/>
            </c:ext>
          </c:extLst>
        </c:ser>
        <c:ser>
          <c:idx val="1"/>
          <c:order val="1"/>
          <c:tx>
            <c:strRef>
              <c:f>'CO2 - Cenário RT 1B'!$K$63</c:f>
              <c:strCache>
                <c:ptCount val="1"/>
                <c:pt idx="0">
                  <c:v>Queima a céu aberto</c:v>
                </c:pt>
              </c:strCache>
            </c:strRef>
          </c:tx>
          <c:spPr>
            <a:solidFill>
              <a:srgbClr val="FF8080"/>
            </a:solidFill>
            <a:ln w="12700">
              <a:solidFill>
                <a:srgbClr val="000000"/>
              </a:solidFill>
              <a:prstDash val="solid"/>
            </a:ln>
          </c:spPr>
          <c:invertIfNegative val="0"/>
          <c:cat>
            <c:strRef>
              <c:f>'CO2 - Cenário RT 1B'!$L$61:$M$61</c:f>
              <c:strCache>
                <c:ptCount val="2"/>
                <c:pt idx="0">
                  <c:v>Destinação de resíduos</c:v>
                </c:pt>
                <c:pt idx="1">
                  <c:v>Líquido</c:v>
                </c:pt>
              </c:strCache>
            </c:strRef>
          </c:cat>
          <c:val>
            <c:numRef>
              <c:f>'CO2 - Cenário RT 1B'!$L$63:$M$63</c:f>
              <c:numCache>
                <c:formatCode>General</c:formatCode>
                <c:ptCount val="2"/>
                <c:pt idx="0" formatCode="#,##0">
                  <c:v>0</c:v>
                </c:pt>
              </c:numCache>
            </c:numRef>
          </c:val>
          <c:extLst>
            <c:ext xmlns:c16="http://schemas.microsoft.com/office/drawing/2014/chart" uri="{C3380CC4-5D6E-409C-BE32-E72D297353CC}">
              <c16:uniqueId val="{00000001-6B83-4AA8-B84C-D246EAA4C859}"/>
            </c:ext>
          </c:extLst>
        </c:ser>
        <c:ser>
          <c:idx val="2"/>
          <c:order val="2"/>
          <c:tx>
            <c:strRef>
              <c:f>'CO2 - Cenário RT 1B'!$K$64</c:f>
              <c:strCache>
                <c:ptCount val="1"/>
                <c:pt idx="0">
                  <c:v>Lixão não controlado</c:v>
                </c:pt>
              </c:strCache>
            </c:strRef>
          </c:tx>
          <c:spPr>
            <a:solidFill>
              <a:srgbClr val="993300"/>
            </a:solidFill>
            <a:ln w="12700">
              <a:solidFill>
                <a:srgbClr val="000000"/>
              </a:solidFill>
              <a:prstDash val="solid"/>
            </a:ln>
          </c:spPr>
          <c:invertIfNegative val="0"/>
          <c:cat>
            <c:strRef>
              <c:f>'CO2 - Cenário RT 1B'!$L$61:$M$61</c:f>
              <c:strCache>
                <c:ptCount val="2"/>
                <c:pt idx="0">
                  <c:v>Destinação de resíduos</c:v>
                </c:pt>
                <c:pt idx="1">
                  <c:v>Líquido</c:v>
                </c:pt>
              </c:strCache>
            </c:strRef>
          </c:cat>
          <c:val>
            <c:numRef>
              <c:f>'CO2 - Cenário RT 1B'!$L$64:$M$64</c:f>
              <c:numCache>
                <c:formatCode>General</c:formatCode>
                <c:ptCount val="2"/>
                <c:pt idx="0" formatCode="#,##0">
                  <c:v>0</c:v>
                </c:pt>
              </c:numCache>
            </c:numRef>
          </c:val>
          <c:extLst>
            <c:ext xmlns:c16="http://schemas.microsoft.com/office/drawing/2014/chart" uri="{C3380CC4-5D6E-409C-BE32-E72D297353CC}">
              <c16:uniqueId val="{00000002-6B83-4AA8-B84C-D246EAA4C859}"/>
            </c:ext>
          </c:extLst>
        </c:ser>
        <c:ser>
          <c:idx val="3"/>
          <c:order val="3"/>
          <c:tx>
            <c:strRef>
              <c:f>'CO2 - Cenário RT 1B'!$K$65</c:f>
              <c:strCache>
                <c:ptCount val="1"/>
                <c:pt idx="0">
                  <c:v>Aterro controlado</c:v>
                </c:pt>
              </c:strCache>
            </c:strRef>
          </c:tx>
          <c:spPr>
            <a:solidFill>
              <a:srgbClr val="99CC00"/>
            </a:solidFill>
            <a:ln w="12700">
              <a:solidFill>
                <a:srgbClr val="000000"/>
              </a:solidFill>
              <a:prstDash val="solid"/>
            </a:ln>
          </c:spPr>
          <c:invertIfNegative val="0"/>
          <c:cat>
            <c:strRef>
              <c:f>'CO2 - Cenário RT 1B'!$L$61:$M$61</c:f>
              <c:strCache>
                <c:ptCount val="2"/>
                <c:pt idx="0">
                  <c:v>Destinação de resíduos</c:v>
                </c:pt>
                <c:pt idx="1">
                  <c:v>Líquido</c:v>
                </c:pt>
              </c:strCache>
            </c:strRef>
          </c:cat>
          <c:val>
            <c:numRef>
              <c:f>'CO2 - Cenário RT 1B'!$L$65:$M$65</c:f>
              <c:numCache>
                <c:formatCode>General</c:formatCode>
                <c:ptCount val="2"/>
                <c:pt idx="0" formatCode="#,##0">
                  <c:v>0</c:v>
                </c:pt>
              </c:numCache>
            </c:numRef>
          </c:val>
          <c:extLst>
            <c:ext xmlns:c16="http://schemas.microsoft.com/office/drawing/2014/chart" uri="{C3380CC4-5D6E-409C-BE32-E72D297353CC}">
              <c16:uniqueId val="{00000003-6B83-4AA8-B84C-D246EAA4C859}"/>
            </c:ext>
          </c:extLst>
        </c:ser>
        <c:ser>
          <c:idx val="4"/>
          <c:order val="4"/>
          <c:tx>
            <c:strRef>
              <c:f>'CO2 - Cenário RT 1B'!$K$66</c:f>
              <c:strCache>
                <c:ptCount val="1"/>
                <c:pt idx="0">
                  <c:v>Aterro sanitário</c:v>
                </c:pt>
              </c:strCache>
            </c:strRef>
          </c:tx>
          <c:spPr>
            <a:solidFill>
              <a:srgbClr val="FFFF00"/>
            </a:solidFill>
            <a:ln w="12700">
              <a:solidFill>
                <a:srgbClr val="000000"/>
              </a:solidFill>
              <a:prstDash val="solid"/>
            </a:ln>
          </c:spPr>
          <c:invertIfNegative val="0"/>
          <c:cat>
            <c:strRef>
              <c:f>'CO2 - Cenário RT 1B'!$L$61:$M$61</c:f>
              <c:strCache>
                <c:ptCount val="2"/>
                <c:pt idx="0">
                  <c:v>Destinação de resíduos</c:v>
                </c:pt>
                <c:pt idx="1">
                  <c:v>Líquido</c:v>
                </c:pt>
              </c:strCache>
            </c:strRef>
          </c:cat>
          <c:val>
            <c:numRef>
              <c:f>'CO2 - Cenário RT 1B'!$L$66:$M$66</c:f>
              <c:numCache>
                <c:formatCode>General</c:formatCode>
                <c:ptCount val="2"/>
                <c:pt idx="0" formatCode="#,##0">
                  <c:v>8513.3129213582743</c:v>
                </c:pt>
              </c:numCache>
            </c:numRef>
          </c:val>
          <c:extLst>
            <c:ext xmlns:c16="http://schemas.microsoft.com/office/drawing/2014/chart" uri="{C3380CC4-5D6E-409C-BE32-E72D297353CC}">
              <c16:uniqueId val="{00000004-6B83-4AA8-B84C-D246EAA4C859}"/>
            </c:ext>
          </c:extLst>
        </c:ser>
        <c:ser>
          <c:idx val="5"/>
          <c:order val="5"/>
          <c:tx>
            <c:strRef>
              <c:f>'CO2 - Cenário RT 1B'!$K$67</c:f>
              <c:strCache>
                <c:ptCount val="1"/>
                <c:pt idx="0">
                  <c:v>Trat. biol + cobertura at.</c:v>
                </c:pt>
              </c:strCache>
            </c:strRef>
          </c:tx>
          <c:spPr>
            <a:solidFill>
              <a:srgbClr val="FF00FF"/>
            </a:solidFill>
            <a:ln w="12700">
              <a:solidFill>
                <a:srgbClr val="000000"/>
              </a:solidFill>
              <a:prstDash val="solid"/>
            </a:ln>
          </c:spPr>
          <c:invertIfNegative val="0"/>
          <c:cat>
            <c:strRef>
              <c:f>'CO2 - Cenário RT 1B'!$L$61:$M$61</c:f>
              <c:strCache>
                <c:ptCount val="2"/>
                <c:pt idx="0">
                  <c:v>Destinação de resíduos</c:v>
                </c:pt>
                <c:pt idx="1">
                  <c:v>Líquido</c:v>
                </c:pt>
              </c:strCache>
            </c:strRef>
          </c:cat>
          <c:val>
            <c:numRef>
              <c:f>'CO2 - Cenário RT 1B'!$L$67:$M$67</c:f>
              <c:numCache>
                <c:formatCode>General</c:formatCode>
                <c:ptCount val="2"/>
                <c:pt idx="0" formatCode="#,##0">
                  <c:v>0</c:v>
                </c:pt>
              </c:numCache>
            </c:numRef>
          </c:val>
          <c:extLst>
            <c:ext xmlns:c16="http://schemas.microsoft.com/office/drawing/2014/chart" uri="{C3380CC4-5D6E-409C-BE32-E72D297353CC}">
              <c16:uniqueId val="{00000005-6B83-4AA8-B84C-D246EAA4C859}"/>
            </c:ext>
          </c:extLst>
        </c:ser>
        <c:ser>
          <c:idx val="6"/>
          <c:order val="6"/>
          <c:tx>
            <c:strRef>
              <c:f>'CO2 - Cenário RT 1B'!$K$68</c:f>
              <c:strCache>
                <c:ptCount val="1"/>
                <c:pt idx="0">
                  <c:v>CDR seco + rejeito aterro</c:v>
                </c:pt>
              </c:strCache>
            </c:strRef>
          </c:tx>
          <c:spPr>
            <a:solidFill>
              <a:srgbClr val="008080"/>
            </a:solidFill>
            <a:ln w="12700">
              <a:solidFill>
                <a:srgbClr val="000000"/>
              </a:solidFill>
              <a:prstDash val="solid"/>
            </a:ln>
          </c:spPr>
          <c:invertIfNegative val="0"/>
          <c:cat>
            <c:strRef>
              <c:f>'CO2 - Cenário RT 1B'!$L$61:$M$61</c:f>
              <c:strCache>
                <c:ptCount val="2"/>
                <c:pt idx="0">
                  <c:v>Destinação de resíduos</c:v>
                </c:pt>
                <c:pt idx="1">
                  <c:v>Líquido</c:v>
                </c:pt>
              </c:strCache>
            </c:strRef>
          </c:cat>
          <c:val>
            <c:numRef>
              <c:f>'CO2 - Cenário RT 1B'!$L$68:$M$68</c:f>
              <c:numCache>
                <c:formatCode>General</c:formatCode>
                <c:ptCount val="2"/>
                <c:pt idx="0" formatCode="#,##0">
                  <c:v>1557.9926977483726</c:v>
                </c:pt>
              </c:numCache>
            </c:numRef>
          </c:val>
          <c:extLst>
            <c:ext xmlns:c16="http://schemas.microsoft.com/office/drawing/2014/chart" uri="{C3380CC4-5D6E-409C-BE32-E72D297353CC}">
              <c16:uniqueId val="{00000006-6B83-4AA8-B84C-D246EAA4C859}"/>
            </c:ext>
          </c:extLst>
        </c:ser>
        <c:ser>
          <c:idx val="7"/>
          <c:order val="7"/>
          <c:tx>
            <c:strRef>
              <c:f>'CO2 - Cenário RT 1B'!$K$69</c:f>
              <c:strCache>
                <c:ptCount val="1"/>
                <c:pt idx="0">
                  <c:v>CDR seco + trat. biol.</c:v>
                </c:pt>
              </c:strCache>
            </c:strRef>
          </c:tx>
          <c:spPr>
            <a:solidFill>
              <a:srgbClr val="FF9900"/>
            </a:solidFill>
            <a:ln w="12700">
              <a:solidFill>
                <a:srgbClr val="000000"/>
              </a:solidFill>
              <a:prstDash val="solid"/>
            </a:ln>
          </c:spPr>
          <c:invertIfNegative val="0"/>
          <c:cat>
            <c:strRef>
              <c:f>'CO2 - Cenário RT 1B'!$L$61:$M$61</c:f>
              <c:strCache>
                <c:ptCount val="2"/>
                <c:pt idx="0">
                  <c:v>Destinação de resíduos</c:v>
                </c:pt>
                <c:pt idx="1">
                  <c:v>Líquido</c:v>
                </c:pt>
              </c:strCache>
            </c:strRef>
          </c:cat>
          <c:val>
            <c:numRef>
              <c:f>'CO2 - Cenário RT 1B'!$L$69:$M$69</c:f>
              <c:numCache>
                <c:formatCode>General</c:formatCode>
                <c:ptCount val="2"/>
                <c:pt idx="0" formatCode="#,##0">
                  <c:v>1149.6270448781202</c:v>
                </c:pt>
              </c:numCache>
            </c:numRef>
          </c:val>
          <c:extLst>
            <c:ext xmlns:c16="http://schemas.microsoft.com/office/drawing/2014/chart" uri="{C3380CC4-5D6E-409C-BE32-E72D297353CC}">
              <c16:uniqueId val="{00000007-6B83-4AA8-B84C-D246EAA4C859}"/>
            </c:ext>
          </c:extLst>
        </c:ser>
        <c:ser>
          <c:idx val="21"/>
          <c:order val="8"/>
          <c:tx>
            <c:strRef>
              <c:f>'CO2 - Cenário RT 1B'!$K$70</c:f>
              <c:strCache>
                <c:ptCount val="1"/>
                <c:pt idx="0">
                  <c:v>CDR seco + CDR org.</c:v>
                </c:pt>
              </c:strCache>
            </c:strRef>
          </c:tx>
          <c:spPr>
            <a:solidFill>
              <a:srgbClr val="00B0F0"/>
            </a:solidFill>
            <a:ln w="12700">
              <a:solidFill>
                <a:srgbClr val="000000"/>
              </a:solidFill>
            </a:ln>
          </c:spPr>
          <c:invertIfNegative val="0"/>
          <c:cat>
            <c:strRef>
              <c:f>'CO2 - Cenário RT 1B'!$L$61:$M$61</c:f>
              <c:strCache>
                <c:ptCount val="2"/>
                <c:pt idx="0">
                  <c:v>Destinação de resíduos</c:v>
                </c:pt>
                <c:pt idx="1">
                  <c:v>Líquido</c:v>
                </c:pt>
              </c:strCache>
            </c:strRef>
          </c:cat>
          <c:val>
            <c:numRef>
              <c:f>'CO2 - Cenário RT 1B'!$L$70:$M$70</c:f>
              <c:numCache>
                <c:formatCode>General</c:formatCode>
                <c:ptCount val="2"/>
                <c:pt idx="0" formatCode="#,##0">
                  <c:v>0</c:v>
                </c:pt>
              </c:numCache>
            </c:numRef>
          </c:val>
          <c:extLst>
            <c:ext xmlns:c16="http://schemas.microsoft.com/office/drawing/2014/chart" uri="{C3380CC4-5D6E-409C-BE32-E72D297353CC}">
              <c16:uniqueId val="{00000008-6B83-4AA8-B84C-D246EAA4C859}"/>
            </c:ext>
          </c:extLst>
        </c:ser>
        <c:ser>
          <c:idx val="8"/>
          <c:order val="9"/>
          <c:tx>
            <c:strRef>
              <c:f>'CO2 - Cenário RT 1B'!$K$71</c:f>
              <c:strCache>
                <c:ptCount val="1"/>
                <c:pt idx="0">
                  <c:v>Incineração</c:v>
                </c:pt>
              </c:strCache>
            </c:strRef>
          </c:tx>
          <c:spPr>
            <a:solidFill>
              <a:srgbClr val="CCCCFF"/>
            </a:solidFill>
            <a:ln w="12700">
              <a:solidFill>
                <a:srgbClr val="000000"/>
              </a:solidFill>
              <a:prstDash val="solid"/>
            </a:ln>
          </c:spPr>
          <c:invertIfNegative val="0"/>
          <c:cat>
            <c:strRef>
              <c:f>'CO2 - Cenário RT 1B'!$L$61:$M$61</c:f>
              <c:strCache>
                <c:ptCount val="2"/>
                <c:pt idx="0">
                  <c:v>Destinação de resíduos</c:v>
                </c:pt>
                <c:pt idx="1">
                  <c:v>Líquido</c:v>
                </c:pt>
              </c:strCache>
            </c:strRef>
          </c:cat>
          <c:val>
            <c:numRef>
              <c:f>'CO2 - Cenário RT 1B'!$L$71:$M$71</c:f>
              <c:numCache>
                <c:formatCode>General</c:formatCode>
                <c:ptCount val="2"/>
                <c:pt idx="0" formatCode="#,##0">
                  <c:v>0</c:v>
                </c:pt>
              </c:numCache>
            </c:numRef>
          </c:val>
          <c:extLst>
            <c:ext xmlns:c16="http://schemas.microsoft.com/office/drawing/2014/chart" uri="{C3380CC4-5D6E-409C-BE32-E72D297353CC}">
              <c16:uniqueId val="{00000009-6B83-4AA8-B84C-D246EAA4C859}"/>
            </c:ext>
          </c:extLst>
        </c:ser>
        <c:ser>
          <c:idx val="9"/>
          <c:order val="10"/>
          <c:tx>
            <c:strRef>
              <c:f>'CO2 - Cenário RT 1B'!$K$72</c:f>
              <c:strCache>
                <c:ptCount val="1"/>
                <c:pt idx="0">
                  <c:v>Débitos</c:v>
                </c:pt>
              </c:strCache>
            </c:strRef>
          </c:tx>
          <c:spPr>
            <a:noFill/>
            <a:ln w="25400">
              <a:noFill/>
            </a:ln>
          </c:spPr>
          <c:invertIfNegative val="0"/>
          <c:cat>
            <c:strRef>
              <c:f>'CO2 - Cenário RT 1B'!$L$61:$M$61</c:f>
              <c:strCache>
                <c:ptCount val="2"/>
                <c:pt idx="0">
                  <c:v>Destinação de resíduos</c:v>
                </c:pt>
                <c:pt idx="1">
                  <c:v>Líquido</c:v>
                </c:pt>
              </c:strCache>
            </c:strRef>
          </c:cat>
          <c:val>
            <c:numRef>
              <c:f>'CO2 - Cenário RT 1B'!$L$72:$M$72</c:f>
              <c:numCache>
                <c:formatCode>General</c:formatCode>
                <c:ptCount val="2"/>
              </c:numCache>
            </c:numRef>
          </c:val>
          <c:extLst>
            <c:ext xmlns:c16="http://schemas.microsoft.com/office/drawing/2014/chart" uri="{C3380CC4-5D6E-409C-BE32-E72D297353CC}">
              <c16:uniqueId val="{0000000A-6B83-4AA8-B84C-D246EAA4C859}"/>
            </c:ext>
          </c:extLst>
        </c:ser>
        <c:ser>
          <c:idx val="10"/>
          <c:order val="11"/>
          <c:tx>
            <c:strRef>
              <c:f>'CO2 - Cenário RT 1B'!$K$73</c:f>
              <c:strCache>
                <c:ptCount val="1"/>
                <c:pt idx="0">
                  <c:v>Resíduos dispersos</c:v>
                </c:pt>
              </c:strCache>
            </c:strRef>
          </c:tx>
          <c:spPr>
            <a:pattFill prst="wdUpDiag">
              <a:fgClr>
                <a:srgbClr val="FFFFFF"/>
              </a:fgClr>
              <a:bgClr>
                <a:srgbClr val="000000"/>
              </a:bgClr>
            </a:pattFill>
            <a:ln w="12700">
              <a:solidFill>
                <a:srgbClr val="000000"/>
              </a:solidFill>
              <a:prstDash val="solid"/>
            </a:ln>
          </c:spPr>
          <c:invertIfNegative val="0"/>
          <c:cat>
            <c:strRef>
              <c:f>'CO2 - Cenário RT 1B'!$L$61:$M$61</c:f>
              <c:strCache>
                <c:ptCount val="2"/>
                <c:pt idx="0">
                  <c:v>Destinação de resíduos</c:v>
                </c:pt>
                <c:pt idx="1">
                  <c:v>Líquido</c:v>
                </c:pt>
              </c:strCache>
            </c:strRef>
          </c:cat>
          <c:val>
            <c:numRef>
              <c:f>'CO2 - Cenário RT 1B'!$L$73:$M$73</c:f>
              <c:numCache>
                <c:formatCode>General</c:formatCode>
                <c:ptCount val="2"/>
                <c:pt idx="0" formatCode="#,##0">
                  <c:v>0</c:v>
                </c:pt>
              </c:numCache>
            </c:numRef>
          </c:val>
          <c:extLst>
            <c:ext xmlns:c16="http://schemas.microsoft.com/office/drawing/2014/chart" uri="{C3380CC4-5D6E-409C-BE32-E72D297353CC}">
              <c16:uniqueId val="{0000000B-6B83-4AA8-B84C-D246EAA4C859}"/>
            </c:ext>
          </c:extLst>
        </c:ser>
        <c:ser>
          <c:idx val="11"/>
          <c:order val="12"/>
          <c:tx>
            <c:strRef>
              <c:f>'CO2 - Cenário RT 1B'!$K$74</c:f>
              <c:strCache>
                <c:ptCount val="1"/>
                <c:pt idx="0">
                  <c:v>Queima a céu aberto</c:v>
                </c:pt>
              </c:strCache>
            </c:strRef>
          </c:tx>
          <c:spPr>
            <a:pattFill prst="wdDnDiag">
              <a:fgClr>
                <a:srgbClr val="FF8080"/>
              </a:fgClr>
              <a:bgClr>
                <a:srgbClr val="FFFFFF"/>
              </a:bgClr>
            </a:pattFill>
            <a:ln w="12700">
              <a:solidFill>
                <a:srgbClr val="000000"/>
              </a:solidFill>
              <a:prstDash val="solid"/>
            </a:ln>
          </c:spPr>
          <c:invertIfNegative val="0"/>
          <c:cat>
            <c:strRef>
              <c:f>'CO2 - Cenário RT 1B'!$L$61:$M$61</c:f>
              <c:strCache>
                <c:ptCount val="2"/>
                <c:pt idx="0">
                  <c:v>Destinação de resíduos</c:v>
                </c:pt>
                <c:pt idx="1">
                  <c:v>Líquido</c:v>
                </c:pt>
              </c:strCache>
            </c:strRef>
          </c:cat>
          <c:val>
            <c:numRef>
              <c:f>'CO2 - Cenário RT 1B'!$L$74:$M$74</c:f>
              <c:numCache>
                <c:formatCode>General</c:formatCode>
                <c:ptCount val="2"/>
                <c:pt idx="0" formatCode="#,##0">
                  <c:v>0</c:v>
                </c:pt>
              </c:numCache>
            </c:numRef>
          </c:val>
          <c:extLst>
            <c:ext xmlns:c16="http://schemas.microsoft.com/office/drawing/2014/chart" uri="{C3380CC4-5D6E-409C-BE32-E72D297353CC}">
              <c16:uniqueId val="{0000000C-6B83-4AA8-B84C-D246EAA4C859}"/>
            </c:ext>
          </c:extLst>
        </c:ser>
        <c:ser>
          <c:idx val="12"/>
          <c:order val="13"/>
          <c:tx>
            <c:strRef>
              <c:f>'CO2 - Cenário RT 1B'!$K$75</c:f>
              <c:strCache>
                <c:ptCount val="1"/>
                <c:pt idx="0">
                  <c:v>Lixão não controlado</c:v>
                </c:pt>
              </c:strCache>
            </c:strRef>
          </c:tx>
          <c:spPr>
            <a:pattFill prst="wdUpDiag">
              <a:fgClr>
                <a:srgbClr val="993300"/>
              </a:fgClr>
              <a:bgClr>
                <a:srgbClr val="FFFFFF"/>
              </a:bgClr>
            </a:pattFill>
            <a:ln w="12700">
              <a:solidFill>
                <a:srgbClr val="000000"/>
              </a:solidFill>
              <a:prstDash val="solid"/>
            </a:ln>
          </c:spPr>
          <c:invertIfNegative val="0"/>
          <c:cat>
            <c:strRef>
              <c:f>'CO2 - Cenário RT 1B'!$L$61:$M$61</c:f>
              <c:strCache>
                <c:ptCount val="2"/>
                <c:pt idx="0">
                  <c:v>Destinação de resíduos</c:v>
                </c:pt>
                <c:pt idx="1">
                  <c:v>Líquido</c:v>
                </c:pt>
              </c:strCache>
            </c:strRef>
          </c:cat>
          <c:val>
            <c:numRef>
              <c:f>'CO2 - Cenário RT 1B'!$L$75:$M$75</c:f>
              <c:numCache>
                <c:formatCode>General</c:formatCode>
                <c:ptCount val="2"/>
                <c:pt idx="0" formatCode="#,##0">
                  <c:v>0</c:v>
                </c:pt>
              </c:numCache>
            </c:numRef>
          </c:val>
          <c:extLst>
            <c:ext xmlns:c16="http://schemas.microsoft.com/office/drawing/2014/chart" uri="{C3380CC4-5D6E-409C-BE32-E72D297353CC}">
              <c16:uniqueId val="{0000000D-6B83-4AA8-B84C-D246EAA4C859}"/>
            </c:ext>
          </c:extLst>
        </c:ser>
        <c:ser>
          <c:idx val="13"/>
          <c:order val="14"/>
          <c:tx>
            <c:strRef>
              <c:f>'CO2 - Cenário RT 1B'!$K$76</c:f>
              <c:strCache>
                <c:ptCount val="1"/>
                <c:pt idx="0">
                  <c:v>Aterro controlado</c:v>
                </c:pt>
              </c:strCache>
            </c:strRef>
          </c:tx>
          <c:spPr>
            <a:pattFill prst="wdDnDiag">
              <a:fgClr>
                <a:srgbClr val="99CC00"/>
              </a:fgClr>
              <a:bgClr>
                <a:srgbClr val="FFFFFF"/>
              </a:bgClr>
            </a:pattFill>
            <a:ln w="12700">
              <a:solidFill>
                <a:srgbClr val="000000"/>
              </a:solidFill>
              <a:prstDash val="solid"/>
            </a:ln>
          </c:spPr>
          <c:invertIfNegative val="0"/>
          <c:cat>
            <c:strRef>
              <c:f>'CO2 - Cenário RT 1B'!$L$61:$M$61</c:f>
              <c:strCache>
                <c:ptCount val="2"/>
                <c:pt idx="0">
                  <c:v>Destinação de resíduos</c:v>
                </c:pt>
                <c:pt idx="1">
                  <c:v>Líquido</c:v>
                </c:pt>
              </c:strCache>
            </c:strRef>
          </c:cat>
          <c:val>
            <c:numRef>
              <c:f>'CO2 - Cenário RT 1B'!$L$76:$M$76</c:f>
              <c:numCache>
                <c:formatCode>General</c:formatCode>
                <c:ptCount val="2"/>
                <c:pt idx="0" formatCode="#,##0">
                  <c:v>0</c:v>
                </c:pt>
              </c:numCache>
            </c:numRef>
          </c:val>
          <c:extLst>
            <c:ext xmlns:c16="http://schemas.microsoft.com/office/drawing/2014/chart" uri="{C3380CC4-5D6E-409C-BE32-E72D297353CC}">
              <c16:uniqueId val="{0000000E-6B83-4AA8-B84C-D246EAA4C859}"/>
            </c:ext>
          </c:extLst>
        </c:ser>
        <c:ser>
          <c:idx val="14"/>
          <c:order val="15"/>
          <c:tx>
            <c:strRef>
              <c:f>'CO2 - Cenário RT 1B'!$K$77</c:f>
              <c:strCache>
                <c:ptCount val="1"/>
                <c:pt idx="0">
                  <c:v>Aterro sanitário</c:v>
                </c:pt>
              </c:strCache>
            </c:strRef>
          </c:tx>
          <c:spPr>
            <a:pattFill prst="wdUpDiag">
              <a:fgClr>
                <a:srgbClr val="FFFF00"/>
              </a:fgClr>
              <a:bgClr>
                <a:srgbClr val="FFFFFF"/>
              </a:bgClr>
            </a:pattFill>
            <a:ln w="12700">
              <a:solidFill>
                <a:srgbClr val="000000"/>
              </a:solidFill>
              <a:prstDash val="solid"/>
            </a:ln>
          </c:spPr>
          <c:invertIfNegative val="0"/>
          <c:cat>
            <c:strRef>
              <c:f>'CO2 - Cenário RT 1B'!$L$61:$M$61</c:f>
              <c:strCache>
                <c:ptCount val="2"/>
                <c:pt idx="0">
                  <c:v>Destinação de resíduos</c:v>
                </c:pt>
                <c:pt idx="1">
                  <c:v>Líquido</c:v>
                </c:pt>
              </c:strCache>
            </c:strRef>
          </c:cat>
          <c:val>
            <c:numRef>
              <c:f>'CO2 - Cenário RT 1B'!$L$77:$M$77</c:f>
              <c:numCache>
                <c:formatCode>General</c:formatCode>
                <c:ptCount val="2"/>
                <c:pt idx="0" formatCode="#,##0">
                  <c:v>0</c:v>
                </c:pt>
              </c:numCache>
            </c:numRef>
          </c:val>
          <c:extLst>
            <c:ext xmlns:c16="http://schemas.microsoft.com/office/drawing/2014/chart" uri="{C3380CC4-5D6E-409C-BE32-E72D297353CC}">
              <c16:uniqueId val="{0000000F-6B83-4AA8-B84C-D246EAA4C859}"/>
            </c:ext>
          </c:extLst>
        </c:ser>
        <c:ser>
          <c:idx val="15"/>
          <c:order val="16"/>
          <c:tx>
            <c:strRef>
              <c:f>'CO2 - Cenário RT 1B'!$K$78</c:f>
              <c:strCache>
                <c:ptCount val="1"/>
                <c:pt idx="0">
                  <c:v>Trat. biol + cobertura at.</c:v>
                </c:pt>
              </c:strCache>
            </c:strRef>
          </c:tx>
          <c:spPr>
            <a:pattFill prst="wdDnDiag">
              <a:fgClr>
                <a:srgbClr val="FF00FF"/>
              </a:fgClr>
              <a:bgClr>
                <a:srgbClr val="FFFFFF"/>
              </a:bgClr>
            </a:pattFill>
            <a:ln w="12700">
              <a:solidFill>
                <a:srgbClr val="000000"/>
              </a:solidFill>
              <a:prstDash val="solid"/>
            </a:ln>
          </c:spPr>
          <c:invertIfNegative val="0"/>
          <c:cat>
            <c:strRef>
              <c:f>'CO2 - Cenário RT 1B'!$L$61:$M$61</c:f>
              <c:strCache>
                <c:ptCount val="2"/>
                <c:pt idx="0">
                  <c:v>Destinação de resíduos</c:v>
                </c:pt>
                <c:pt idx="1">
                  <c:v>Líquido</c:v>
                </c:pt>
              </c:strCache>
            </c:strRef>
          </c:cat>
          <c:val>
            <c:numRef>
              <c:f>'CO2 - Cenário RT 1B'!$L$78:$M$78</c:f>
              <c:numCache>
                <c:formatCode>General</c:formatCode>
                <c:ptCount val="2"/>
                <c:pt idx="0" formatCode="#,##0">
                  <c:v>0</c:v>
                </c:pt>
              </c:numCache>
            </c:numRef>
          </c:val>
          <c:extLst>
            <c:ext xmlns:c16="http://schemas.microsoft.com/office/drawing/2014/chart" uri="{C3380CC4-5D6E-409C-BE32-E72D297353CC}">
              <c16:uniqueId val="{00000010-6B83-4AA8-B84C-D246EAA4C859}"/>
            </c:ext>
          </c:extLst>
        </c:ser>
        <c:ser>
          <c:idx val="16"/>
          <c:order val="17"/>
          <c:tx>
            <c:strRef>
              <c:f>'CO2 - Cenário RT 1B'!$K$79</c:f>
              <c:strCache>
                <c:ptCount val="1"/>
                <c:pt idx="0">
                  <c:v>CDR seco + rejeito aterro</c:v>
                </c:pt>
              </c:strCache>
            </c:strRef>
          </c:tx>
          <c:spPr>
            <a:pattFill prst="wdUpDiag">
              <a:fgClr>
                <a:srgbClr val="008080"/>
              </a:fgClr>
              <a:bgClr>
                <a:srgbClr val="FFFFFF"/>
              </a:bgClr>
            </a:pattFill>
            <a:ln w="12700">
              <a:solidFill>
                <a:srgbClr val="000000"/>
              </a:solidFill>
              <a:prstDash val="solid"/>
            </a:ln>
          </c:spPr>
          <c:invertIfNegative val="0"/>
          <c:cat>
            <c:strRef>
              <c:f>'CO2 - Cenário RT 1B'!$L$61:$M$61</c:f>
              <c:strCache>
                <c:ptCount val="2"/>
                <c:pt idx="0">
                  <c:v>Destinação de resíduos</c:v>
                </c:pt>
                <c:pt idx="1">
                  <c:v>Líquido</c:v>
                </c:pt>
              </c:strCache>
            </c:strRef>
          </c:cat>
          <c:val>
            <c:numRef>
              <c:f>'CO2 - Cenário RT 1B'!$L$79:$M$79</c:f>
              <c:numCache>
                <c:formatCode>General</c:formatCode>
                <c:ptCount val="2"/>
                <c:pt idx="0" formatCode="#,##0">
                  <c:v>-1295.3249665304779</c:v>
                </c:pt>
              </c:numCache>
            </c:numRef>
          </c:val>
          <c:extLst>
            <c:ext xmlns:c16="http://schemas.microsoft.com/office/drawing/2014/chart" uri="{C3380CC4-5D6E-409C-BE32-E72D297353CC}">
              <c16:uniqueId val="{00000011-6B83-4AA8-B84C-D246EAA4C859}"/>
            </c:ext>
          </c:extLst>
        </c:ser>
        <c:ser>
          <c:idx val="17"/>
          <c:order val="18"/>
          <c:tx>
            <c:strRef>
              <c:f>'CO2 - Cenário RT 1B'!$K$80</c:f>
              <c:strCache>
                <c:ptCount val="1"/>
                <c:pt idx="0">
                  <c:v>CDR seco + trat. biol.</c:v>
                </c:pt>
              </c:strCache>
            </c:strRef>
          </c:tx>
          <c:spPr>
            <a:pattFill prst="wdDnDiag">
              <a:fgClr>
                <a:srgbClr val="FF9900"/>
              </a:fgClr>
              <a:bgClr>
                <a:srgbClr val="FFFFFF"/>
              </a:bgClr>
            </a:pattFill>
            <a:ln w="12700">
              <a:solidFill>
                <a:srgbClr val="000000"/>
              </a:solidFill>
              <a:prstDash val="solid"/>
            </a:ln>
          </c:spPr>
          <c:invertIfNegative val="0"/>
          <c:cat>
            <c:strRef>
              <c:f>'CO2 - Cenário RT 1B'!$L$61:$M$61</c:f>
              <c:strCache>
                <c:ptCount val="2"/>
                <c:pt idx="0">
                  <c:v>Destinação de resíduos</c:v>
                </c:pt>
                <c:pt idx="1">
                  <c:v>Líquido</c:v>
                </c:pt>
              </c:strCache>
            </c:strRef>
          </c:cat>
          <c:val>
            <c:numRef>
              <c:f>'CO2 - Cenário RT 1B'!$L$80:$M$80</c:f>
              <c:numCache>
                <c:formatCode>General</c:formatCode>
                <c:ptCount val="2"/>
                <c:pt idx="0" formatCode="#,##0">
                  <c:v>-6495.5388609106576</c:v>
                </c:pt>
              </c:numCache>
            </c:numRef>
          </c:val>
          <c:extLst>
            <c:ext xmlns:c16="http://schemas.microsoft.com/office/drawing/2014/chart" uri="{C3380CC4-5D6E-409C-BE32-E72D297353CC}">
              <c16:uniqueId val="{00000012-6B83-4AA8-B84C-D246EAA4C859}"/>
            </c:ext>
          </c:extLst>
        </c:ser>
        <c:ser>
          <c:idx val="22"/>
          <c:order val="19"/>
          <c:tx>
            <c:strRef>
              <c:f>'CO2 - Cenário RT 1B'!$K$81</c:f>
              <c:strCache>
                <c:ptCount val="1"/>
                <c:pt idx="0">
                  <c:v>CDR seco + CDR org.</c:v>
                </c:pt>
              </c:strCache>
            </c:strRef>
          </c:tx>
          <c:spPr>
            <a:pattFill prst="wdUpDiag">
              <a:fgClr>
                <a:srgbClr val="00B0F0"/>
              </a:fgClr>
              <a:bgClr>
                <a:schemeClr val="bg1"/>
              </a:bgClr>
            </a:pattFill>
            <a:ln w="12700">
              <a:solidFill>
                <a:schemeClr val="tx1"/>
              </a:solidFill>
            </a:ln>
          </c:spPr>
          <c:invertIfNegative val="0"/>
          <c:cat>
            <c:strRef>
              <c:f>'CO2 - Cenário RT 1B'!$L$61:$M$61</c:f>
              <c:strCache>
                <c:ptCount val="2"/>
                <c:pt idx="0">
                  <c:v>Destinação de resíduos</c:v>
                </c:pt>
                <c:pt idx="1">
                  <c:v>Líquido</c:v>
                </c:pt>
              </c:strCache>
            </c:strRef>
          </c:cat>
          <c:val>
            <c:numRef>
              <c:f>'CO2 - Cenário RT 1B'!$L$81:$M$81</c:f>
              <c:numCache>
                <c:formatCode>General</c:formatCode>
                <c:ptCount val="2"/>
                <c:pt idx="0" formatCode="#,##0">
                  <c:v>0</c:v>
                </c:pt>
              </c:numCache>
            </c:numRef>
          </c:val>
          <c:extLst>
            <c:ext xmlns:c16="http://schemas.microsoft.com/office/drawing/2014/chart" uri="{C3380CC4-5D6E-409C-BE32-E72D297353CC}">
              <c16:uniqueId val="{00000013-6B83-4AA8-B84C-D246EAA4C859}"/>
            </c:ext>
          </c:extLst>
        </c:ser>
        <c:ser>
          <c:idx val="18"/>
          <c:order val="20"/>
          <c:tx>
            <c:strRef>
              <c:f>'CO2 - Cenário RT 1B'!$K$82</c:f>
              <c:strCache>
                <c:ptCount val="1"/>
                <c:pt idx="0">
                  <c:v>Incineração</c:v>
                </c:pt>
              </c:strCache>
            </c:strRef>
          </c:tx>
          <c:spPr>
            <a:pattFill prst="wdDnDiag">
              <a:fgClr>
                <a:srgbClr val="CCCCFF"/>
              </a:fgClr>
              <a:bgClr>
                <a:srgbClr val="FFFFFF"/>
              </a:bgClr>
            </a:pattFill>
            <a:ln w="12700">
              <a:solidFill>
                <a:srgbClr val="000000"/>
              </a:solidFill>
              <a:prstDash val="solid"/>
            </a:ln>
          </c:spPr>
          <c:invertIfNegative val="0"/>
          <c:cat>
            <c:strRef>
              <c:f>'CO2 - Cenário RT 1B'!$L$61:$M$61</c:f>
              <c:strCache>
                <c:ptCount val="2"/>
                <c:pt idx="0">
                  <c:v>Destinação de resíduos</c:v>
                </c:pt>
                <c:pt idx="1">
                  <c:v>Líquido</c:v>
                </c:pt>
              </c:strCache>
            </c:strRef>
          </c:cat>
          <c:val>
            <c:numRef>
              <c:f>'CO2 - Cenário RT 1B'!$L$82:$M$82</c:f>
              <c:numCache>
                <c:formatCode>General</c:formatCode>
                <c:ptCount val="2"/>
                <c:pt idx="0" formatCode="#,##0">
                  <c:v>0</c:v>
                </c:pt>
              </c:numCache>
            </c:numRef>
          </c:val>
          <c:extLst>
            <c:ext xmlns:c16="http://schemas.microsoft.com/office/drawing/2014/chart" uri="{C3380CC4-5D6E-409C-BE32-E72D297353CC}">
              <c16:uniqueId val="{00000014-6B83-4AA8-B84C-D246EAA4C859}"/>
            </c:ext>
          </c:extLst>
        </c:ser>
        <c:ser>
          <c:idx val="19"/>
          <c:order val="21"/>
          <c:tx>
            <c:strRef>
              <c:f>'CO2 - Cenário RT 1B'!$K$83</c:f>
              <c:strCache>
                <c:ptCount val="1"/>
                <c:pt idx="0">
                  <c:v>Créditos</c:v>
                </c:pt>
              </c:strCache>
            </c:strRef>
          </c:tx>
          <c:spPr>
            <a:noFill/>
            <a:ln w="25400">
              <a:noFill/>
            </a:ln>
          </c:spPr>
          <c:invertIfNegative val="0"/>
          <c:cat>
            <c:strRef>
              <c:f>'CO2 - Cenário RT 1B'!$L$61:$M$61</c:f>
              <c:strCache>
                <c:ptCount val="2"/>
                <c:pt idx="0">
                  <c:v>Destinação de resíduos</c:v>
                </c:pt>
                <c:pt idx="1">
                  <c:v>Líquido</c:v>
                </c:pt>
              </c:strCache>
            </c:strRef>
          </c:cat>
          <c:val>
            <c:numRef>
              <c:f>'CO2 - Cenário RT 1B'!$L$83:$M$83</c:f>
              <c:numCache>
                <c:formatCode>General</c:formatCode>
                <c:ptCount val="2"/>
              </c:numCache>
            </c:numRef>
          </c:val>
          <c:extLst>
            <c:ext xmlns:c16="http://schemas.microsoft.com/office/drawing/2014/chart" uri="{C3380CC4-5D6E-409C-BE32-E72D297353CC}">
              <c16:uniqueId val="{00000015-6B83-4AA8-B84C-D246EAA4C859}"/>
            </c:ext>
          </c:extLst>
        </c:ser>
        <c:ser>
          <c:idx val="20"/>
          <c:order val="22"/>
          <c:tx>
            <c:strRef>
              <c:f>'CO2 - Cenário RT 1B'!$K$84</c:f>
              <c:strCache>
                <c:ptCount val="1"/>
                <c:pt idx="0">
                  <c:v>Líquido</c:v>
                </c:pt>
              </c:strCache>
            </c:strRef>
          </c:tx>
          <c:spPr>
            <a:solidFill>
              <a:srgbClr val="0000FF"/>
            </a:solidFill>
            <a:ln w="12700">
              <a:solidFill>
                <a:srgbClr val="000000"/>
              </a:solidFill>
              <a:prstDash val="solid"/>
            </a:ln>
          </c:spPr>
          <c:invertIfNegative val="0"/>
          <c:cat>
            <c:strRef>
              <c:f>'CO2 - Cenário RT 1B'!$L$61:$M$61</c:f>
              <c:strCache>
                <c:ptCount val="2"/>
                <c:pt idx="0">
                  <c:v>Destinação de resíduos</c:v>
                </c:pt>
                <c:pt idx="1">
                  <c:v>Líquido</c:v>
                </c:pt>
              </c:strCache>
            </c:strRef>
          </c:cat>
          <c:val>
            <c:numRef>
              <c:f>'CO2 - Cenário RT 1B'!$L$84:$M$84</c:f>
              <c:numCache>
                <c:formatCode>#,##0</c:formatCode>
                <c:ptCount val="2"/>
                <c:pt idx="1">
                  <c:v>3430.0688365436308</c:v>
                </c:pt>
              </c:numCache>
            </c:numRef>
          </c:val>
          <c:extLst>
            <c:ext xmlns:c16="http://schemas.microsoft.com/office/drawing/2014/chart" uri="{C3380CC4-5D6E-409C-BE32-E72D297353CC}">
              <c16:uniqueId val="{00000016-6B83-4AA8-B84C-D246EAA4C859}"/>
            </c:ext>
          </c:extLst>
        </c:ser>
        <c:dLbls>
          <c:showLegendKey val="0"/>
          <c:showVal val="0"/>
          <c:showCatName val="0"/>
          <c:showSerName val="0"/>
          <c:showPercent val="0"/>
          <c:showBubbleSize val="0"/>
        </c:dLbls>
        <c:gapWidth val="100"/>
        <c:overlap val="100"/>
        <c:axId val="196662016"/>
        <c:axId val="196663552"/>
      </c:barChart>
      <c:catAx>
        <c:axId val="196662016"/>
        <c:scaling>
          <c:orientation val="minMax"/>
        </c:scaling>
        <c:delete val="0"/>
        <c:axPos val="b"/>
        <c:numFmt formatCode="General" sourceLinked="1"/>
        <c:majorTickMark val="out"/>
        <c:minorTickMark val="none"/>
        <c:tickLblPos val="low"/>
        <c:spPr>
          <a:ln w="3175">
            <a:solidFill>
              <a:srgbClr val="000000"/>
            </a:solidFill>
            <a:prstDash val="solid"/>
          </a:ln>
        </c:spPr>
        <c:txPr>
          <a:bodyPr rot="0" vert="horz"/>
          <a:lstStyle/>
          <a:p>
            <a:pPr>
              <a:defRPr sz="875" b="1" i="0" u="none" strike="noStrike" baseline="0">
                <a:solidFill>
                  <a:srgbClr val="000000"/>
                </a:solidFill>
                <a:latin typeface="Arial"/>
                <a:ea typeface="Arial"/>
                <a:cs typeface="Arial"/>
              </a:defRPr>
            </a:pPr>
            <a:endParaRPr lang="pt-BR"/>
          </a:p>
        </c:txPr>
        <c:crossAx val="196663552"/>
        <c:crosses val="autoZero"/>
        <c:auto val="1"/>
        <c:lblAlgn val="ctr"/>
        <c:lblOffset val="100"/>
        <c:tickLblSkip val="1"/>
        <c:tickMarkSkip val="1"/>
        <c:noMultiLvlLbl val="0"/>
      </c:catAx>
      <c:valAx>
        <c:axId val="196663552"/>
        <c:scaling>
          <c:orientation val="minMax"/>
        </c:scaling>
        <c:delete val="0"/>
        <c:axPos val="l"/>
        <c:majorGridlines>
          <c:spPr>
            <a:ln w="3175">
              <a:solidFill>
                <a:srgbClr val="000000"/>
              </a:solidFill>
              <a:prstDash val="solid"/>
            </a:ln>
          </c:spPr>
        </c:majorGridlines>
        <c:title>
          <c:tx>
            <c:rich>
              <a:bodyPr/>
              <a:lstStyle/>
              <a:p>
                <a:pPr>
                  <a:defRPr sz="875" b="1" i="0" u="none" strike="noStrike" baseline="0">
                    <a:solidFill>
                      <a:sysClr val="windowText" lastClr="000000"/>
                    </a:solidFill>
                    <a:latin typeface="Arial"/>
                    <a:ea typeface="Arial"/>
                    <a:cs typeface="Arial"/>
                  </a:defRPr>
                </a:pPr>
                <a:r>
                  <a:rPr lang="de-DE">
                    <a:solidFill>
                      <a:sysClr val="windowText" lastClr="000000"/>
                    </a:solidFill>
                  </a:rPr>
                  <a:t>tonelada CO2-eq / ano</a:t>
                </a:r>
              </a:p>
            </c:rich>
          </c:tx>
          <c:layout>
            <c:manualLayout>
              <c:xMode val="edge"/>
              <c:yMode val="edge"/>
              <c:x val="8.8212774921771833E-3"/>
              <c:y val="0.37517229357203086"/>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75" b="0" i="0" u="none" strike="noStrike" baseline="0">
                <a:solidFill>
                  <a:srgbClr val="000000"/>
                </a:solidFill>
                <a:latin typeface="Arial"/>
                <a:ea typeface="Arial"/>
                <a:cs typeface="Arial"/>
              </a:defRPr>
            </a:pPr>
            <a:endParaRPr lang="pt-BR"/>
          </a:p>
        </c:txPr>
        <c:crossAx val="196662016"/>
        <c:crosses val="autoZero"/>
        <c:crossBetween val="between"/>
      </c:valAx>
      <c:spPr>
        <a:noFill/>
        <a:ln w="12700">
          <a:solidFill>
            <a:srgbClr val="808080"/>
          </a:solidFill>
          <a:prstDash val="solid"/>
        </a:ln>
      </c:spPr>
    </c:plotArea>
    <c:legend>
      <c:legendPos val="r"/>
      <c:legendEntry>
        <c:idx val="0"/>
        <c:txPr>
          <a:bodyPr/>
          <a:lstStyle/>
          <a:p>
            <a:pPr>
              <a:defRPr sz="780" b="1" i="0" u="none" strike="noStrike" baseline="0">
                <a:solidFill>
                  <a:srgbClr val="000000"/>
                </a:solidFill>
                <a:latin typeface="Arial"/>
                <a:ea typeface="Arial"/>
                <a:cs typeface="Arial"/>
              </a:defRPr>
            </a:pPr>
            <a:endParaRPr lang="pt-BR"/>
          </a:p>
        </c:txPr>
      </c:legendEntry>
      <c:legendEntry>
        <c:idx val="1"/>
        <c:txPr>
          <a:bodyPr/>
          <a:lstStyle/>
          <a:p>
            <a:pPr>
              <a:defRPr sz="780" b="1" i="0" u="none" strike="noStrike" baseline="0">
                <a:solidFill>
                  <a:srgbClr val="000000"/>
                </a:solidFill>
                <a:latin typeface="Arial"/>
                <a:ea typeface="Arial"/>
                <a:cs typeface="Arial"/>
              </a:defRPr>
            </a:pPr>
            <a:endParaRPr lang="pt-BR"/>
          </a:p>
        </c:txPr>
      </c:legendEntry>
      <c:legendEntry>
        <c:idx val="5"/>
        <c:txPr>
          <a:bodyPr/>
          <a:lstStyle/>
          <a:p>
            <a:pPr>
              <a:defRPr sz="780" b="0" i="0" u="none" strike="noStrike" baseline="0">
                <a:solidFill>
                  <a:srgbClr val="000000"/>
                </a:solidFill>
                <a:latin typeface="Arial"/>
                <a:ea typeface="Arial"/>
                <a:cs typeface="Arial"/>
              </a:defRPr>
            </a:pPr>
            <a:endParaRPr lang="pt-BR"/>
          </a:p>
        </c:txPr>
      </c:legendEntry>
      <c:legendEntry>
        <c:idx val="6"/>
        <c:txPr>
          <a:bodyPr/>
          <a:lstStyle/>
          <a:p>
            <a:pPr>
              <a:defRPr sz="780" b="0" i="0" u="none" strike="noStrike" baseline="0">
                <a:solidFill>
                  <a:srgbClr val="000000"/>
                </a:solidFill>
                <a:latin typeface="Arial"/>
                <a:ea typeface="Arial"/>
                <a:cs typeface="Arial"/>
              </a:defRPr>
            </a:pPr>
            <a:endParaRPr lang="pt-BR"/>
          </a:p>
        </c:txPr>
      </c:legendEntry>
      <c:legendEntry>
        <c:idx val="9"/>
        <c:txPr>
          <a:bodyPr/>
          <a:lstStyle/>
          <a:p>
            <a:pPr>
              <a:defRPr sz="780" b="0" i="0" u="none" strike="noStrike" baseline="0">
                <a:solidFill>
                  <a:srgbClr val="000000"/>
                </a:solidFill>
                <a:latin typeface="Arial"/>
                <a:ea typeface="Arial"/>
                <a:cs typeface="Arial"/>
              </a:defRPr>
            </a:pPr>
            <a:endParaRPr lang="pt-BR"/>
          </a:p>
        </c:txPr>
      </c:legendEntry>
      <c:legendEntry>
        <c:idx val="10"/>
        <c:txPr>
          <a:bodyPr/>
          <a:lstStyle/>
          <a:p>
            <a:pPr>
              <a:defRPr sz="780" b="0" i="0" u="none" strike="noStrike" baseline="0">
                <a:solidFill>
                  <a:srgbClr val="000000"/>
                </a:solidFill>
                <a:latin typeface="Arial"/>
                <a:ea typeface="Arial"/>
                <a:cs typeface="Arial"/>
              </a:defRPr>
            </a:pPr>
            <a:endParaRPr lang="pt-BR"/>
          </a:p>
        </c:txPr>
      </c:legendEntry>
      <c:legendEntry>
        <c:idx val="12"/>
        <c:txPr>
          <a:bodyPr/>
          <a:lstStyle/>
          <a:p>
            <a:pPr>
              <a:defRPr sz="780" b="1" i="0" u="none" strike="noStrike" baseline="0">
                <a:solidFill>
                  <a:srgbClr val="000000"/>
                </a:solidFill>
                <a:latin typeface="Arial"/>
                <a:ea typeface="Arial"/>
                <a:cs typeface="Arial"/>
              </a:defRPr>
            </a:pPr>
            <a:endParaRPr lang="pt-BR"/>
          </a:p>
        </c:txPr>
      </c:legendEntry>
      <c:legendEntry>
        <c:idx val="15"/>
        <c:txPr>
          <a:bodyPr/>
          <a:lstStyle/>
          <a:p>
            <a:pPr>
              <a:defRPr sz="780" b="0" i="0" u="none" strike="noStrike" baseline="0">
                <a:solidFill>
                  <a:srgbClr val="000000"/>
                </a:solidFill>
                <a:latin typeface="Arial"/>
                <a:ea typeface="Arial"/>
                <a:cs typeface="Arial"/>
              </a:defRPr>
            </a:pPr>
            <a:endParaRPr lang="pt-BR"/>
          </a:p>
        </c:txPr>
      </c:legendEntry>
      <c:legendEntry>
        <c:idx val="17"/>
        <c:txPr>
          <a:bodyPr/>
          <a:lstStyle/>
          <a:p>
            <a:pPr>
              <a:defRPr sz="780" b="0" i="0" u="none" strike="noStrike" baseline="0">
                <a:solidFill>
                  <a:srgbClr val="000000"/>
                </a:solidFill>
                <a:latin typeface="Arial"/>
                <a:ea typeface="Arial"/>
                <a:cs typeface="Arial"/>
              </a:defRPr>
            </a:pPr>
            <a:endParaRPr lang="pt-BR"/>
          </a:p>
        </c:txPr>
      </c:legendEntry>
      <c:layout>
        <c:manualLayout>
          <c:xMode val="edge"/>
          <c:yMode val="edge"/>
          <c:x val="0.72805585816659091"/>
          <c:y val="1.379406613671616E-3"/>
          <c:w val="0.23982592382137799"/>
          <c:h val="0.98536066700002301"/>
        </c:manualLayout>
      </c:layout>
      <c:overlay val="0"/>
      <c:spPr>
        <a:solidFill>
          <a:srgbClr val="FFFFFF"/>
        </a:solidFill>
        <a:ln w="3175">
          <a:solidFill>
            <a:srgbClr val="000000"/>
          </a:solidFill>
          <a:prstDash val="solid"/>
        </a:ln>
      </c:spPr>
      <c:txPr>
        <a:bodyPr/>
        <a:lstStyle/>
        <a:p>
          <a:pPr>
            <a:defRPr sz="780" b="0" i="0" u="none" strike="noStrike" baseline="0">
              <a:solidFill>
                <a:srgbClr val="000000"/>
              </a:solidFill>
              <a:latin typeface="Arial"/>
              <a:ea typeface="Arial"/>
              <a:cs typeface="Arial"/>
            </a:defRPr>
          </a:pPr>
          <a:endParaRPr lang="pt-BR"/>
        </a:p>
      </c:txPr>
    </c:legend>
    <c:plotVisOnly val="1"/>
    <c:dispBlanksAs val="gap"/>
    <c:showDLblsOverMax val="0"/>
  </c:chart>
  <c:spPr>
    <a:solidFill>
      <a:srgbClr val="FFFFFF"/>
    </a:solid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pt-BR"/>
    </a:p>
  </c:txPr>
  <c:printSettings>
    <c:headerFooter alignWithMargins="0"/>
    <c:pageMargins b="0.98425196899999978" l="0.78740157499999996" r="0.78740157499999996" t="0.98425196899999978" header="0.49212598450000011" footer="0.49212598450000011"/>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50" b="1" i="0" u="none" strike="noStrike" baseline="0">
                <a:solidFill>
                  <a:srgbClr val="000000"/>
                </a:solidFill>
                <a:latin typeface="Arial"/>
                <a:ea typeface="Arial"/>
                <a:cs typeface="Arial"/>
              </a:defRPr>
            </a:pPr>
            <a:r>
              <a:rPr lang="de-DE"/>
              <a:t>Emissões de GEE</a:t>
            </a:r>
          </a:p>
        </c:rich>
      </c:tx>
      <c:layout>
        <c:manualLayout>
          <c:xMode val="edge"/>
          <c:yMode val="edge"/>
          <c:x val="0.40831758034026489"/>
          <c:y val="1.5363128491620118E-2"/>
        </c:manualLayout>
      </c:layout>
      <c:overlay val="0"/>
      <c:spPr>
        <a:noFill/>
        <a:ln w="25400">
          <a:noFill/>
        </a:ln>
      </c:spPr>
    </c:title>
    <c:autoTitleDeleted val="0"/>
    <c:plotArea>
      <c:layout>
        <c:manualLayout>
          <c:layoutTarget val="inner"/>
          <c:xMode val="edge"/>
          <c:yMode val="edge"/>
          <c:x val="0.17202268431001888"/>
          <c:y val="0.11312849162011174"/>
          <c:w val="0.79584120982986772"/>
          <c:h val="0.77374301675977719"/>
        </c:manualLayout>
      </c:layout>
      <c:barChart>
        <c:barDir val="col"/>
        <c:grouping val="clustered"/>
        <c:varyColors val="0"/>
        <c:ser>
          <c:idx val="0"/>
          <c:order val="0"/>
          <c:tx>
            <c:strRef>
              <c:f>'CO2 - Cenário RT 1B'!$G$53</c:f>
              <c:strCache>
                <c:ptCount val="1"/>
                <c:pt idx="0">
                  <c:v>Débitos</c:v>
                </c:pt>
              </c:strCache>
            </c:strRef>
          </c:tx>
          <c:spPr>
            <a:solidFill>
              <a:srgbClr val="FFCC99"/>
            </a:solidFill>
            <a:ln w="12700">
              <a:solidFill>
                <a:srgbClr val="000000"/>
              </a:solidFill>
              <a:prstDash val="solid"/>
            </a:ln>
          </c:spPr>
          <c:invertIfNegative val="0"/>
          <c:cat>
            <c:strRef>
              <c:f>'CO2 - Cenário RT 1B'!$H$52:$J$52</c:f>
              <c:strCache>
                <c:ptCount val="3"/>
                <c:pt idx="0">
                  <c:v>Resíduo reciclado</c:v>
                </c:pt>
                <c:pt idx="1">
                  <c:v>Destinação de resíduos</c:v>
                </c:pt>
                <c:pt idx="2">
                  <c:v>RSU total</c:v>
                </c:pt>
              </c:strCache>
            </c:strRef>
          </c:cat>
          <c:val>
            <c:numRef>
              <c:f>'CO2 - Cenário RT 1B'!$H$53:$J$53</c:f>
              <c:numCache>
                <c:formatCode>#,##0</c:formatCode>
                <c:ptCount val="3"/>
                <c:pt idx="0">
                  <c:v>1665.6439969728001</c:v>
                </c:pt>
                <c:pt idx="1">
                  <c:v>11220.932663984766</c:v>
                </c:pt>
                <c:pt idx="2">
                  <c:v>12886.576660957566</c:v>
                </c:pt>
              </c:numCache>
            </c:numRef>
          </c:val>
          <c:extLst>
            <c:ext xmlns:c16="http://schemas.microsoft.com/office/drawing/2014/chart" uri="{C3380CC4-5D6E-409C-BE32-E72D297353CC}">
              <c16:uniqueId val="{00000000-0436-48E4-A114-AE2BCA1E17CD}"/>
            </c:ext>
          </c:extLst>
        </c:ser>
        <c:ser>
          <c:idx val="1"/>
          <c:order val="1"/>
          <c:tx>
            <c:strRef>
              <c:f>'CO2 - Cenário RT 1B'!$G$54</c:f>
              <c:strCache>
                <c:ptCount val="1"/>
                <c:pt idx="0">
                  <c:v>Créditos</c:v>
                </c:pt>
              </c:strCache>
            </c:strRef>
          </c:tx>
          <c:spPr>
            <a:pattFill prst="wdUpDiag">
              <a:fgClr>
                <a:srgbClr val="FF99CC"/>
              </a:fgClr>
              <a:bgClr>
                <a:srgbClr val="800080"/>
              </a:bgClr>
            </a:pattFill>
            <a:ln w="12700">
              <a:solidFill>
                <a:srgbClr val="000000"/>
              </a:solidFill>
              <a:prstDash val="solid"/>
            </a:ln>
          </c:spPr>
          <c:invertIfNegative val="0"/>
          <c:cat>
            <c:strRef>
              <c:f>'CO2 - Cenário RT 1B'!$H$52:$J$52</c:f>
              <c:strCache>
                <c:ptCount val="3"/>
                <c:pt idx="0">
                  <c:v>Resíduo reciclado</c:v>
                </c:pt>
                <c:pt idx="1">
                  <c:v>Destinação de resíduos</c:v>
                </c:pt>
                <c:pt idx="2">
                  <c:v>RSU total</c:v>
                </c:pt>
              </c:strCache>
            </c:strRef>
          </c:cat>
          <c:val>
            <c:numRef>
              <c:f>'CO2 - Cenário RT 1B'!$H$54:$J$54</c:f>
              <c:numCache>
                <c:formatCode>#,##0</c:formatCode>
                <c:ptCount val="3"/>
                <c:pt idx="0">
                  <c:v>-5018.9513721984003</c:v>
                </c:pt>
                <c:pt idx="1">
                  <c:v>-7790.8638274411351</c:v>
                </c:pt>
                <c:pt idx="2">
                  <c:v>-12809.815199639535</c:v>
                </c:pt>
              </c:numCache>
            </c:numRef>
          </c:val>
          <c:extLst>
            <c:ext xmlns:c16="http://schemas.microsoft.com/office/drawing/2014/chart" uri="{C3380CC4-5D6E-409C-BE32-E72D297353CC}">
              <c16:uniqueId val="{00000001-0436-48E4-A114-AE2BCA1E17CD}"/>
            </c:ext>
          </c:extLst>
        </c:ser>
        <c:ser>
          <c:idx val="2"/>
          <c:order val="2"/>
          <c:tx>
            <c:strRef>
              <c:f>'CO2 - Cenário RT 1B'!$G$55</c:f>
              <c:strCache>
                <c:ptCount val="1"/>
                <c:pt idx="0">
                  <c:v>Líquido</c:v>
                </c:pt>
              </c:strCache>
            </c:strRef>
          </c:tx>
          <c:spPr>
            <a:solidFill>
              <a:srgbClr val="0000FF"/>
            </a:solidFill>
            <a:ln w="12700">
              <a:solidFill>
                <a:srgbClr val="000000"/>
              </a:solidFill>
              <a:prstDash val="solid"/>
            </a:ln>
          </c:spPr>
          <c:invertIfNegative val="0"/>
          <c:cat>
            <c:strRef>
              <c:f>'CO2 - Cenário RT 1B'!$H$52:$J$52</c:f>
              <c:strCache>
                <c:ptCount val="3"/>
                <c:pt idx="0">
                  <c:v>Resíduo reciclado</c:v>
                </c:pt>
                <c:pt idx="1">
                  <c:v>Destinação de resíduos</c:v>
                </c:pt>
                <c:pt idx="2">
                  <c:v>RSU total</c:v>
                </c:pt>
              </c:strCache>
            </c:strRef>
          </c:cat>
          <c:val>
            <c:numRef>
              <c:f>'CO2 - Cenário RT 1B'!$H$55:$J$55</c:f>
              <c:numCache>
                <c:formatCode>#,##0</c:formatCode>
                <c:ptCount val="3"/>
                <c:pt idx="0">
                  <c:v>-3353.3073752256005</c:v>
                </c:pt>
                <c:pt idx="1">
                  <c:v>3430.0688365436308</c:v>
                </c:pt>
                <c:pt idx="2">
                  <c:v>76.761461318030342</c:v>
                </c:pt>
              </c:numCache>
            </c:numRef>
          </c:val>
          <c:extLst>
            <c:ext xmlns:c16="http://schemas.microsoft.com/office/drawing/2014/chart" uri="{C3380CC4-5D6E-409C-BE32-E72D297353CC}">
              <c16:uniqueId val="{00000002-0436-48E4-A114-AE2BCA1E17CD}"/>
            </c:ext>
          </c:extLst>
        </c:ser>
        <c:dLbls>
          <c:showLegendKey val="0"/>
          <c:showVal val="0"/>
          <c:showCatName val="0"/>
          <c:showSerName val="0"/>
          <c:showPercent val="0"/>
          <c:showBubbleSize val="0"/>
        </c:dLbls>
        <c:gapWidth val="100"/>
        <c:axId val="197125248"/>
        <c:axId val="197126784"/>
      </c:barChart>
      <c:catAx>
        <c:axId val="197125248"/>
        <c:scaling>
          <c:orientation val="minMax"/>
        </c:scaling>
        <c:delete val="0"/>
        <c:axPos val="b"/>
        <c:numFmt formatCode="General" sourceLinked="1"/>
        <c:majorTickMark val="out"/>
        <c:minorTickMark val="none"/>
        <c:tickLblPos val="low"/>
        <c:spPr>
          <a:ln w="3175">
            <a:solidFill>
              <a:srgbClr val="000000"/>
            </a:solidFill>
            <a:prstDash val="solid"/>
          </a:ln>
        </c:spPr>
        <c:txPr>
          <a:bodyPr rot="0" vert="horz"/>
          <a:lstStyle/>
          <a:p>
            <a:pPr>
              <a:defRPr sz="925" b="0" i="0" u="none" strike="noStrike" baseline="0">
                <a:solidFill>
                  <a:srgbClr val="000000"/>
                </a:solidFill>
                <a:latin typeface="Arial"/>
                <a:ea typeface="Arial"/>
                <a:cs typeface="Arial"/>
              </a:defRPr>
            </a:pPr>
            <a:endParaRPr lang="pt-BR"/>
          </a:p>
        </c:txPr>
        <c:crossAx val="197126784"/>
        <c:crosses val="autoZero"/>
        <c:auto val="1"/>
        <c:lblAlgn val="ctr"/>
        <c:lblOffset val="50"/>
        <c:tickLblSkip val="1"/>
        <c:tickMarkSkip val="1"/>
        <c:noMultiLvlLbl val="0"/>
      </c:catAx>
      <c:valAx>
        <c:axId val="197126784"/>
        <c:scaling>
          <c:orientation val="minMax"/>
        </c:scaling>
        <c:delete val="0"/>
        <c:axPos val="l"/>
        <c:majorGridlines>
          <c:spPr>
            <a:ln w="3175">
              <a:solidFill>
                <a:srgbClr val="000000"/>
              </a:solidFill>
              <a:prstDash val="solid"/>
            </a:ln>
          </c:spPr>
        </c:majorGridlines>
        <c:title>
          <c:tx>
            <c:rich>
              <a:bodyPr/>
              <a:lstStyle/>
              <a:p>
                <a:pPr>
                  <a:defRPr sz="925" b="1" i="0" u="none" strike="noStrike" baseline="0">
                    <a:solidFill>
                      <a:sysClr val="windowText" lastClr="000000"/>
                    </a:solidFill>
                    <a:latin typeface="Arial"/>
                    <a:ea typeface="Arial"/>
                    <a:cs typeface="Arial"/>
                  </a:defRPr>
                </a:pPr>
                <a:r>
                  <a:rPr lang="de-DE">
                    <a:solidFill>
                      <a:sysClr val="windowText" lastClr="000000"/>
                    </a:solidFill>
                  </a:rPr>
                  <a:t>tonelada CO2-eq / ano</a:t>
                </a:r>
              </a:p>
            </c:rich>
          </c:tx>
          <c:layout>
            <c:manualLayout>
              <c:xMode val="edge"/>
              <c:yMode val="edge"/>
              <c:x val="3.0073021116594712E-4"/>
              <c:y val="0.3547485558903678"/>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925" b="0" i="0" u="none" strike="noStrike" baseline="0">
                <a:solidFill>
                  <a:srgbClr val="000000"/>
                </a:solidFill>
                <a:latin typeface="Arial"/>
                <a:ea typeface="Arial"/>
                <a:cs typeface="Arial"/>
              </a:defRPr>
            </a:pPr>
            <a:endParaRPr lang="pt-BR"/>
          </a:p>
        </c:txPr>
        <c:crossAx val="197125248"/>
        <c:crosses val="autoZero"/>
        <c:crossBetween val="between"/>
      </c:valAx>
      <c:spPr>
        <a:noFill/>
        <a:ln w="3175">
          <a:solidFill>
            <a:srgbClr val="000000"/>
          </a:solidFill>
          <a:prstDash val="solid"/>
        </a:ln>
      </c:spPr>
    </c:plotArea>
    <c:legend>
      <c:legendPos val="r"/>
      <c:layout>
        <c:manualLayout>
          <c:xMode val="edge"/>
          <c:yMode val="edge"/>
          <c:x val="0.17863904063031819"/>
          <c:y val="4.0037243947858472E-2"/>
          <c:w val="0.18431001890359169"/>
          <c:h val="0.19134078212290509"/>
        </c:manualLayout>
      </c:layout>
      <c:overlay val="0"/>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pt-BR"/>
        </a:p>
      </c:txPr>
    </c:legend>
    <c:plotVisOnly val="1"/>
    <c:dispBlanksAs val="gap"/>
    <c:showDLblsOverMax val="0"/>
  </c:chart>
  <c:spPr>
    <a:solidFill>
      <a:srgbClr val="FFFFFF"/>
    </a:solid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pt-BR"/>
    </a:p>
  </c:txPr>
  <c:printSettings>
    <c:headerFooter alignWithMargins="0"/>
    <c:pageMargins b="0.98425196899999978" l="0.78740157499999996" r="0.78740157499999996" t="0.98425196899999978" header="0.49212598450000011" footer="0.49212598450000011"/>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75" b="1" i="0" u="none" strike="noStrike" baseline="0">
                <a:solidFill>
                  <a:srgbClr val="000000"/>
                </a:solidFill>
                <a:latin typeface="Arial"/>
                <a:ea typeface="Arial"/>
                <a:cs typeface="Arial"/>
              </a:defRPr>
            </a:pPr>
            <a:r>
              <a:rPr lang="de-DE"/>
              <a:t>Resíduos tratados</a:t>
            </a:r>
          </a:p>
        </c:rich>
      </c:tx>
      <c:layout>
        <c:manualLayout>
          <c:xMode val="edge"/>
          <c:yMode val="edge"/>
          <c:x val="0.42260248119443095"/>
          <c:y val="1.3496932515337422E-2"/>
        </c:manualLayout>
      </c:layout>
      <c:overlay val="0"/>
      <c:spPr>
        <a:noFill/>
        <a:ln w="25400">
          <a:noFill/>
        </a:ln>
      </c:spPr>
    </c:title>
    <c:autoTitleDeleted val="0"/>
    <c:plotArea>
      <c:layout>
        <c:manualLayout>
          <c:layoutTarget val="inner"/>
          <c:xMode val="edge"/>
          <c:yMode val="edge"/>
          <c:x val="0.18803436241909513"/>
          <c:y val="0.1116564417177914"/>
          <c:w val="0.78632551557076091"/>
          <c:h val="0.57668711656441762"/>
        </c:manualLayout>
      </c:layout>
      <c:barChart>
        <c:barDir val="col"/>
        <c:grouping val="clustered"/>
        <c:varyColors val="0"/>
        <c:ser>
          <c:idx val="0"/>
          <c:order val="0"/>
          <c:spPr>
            <a:solidFill>
              <a:srgbClr val="008000"/>
            </a:solidFill>
            <a:ln w="12700">
              <a:solidFill>
                <a:srgbClr val="000000"/>
              </a:solidFill>
              <a:prstDash val="solid"/>
            </a:ln>
          </c:spPr>
          <c:invertIfNegative val="0"/>
          <c:cat>
            <c:strRef>
              <c:f>('CO2 - Cenário RT 1C'!$B$7:$B$15,'CO2 - Cenário RT 1C'!$B$18:$B$27)</c:f>
              <c:strCache>
                <c:ptCount val="19"/>
                <c:pt idx="0">
                  <c:v>Resíduos de alimentos</c:v>
                </c:pt>
                <c:pt idx="1">
                  <c:v>Resíduos de jardins e parques</c:v>
                </c:pt>
                <c:pt idx="2">
                  <c:v>Papel, papelão</c:v>
                </c:pt>
                <c:pt idx="3">
                  <c:v>Plásticos</c:v>
                </c:pt>
                <c:pt idx="4">
                  <c:v>Vidros</c:v>
                </c:pt>
                <c:pt idx="5">
                  <c:v>Metais ferrosos</c:v>
                </c:pt>
                <c:pt idx="6">
                  <c:v>Alumínio</c:v>
                </c:pt>
                <c:pt idx="7">
                  <c:v>Têxteis</c:v>
                </c:pt>
                <c:pt idx="9">
                  <c:v>Resíduos dispersos</c:v>
                </c:pt>
                <c:pt idx="10">
                  <c:v>Queima a céu aberto</c:v>
                </c:pt>
                <c:pt idx="11">
                  <c:v>Lixão não controlado</c:v>
                </c:pt>
                <c:pt idx="12">
                  <c:v>Aterro controlado</c:v>
                </c:pt>
                <c:pt idx="13">
                  <c:v>Aterro sanitário</c:v>
                </c:pt>
                <c:pt idx="14">
                  <c:v>Trat. biol + cobertura at.</c:v>
                </c:pt>
                <c:pt idx="15">
                  <c:v>CDR seco + rejeito aterro</c:v>
                </c:pt>
                <c:pt idx="16">
                  <c:v>CDR seco + trat. biol.</c:v>
                </c:pt>
                <c:pt idx="17">
                  <c:v>CDR seco + CDR org.</c:v>
                </c:pt>
                <c:pt idx="18">
                  <c:v>Incineração</c:v>
                </c:pt>
              </c:strCache>
            </c:strRef>
          </c:cat>
          <c:val>
            <c:numRef>
              <c:f>('CO2 - Cenário RT 1C'!$C$7:$C$15,'CO2 - Cenário RT 1C'!$C$18:$C$27)</c:f>
              <c:numCache>
                <c:formatCode>#,##0</c:formatCode>
                <c:ptCount val="19"/>
                <c:pt idx="0">
                  <c:v>0</c:v>
                </c:pt>
                <c:pt idx="1">
                  <c:v>0</c:v>
                </c:pt>
                <c:pt idx="2">
                  <c:v>1004.4457488</c:v>
                </c:pt>
                <c:pt idx="3">
                  <c:v>683.86032</c:v>
                </c:pt>
                <c:pt idx="4">
                  <c:v>0</c:v>
                </c:pt>
                <c:pt idx="5">
                  <c:v>503.10935999999998</c:v>
                </c:pt>
                <c:pt idx="6">
                  <c:v>131.24591999999998</c:v>
                </c:pt>
                <c:pt idx="7">
                  <c:v>0</c:v>
                </c:pt>
                <c:pt idx="9">
                  <c:v>0</c:v>
                </c:pt>
                <c:pt idx="10">
                  <c:v>0</c:v>
                </c:pt>
                <c:pt idx="11">
                  <c:v>0</c:v>
                </c:pt>
                <c:pt idx="12">
                  <c:v>0</c:v>
                </c:pt>
                <c:pt idx="13">
                  <c:v>7246.0285279199989</c:v>
                </c:pt>
                <c:pt idx="14">
                  <c:v>0</c:v>
                </c:pt>
                <c:pt idx="15">
                  <c:v>2587.8673313999998</c:v>
                </c:pt>
                <c:pt idx="16">
                  <c:v>10869.04279188</c:v>
                </c:pt>
                <c:pt idx="17">
                  <c:v>0</c:v>
                </c:pt>
                <c:pt idx="18">
                  <c:v>0</c:v>
                </c:pt>
              </c:numCache>
            </c:numRef>
          </c:val>
          <c:extLst>
            <c:ext xmlns:c16="http://schemas.microsoft.com/office/drawing/2014/chart" uri="{C3380CC4-5D6E-409C-BE32-E72D297353CC}">
              <c16:uniqueId val="{00000000-9A9F-4DB9-9BA3-7DD08C7D90B6}"/>
            </c:ext>
          </c:extLst>
        </c:ser>
        <c:dLbls>
          <c:showLegendKey val="0"/>
          <c:showVal val="0"/>
          <c:showCatName val="0"/>
          <c:showSerName val="0"/>
          <c:showPercent val="0"/>
          <c:showBubbleSize val="0"/>
        </c:dLbls>
        <c:gapWidth val="100"/>
        <c:axId val="196595712"/>
        <c:axId val="196597248"/>
      </c:barChart>
      <c:catAx>
        <c:axId val="196595712"/>
        <c:scaling>
          <c:orientation val="minMax"/>
        </c:scaling>
        <c:delete val="0"/>
        <c:axPos val="b"/>
        <c:numFmt formatCode="General" sourceLinked="1"/>
        <c:majorTickMark val="out"/>
        <c:minorTickMark val="none"/>
        <c:tickLblPos val="nextTo"/>
        <c:spPr>
          <a:ln w="3175">
            <a:solidFill>
              <a:srgbClr val="000000"/>
            </a:solidFill>
            <a:prstDash val="solid"/>
          </a:ln>
        </c:spPr>
        <c:txPr>
          <a:bodyPr rot="-3660000" vert="horz"/>
          <a:lstStyle/>
          <a:p>
            <a:pPr>
              <a:defRPr sz="850" b="0" i="0" u="none" strike="noStrike" baseline="0">
                <a:solidFill>
                  <a:srgbClr val="000000"/>
                </a:solidFill>
                <a:latin typeface="Arial"/>
                <a:ea typeface="Arial"/>
                <a:cs typeface="Arial"/>
              </a:defRPr>
            </a:pPr>
            <a:endParaRPr lang="pt-BR"/>
          </a:p>
        </c:txPr>
        <c:crossAx val="196597248"/>
        <c:crosses val="autoZero"/>
        <c:auto val="1"/>
        <c:lblAlgn val="ctr"/>
        <c:lblOffset val="100"/>
        <c:tickLblSkip val="1"/>
        <c:tickMarkSkip val="1"/>
        <c:noMultiLvlLbl val="0"/>
      </c:catAx>
      <c:valAx>
        <c:axId val="196597248"/>
        <c:scaling>
          <c:orientation val="minMax"/>
        </c:scaling>
        <c:delete val="0"/>
        <c:axPos val="l"/>
        <c:majorGridlines>
          <c:spPr>
            <a:ln w="3175">
              <a:solidFill>
                <a:srgbClr val="000000"/>
              </a:solidFill>
              <a:prstDash val="solid"/>
            </a:ln>
          </c:spPr>
        </c:majorGridlines>
        <c:title>
          <c:tx>
            <c:rich>
              <a:bodyPr/>
              <a:lstStyle/>
              <a:p>
                <a:pPr>
                  <a:defRPr sz="950" b="1" i="0" u="none" strike="noStrike" baseline="0">
                    <a:solidFill>
                      <a:sysClr val="windowText" lastClr="000000"/>
                    </a:solidFill>
                    <a:latin typeface="Arial"/>
                    <a:ea typeface="Arial"/>
                    <a:cs typeface="Arial"/>
                  </a:defRPr>
                </a:pPr>
                <a:r>
                  <a:rPr lang="de-DE">
                    <a:solidFill>
                      <a:sysClr val="windowText" lastClr="000000"/>
                    </a:solidFill>
                  </a:rPr>
                  <a:t>tonelada / ano</a:t>
                </a:r>
              </a:p>
            </c:rich>
          </c:tx>
          <c:layout>
            <c:manualLayout>
              <c:xMode val="edge"/>
              <c:yMode val="edge"/>
              <c:x val="1.0446353467727501E-2"/>
              <c:y val="0.36687116564417194"/>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950" b="0" i="0" u="none" strike="noStrike" baseline="0">
                <a:solidFill>
                  <a:srgbClr val="000000"/>
                </a:solidFill>
                <a:latin typeface="Arial"/>
                <a:ea typeface="Arial"/>
                <a:cs typeface="Arial"/>
              </a:defRPr>
            </a:pPr>
            <a:endParaRPr lang="pt-BR"/>
          </a:p>
        </c:txPr>
        <c:crossAx val="196595712"/>
        <c:crosses val="autoZero"/>
        <c:crossBetween val="between"/>
      </c:valAx>
      <c:spPr>
        <a:noFill/>
        <a:ln w="3175">
          <a:solidFill>
            <a:srgbClr val="000000"/>
          </a:solidFill>
          <a:prstDash val="solid"/>
        </a:ln>
      </c:spPr>
    </c:plotArea>
    <c:plotVisOnly val="1"/>
    <c:dispBlanksAs val="gap"/>
    <c:showDLblsOverMax val="0"/>
  </c:chart>
  <c:spPr>
    <a:no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pt-BR"/>
    </a:p>
  </c:txPr>
  <c:printSettings>
    <c:headerFooter alignWithMargins="0"/>
    <c:pageMargins b="0.98425196899999978" l="0.78740157499999996" r="0.78740157499999996" t="0.98425196899999978" header="0.49212598450000011" footer="0.49212598450000011"/>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75" b="1" i="0" u="none" strike="noStrike" baseline="0">
                <a:solidFill>
                  <a:srgbClr val="000000"/>
                </a:solidFill>
                <a:latin typeface="Arial"/>
                <a:ea typeface="Arial"/>
                <a:cs typeface="Arial"/>
              </a:defRPr>
            </a:pPr>
            <a:r>
              <a:rPr lang="de-DE"/>
              <a:t>Emissões de GEE </a:t>
            </a:r>
            <a:r>
              <a:rPr lang="de-DE">
                <a:solidFill>
                  <a:sysClr val="windowText" lastClr="000000"/>
                </a:solidFill>
              </a:rPr>
              <a:t>— Reciclagem</a:t>
            </a:r>
          </a:p>
        </c:rich>
      </c:tx>
      <c:layout>
        <c:manualLayout>
          <c:xMode val="edge"/>
          <c:yMode val="edge"/>
          <c:x val="0.25966850828729282"/>
          <c:y val="1.5988417481653919E-2"/>
        </c:manualLayout>
      </c:layout>
      <c:overlay val="0"/>
      <c:spPr>
        <a:noFill/>
        <a:ln w="25400">
          <a:noFill/>
        </a:ln>
      </c:spPr>
    </c:title>
    <c:autoTitleDeleted val="0"/>
    <c:plotArea>
      <c:layout>
        <c:manualLayout>
          <c:layoutTarget val="inner"/>
          <c:xMode val="edge"/>
          <c:yMode val="edge"/>
          <c:x val="0.21767955801104968"/>
          <c:y val="0.12354686235823484"/>
          <c:w val="0.50386740331491708"/>
          <c:h val="0.75872308412939515"/>
        </c:manualLayout>
      </c:layout>
      <c:barChart>
        <c:barDir val="col"/>
        <c:grouping val="stacked"/>
        <c:varyColors val="0"/>
        <c:ser>
          <c:idx val="0"/>
          <c:order val="0"/>
          <c:tx>
            <c:strRef>
              <c:f>'CO2 - Cenário RT 1C'!$B$62</c:f>
              <c:strCache>
                <c:ptCount val="1"/>
                <c:pt idx="0">
                  <c:v>Resíduos de alimentos</c:v>
                </c:pt>
              </c:strCache>
            </c:strRef>
          </c:tx>
          <c:spPr>
            <a:solidFill>
              <a:srgbClr val="99CC00"/>
            </a:solidFill>
            <a:ln w="12700">
              <a:solidFill>
                <a:srgbClr val="000000"/>
              </a:solidFill>
              <a:prstDash val="solid"/>
            </a:ln>
          </c:spPr>
          <c:invertIfNegative val="0"/>
          <c:cat>
            <c:strRef>
              <c:f>'CO2 - Cenário RT 1C'!$C$61:$D$61</c:f>
              <c:strCache>
                <c:ptCount val="2"/>
                <c:pt idx="0">
                  <c:v>Resíduos reciclados</c:v>
                </c:pt>
                <c:pt idx="1">
                  <c:v>Líquido</c:v>
                </c:pt>
              </c:strCache>
            </c:strRef>
          </c:cat>
          <c:val>
            <c:numRef>
              <c:f>'CO2 - Cenário RT 1C'!$C$62:$D$62</c:f>
              <c:numCache>
                <c:formatCode>General</c:formatCode>
                <c:ptCount val="2"/>
                <c:pt idx="0" formatCode="#,##0">
                  <c:v>0</c:v>
                </c:pt>
              </c:numCache>
            </c:numRef>
          </c:val>
          <c:extLst>
            <c:ext xmlns:c16="http://schemas.microsoft.com/office/drawing/2014/chart" uri="{C3380CC4-5D6E-409C-BE32-E72D297353CC}">
              <c16:uniqueId val="{00000000-75FF-4095-8A8B-74991225BD3B}"/>
            </c:ext>
          </c:extLst>
        </c:ser>
        <c:ser>
          <c:idx val="1"/>
          <c:order val="1"/>
          <c:tx>
            <c:strRef>
              <c:f>'CO2 - Cenário RT 1C'!$B$63</c:f>
              <c:strCache>
                <c:ptCount val="1"/>
                <c:pt idx="0">
                  <c:v>Resíduos de jardins e parques</c:v>
                </c:pt>
              </c:strCache>
            </c:strRef>
          </c:tx>
          <c:spPr>
            <a:solidFill>
              <a:srgbClr val="000080"/>
            </a:solidFill>
            <a:ln w="12700">
              <a:solidFill>
                <a:srgbClr val="000000"/>
              </a:solidFill>
              <a:prstDash val="solid"/>
            </a:ln>
          </c:spPr>
          <c:invertIfNegative val="0"/>
          <c:cat>
            <c:strRef>
              <c:f>'CO2 - Cenário RT 1C'!$C$61:$D$61</c:f>
              <c:strCache>
                <c:ptCount val="2"/>
                <c:pt idx="0">
                  <c:v>Resíduos reciclados</c:v>
                </c:pt>
                <c:pt idx="1">
                  <c:v>Líquido</c:v>
                </c:pt>
              </c:strCache>
            </c:strRef>
          </c:cat>
          <c:val>
            <c:numRef>
              <c:f>'CO2 - Cenário RT 1C'!$C$63:$D$63</c:f>
              <c:numCache>
                <c:formatCode>General</c:formatCode>
                <c:ptCount val="2"/>
                <c:pt idx="0" formatCode="#,##0">
                  <c:v>0</c:v>
                </c:pt>
              </c:numCache>
            </c:numRef>
          </c:val>
          <c:extLst>
            <c:ext xmlns:c16="http://schemas.microsoft.com/office/drawing/2014/chart" uri="{C3380CC4-5D6E-409C-BE32-E72D297353CC}">
              <c16:uniqueId val="{00000001-75FF-4095-8A8B-74991225BD3B}"/>
            </c:ext>
          </c:extLst>
        </c:ser>
        <c:ser>
          <c:idx val="2"/>
          <c:order val="2"/>
          <c:tx>
            <c:strRef>
              <c:f>'CO2 - Cenário RT 1C'!$B$64</c:f>
              <c:strCache>
                <c:ptCount val="1"/>
                <c:pt idx="0">
                  <c:v>Papel, papelão</c:v>
                </c:pt>
              </c:strCache>
            </c:strRef>
          </c:tx>
          <c:spPr>
            <a:solidFill>
              <a:srgbClr val="CC99FF"/>
            </a:solidFill>
            <a:ln w="12700">
              <a:solidFill>
                <a:srgbClr val="000000"/>
              </a:solidFill>
              <a:prstDash val="solid"/>
            </a:ln>
          </c:spPr>
          <c:invertIfNegative val="0"/>
          <c:cat>
            <c:strRef>
              <c:f>'CO2 - Cenário RT 1C'!$C$61:$D$61</c:f>
              <c:strCache>
                <c:ptCount val="2"/>
                <c:pt idx="0">
                  <c:v>Resíduos reciclados</c:v>
                </c:pt>
                <c:pt idx="1">
                  <c:v>Líquido</c:v>
                </c:pt>
              </c:strCache>
            </c:strRef>
          </c:cat>
          <c:val>
            <c:numRef>
              <c:f>'CO2 - Cenário RT 1C'!$C$64:$D$64</c:f>
              <c:numCache>
                <c:formatCode>General</c:formatCode>
                <c:ptCount val="2"/>
                <c:pt idx="0" formatCode="#,##0">
                  <c:v>1261.5838604928001</c:v>
                </c:pt>
              </c:numCache>
            </c:numRef>
          </c:val>
          <c:extLst>
            <c:ext xmlns:c16="http://schemas.microsoft.com/office/drawing/2014/chart" uri="{C3380CC4-5D6E-409C-BE32-E72D297353CC}">
              <c16:uniqueId val="{00000002-75FF-4095-8A8B-74991225BD3B}"/>
            </c:ext>
          </c:extLst>
        </c:ser>
        <c:ser>
          <c:idx val="3"/>
          <c:order val="3"/>
          <c:tx>
            <c:strRef>
              <c:f>'CO2 - Cenário RT 1C'!$B$65</c:f>
              <c:strCache>
                <c:ptCount val="1"/>
                <c:pt idx="0">
                  <c:v>Plásticos</c:v>
                </c:pt>
              </c:strCache>
            </c:strRef>
          </c:tx>
          <c:spPr>
            <a:solidFill>
              <a:srgbClr val="FFFF00"/>
            </a:solidFill>
            <a:ln w="12700">
              <a:solidFill>
                <a:srgbClr val="000000"/>
              </a:solidFill>
              <a:prstDash val="solid"/>
            </a:ln>
          </c:spPr>
          <c:invertIfNegative val="0"/>
          <c:cat>
            <c:strRef>
              <c:f>'CO2 - Cenário RT 1C'!$C$61:$D$61</c:f>
              <c:strCache>
                <c:ptCount val="2"/>
                <c:pt idx="0">
                  <c:v>Resíduos reciclados</c:v>
                </c:pt>
                <c:pt idx="1">
                  <c:v>Líquido</c:v>
                </c:pt>
              </c:strCache>
            </c:strRef>
          </c:cat>
          <c:val>
            <c:numRef>
              <c:f>'CO2 - Cenário RT 1C'!$C$65:$D$65</c:f>
              <c:numCache>
                <c:formatCode>General</c:formatCode>
                <c:ptCount val="2"/>
                <c:pt idx="0" formatCode="#,##0">
                  <c:v>280.38273119999997</c:v>
                </c:pt>
              </c:numCache>
            </c:numRef>
          </c:val>
          <c:extLst>
            <c:ext xmlns:c16="http://schemas.microsoft.com/office/drawing/2014/chart" uri="{C3380CC4-5D6E-409C-BE32-E72D297353CC}">
              <c16:uniqueId val="{00000003-75FF-4095-8A8B-74991225BD3B}"/>
            </c:ext>
          </c:extLst>
        </c:ser>
        <c:ser>
          <c:idx val="4"/>
          <c:order val="4"/>
          <c:tx>
            <c:strRef>
              <c:f>'CO2 - Cenário RT 1C'!$B$66</c:f>
              <c:strCache>
                <c:ptCount val="1"/>
                <c:pt idx="0">
                  <c:v>Vidros</c:v>
                </c:pt>
              </c:strCache>
            </c:strRef>
          </c:tx>
          <c:spPr>
            <a:solidFill>
              <a:srgbClr val="FF99CC"/>
            </a:solidFill>
            <a:ln w="12700">
              <a:solidFill>
                <a:srgbClr val="000000"/>
              </a:solidFill>
              <a:prstDash val="solid"/>
            </a:ln>
          </c:spPr>
          <c:invertIfNegative val="0"/>
          <c:cat>
            <c:strRef>
              <c:f>'CO2 - Cenário RT 1C'!$C$61:$D$61</c:f>
              <c:strCache>
                <c:ptCount val="2"/>
                <c:pt idx="0">
                  <c:v>Resíduos reciclados</c:v>
                </c:pt>
                <c:pt idx="1">
                  <c:v>Líquido</c:v>
                </c:pt>
              </c:strCache>
            </c:strRef>
          </c:cat>
          <c:val>
            <c:numRef>
              <c:f>'CO2 - Cenário RT 1C'!$C$66:$D$66</c:f>
              <c:numCache>
                <c:formatCode>General</c:formatCode>
                <c:ptCount val="2"/>
                <c:pt idx="0" formatCode="#,##0">
                  <c:v>0</c:v>
                </c:pt>
              </c:numCache>
            </c:numRef>
          </c:val>
          <c:extLst>
            <c:ext xmlns:c16="http://schemas.microsoft.com/office/drawing/2014/chart" uri="{C3380CC4-5D6E-409C-BE32-E72D297353CC}">
              <c16:uniqueId val="{00000004-75FF-4095-8A8B-74991225BD3B}"/>
            </c:ext>
          </c:extLst>
        </c:ser>
        <c:ser>
          <c:idx val="5"/>
          <c:order val="5"/>
          <c:tx>
            <c:strRef>
              <c:f>'CO2 - Cenário RT 1C'!$B$67</c:f>
              <c:strCache>
                <c:ptCount val="1"/>
                <c:pt idx="0">
                  <c:v>Metais ferrosos</c:v>
                </c:pt>
              </c:strCache>
            </c:strRef>
          </c:tx>
          <c:spPr>
            <a:solidFill>
              <a:srgbClr val="C0C0C0"/>
            </a:solidFill>
            <a:ln w="12700">
              <a:solidFill>
                <a:srgbClr val="000000"/>
              </a:solidFill>
              <a:prstDash val="solid"/>
            </a:ln>
          </c:spPr>
          <c:invertIfNegative val="0"/>
          <c:cat>
            <c:strRef>
              <c:f>'CO2 - Cenário RT 1C'!$C$61:$D$61</c:f>
              <c:strCache>
                <c:ptCount val="2"/>
                <c:pt idx="0">
                  <c:v>Resíduos reciclados</c:v>
                </c:pt>
                <c:pt idx="1">
                  <c:v>Líquido</c:v>
                </c:pt>
              </c:strCache>
            </c:strRef>
          </c:cat>
          <c:val>
            <c:numRef>
              <c:f>'CO2 - Cenário RT 1C'!$C$67:$D$67</c:f>
              <c:numCache>
                <c:formatCode>General</c:formatCode>
                <c:ptCount val="2"/>
                <c:pt idx="0" formatCode="#,##0">
                  <c:v>32.198999039999997</c:v>
                </c:pt>
              </c:numCache>
            </c:numRef>
          </c:val>
          <c:extLst>
            <c:ext xmlns:c16="http://schemas.microsoft.com/office/drawing/2014/chart" uri="{C3380CC4-5D6E-409C-BE32-E72D297353CC}">
              <c16:uniqueId val="{00000005-75FF-4095-8A8B-74991225BD3B}"/>
            </c:ext>
          </c:extLst>
        </c:ser>
        <c:ser>
          <c:idx val="6"/>
          <c:order val="6"/>
          <c:tx>
            <c:strRef>
              <c:f>'CO2 - Cenário RT 1C'!$B$68</c:f>
              <c:strCache>
                <c:ptCount val="1"/>
                <c:pt idx="0">
                  <c:v>Alumínio</c:v>
                </c:pt>
              </c:strCache>
            </c:strRef>
          </c:tx>
          <c:spPr>
            <a:solidFill>
              <a:srgbClr val="993366"/>
            </a:solidFill>
            <a:ln w="12700">
              <a:solidFill>
                <a:srgbClr val="000000"/>
              </a:solidFill>
              <a:prstDash val="solid"/>
            </a:ln>
          </c:spPr>
          <c:invertIfNegative val="0"/>
          <c:cat>
            <c:strRef>
              <c:f>'CO2 - Cenário RT 1C'!$C$61:$D$61</c:f>
              <c:strCache>
                <c:ptCount val="2"/>
                <c:pt idx="0">
                  <c:v>Resíduos reciclados</c:v>
                </c:pt>
                <c:pt idx="1">
                  <c:v>Líquido</c:v>
                </c:pt>
              </c:strCache>
            </c:strRef>
          </c:cat>
          <c:val>
            <c:numRef>
              <c:f>'CO2 - Cenário RT 1C'!$C$68:$D$68</c:f>
              <c:numCache>
                <c:formatCode>General</c:formatCode>
                <c:ptCount val="2"/>
                <c:pt idx="0" formatCode="#,##0">
                  <c:v>91.478406239999984</c:v>
                </c:pt>
              </c:numCache>
            </c:numRef>
          </c:val>
          <c:extLst>
            <c:ext xmlns:c16="http://schemas.microsoft.com/office/drawing/2014/chart" uri="{C3380CC4-5D6E-409C-BE32-E72D297353CC}">
              <c16:uniqueId val="{00000006-75FF-4095-8A8B-74991225BD3B}"/>
            </c:ext>
          </c:extLst>
        </c:ser>
        <c:ser>
          <c:idx val="7"/>
          <c:order val="7"/>
          <c:tx>
            <c:strRef>
              <c:f>'CO2 - Cenário RT 1C'!$B$69</c:f>
              <c:strCache>
                <c:ptCount val="1"/>
                <c:pt idx="0">
                  <c:v>Têxteis</c:v>
                </c:pt>
              </c:strCache>
            </c:strRef>
          </c:tx>
          <c:spPr>
            <a:solidFill>
              <a:srgbClr val="9999FF"/>
            </a:solidFill>
            <a:ln w="12700">
              <a:solidFill>
                <a:srgbClr val="000000"/>
              </a:solidFill>
              <a:prstDash val="solid"/>
            </a:ln>
          </c:spPr>
          <c:invertIfNegative val="0"/>
          <c:cat>
            <c:strRef>
              <c:f>'CO2 - Cenário RT 1C'!$C$61:$D$61</c:f>
              <c:strCache>
                <c:ptCount val="2"/>
                <c:pt idx="0">
                  <c:v>Resíduos reciclados</c:v>
                </c:pt>
                <c:pt idx="1">
                  <c:v>Líquido</c:v>
                </c:pt>
              </c:strCache>
            </c:strRef>
          </c:cat>
          <c:val>
            <c:numRef>
              <c:f>'CO2 - Cenário RT 1C'!$C$69:$D$69</c:f>
              <c:numCache>
                <c:formatCode>General</c:formatCode>
                <c:ptCount val="2"/>
                <c:pt idx="0" formatCode="#,##0">
                  <c:v>0</c:v>
                </c:pt>
              </c:numCache>
            </c:numRef>
          </c:val>
          <c:extLst>
            <c:ext xmlns:c16="http://schemas.microsoft.com/office/drawing/2014/chart" uri="{C3380CC4-5D6E-409C-BE32-E72D297353CC}">
              <c16:uniqueId val="{00000007-75FF-4095-8A8B-74991225BD3B}"/>
            </c:ext>
          </c:extLst>
        </c:ser>
        <c:ser>
          <c:idx val="8"/>
          <c:order val="8"/>
          <c:tx>
            <c:strRef>
              <c:f>'CO2 - Cenário RT 1C'!$B$70</c:f>
              <c:strCache>
                <c:ptCount val="1"/>
                <c:pt idx="0">
                  <c:v>Débitos</c:v>
                </c:pt>
              </c:strCache>
            </c:strRef>
          </c:tx>
          <c:spPr>
            <a:noFill/>
            <a:ln w="25400">
              <a:noFill/>
            </a:ln>
          </c:spPr>
          <c:invertIfNegative val="0"/>
          <c:cat>
            <c:strRef>
              <c:f>'CO2 - Cenário RT 1C'!$C$61:$D$61</c:f>
              <c:strCache>
                <c:ptCount val="2"/>
                <c:pt idx="0">
                  <c:v>Resíduos reciclados</c:v>
                </c:pt>
                <c:pt idx="1">
                  <c:v>Líquido</c:v>
                </c:pt>
              </c:strCache>
            </c:strRef>
          </c:cat>
          <c:val>
            <c:numRef>
              <c:f>'CO2 - Cenário RT 1C'!$C$70:$D$70</c:f>
              <c:numCache>
                <c:formatCode>#,##0</c:formatCode>
                <c:ptCount val="2"/>
              </c:numCache>
            </c:numRef>
          </c:val>
          <c:extLst>
            <c:ext xmlns:c16="http://schemas.microsoft.com/office/drawing/2014/chart" uri="{C3380CC4-5D6E-409C-BE32-E72D297353CC}">
              <c16:uniqueId val="{00000008-75FF-4095-8A8B-74991225BD3B}"/>
            </c:ext>
          </c:extLst>
        </c:ser>
        <c:ser>
          <c:idx val="9"/>
          <c:order val="9"/>
          <c:tx>
            <c:strRef>
              <c:f>'CO2 - Cenário RT 1C'!$B$71</c:f>
              <c:strCache>
                <c:ptCount val="1"/>
                <c:pt idx="0">
                  <c:v>Resíduos de alimentos</c:v>
                </c:pt>
              </c:strCache>
            </c:strRef>
          </c:tx>
          <c:spPr>
            <a:pattFill prst="wdDnDiag">
              <a:fgClr>
                <a:srgbClr val="99CC00"/>
              </a:fgClr>
              <a:bgClr>
                <a:srgbClr val="FFFFFF"/>
              </a:bgClr>
            </a:pattFill>
            <a:ln w="12700">
              <a:solidFill>
                <a:srgbClr val="000000"/>
              </a:solidFill>
              <a:prstDash val="solid"/>
            </a:ln>
          </c:spPr>
          <c:invertIfNegative val="0"/>
          <c:cat>
            <c:strRef>
              <c:f>'CO2 - Cenário RT 1C'!$C$61:$D$61</c:f>
              <c:strCache>
                <c:ptCount val="2"/>
                <c:pt idx="0">
                  <c:v>Resíduos reciclados</c:v>
                </c:pt>
                <c:pt idx="1">
                  <c:v>Líquido</c:v>
                </c:pt>
              </c:strCache>
            </c:strRef>
          </c:cat>
          <c:val>
            <c:numRef>
              <c:f>'CO2 - Cenário RT 1C'!$C$71:$D$71</c:f>
              <c:numCache>
                <c:formatCode>General</c:formatCode>
                <c:ptCount val="2"/>
                <c:pt idx="0" formatCode="#,##0">
                  <c:v>0</c:v>
                </c:pt>
              </c:numCache>
            </c:numRef>
          </c:val>
          <c:extLst>
            <c:ext xmlns:c16="http://schemas.microsoft.com/office/drawing/2014/chart" uri="{C3380CC4-5D6E-409C-BE32-E72D297353CC}">
              <c16:uniqueId val="{00000009-75FF-4095-8A8B-74991225BD3B}"/>
            </c:ext>
          </c:extLst>
        </c:ser>
        <c:ser>
          <c:idx val="10"/>
          <c:order val="10"/>
          <c:tx>
            <c:strRef>
              <c:f>'CO2 - Cenário RT 1C'!$B$72</c:f>
              <c:strCache>
                <c:ptCount val="1"/>
                <c:pt idx="0">
                  <c:v>Resíduos de jardins e parques</c:v>
                </c:pt>
              </c:strCache>
            </c:strRef>
          </c:tx>
          <c:spPr>
            <a:pattFill prst="wdUpDiag">
              <a:fgClr>
                <a:srgbClr val="000080"/>
              </a:fgClr>
              <a:bgClr>
                <a:srgbClr val="FFFFFF"/>
              </a:bgClr>
            </a:pattFill>
            <a:ln w="12700">
              <a:solidFill>
                <a:srgbClr val="000000"/>
              </a:solidFill>
              <a:prstDash val="solid"/>
            </a:ln>
          </c:spPr>
          <c:invertIfNegative val="0"/>
          <c:cat>
            <c:strRef>
              <c:f>'CO2 - Cenário RT 1C'!$C$61:$D$61</c:f>
              <c:strCache>
                <c:ptCount val="2"/>
                <c:pt idx="0">
                  <c:v>Resíduos reciclados</c:v>
                </c:pt>
                <c:pt idx="1">
                  <c:v>Líquido</c:v>
                </c:pt>
              </c:strCache>
            </c:strRef>
          </c:cat>
          <c:val>
            <c:numRef>
              <c:f>'CO2 - Cenário RT 1C'!$C$72:$D$72</c:f>
              <c:numCache>
                <c:formatCode>General</c:formatCode>
                <c:ptCount val="2"/>
                <c:pt idx="0" formatCode="#,##0">
                  <c:v>0</c:v>
                </c:pt>
              </c:numCache>
            </c:numRef>
          </c:val>
          <c:extLst>
            <c:ext xmlns:c16="http://schemas.microsoft.com/office/drawing/2014/chart" uri="{C3380CC4-5D6E-409C-BE32-E72D297353CC}">
              <c16:uniqueId val="{0000000A-75FF-4095-8A8B-74991225BD3B}"/>
            </c:ext>
          </c:extLst>
        </c:ser>
        <c:ser>
          <c:idx val="11"/>
          <c:order val="11"/>
          <c:tx>
            <c:strRef>
              <c:f>'CO2 - Cenário RT 1C'!$B$73</c:f>
              <c:strCache>
                <c:ptCount val="1"/>
                <c:pt idx="0">
                  <c:v>Papel, papelão</c:v>
                </c:pt>
              </c:strCache>
            </c:strRef>
          </c:tx>
          <c:spPr>
            <a:pattFill prst="wdDnDiag">
              <a:fgClr>
                <a:srgbClr val="CC99FF"/>
              </a:fgClr>
              <a:bgClr>
                <a:srgbClr val="FFFFFF"/>
              </a:bgClr>
            </a:pattFill>
            <a:ln w="12700">
              <a:solidFill>
                <a:srgbClr val="000000"/>
              </a:solidFill>
              <a:prstDash val="solid"/>
            </a:ln>
          </c:spPr>
          <c:invertIfNegative val="0"/>
          <c:cat>
            <c:strRef>
              <c:f>'CO2 - Cenário RT 1C'!$C$61:$D$61</c:f>
              <c:strCache>
                <c:ptCount val="2"/>
                <c:pt idx="0">
                  <c:v>Resíduos reciclados</c:v>
                </c:pt>
                <c:pt idx="1">
                  <c:v>Líquido</c:v>
                </c:pt>
              </c:strCache>
            </c:strRef>
          </c:cat>
          <c:val>
            <c:numRef>
              <c:f>'CO2 - Cenário RT 1C'!$C$73:$D$73</c:f>
              <c:numCache>
                <c:formatCode>General</c:formatCode>
                <c:ptCount val="2"/>
                <c:pt idx="0" formatCode="#,##0">
                  <c:v>-1554.8820191423999</c:v>
                </c:pt>
              </c:numCache>
            </c:numRef>
          </c:val>
          <c:extLst>
            <c:ext xmlns:c16="http://schemas.microsoft.com/office/drawing/2014/chart" uri="{C3380CC4-5D6E-409C-BE32-E72D297353CC}">
              <c16:uniqueId val="{0000000B-75FF-4095-8A8B-74991225BD3B}"/>
            </c:ext>
          </c:extLst>
        </c:ser>
        <c:ser>
          <c:idx val="12"/>
          <c:order val="12"/>
          <c:tx>
            <c:strRef>
              <c:f>'CO2 - Cenário RT 1C'!$B$74</c:f>
              <c:strCache>
                <c:ptCount val="1"/>
                <c:pt idx="0">
                  <c:v>Plásticos</c:v>
                </c:pt>
              </c:strCache>
            </c:strRef>
          </c:tx>
          <c:spPr>
            <a:pattFill prst="wdUpDiag">
              <a:fgClr>
                <a:srgbClr val="FFFF00"/>
              </a:fgClr>
              <a:bgClr>
                <a:srgbClr val="FFFFFF"/>
              </a:bgClr>
            </a:pattFill>
            <a:ln w="12700">
              <a:solidFill>
                <a:srgbClr val="000000"/>
              </a:solidFill>
              <a:prstDash val="solid"/>
            </a:ln>
          </c:spPr>
          <c:invertIfNegative val="0"/>
          <c:cat>
            <c:strRef>
              <c:f>'CO2 - Cenário RT 1C'!$C$61:$D$61</c:f>
              <c:strCache>
                <c:ptCount val="2"/>
                <c:pt idx="0">
                  <c:v>Resíduos reciclados</c:v>
                </c:pt>
                <c:pt idx="1">
                  <c:v>Líquido</c:v>
                </c:pt>
              </c:strCache>
            </c:strRef>
          </c:cat>
          <c:val>
            <c:numRef>
              <c:f>'CO2 - Cenário RT 1C'!$C$74:$D$74</c:f>
              <c:numCache>
                <c:formatCode>General</c:formatCode>
                <c:ptCount val="2"/>
                <c:pt idx="0" formatCode="#,##0">
                  <c:v>-1306.0364391359999</c:v>
                </c:pt>
              </c:numCache>
            </c:numRef>
          </c:val>
          <c:extLst>
            <c:ext xmlns:c16="http://schemas.microsoft.com/office/drawing/2014/chart" uri="{C3380CC4-5D6E-409C-BE32-E72D297353CC}">
              <c16:uniqueId val="{0000000C-75FF-4095-8A8B-74991225BD3B}"/>
            </c:ext>
          </c:extLst>
        </c:ser>
        <c:ser>
          <c:idx val="13"/>
          <c:order val="13"/>
          <c:tx>
            <c:strRef>
              <c:f>'CO2 - Cenário RT 1C'!$B$75</c:f>
              <c:strCache>
                <c:ptCount val="1"/>
                <c:pt idx="0">
                  <c:v>Vidros</c:v>
                </c:pt>
              </c:strCache>
            </c:strRef>
          </c:tx>
          <c:spPr>
            <a:pattFill prst="wdDnDiag">
              <a:fgClr>
                <a:srgbClr val="FF99CC"/>
              </a:fgClr>
              <a:bgClr>
                <a:srgbClr val="FFFFFF"/>
              </a:bgClr>
            </a:pattFill>
            <a:ln w="12700">
              <a:solidFill>
                <a:srgbClr val="000000"/>
              </a:solidFill>
              <a:prstDash val="solid"/>
            </a:ln>
          </c:spPr>
          <c:invertIfNegative val="0"/>
          <c:cat>
            <c:strRef>
              <c:f>'CO2 - Cenário RT 1C'!$C$61:$D$61</c:f>
              <c:strCache>
                <c:ptCount val="2"/>
                <c:pt idx="0">
                  <c:v>Resíduos reciclados</c:v>
                </c:pt>
                <c:pt idx="1">
                  <c:v>Líquido</c:v>
                </c:pt>
              </c:strCache>
            </c:strRef>
          </c:cat>
          <c:val>
            <c:numRef>
              <c:f>'CO2 - Cenário RT 1C'!$C$75:$D$75</c:f>
              <c:numCache>
                <c:formatCode>General</c:formatCode>
                <c:ptCount val="2"/>
                <c:pt idx="0" formatCode="#,##0">
                  <c:v>0</c:v>
                </c:pt>
              </c:numCache>
            </c:numRef>
          </c:val>
          <c:extLst>
            <c:ext xmlns:c16="http://schemas.microsoft.com/office/drawing/2014/chart" uri="{C3380CC4-5D6E-409C-BE32-E72D297353CC}">
              <c16:uniqueId val="{0000000D-75FF-4095-8A8B-74991225BD3B}"/>
            </c:ext>
          </c:extLst>
        </c:ser>
        <c:ser>
          <c:idx val="14"/>
          <c:order val="14"/>
          <c:tx>
            <c:strRef>
              <c:f>'CO2 - Cenário RT 1C'!$B$76</c:f>
              <c:strCache>
                <c:ptCount val="1"/>
                <c:pt idx="0">
                  <c:v>Metais ferrosos</c:v>
                </c:pt>
              </c:strCache>
            </c:strRef>
          </c:tx>
          <c:spPr>
            <a:pattFill prst="wdUpDiag">
              <a:fgClr>
                <a:srgbClr val="C0C0C0"/>
              </a:fgClr>
              <a:bgClr>
                <a:srgbClr val="FFFFFF"/>
              </a:bgClr>
            </a:pattFill>
            <a:ln w="12700">
              <a:solidFill>
                <a:srgbClr val="000000"/>
              </a:solidFill>
              <a:prstDash val="solid"/>
            </a:ln>
          </c:spPr>
          <c:invertIfNegative val="0"/>
          <c:cat>
            <c:strRef>
              <c:f>'CO2 - Cenário RT 1C'!$C$61:$D$61</c:f>
              <c:strCache>
                <c:ptCount val="2"/>
                <c:pt idx="0">
                  <c:v>Resíduos reciclados</c:v>
                </c:pt>
                <c:pt idx="1">
                  <c:v>Líquido</c:v>
                </c:pt>
              </c:strCache>
            </c:strRef>
          </c:cat>
          <c:val>
            <c:numRef>
              <c:f>'CO2 - Cenário RT 1C'!$C$76:$D$76</c:f>
              <c:numCache>
                <c:formatCode>General</c:formatCode>
                <c:ptCount val="2"/>
                <c:pt idx="0" formatCode="#,##0">
                  <c:v>-861.32322431999989</c:v>
                </c:pt>
              </c:numCache>
            </c:numRef>
          </c:val>
          <c:extLst>
            <c:ext xmlns:c16="http://schemas.microsoft.com/office/drawing/2014/chart" uri="{C3380CC4-5D6E-409C-BE32-E72D297353CC}">
              <c16:uniqueId val="{0000000E-75FF-4095-8A8B-74991225BD3B}"/>
            </c:ext>
          </c:extLst>
        </c:ser>
        <c:ser>
          <c:idx val="15"/>
          <c:order val="15"/>
          <c:tx>
            <c:strRef>
              <c:f>'CO2 - Cenário RT 1C'!$B$77</c:f>
              <c:strCache>
                <c:ptCount val="1"/>
                <c:pt idx="0">
                  <c:v>Alumínio</c:v>
                </c:pt>
              </c:strCache>
            </c:strRef>
          </c:tx>
          <c:spPr>
            <a:pattFill prst="wdDnDiag">
              <a:fgClr>
                <a:srgbClr val="993366"/>
              </a:fgClr>
              <a:bgClr>
                <a:srgbClr val="FFFFFF"/>
              </a:bgClr>
            </a:pattFill>
            <a:ln w="12700">
              <a:solidFill>
                <a:srgbClr val="000000"/>
              </a:solidFill>
              <a:prstDash val="solid"/>
            </a:ln>
          </c:spPr>
          <c:invertIfNegative val="0"/>
          <c:cat>
            <c:strRef>
              <c:f>'CO2 - Cenário RT 1C'!$C$61:$D$61</c:f>
              <c:strCache>
                <c:ptCount val="2"/>
                <c:pt idx="0">
                  <c:v>Resíduos reciclados</c:v>
                </c:pt>
                <c:pt idx="1">
                  <c:v>Líquido</c:v>
                </c:pt>
              </c:strCache>
            </c:strRef>
          </c:cat>
          <c:val>
            <c:numRef>
              <c:f>'CO2 - Cenário RT 1C'!$C$77:$D$77</c:f>
              <c:numCache>
                <c:formatCode>General</c:formatCode>
                <c:ptCount val="2"/>
                <c:pt idx="0" formatCode="#,##0">
                  <c:v>-1296.7096895999998</c:v>
                </c:pt>
              </c:numCache>
            </c:numRef>
          </c:val>
          <c:extLst>
            <c:ext xmlns:c16="http://schemas.microsoft.com/office/drawing/2014/chart" uri="{C3380CC4-5D6E-409C-BE32-E72D297353CC}">
              <c16:uniqueId val="{0000000F-75FF-4095-8A8B-74991225BD3B}"/>
            </c:ext>
          </c:extLst>
        </c:ser>
        <c:ser>
          <c:idx val="16"/>
          <c:order val="16"/>
          <c:tx>
            <c:strRef>
              <c:f>'CO2 - Cenário RT 1C'!$B$78</c:f>
              <c:strCache>
                <c:ptCount val="1"/>
                <c:pt idx="0">
                  <c:v>Têxteis</c:v>
                </c:pt>
              </c:strCache>
            </c:strRef>
          </c:tx>
          <c:spPr>
            <a:pattFill prst="wdUpDiag">
              <a:fgClr>
                <a:srgbClr val="9999FF"/>
              </a:fgClr>
              <a:bgClr>
                <a:srgbClr val="FFFFFF"/>
              </a:bgClr>
            </a:pattFill>
            <a:ln w="12700">
              <a:solidFill>
                <a:srgbClr val="000000"/>
              </a:solidFill>
              <a:prstDash val="solid"/>
            </a:ln>
          </c:spPr>
          <c:invertIfNegative val="0"/>
          <c:cat>
            <c:strRef>
              <c:f>'CO2 - Cenário RT 1C'!$C$61:$D$61</c:f>
              <c:strCache>
                <c:ptCount val="2"/>
                <c:pt idx="0">
                  <c:v>Resíduos reciclados</c:v>
                </c:pt>
                <c:pt idx="1">
                  <c:v>Líquido</c:v>
                </c:pt>
              </c:strCache>
            </c:strRef>
          </c:cat>
          <c:val>
            <c:numRef>
              <c:f>'CO2 - Cenário RT 1C'!$C$78:$D$78</c:f>
              <c:numCache>
                <c:formatCode>General</c:formatCode>
                <c:ptCount val="2"/>
                <c:pt idx="0" formatCode="#,##0">
                  <c:v>0</c:v>
                </c:pt>
              </c:numCache>
            </c:numRef>
          </c:val>
          <c:extLst>
            <c:ext xmlns:c16="http://schemas.microsoft.com/office/drawing/2014/chart" uri="{C3380CC4-5D6E-409C-BE32-E72D297353CC}">
              <c16:uniqueId val="{00000010-75FF-4095-8A8B-74991225BD3B}"/>
            </c:ext>
          </c:extLst>
        </c:ser>
        <c:ser>
          <c:idx val="17"/>
          <c:order val="17"/>
          <c:tx>
            <c:strRef>
              <c:f>'CO2 - Cenário RT 1C'!$B$79</c:f>
              <c:strCache>
                <c:ptCount val="1"/>
                <c:pt idx="0">
                  <c:v>Créditos</c:v>
                </c:pt>
              </c:strCache>
            </c:strRef>
          </c:tx>
          <c:spPr>
            <a:noFill/>
            <a:ln w="25400">
              <a:noFill/>
            </a:ln>
          </c:spPr>
          <c:invertIfNegative val="0"/>
          <c:cat>
            <c:strRef>
              <c:f>'CO2 - Cenário RT 1C'!$C$61:$D$61</c:f>
              <c:strCache>
                <c:ptCount val="2"/>
                <c:pt idx="0">
                  <c:v>Resíduos reciclados</c:v>
                </c:pt>
                <c:pt idx="1">
                  <c:v>Líquido</c:v>
                </c:pt>
              </c:strCache>
            </c:strRef>
          </c:cat>
          <c:val>
            <c:numRef>
              <c:f>'CO2 - Cenário RT 1C'!$C$79:$D$79</c:f>
              <c:numCache>
                <c:formatCode>#,##0</c:formatCode>
                <c:ptCount val="2"/>
              </c:numCache>
            </c:numRef>
          </c:val>
          <c:extLst>
            <c:ext xmlns:c16="http://schemas.microsoft.com/office/drawing/2014/chart" uri="{C3380CC4-5D6E-409C-BE32-E72D297353CC}">
              <c16:uniqueId val="{00000011-75FF-4095-8A8B-74991225BD3B}"/>
            </c:ext>
          </c:extLst>
        </c:ser>
        <c:ser>
          <c:idx val="18"/>
          <c:order val="18"/>
          <c:tx>
            <c:strRef>
              <c:f>'CO2 - Cenário RT 1C'!$B$80</c:f>
              <c:strCache>
                <c:ptCount val="1"/>
                <c:pt idx="0">
                  <c:v>Líquido</c:v>
                </c:pt>
              </c:strCache>
            </c:strRef>
          </c:tx>
          <c:spPr>
            <a:solidFill>
              <a:srgbClr val="0000FF"/>
            </a:solidFill>
            <a:ln w="12700">
              <a:solidFill>
                <a:srgbClr val="000000"/>
              </a:solidFill>
              <a:prstDash val="solid"/>
            </a:ln>
          </c:spPr>
          <c:invertIfNegative val="0"/>
          <c:cat>
            <c:strRef>
              <c:f>'CO2 - Cenário RT 1C'!$C$61:$D$61</c:f>
              <c:strCache>
                <c:ptCount val="2"/>
                <c:pt idx="0">
                  <c:v>Resíduos reciclados</c:v>
                </c:pt>
                <c:pt idx="1">
                  <c:v>Líquido</c:v>
                </c:pt>
              </c:strCache>
            </c:strRef>
          </c:cat>
          <c:val>
            <c:numRef>
              <c:f>'CO2 - Cenário RT 1C'!$C$80:$D$80</c:f>
              <c:numCache>
                <c:formatCode>#,##0</c:formatCode>
                <c:ptCount val="2"/>
                <c:pt idx="1">
                  <c:v>-3353.3073752255996</c:v>
                </c:pt>
              </c:numCache>
            </c:numRef>
          </c:val>
          <c:extLst>
            <c:ext xmlns:c16="http://schemas.microsoft.com/office/drawing/2014/chart" uri="{C3380CC4-5D6E-409C-BE32-E72D297353CC}">
              <c16:uniqueId val="{00000012-75FF-4095-8A8B-74991225BD3B}"/>
            </c:ext>
          </c:extLst>
        </c:ser>
        <c:dLbls>
          <c:showLegendKey val="0"/>
          <c:showVal val="0"/>
          <c:showCatName val="0"/>
          <c:showSerName val="0"/>
          <c:showPercent val="0"/>
          <c:showBubbleSize val="0"/>
        </c:dLbls>
        <c:gapWidth val="100"/>
        <c:overlap val="100"/>
        <c:axId val="195374464"/>
        <c:axId val="195392640"/>
      </c:barChart>
      <c:catAx>
        <c:axId val="195374464"/>
        <c:scaling>
          <c:orientation val="minMax"/>
        </c:scaling>
        <c:delete val="0"/>
        <c:axPos val="b"/>
        <c:numFmt formatCode="General" sourceLinked="1"/>
        <c:majorTickMark val="out"/>
        <c:minorTickMark val="none"/>
        <c:tickLblPos val="low"/>
        <c:spPr>
          <a:ln w="3175">
            <a:solidFill>
              <a:srgbClr val="000000"/>
            </a:solidFill>
            <a:prstDash val="solid"/>
          </a:ln>
        </c:spPr>
        <c:txPr>
          <a:bodyPr rot="0" vert="horz"/>
          <a:lstStyle/>
          <a:p>
            <a:pPr>
              <a:defRPr sz="875" b="1" i="0" u="none" strike="noStrike" baseline="0">
                <a:solidFill>
                  <a:srgbClr val="000000"/>
                </a:solidFill>
                <a:latin typeface="Arial"/>
                <a:ea typeface="Arial"/>
                <a:cs typeface="Arial"/>
              </a:defRPr>
            </a:pPr>
            <a:endParaRPr lang="pt-BR"/>
          </a:p>
        </c:txPr>
        <c:crossAx val="195392640"/>
        <c:crosses val="autoZero"/>
        <c:auto val="1"/>
        <c:lblAlgn val="ctr"/>
        <c:lblOffset val="100"/>
        <c:tickLblSkip val="1"/>
        <c:tickMarkSkip val="1"/>
        <c:noMultiLvlLbl val="0"/>
      </c:catAx>
      <c:valAx>
        <c:axId val="195392640"/>
        <c:scaling>
          <c:orientation val="minMax"/>
        </c:scaling>
        <c:delete val="0"/>
        <c:axPos val="l"/>
        <c:majorGridlines>
          <c:spPr>
            <a:ln w="3175">
              <a:solidFill>
                <a:srgbClr val="000000"/>
              </a:solidFill>
              <a:prstDash val="solid"/>
            </a:ln>
          </c:spPr>
        </c:majorGridlines>
        <c:title>
          <c:tx>
            <c:rich>
              <a:bodyPr/>
              <a:lstStyle/>
              <a:p>
                <a:pPr>
                  <a:defRPr sz="875" b="1" i="0" u="none" strike="noStrike" baseline="0">
                    <a:solidFill>
                      <a:sysClr val="windowText" lastClr="000000"/>
                    </a:solidFill>
                    <a:latin typeface="Arial"/>
                    <a:ea typeface="Arial"/>
                    <a:cs typeface="Arial"/>
                  </a:defRPr>
                </a:pPr>
                <a:r>
                  <a:rPr lang="de-DE">
                    <a:solidFill>
                      <a:sysClr val="windowText" lastClr="000000"/>
                    </a:solidFill>
                  </a:rPr>
                  <a:t>tonelada CO2-eq / ano</a:t>
                </a:r>
              </a:p>
            </c:rich>
          </c:tx>
          <c:layout>
            <c:manualLayout>
              <c:xMode val="edge"/>
              <c:yMode val="edge"/>
              <c:x val="2.0131744232360058E-2"/>
              <c:y val="0.36337316499060635"/>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75" b="0" i="0" u="none" strike="noStrike" baseline="0">
                <a:solidFill>
                  <a:srgbClr val="000000"/>
                </a:solidFill>
                <a:latin typeface="Arial"/>
                <a:ea typeface="Arial"/>
                <a:cs typeface="Arial"/>
              </a:defRPr>
            </a:pPr>
            <a:endParaRPr lang="pt-BR"/>
          </a:p>
        </c:txPr>
        <c:crossAx val="195374464"/>
        <c:crosses val="autoZero"/>
        <c:crossBetween val="between"/>
      </c:valAx>
      <c:spPr>
        <a:noFill/>
        <a:ln w="12700">
          <a:solidFill>
            <a:srgbClr val="808080"/>
          </a:solidFill>
          <a:prstDash val="solid"/>
        </a:ln>
      </c:spPr>
    </c:plotArea>
    <c:legend>
      <c:legendPos val="r"/>
      <c:legendEntry>
        <c:idx val="0"/>
        <c:txPr>
          <a:bodyPr/>
          <a:lstStyle/>
          <a:p>
            <a:pPr>
              <a:defRPr sz="755" b="1" i="0" u="none" strike="noStrike" baseline="0">
                <a:solidFill>
                  <a:srgbClr val="000000"/>
                </a:solidFill>
                <a:latin typeface="Arial"/>
                <a:ea typeface="Arial"/>
                <a:cs typeface="Arial"/>
              </a:defRPr>
            </a:pPr>
            <a:endParaRPr lang="pt-BR"/>
          </a:p>
        </c:txPr>
      </c:legendEntry>
      <c:legendEntry>
        <c:idx val="1"/>
        <c:txPr>
          <a:bodyPr/>
          <a:lstStyle/>
          <a:p>
            <a:pPr>
              <a:defRPr sz="755" b="1" i="0" u="none" strike="noStrike" baseline="0">
                <a:solidFill>
                  <a:srgbClr val="000000"/>
                </a:solidFill>
                <a:latin typeface="Arial"/>
                <a:ea typeface="Arial"/>
                <a:cs typeface="Arial"/>
              </a:defRPr>
            </a:pPr>
            <a:endParaRPr lang="pt-BR"/>
          </a:p>
        </c:txPr>
      </c:legendEntry>
      <c:legendEntry>
        <c:idx val="4"/>
        <c:txPr>
          <a:bodyPr/>
          <a:lstStyle/>
          <a:p>
            <a:pPr>
              <a:defRPr sz="755" b="0" i="0" u="none" strike="noStrike" baseline="0">
                <a:solidFill>
                  <a:srgbClr val="000000"/>
                </a:solidFill>
                <a:latin typeface="Arial"/>
                <a:ea typeface="Arial"/>
                <a:cs typeface="Arial"/>
              </a:defRPr>
            </a:pPr>
            <a:endParaRPr lang="pt-BR"/>
          </a:p>
        </c:txPr>
      </c:legendEntry>
      <c:legendEntry>
        <c:idx val="5"/>
        <c:txPr>
          <a:bodyPr/>
          <a:lstStyle/>
          <a:p>
            <a:pPr>
              <a:defRPr sz="755" b="0" i="0" u="none" strike="noStrike" baseline="0">
                <a:solidFill>
                  <a:srgbClr val="000000"/>
                </a:solidFill>
                <a:latin typeface="Arial"/>
                <a:ea typeface="Arial"/>
                <a:cs typeface="Arial"/>
              </a:defRPr>
            </a:pPr>
            <a:endParaRPr lang="pt-BR"/>
          </a:p>
        </c:txPr>
      </c:legendEntry>
      <c:legendEntry>
        <c:idx val="6"/>
        <c:txPr>
          <a:bodyPr/>
          <a:lstStyle/>
          <a:p>
            <a:pPr>
              <a:defRPr sz="755" b="0" i="0" u="none" strike="noStrike" baseline="0">
                <a:solidFill>
                  <a:srgbClr val="000000"/>
                </a:solidFill>
                <a:latin typeface="Arial"/>
                <a:ea typeface="Arial"/>
                <a:cs typeface="Arial"/>
              </a:defRPr>
            </a:pPr>
            <a:endParaRPr lang="pt-BR"/>
          </a:p>
        </c:txPr>
      </c:legendEntry>
      <c:legendEntry>
        <c:idx val="7"/>
        <c:txPr>
          <a:bodyPr/>
          <a:lstStyle/>
          <a:p>
            <a:pPr>
              <a:defRPr sz="755" b="0" i="0" u="none" strike="noStrike" baseline="0">
                <a:solidFill>
                  <a:srgbClr val="000000"/>
                </a:solidFill>
                <a:latin typeface="Arial"/>
                <a:ea typeface="Arial"/>
                <a:cs typeface="Arial"/>
              </a:defRPr>
            </a:pPr>
            <a:endParaRPr lang="pt-BR"/>
          </a:p>
        </c:txPr>
      </c:legendEntry>
      <c:legendEntry>
        <c:idx val="9"/>
        <c:txPr>
          <a:bodyPr/>
          <a:lstStyle/>
          <a:p>
            <a:pPr>
              <a:defRPr sz="755" b="0" i="0" u="none" strike="noStrike" baseline="0">
                <a:solidFill>
                  <a:srgbClr val="000000"/>
                </a:solidFill>
                <a:latin typeface="Arial"/>
                <a:ea typeface="Arial"/>
                <a:cs typeface="Arial"/>
              </a:defRPr>
            </a:pPr>
            <a:endParaRPr lang="pt-BR"/>
          </a:p>
        </c:txPr>
      </c:legendEntry>
      <c:legendEntry>
        <c:idx val="10"/>
        <c:txPr>
          <a:bodyPr/>
          <a:lstStyle/>
          <a:p>
            <a:pPr>
              <a:defRPr sz="755" b="1" i="0" u="none" strike="noStrike" baseline="0">
                <a:solidFill>
                  <a:srgbClr val="000000"/>
                </a:solidFill>
                <a:latin typeface="Arial"/>
                <a:ea typeface="Arial"/>
                <a:cs typeface="Arial"/>
              </a:defRPr>
            </a:pPr>
            <a:endParaRPr lang="pt-BR"/>
          </a:p>
        </c:txPr>
      </c:legendEntry>
      <c:legendEntry>
        <c:idx val="12"/>
        <c:txPr>
          <a:bodyPr/>
          <a:lstStyle/>
          <a:p>
            <a:pPr>
              <a:defRPr sz="755" b="0" i="0" u="none" strike="noStrike" baseline="0">
                <a:solidFill>
                  <a:srgbClr val="000000"/>
                </a:solidFill>
                <a:latin typeface="Arial"/>
                <a:ea typeface="Arial"/>
                <a:cs typeface="Arial"/>
              </a:defRPr>
            </a:pPr>
            <a:endParaRPr lang="pt-BR"/>
          </a:p>
        </c:txPr>
      </c:legendEntry>
      <c:legendEntry>
        <c:idx val="13"/>
        <c:txPr>
          <a:bodyPr/>
          <a:lstStyle/>
          <a:p>
            <a:pPr>
              <a:defRPr sz="755" b="0" i="0" u="none" strike="noStrike" baseline="0">
                <a:solidFill>
                  <a:srgbClr val="000000"/>
                </a:solidFill>
                <a:latin typeface="Arial"/>
                <a:ea typeface="Arial"/>
                <a:cs typeface="Arial"/>
              </a:defRPr>
            </a:pPr>
            <a:endParaRPr lang="pt-BR"/>
          </a:p>
        </c:txPr>
      </c:legendEntry>
      <c:layout>
        <c:manualLayout>
          <c:xMode val="edge"/>
          <c:yMode val="edge"/>
          <c:x val="0.73683323631238706"/>
          <c:y val="1.5988349370523305E-2"/>
          <c:w val="0.24322996710015687"/>
          <c:h val="0.98286614435831265"/>
        </c:manualLayout>
      </c:layout>
      <c:overlay val="0"/>
      <c:spPr>
        <a:solidFill>
          <a:srgbClr val="FFFFFF"/>
        </a:solidFill>
        <a:ln w="3175">
          <a:solidFill>
            <a:srgbClr val="000000"/>
          </a:solidFill>
          <a:prstDash val="solid"/>
        </a:ln>
      </c:spPr>
      <c:txPr>
        <a:bodyPr/>
        <a:lstStyle/>
        <a:p>
          <a:pPr>
            <a:defRPr sz="755" b="0" i="0" u="none" strike="noStrike" baseline="0">
              <a:solidFill>
                <a:srgbClr val="000000"/>
              </a:solidFill>
              <a:latin typeface="Arial"/>
              <a:ea typeface="Arial"/>
              <a:cs typeface="Arial"/>
            </a:defRPr>
          </a:pPr>
          <a:endParaRPr lang="pt-BR"/>
        </a:p>
      </c:txPr>
    </c:legend>
    <c:plotVisOnly val="1"/>
    <c:dispBlanksAs val="gap"/>
    <c:showDLblsOverMax val="0"/>
  </c:chart>
  <c:spPr>
    <a:solidFill>
      <a:srgbClr val="FFFFFF"/>
    </a:solid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pt-BR"/>
    </a:p>
  </c:txPr>
  <c:printSettings>
    <c:headerFooter alignWithMargins="0"/>
    <c:pageMargins b="0.98425196899999978" l="0.78740157499999996" r="0.78740157499999996" t="0.98425196899999978" header="0.49212598450000011" footer="0.49212598450000011"/>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75" b="1" i="0" u="none" strike="noStrike" baseline="0">
                <a:solidFill>
                  <a:srgbClr val="000000"/>
                </a:solidFill>
                <a:latin typeface="Arial"/>
                <a:ea typeface="Arial"/>
                <a:cs typeface="Arial"/>
              </a:defRPr>
            </a:pPr>
            <a:r>
              <a:rPr lang="de-DE"/>
              <a:t>Emissões </a:t>
            </a:r>
            <a:r>
              <a:rPr lang="de-DE" sz="975" b="1" i="0" u="none" strike="noStrike" kern="1200" baseline="0">
                <a:solidFill>
                  <a:srgbClr val="000000"/>
                </a:solidFill>
                <a:latin typeface="Arial"/>
                <a:ea typeface="Arial"/>
                <a:cs typeface="Arial"/>
              </a:rPr>
              <a:t>de GEE — Destinação</a:t>
            </a:r>
          </a:p>
        </c:rich>
      </c:tx>
      <c:layout>
        <c:manualLayout>
          <c:xMode val="edge"/>
          <c:yMode val="edge"/>
          <c:x val="0.29399615642403876"/>
          <c:y val="1.5172413793103448E-2"/>
        </c:manualLayout>
      </c:layout>
      <c:overlay val="0"/>
      <c:spPr>
        <a:noFill/>
        <a:ln w="25400">
          <a:noFill/>
        </a:ln>
      </c:spPr>
    </c:title>
    <c:autoTitleDeleted val="0"/>
    <c:plotArea>
      <c:layout>
        <c:manualLayout>
          <c:layoutTarget val="inner"/>
          <c:xMode val="edge"/>
          <c:yMode val="edge"/>
          <c:x val="0.18944118530140547"/>
          <c:y val="0.12689655172413788"/>
          <c:w val="0.52588044881482998"/>
          <c:h val="0.76137931034482786"/>
        </c:manualLayout>
      </c:layout>
      <c:barChart>
        <c:barDir val="col"/>
        <c:grouping val="stacked"/>
        <c:varyColors val="0"/>
        <c:ser>
          <c:idx val="0"/>
          <c:order val="0"/>
          <c:tx>
            <c:strRef>
              <c:f>'CO2 - Cenário RT 1C'!$K$62</c:f>
              <c:strCache>
                <c:ptCount val="1"/>
                <c:pt idx="0">
                  <c:v>Resíduos dispersos</c:v>
                </c:pt>
              </c:strCache>
            </c:strRef>
          </c:tx>
          <c:spPr>
            <a:solidFill>
              <a:srgbClr val="FFFFFF"/>
            </a:solidFill>
            <a:ln w="12700">
              <a:solidFill>
                <a:srgbClr val="000000"/>
              </a:solidFill>
              <a:prstDash val="solid"/>
            </a:ln>
          </c:spPr>
          <c:invertIfNegative val="0"/>
          <c:cat>
            <c:strRef>
              <c:f>'CO2 - Cenário RT 1C'!$L$61:$M$61</c:f>
              <c:strCache>
                <c:ptCount val="2"/>
                <c:pt idx="0">
                  <c:v>Destinação de resíduos</c:v>
                </c:pt>
                <c:pt idx="1">
                  <c:v>Líquido</c:v>
                </c:pt>
              </c:strCache>
            </c:strRef>
          </c:cat>
          <c:val>
            <c:numRef>
              <c:f>'CO2 - Cenário RT 1C'!$L$62:$M$62</c:f>
              <c:numCache>
                <c:formatCode>General</c:formatCode>
                <c:ptCount val="2"/>
                <c:pt idx="0" formatCode="#,##0">
                  <c:v>0</c:v>
                </c:pt>
              </c:numCache>
            </c:numRef>
          </c:val>
          <c:extLst>
            <c:ext xmlns:c16="http://schemas.microsoft.com/office/drawing/2014/chart" uri="{C3380CC4-5D6E-409C-BE32-E72D297353CC}">
              <c16:uniqueId val="{00000000-A82C-4E5D-97BC-E2E4406599D6}"/>
            </c:ext>
          </c:extLst>
        </c:ser>
        <c:ser>
          <c:idx val="1"/>
          <c:order val="1"/>
          <c:tx>
            <c:strRef>
              <c:f>'CO2 - Cenário RT 1C'!$K$63</c:f>
              <c:strCache>
                <c:ptCount val="1"/>
                <c:pt idx="0">
                  <c:v>Queima a céu aberto</c:v>
                </c:pt>
              </c:strCache>
            </c:strRef>
          </c:tx>
          <c:spPr>
            <a:solidFill>
              <a:srgbClr val="FF8080"/>
            </a:solidFill>
            <a:ln w="12700">
              <a:solidFill>
                <a:srgbClr val="000000"/>
              </a:solidFill>
              <a:prstDash val="solid"/>
            </a:ln>
          </c:spPr>
          <c:invertIfNegative val="0"/>
          <c:cat>
            <c:strRef>
              <c:f>'CO2 - Cenário RT 1C'!$L$61:$M$61</c:f>
              <c:strCache>
                <c:ptCount val="2"/>
                <c:pt idx="0">
                  <c:v>Destinação de resíduos</c:v>
                </c:pt>
                <c:pt idx="1">
                  <c:v>Líquido</c:v>
                </c:pt>
              </c:strCache>
            </c:strRef>
          </c:cat>
          <c:val>
            <c:numRef>
              <c:f>'CO2 - Cenário RT 1C'!$L$63:$M$63</c:f>
              <c:numCache>
                <c:formatCode>General</c:formatCode>
                <c:ptCount val="2"/>
                <c:pt idx="0" formatCode="#,##0">
                  <c:v>0</c:v>
                </c:pt>
              </c:numCache>
            </c:numRef>
          </c:val>
          <c:extLst>
            <c:ext xmlns:c16="http://schemas.microsoft.com/office/drawing/2014/chart" uri="{C3380CC4-5D6E-409C-BE32-E72D297353CC}">
              <c16:uniqueId val="{00000001-A82C-4E5D-97BC-E2E4406599D6}"/>
            </c:ext>
          </c:extLst>
        </c:ser>
        <c:ser>
          <c:idx val="2"/>
          <c:order val="2"/>
          <c:tx>
            <c:strRef>
              <c:f>'CO2 - Cenário RT 1C'!$K$64</c:f>
              <c:strCache>
                <c:ptCount val="1"/>
                <c:pt idx="0">
                  <c:v>Lixão não controlado</c:v>
                </c:pt>
              </c:strCache>
            </c:strRef>
          </c:tx>
          <c:spPr>
            <a:solidFill>
              <a:srgbClr val="993300"/>
            </a:solidFill>
            <a:ln w="12700">
              <a:solidFill>
                <a:srgbClr val="000000"/>
              </a:solidFill>
              <a:prstDash val="solid"/>
            </a:ln>
          </c:spPr>
          <c:invertIfNegative val="0"/>
          <c:cat>
            <c:strRef>
              <c:f>'CO2 - Cenário RT 1C'!$L$61:$M$61</c:f>
              <c:strCache>
                <c:ptCount val="2"/>
                <c:pt idx="0">
                  <c:v>Destinação de resíduos</c:v>
                </c:pt>
                <c:pt idx="1">
                  <c:v>Líquido</c:v>
                </c:pt>
              </c:strCache>
            </c:strRef>
          </c:cat>
          <c:val>
            <c:numRef>
              <c:f>'CO2 - Cenário RT 1C'!$L$64:$M$64</c:f>
              <c:numCache>
                <c:formatCode>General</c:formatCode>
                <c:ptCount val="2"/>
                <c:pt idx="0" formatCode="#,##0">
                  <c:v>0</c:v>
                </c:pt>
              </c:numCache>
            </c:numRef>
          </c:val>
          <c:extLst>
            <c:ext xmlns:c16="http://schemas.microsoft.com/office/drawing/2014/chart" uri="{C3380CC4-5D6E-409C-BE32-E72D297353CC}">
              <c16:uniqueId val="{00000002-A82C-4E5D-97BC-E2E4406599D6}"/>
            </c:ext>
          </c:extLst>
        </c:ser>
        <c:ser>
          <c:idx val="3"/>
          <c:order val="3"/>
          <c:tx>
            <c:strRef>
              <c:f>'CO2 - Cenário RT 1C'!$K$65</c:f>
              <c:strCache>
                <c:ptCount val="1"/>
                <c:pt idx="0">
                  <c:v>Aterro controlado</c:v>
                </c:pt>
              </c:strCache>
            </c:strRef>
          </c:tx>
          <c:spPr>
            <a:solidFill>
              <a:srgbClr val="99CC00"/>
            </a:solidFill>
            <a:ln w="12700">
              <a:solidFill>
                <a:srgbClr val="000000"/>
              </a:solidFill>
              <a:prstDash val="solid"/>
            </a:ln>
          </c:spPr>
          <c:invertIfNegative val="0"/>
          <c:cat>
            <c:strRef>
              <c:f>'CO2 - Cenário RT 1C'!$L$61:$M$61</c:f>
              <c:strCache>
                <c:ptCount val="2"/>
                <c:pt idx="0">
                  <c:v>Destinação de resíduos</c:v>
                </c:pt>
                <c:pt idx="1">
                  <c:v>Líquido</c:v>
                </c:pt>
              </c:strCache>
            </c:strRef>
          </c:cat>
          <c:val>
            <c:numRef>
              <c:f>'CO2 - Cenário RT 1C'!$L$65:$M$65</c:f>
              <c:numCache>
                <c:formatCode>General</c:formatCode>
                <c:ptCount val="2"/>
                <c:pt idx="0" formatCode="#,##0">
                  <c:v>0</c:v>
                </c:pt>
              </c:numCache>
            </c:numRef>
          </c:val>
          <c:extLst>
            <c:ext xmlns:c16="http://schemas.microsoft.com/office/drawing/2014/chart" uri="{C3380CC4-5D6E-409C-BE32-E72D297353CC}">
              <c16:uniqueId val="{00000003-A82C-4E5D-97BC-E2E4406599D6}"/>
            </c:ext>
          </c:extLst>
        </c:ser>
        <c:ser>
          <c:idx val="4"/>
          <c:order val="4"/>
          <c:tx>
            <c:strRef>
              <c:f>'CO2 - Cenário RT 1C'!$K$66</c:f>
              <c:strCache>
                <c:ptCount val="1"/>
                <c:pt idx="0">
                  <c:v>Aterro sanitário</c:v>
                </c:pt>
              </c:strCache>
            </c:strRef>
          </c:tx>
          <c:spPr>
            <a:solidFill>
              <a:srgbClr val="FFFF00"/>
            </a:solidFill>
            <a:ln w="12700">
              <a:solidFill>
                <a:srgbClr val="000000"/>
              </a:solidFill>
              <a:prstDash val="solid"/>
            </a:ln>
          </c:spPr>
          <c:invertIfNegative val="0"/>
          <c:cat>
            <c:strRef>
              <c:f>'CO2 - Cenário RT 1C'!$L$61:$M$61</c:f>
              <c:strCache>
                <c:ptCount val="2"/>
                <c:pt idx="0">
                  <c:v>Destinação de resíduos</c:v>
                </c:pt>
                <c:pt idx="1">
                  <c:v>Líquido</c:v>
                </c:pt>
              </c:strCache>
            </c:strRef>
          </c:cat>
          <c:val>
            <c:numRef>
              <c:f>'CO2 - Cenário RT 1C'!$L$66:$M$66</c:f>
              <c:numCache>
                <c:formatCode>General</c:formatCode>
                <c:ptCount val="2"/>
                <c:pt idx="0" formatCode="#,##0">
                  <c:v>8513.3129213582743</c:v>
                </c:pt>
              </c:numCache>
            </c:numRef>
          </c:val>
          <c:extLst>
            <c:ext xmlns:c16="http://schemas.microsoft.com/office/drawing/2014/chart" uri="{C3380CC4-5D6E-409C-BE32-E72D297353CC}">
              <c16:uniqueId val="{00000004-A82C-4E5D-97BC-E2E4406599D6}"/>
            </c:ext>
          </c:extLst>
        </c:ser>
        <c:ser>
          <c:idx val="5"/>
          <c:order val="5"/>
          <c:tx>
            <c:strRef>
              <c:f>'CO2 - Cenário RT 1C'!$K$67</c:f>
              <c:strCache>
                <c:ptCount val="1"/>
                <c:pt idx="0">
                  <c:v>Trat. biol + cobertura at.</c:v>
                </c:pt>
              </c:strCache>
            </c:strRef>
          </c:tx>
          <c:spPr>
            <a:solidFill>
              <a:srgbClr val="FF00FF"/>
            </a:solidFill>
            <a:ln w="12700">
              <a:solidFill>
                <a:srgbClr val="000000"/>
              </a:solidFill>
              <a:prstDash val="solid"/>
            </a:ln>
          </c:spPr>
          <c:invertIfNegative val="0"/>
          <c:cat>
            <c:strRef>
              <c:f>'CO2 - Cenário RT 1C'!$L$61:$M$61</c:f>
              <c:strCache>
                <c:ptCount val="2"/>
                <c:pt idx="0">
                  <c:v>Destinação de resíduos</c:v>
                </c:pt>
                <c:pt idx="1">
                  <c:v>Líquido</c:v>
                </c:pt>
              </c:strCache>
            </c:strRef>
          </c:cat>
          <c:val>
            <c:numRef>
              <c:f>'CO2 - Cenário RT 1C'!$L$67:$M$67</c:f>
              <c:numCache>
                <c:formatCode>General</c:formatCode>
                <c:ptCount val="2"/>
                <c:pt idx="0" formatCode="#,##0">
                  <c:v>0</c:v>
                </c:pt>
              </c:numCache>
            </c:numRef>
          </c:val>
          <c:extLst>
            <c:ext xmlns:c16="http://schemas.microsoft.com/office/drawing/2014/chart" uri="{C3380CC4-5D6E-409C-BE32-E72D297353CC}">
              <c16:uniqueId val="{00000005-A82C-4E5D-97BC-E2E4406599D6}"/>
            </c:ext>
          </c:extLst>
        </c:ser>
        <c:ser>
          <c:idx val="6"/>
          <c:order val="6"/>
          <c:tx>
            <c:strRef>
              <c:f>'CO2 - Cenário RT 1C'!$K$68</c:f>
              <c:strCache>
                <c:ptCount val="1"/>
                <c:pt idx="0">
                  <c:v>CDR seco + rejeito aterro</c:v>
                </c:pt>
              </c:strCache>
            </c:strRef>
          </c:tx>
          <c:spPr>
            <a:solidFill>
              <a:srgbClr val="008080"/>
            </a:solidFill>
            <a:ln w="12700">
              <a:solidFill>
                <a:srgbClr val="000000"/>
              </a:solidFill>
              <a:prstDash val="solid"/>
            </a:ln>
          </c:spPr>
          <c:invertIfNegative val="0"/>
          <c:cat>
            <c:strRef>
              <c:f>'CO2 - Cenário RT 1C'!$L$61:$M$61</c:f>
              <c:strCache>
                <c:ptCount val="2"/>
                <c:pt idx="0">
                  <c:v>Destinação de resíduos</c:v>
                </c:pt>
                <c:pt idx="1">
                  <c:v>Líquido</c:v>
                </c:pt>
              </c:strCache>
            </c:strRef>
          </c:cat>
          <c:val>
            <c:numRef>
              <c:f>'CO2 - Cenário RT 1C'!$L$68:$M$68</c:f>
              <c:numCache>
                <c:formatCode>General</c:formatCode>
                <c:ptCount val="2"/>
                <c:pt idx="0" formatCode="#,##0">
                  <c:v>1557.9926977483726</c:v>
                </c:pt>
              </c:numCache>
            </c:numRef>
          </c:val>
          <c:extLst>
            <c:ext xmlns:c16="http://schemas.microsoft.com/office/drawing/2014/chart" uri="{C3380CC4-5D6E-409C-BE32-E72D297353CC}">
              <c16:uniqueId val="{00000006-A82C-4E5D-97BC-E2E4406599D6}"/>
            </c:ext>
          </c:extLst>
        </c:ser>
        <c:ser>
          <c:idx val="7"/>
          <c:order val="7"/>
          <c:tx>
            <c:strRef>
              <c:f>'CO2 - Cenário RT 1C'!$K$69</c:f>
              <c:strCache>
                <c:ptCount val="1"/>
                <c:pt idx="0">
                  <c:v>CDR seco + trat. biol.</c:v>
                </c:pt>
              </c:strCache>
            </c:strRef>
          </c:tx>
          <c:spPr>
            <a:solidFill>
              <a:srgbClr val="FF9900"/>
            </a:solidFill>
            <a:ln w="12700">
              <a:solidFill>
                <a:srgbClr val="000000"/>
              </a:solidFill>
              <a:prstDash val="solid"/>
            </a:ln>
          </c:spPr>
          <c:invertIfNegative val="0"/>
          <c:cat>
            <c:strRef>
              <c:f>'CO2 - Cenário RT 1C'!$L$61:$M$61</c:f>
              <c:strCache>
                <c:ptCount val="2"/>
                <c:pt idx="0">
                  <c:v>Destinação de resíduos</c:v>
                </c:pt>
                <c:pt idx="1">
                  <c:v>Líquido</c:v>
                </c:pt>
              </c:strCache>
            </c:strRef>
          </c:cat>
          <c:val>
            <c:numRef>
              <c:f>'CO2 - Cenário RT 1C'!$L$69:$M$69</c:f>
              <c:numCache>
                <c:formatCode>General</c:formatCode>
                <c:ptCount val="2"/>
                <c:pt idx="0" formatCode="#,##0">
                  <c:v>1094.0904253692274</c:v>
                </c:pt>
              </c:numCache>
            </c:numRef>
          </c:val>
          <c:extLst>
            <c:ext xmlns:c16="http://schemas.microsoft.com/office/drawing/2014/chart" uri="{C3380CC4-5D6E-409C-BE32-E72D297353CC}">
              <c16:uniqueId val="{00000007-A82C-4E5D-97BC-E2E4406599D6}"/>
            </c:ext>
          </c:extLst>
        </c:ser>
        <c:ser>
          <c:idx val="21"/>
          <c:order val="8"/>
          <c:tx>
            <c:strRef>
              <c:f>'CO2 - Cenário RT 1C'!$K$70</c:f>
              <c:strCache>
                <c:ptCount val="1"/>
                <c:pt idx="0">
                  <c:v>CDR seco + CDR org.</c:v>
                </c:pt>
              </c:strCache>
            </c:strRef>
          </c:tx>
          <c:spPr>
            <a:solidFill>
              <a:srgbClr val="00B0F0"/>
            </a:solidFill>
            <a:ln w="12700">
              <a:solidFill>
                <a:srgbClr val="000000"/>
              </a:solidFill>
            </a:ln>
          </c:spPr>
          <c:invertIfNegative val="0"/>
          <c:cat>
            <c:strRef>
              <c:f>'CO2 - Cenário RT 1C'!$L$61:$M$61</c:f>
              <c:strCache>
                <c:ptCount val="2"/>
                <c:pt idx="0">
                  <c:v>Destinação de resíduos</c:v>
                </c:pt>
                <c:pt idx="1">
                  <c:v>Líquido</c:v>
                </c:pt>
              </c:strCache>
            </c:strRef>
          </c:cat>
          <c:val>
            <c:numRef>
              <c:f>'CO2 - Cenário RT 1C'!$L$70:$M$70</c:f>
              <c:numCache>
                <c:formatCode>General</c:formatCode>
                <c:ptCount val="2"/>
                <c:pt idx="0" formatCode="#,##0">
                  <c:v>0</c:v>
                </c:pt>
              </c:numCache>
            </c:numRef>
          </c:val>
          <c:extLst>
            <c:ext xmlns:c16="http://schemas.microsoft.com/office/drawing/2014/chart" uri="{C3380CC4-5D6E-409C-BE32-E72D297353CC}">
              <c16:uniqueId val="{00000008-A82C-4E5D-97BC-E2E4406599D6}"/>
            </c:ext>
          </c:extLst>
        </c:ser>
        <c:ser>
          <c:idx val="8"/>
          <c:order val="9"/>
          <c:tx>
            <c:strRef>
              <c:f>'CO2 - Cenário RT 1C'!$K$71</c:f>
              <c:strCache>
                <c:ptCount val="1"/>
                <c:pt idx="0">
                  <c:v>Incineração</c:v>
                </c:pt>
              </c:strCache>
            </c:strRef>
          </c:tx>
          <c:spPr>
            <a:solidFill>
              <a:srgbClr val="CCCCFF"/>
            </a:solidFill>
            <a:ln w="12700">
              <a:solidFill>
                <a:srgbClr val="000000"/>
              </a:solidFill>
              <a:prstDash val="solid"/>
            </a:ln>
          </c:spPr>
          <c:invertIfNegative val="0"/>
          <c:cat>
            <c:strRef>
              <c:f>'CO2 - Cenário RT 1C'!$L$61:$M$61</c:f>
              <c:strCache>
                <c:ptCount val="2"/>
                <c:pt idx="0">
                  <c:v>Destinação de resíduos</c:v>
                </c:pt>
                <c:pt idx="1">
                  <c:v>Líquido</c:v>
                </c:pt>
              </c:strCache>
            </c:strRef>
          </c:cat>
          <c:val>
            <c:numRef>
              <c:f>'CO2 - Cenário RT 1C'!$L$71:$M$71</c:f>
              <c:numCache>
                <c:formatCode>General</c:formatCode>
                <c:ptCount val="2"/>
                <c:pt idx="0" formatCode="#,##0">
                  <c:v>0</c:v>
                </c:pt>
              </c:numCache>
            </c:numRef>
          </c:val>
          <c:extLst>
            <c:ext xmlns:c16="http://schemas.microsoft.com/office/drawing/2014/chart" uri="{C3380CC4-5D6E-409C-BE32-E72D297353CC}">
              <c16:uniqueId val="{00000009-A82C-4E5D-97BC-E2E4406599D6}"/>
            </c:ext>
          </c:extLst>
        </c:ser>
        <c:ser>
          <c:idx val="9"/>
          <c:order val="10"/>
          <c:tx>
            <c:strRef>
              <c:f>'CO2 - Cenário RT 1C'!$K$72</c:f>
              <c:strCache>
                <c:ptCount val="1"/>
                <c:pt idx="0">
                  <c:v>Débitos</c:v>
                </c:pt>
              </c:strCache>
            </c:strRef>
          </c:tx>
          <c:spPr>
            <a:noFill/>
            <a:ln w="25400">
              <a:noFill/>
            </a:ln>
          </c:spPr>
          <c:invertIfNegative val="0"/>
          <c:cat>
            <c:strRef>
              <c:f>'CO2 - Cenário RT 1C'!$L$61:$M$61</c:f>
              <c:strCache>
                <c:ptCount val="2"/>
                <c:pt idx="0">
                  <c:v>Destinação de resíduos</c:v>
                </c:pt>
                <c:pt idx="1">
                  <c:v>Líquido</c:v>
                </c:pt>
              </c:strCache>
            </c:strRef>
          </c:cat>
          <c:val>
            <c:numRef>
              <c:f>'CO2 - Cenário RT 1C'!$L$72:$M$72</c:f>
              <c:numCache>
                <c:formatCode>General</c:formatCode>
                <c:ptCount val="2"/>
              </c:numCache>
            </c:numRef>
          </c:val>
          <c:extLst>
            <c:ext xmlns:c16="http://schemas.microsoft.com/office/drawing/2014/chart" uri="{C3380CC4-5D6E-409C-BE32-E72D297353CC}">
              <c16:uniqueId val="{0000000A-A82C-4E5D-97BC-E2E4406599D6}"/>
            </c:ext>
          </c:extLst>
        </c:ser>
        <c:ser>
          <c:idx val="10"/>
          <c:order val="11"/>
          <c:tx>
            <c:strRef>
              <c:f>'CO2 - Cenário RT 1C'!$K$73</c:f>
              <c:strCache>
                <c:ptCount val="1"/>
                <c:pt idx="0">
                  <c:v>Resíduos dispersos</c:v>
                </c:pt>
              </c:strCache>
            </c:strRef>
          </c:tx>
          <c:spPr>
            <a:pattFill prst="wdUpDiag">
              <a:fgClr>
                <a:srgbClr val="FFFFFF"/>
              </a:fgClr>
              <a:bgClr>
                <a:srgbClr val="000000"/>
              </a:bgClr>
            </a:pattFill>
            <a:ln w="12700">
              <a:solidFill>
                <a:srgbClr val="000000"/>
              </a:solidFill>
              <a:prstDash val="solid"/>
            </a:ln>
          </c:spPr>
          <c:invertIfNegative val="0"/>
          <c:cat>
            <c:strRef>
              <c:f>'CO2 - Cenário RT 1C'!$L$61:$M$61</c:f>
              <c:strCache>
                <c:ptCount val="2"/>
                <c:pt idx="0">
                  <c:v>Destinação de resíduos</c:v>
                </c:pt>
                <c:pt idx="1">
                  <c:v>Líquido</c:v>
                </c:pt>
              </c:strCache>
            </c:strRef>
          </c:cat>
          <c:val>
            <c:numRef>
              <c:f>'CO2 - Cenário RT 1C'!$L$73:$M$73</c:f>
              <c:numCache>
                <c:formatCode>General</c:formatCode>
                <c:ptCount val="2"/>
                <c:pt idx="0" formatCode="#,##0">
                  <c:v>0</c:v>
                </c:pt>
              </c:numCache>
            </c:numRef>
          </c:val>
          <c:extLst>
            <c:ext xmlns:c16="http://schemas.microsoft.com/office/drawing/2014/chart" uri="{C3380CC4-5D6E-409C-BE32-E72D297353CC}">
              <c16:uniqueId val="{0000000B-A82C-4E5D-97BC-E2E4406599D6}"/>
            </c:ext>
          </c:extLst>
        </c:ser>
        <c:ser>
          <c:idx val="11"/>
          <c:order val="12"/>
          <c:tx>
            <c:strRef>
              <c:f>'CO2 - Cenário RT 1C'!$K$74</c:f>
              <c:strCache>
                <c:ptCount val="1"/>
                <c:pt idx="0">
                  <c:v>Queima a céu aberto</c:v>
                </c:pt>
              </c:strCache>
            </c:strRef>
          </c:tx>
          <c:spPr>
            <a:pattFill prst="wdDnDiag">
              <a:fgClr>
                <a:srgbClr val="FF8080"/>
              </a:fgClr>
              <a:bgClr>
                <a:srgbClr val="FFFFFF"/>
              </a:bgClr>
            </a:pattFill>
            <a:ln w="12700">
              <a:solidFill>
                <a:srgbClr val="000000"/>
              </a:solidFill>
              <a:prstDash val="solid"/>
            </a:ln>
          </c:spPr>
          <c:invertIfNegative val="0"/>
          <c:cat>
            <c:strRef>
              <c:f>'CO2 - Cenário RT 1C'!$L$61:$M$61</c:f>
              <c:strCache>
                <c:ptCount val="2"/>
                <c:pt idx="0">
                  <c:v>Destinação de resíduos</c:v>
                </c:pt>
                <c:pt idx="1">
                  <c:v>Líquido</c:v>
                </c:pt>
              </c:strCache>
            </c:strRef>
          </c:cat>
          <c:val>
            <c:numRef>
              <c:f>'CO2 - Cenário RT 1C'!$L$74:$M$74</c:f>
              <c:numCache>
                <c:formatCode>General</c:formatCode>
                <c:ptCount val="2"/>
                <c:pt idx="0" formatCode="#,##0">
                  <c:v>0</c:v>
                </c:pt>
              </c:numCache>
            </c:numRef>
          </c:val>
          <c:extLst>
            <c:ext xmlns:c16="http://schemas.microsoft.com/office/drawing/2014/chart" uri="{C3380CC4-5D6E-409C-BE32-E72D297353CC}">
              <c16:uniqueId val="{0000000C-A82C-4E5D-97BC-E2E4406599D6}"/>
            </c:ext>
          </c:extLst>
        </c:ser>
        <c:ser>
          <c:idx val="12"/>
          <c:order val="13"/>
          <c:tx>
            <c:strRef>
              <c:f>'CO2 - Cenário RT 1C'!$K$75</c:f>
              <c:strCache>
                <c:ptCount val="1"/>
                <c:pt idx="0">
                  <c:v>Lixão não controlado</c:v>
                </c:pt>
              </c:strCache>
            </c:strRef>
          </c:tx>
          <c:spPr>
            <a:pattFill prst="wdUpDiag">
              <a:fgClr>
                <a:srgbClr val="993300"/>
              </a:fgClr>
              <a:bgClr>
                <a:srgbClr val="FFFFFF"/>
              </a:bgClr>
            </a:pattFill>
            <a:ln w="12700">
              <a:solidFill>
                <a:srgbClr val="000000"/>
              </a:solidFill>
              <a:prstDash val="solid"/>
            </a:ln>
          </c:spPr>
          <c:invertIfNegative val="0"/>
          <c:cat>
            <c:strRef>
              <c:f>'CO2 - Cenário RT 1C'!$L$61:$M$61</c:f>
              <c:strCache>
                <c:ptCount val="2"/>
                <c:pt idx="0">
                  <c:v>Destinação de resíduos</c:v>
                </c:pt>
                <c:pt idx="1">
                  <c:v>Líquido</c:v>
                </c:pt>
              </c:strCache>
            </c:strRef>
          </c:cat>
          <c:val>
            <c:numRef>
              <c:f>'CO2 - Cenário RT 1C'!$L$75:$M$75</c:f>
              <c:numCache>
                <c:formatCode>General</c:formatCode>
                <c:ptCount val="2"/>
                <c:pt idx="0" formatCode="#,##0">
                  <c:v>0</c:v>
                </c:pt>
              </c:numCache>
            </c:numRef>
          </c:val>
          <c:extLst>
            <c:ext xmlns:c16="http://schemas.microsoft.com/office/drawing/2014/chart" uri="{C3380CC4-5D6E-409C-BE32-E72D297353CC}">
              <c16:uniqueId val="{0000000D-A82C-4E5D-97BC-E2E4406599D6}"/>
            </c:ext>
          </c:extLst>
        </c:ser>
        <c:ser>
          <c:idx val="13"/>
          <c:order val="14"/>
          <c:tx>
            <c:strRef>
              <c:f>'CO2 - Cenário RT 1C'!$K$76</c:f>
              <c:strCache>
                <c:ptCount val="1"/>
                <c:pt idx="0">
                  <c:v>Aterro controlado</c:v>
                </c:pt>
              </c:strCache>
            </c:strRef>
          </c:tx>
          <c:spPr>
            <a:pattFill prst="wdDnDiag">
              <a:fgClr>
                <a:srgbClr val="99CC00"/>
              </a:fgClr>
              <a:bgClr>
                <a:srgbClr val="FFFFFF"/>
              </a:bgClr>
            </a:pattFill>
            <a:ln w="12700">
              <a:solidFill>
                <a:srgbClr val="000000"/>
              </a:solidFill>
              <a:prstDash val="solid"/>
            </a:ln>
          </c:spPr>
          <c:invertIfNegative val="0"/>
          <c:cat>
            <c:strRef>
              <c:f>'CO2 - Cenário RT 1C'!$L$61:$M$61</c:f>
              <c:strCache>
                <c:ptCount val="2"/>
                <c:pt idx="0">
                  <c:v>Destinação de resíduos</c:v>
                </c:pt>
                <c:pt idx="1">
                  <c:v>Líquido</c:v>
                </c:pt>
              </c:strCache>
            </c:strRef>
          </c:cat>
          <c:val>
            <c:numRef>
              <c:f>'CO2 - Cenário RT 1C'!$L$76:$M$76</c:f>
              <c:numCache>
                <c:formatCode>General</c:formatCode>
                <c:ptCount val="2"/>
                <c:pt idx="0" formatCode="#,##0">
                  <c:v>0</c:v>
                </c:pt>
              </c:numCache>
            </c:numRef>
          </c:val>
          <c:extLst>
            <c:ext xmlns:c16="http://schemas.microsoft.com/office/drawing/2014/chart" uri="{C3380CC4-5D6E-409C-BE32-E72D297353CC}">
              <c16:uniqueId val="{0000000E-A82C-4E5D-97BC-E2E4406599D6}"/>
            </c:ext>
          </c:extLst>
        </c:ser>
        <c:ser>
          <c:idx val="14"/>
          <c:order val="15"/>
          <c:tx>
            <c:strRef>
              <c:f>'CO2 - Cenário RT 1C'!$K$77</c:f>
              <c:strCache>
                <c:ptCount val="1"/>
                <c:pt idx="0">
                  <c:v>Aterro sanitário</c:v>
                </c:pt>
              </c:strCache>
            </c:strRef>
          </c:tx>
          <c:spPr>
            <a:pattFill prst="wdUpDiag">
              <a:fgClr>
                <a:srgbClr val="FFFF00"/>
              </a:fgClr>
              <a:bgClr>
                <a:srgbClr val="FFFFFF"/>
              </a:bgClr>
            </a:pattFill>
            <a:ln w="12700">
              <a:solidFill>
                <a:srgbClr val="000000"/>
              </a:solidFill>
              <a:prstDash val="solid"/>
            </a:ln>
          </c:spPr>
          <c:invertIfNegative val="0"/>
          <c:cat>
            <c:strRef>
              <c:f>'CO2 - Cenário RT 1C'!$L$61:$M$61</c:f>
              <c:strCache>
                <c:ptCount val="2"/>
                <c:pt idx="0">
                  <c:v>Destinação de resíduos</c:v>
                </c:pt>
                <c:pt idx="1">
                  <c:v>Líquido</c:v>
                </c:pt>
              </c:strCache>
            </c:strRef>
          </c:cat>
          <c:val>
            <c:numRef>
              <c:f>'CO2 - Cenário RT 1C'!$L$77:$M$77</c:f>
              <c:numCache>
                <c:formatCode>General</c:formatCode>
                <c:ptCount val="2"/>
                <c:pt idx="0" formatCode="#,##0">
                  <c:v>0</c:v>
                </c:pt>
              </c:numCache>
            </c:numRef>
          </c:val>
          <c:extLst>
            <c:ext xmlns:c16="http://schemas.microsoft.com/office/drawing/2014/chart" uri="{C3380CC4-5D6E-409C-BE32-E72D297353CC}">
              <c16:uniqueId val="{0000000F-A82C-4E5D-97BC-E2E4406599D6}"/>
            </c:ext>
          </c:extLst>
        </c:ser>
        <c:ser>
          <c:idx val="15"/>
          <c:order val="16"/>
          <c:tx>
            <c:strRef>
              <c:f>'CO2 - Cenário RT 1C'!$K$78</c:f>
              <c:strCache>
                <c:ptCount val="1"/>
                <c:pt idx="0">
                  <c:v>Trat. biol + cobertura at.</c:v>
                </c:pt>
              </c:strCache>
            </c:strRef>
          </c:tx>
          <c:spPr>
            <a:pattFill prst="wdDnDiag">
              <a:fgClr>
                <a:srgbClr val="FF00FF"/>
              </a:fgClr>
              <a:bgClr>
                <a:srgbClr val="FFFFFF"/>
              </a:bgClr>
            </a:pattFill>
            <a:ln w="12700">
              <a:solidFill>
                <a:srgbClr val="000000"/>
              </a:solidFill>
              <a:prstDash val="solid"/>
            </a:ln>
          </c:spPr>
          <c:invertIfNegative val="0"/>
          <c:cat>
            <c:strRef>
              <c:f>'CO2 - Cenário RT 1C'!$L$61:$M$61</c:f>
              <c:strCache>
                <c:ptCount val="2"/>
                <c:pt idx="0">
                  <c:v>Destinação de resíduos</c:v>
                </c:pt>
                <c:pt idx="1">
                  <c:v>Líquido</c:v>
                </c:pt>
              </c:strCache>
            </c:strRef>
          </c:cat>
          <c:val>
            <c:numRef>
              <c:f>'CO2 - Cenário RT 1C'!$L$78:$M$78</c:f>
              <c:numCache>
                <c:formatCode>General</c:formatCode>
                <c:ptCount val="2"/>
                <c:pt idx="0" formatCode="#,##0">
                  <c:v>0</c:v>
                </c:pt>
              </c:numCache>
            </c:numRef>
          </c:val>
          <c:extLst>
            <c:ext xmlns:c16="http://schemas.microsoft.com/office/drawing/2014/chart" uri="{C3380CC4-5D6E-409C-BE32-E72D297353CC}">
              <c16:uniqueId val="{00000010-A82C-4E5D-97BC-E2E4406599D6}"/>
            </c:ext>
          </c:extLst>
        </c:ser>
        <c:ser>
          <c:idx val="16"/>
          <c:order val="17"/>
          <c:tx>
            <c:strRef>
              <c:f>'CO2 - Cenário RT 1C'!$K$79</c:f>
              <c:strCache>
                <c:ptCount val="1"/>
                <c:pt idx="0">
                  <c:v>CDR seco + rejeito aterro</c:v>
                </c:pt>
              </c:strCache>
            </c:strRef>
          </c:tx>
          <c:spPr>
            <a:pattFill prst="wdUpDiag">
              <a:fgClr>
                <a:srgbClr val="008080"/>
              </a:fgClr>
              <a:bgClr>
                <a:srgbClr val="FFFFFF"/>
              </a:bgClr>
            </a:pattFill>
            <a:ln w="12700">
              <a:solidFill>
                <a:srgbClr val="000000"/>
              </a:solidFill>
              <a:prstDash val="solid"/>
            </a:ln>
          </c:spPr>
          <c:invertIfNegative val="0"/>
          <c:cat>
            <c:strRef>
              <c:f>'CO2 - Cenário RT 1C'!$L$61:$M$61</c:f>
              <c:strCache>
                <c:ptCount val="2"/>
                <c:pt idx="0">
                  <c:v>Destinação de resíduos</c:v>
                </c:pt>
                <c:pt idx="1">
                  <c:v>Líquido</c:v>
                </c:pt>
              </c:strCache>
            </c:strRef>
          </c:cat>
          <c:val>
            <c:numRef>
              <c:f>'CO2 - Cenário RT 1C'!$L$79:$M$79</c:f>
              <c:numCache>
                <c:formatCode>General</c:formatCode>
                <c:ptCount val="2"/>
                <c:pt idx="0" formatCode="#,##0">
                  <c:v>-1295.3249665304779</c:v>
                </c:pt>
              </c:numCache>
            </c:numRef>
          </c:val>
          <c:extLst>
            <c:ext xmlns:c16="http://schemas.microsoft.com/office/drawing/2014/chart" uri="{C3380CC4-5D6E-409C-BE32-E72D297353CC}">
              <c16:uniqueId val="{00000011-A82C-4E5D-97BC-E2E4406599D6}"/>
            </c:ext>
          </c:extLst>
        </c:ser>
        <c:ser>
          <c:idx val="17"/>
          <c:order val="18"/>
          <c:tx>
            <c:strRef>
              <c:f>'CO2 - Cenário RT 1C'!$K$80</c:f>
              <c:strCache>
                <c:ptCount val="1"/>
                <c:pt idx="0">
                  <c:v>CDR seco + trat. biol.</c:v>
                </c:pt>
              </c:strCache>
            </c:strRef>
          </c:tx>
          <c:spPr>
            <a:pattFill prst="wdDnDiag">
              <a:fgClr>
                <a:srgbClr val="FF9900"/>
              </a:fgClr>
              <a:bgClr>
                <a:srgbClr val="FFFFFF"/>
              </a:bgClr>
            </a:pattFill>
            <a:ln w="12700">
              <a:solidFill>
                <a:srgbClr val="000000"/>
              </a:solidFill>
              <a:prstDash val="solid"/>
            </a:ln>
          </c:spPr>
          <c:invertIfNegative val="0"/>
          <c:cat>
            <c:strRef>
              <c:f>'CO2 - Cenário RT 1C'!$L$61:$M$61</c:f>
              <c:strCache>
                <c:ptCount val="2"/>
                <c:pt idx="0">
                  <c:v>Destinação de resíduos</c:v>
                </c:pt>
                <c:pt idx="1">
                  <c:v>Líquido</c:v>
                </c:pt>
              </c:strCache>
            </c:strRef>
          </c:cat>
          <c:val>
            <c:numRef>
              <c:f>'CO2 - Cenário RT 1C'!$L$80:$M$80</c:f>
              <c:numCache>
                <c:formatCode>General</c:formatCode>
                <c:ptCount val="2"/>
                <c:pt idx="0" formatCode="#,##0">
                  <c:v>-5440.3648594280085</c:v>
                </c:pt>
              </c:numCache>
            </c:numRef>
          </c:val>
          <c:extLst>
            <c:ext xmlns:c16="http://schemas.microsoft.com/office/drawing/2014/chart" uri="{C3380CC4-5D6E-409C-BE32-E72D297353CC}">
              <c16:uniqueId val="{00000012-A82C-4E5D-97BC-E2E4406599D6}"/>
            </c:ext>
          </c:extLst>
        </c:ser>
        <c:ser>
          <c:idx val="22"/>
          <c:order val="19"/>
          <c:tx>
            <c:strRef>
              <c:f>'CO2 - Cenário RT 1C'!$K$81</c:f>
              <c:strCache>
                <c:ptCount val="1"/>
                <c:pt idx="0">
                  <c:v>CDR seco + CDR org.</c:v>
                </c:pt>
              </c:strCache>
            </c:strRef>
          </c:tx>
          <c:spPr>
            <a:pattFill prst="wdUpDiag">
              <a:fgClr>
                <a:srgbClr val="00B0F0"/>
              </a:fgClr>
              <a:bgClr>
                <a:schemeClr val="bg1"/>
              </a:bgClr>
            </a:pattFill>
            <a:ln w="12700">
              <a:solidFill>
                <a:schemeClr val="tx1"/>
              </a:solidFill>
            </a:ln>
          </c:spPr>
          <c:invertIfNegative val="0"/>
          <c:cat>
            <c:strRef>
              <c:f>'CO2 - Cenário RT 1C'!$L$61:$M$61</c:f>
              <c:strCache>
                <c:ptCount val="2"/>
                <c:pt idx="0">
                  <c:v>Destinação de resíduos</c:v>
                </c:pt>
                <c:pt idx="1">
                  <c:v>Líquido</c:v>
                </c:pt>
              </c:strCache>
            </c:strRef>
          </c:cat>
          <c:val>
            <c:numRef>
              <c:f>'CO2 - Cenário RT 1C'!$L$81:$M$81</c:f>
              <c:numCache>
                <c:formatCode>General</c:formatCode>
                <c:ptCount val="2"/>
                <c:pt idx="0" formatCode="#,##0">
                  <c:v>0</c:v>
                </c:pt>
              </c:numCache>
            </c:numRef>
          </c:val>
          <c:extLst>
            <c:ext xmlns:c16="http://schemas.microsoft.com/office/drawing/2014/chart" uri="{C3380CC4-5D6E-409C-BE32-E72D297353CC}">
              <c16:uniqueId val="{00000013-A82C-4E5D-97BC-E2E4406599D6}"/>
            </c:ext>
          </c:extLst>
        </c:ser>
        <c:ser>
          <c:idx val="18"/>
          <c:order val="20"/>
          <c:tx>
            <c:strRef>
              <c:f>'CO2 - Cenário RT 1C'!$K$82</c:f>
              <c:strCache>
                <c:ptCount val="1"/>
                <c:pt idx="0">
                  <c:v>Incineração</c:v>
                </c:pt>
              </c:strCache>
            </c:strRef>
          </c:tx>
          <c:spPr>
            <a:pattFill prst="wdDnDiag">
              <a:fgClr>
                <a:srgbClr val="CCCCFF"/>
              </a:fgClr>
              <a:bgClr>
                <a:srgbClr val="FFFFFF"/>
              </a:bgClr>
            </a:pattFill>
            <a:ln w="12700">
              <a:solidFill>
                <a:srgbClr val="000000"/>
              </a:solidFill>
              <a:prstDash val="solid"/>
            </a:ln>
          </c:spPr>
          <c:invertIfNegative val="0"/>
          <c:cat>
            <c:strRef>
              <c:f>'CO2 - Cenário RT 1C'!$L$61:$M$61</c:f>
              <c:strCache>
                <c:ptCount val="2"/>
                <c:pt idx="0">
                  <c:v>Destinação de resíduos</c:v>
                </c:pt>
                <c:pt idx="1">
                  <c:v>Líquido</c:v>
                </c:pt>
              </c:strCache>
            </c:strRef>
          </c:cat>
          <c:val>
            <c:numRef>
              <c:f>'CO2 - Cenário RT 1C'!$L$82:$M$82</c:f>
              <c:numCache>
                <c:formatCode>General</c:formatCode>
                <c:ptCount val="2"/>
                <c:pt idx="0" formatCode="#,##0">
                  <c:v>0</c:v>
                </c:pt>
              </c:numCache>
            </c:numRef>
          </c:val>
          <c:extLst>
            <c:ext xmlns:c16="http://schemas.microsoft.com/office/drawing/2014/chart" uri="{C3380CC4-5D6E-409C-BE32-E72D297353CC}">
              <c16:uniqueId val="{00000014-A82C-4E5D-97BC-E2E4406599D6}"/>
            </c:ext>
          </c:extLst>
        </c:ser>
        <c:ser>
          <c:idx val="19"/>
          <c:order val="21"/>
          <c:tx>
            <c:strRef>
              <c:f>'CO2 - Cenário RT 1C'!$K$83</c:f>
              <c:strCache>
                <c:ptCount val="1"/>
                <c:pt idx="0">
                  <c:v>Créditos</c:v>
                </c:pt>
              </c:strCache>
            </c:strRef>
          </c:tx>
          <c:spPr>
            <a:noFill/>
            <a:ln w="25400">
              <a:noFill/>
            </a:ln>
          </c:spPr>
          <c:invertIfNegative val="0"/>
          <c:cat>
            <c:strRef>
              <c:f>'CO2 - Cenário RT 1C'!$L$61:$M$61</c:f>
              <c:strCache>
                <c:ptCount val="2"/>
                <c:pt idx="0">
                  <c:v>Destinação de resíduos</c:v>
                </c:pt>
                <c:pt idx="1">
                  <c:v>Líquido</c:v>
                </c:pt>
              </c:strCache>
            </c:strRef>
          </c:cat>
          <c:val>
            <c:numRef>
              <c:f>'CO2 - Cenário RT 1C'!$L$83:$M$83</c:f>
              <c:numCache>
                <c:formatCode>General</c:formatCode>
                <c:ptCount val="2"/>
              </c:numCache>
            </c:numRef>
          </c:val>
          <c:extLst>
            <c:ext xmlns:c16="http://schemas.microsoft.com/office/drawing/2014/chart" uri="{C3380CC4-5D6E-409C-BE32-E72D297353CC}">
              <c16:uniqueId val="{00000015-A82C-4E5D-97BC-E2E4406599D6}"/>
            </c:ext>
          </c:extLst>
        </c:ser>
        <c:ser>
          <c:idx val="20"/>
          <c:order val="22"/>
          <c:tx>
            <c:strRef>
              <c:f>'CO2 - Cenário RT 1C'!$K$84</c:f>
              <c:strCache>
                <c:ptCount val="1"/>
                <c:pt idx="0">
                  <c:v>Líquido</c:v>
                </c:pt>
              </c:strCache>
            </c:strRef>
          </c:tx>
          <c:spPr>
            <a:solidFill>
              <a:srgbClr val="0000FF"/>
            </a:solidFill>
            <a:ln w="12700">
              <a:solidFill>
                <a:srgbClr val="000000"/>
              </a:solidFill>
              <a:prstDash val="solid"/>
            </a:ln>
          </c:spPr>
          <c:invertIfNegative val="0"/>
          <c:cat>
            <c:strRef>
              <c:f>'CO2 - Cenário RT 1C'!$L$61:$M$61</c:f>
              <c:strCache>
                <c:ptCount val="2"/>
                <c:pt idx="0">
                  <c:v>Destinação de resíduos</c:v>
                </c:pt>
                <c:pt idx="1">
                  <c:v>Líquido</c:v>
                </c:pt>
              </c:strCache>
            </c:strRef>
          </c:cat>
          <c:val>
            <c:numRef>
              <c:f>'CO2 - Cenário RT 1C'!$L$84:$M$84</c:f>
              <c:numCache>
                <c:formatCode>#,##0</c:formatCode>
                <c:ptCount val="2"/>
                <c:pt idx="1">
                  <c:v>4429.7062185173882</c:v>
                </c:pt>
              </c:numCache>
            </c:numRef>
          </c:val>
          <c:extLst>
            <c:ext xmlns:c16="http://schemas.microsoft.com/office/drawing/2014/chart" uri="{C3380CC4-5D6E-409C-BE32-E72D297353CC}">
              <c16:uniqueId val="{00000016-A82C-4E5D-97BC-E2E4406599D6}"/>
            </c:ext>
          </c:extLst>
        </c:ser>
        <c:dLbls>
          <c:showLegendKey val="0"/>
          <c:showVal val="0"/>
          <c:showCatName val="0"/>
          <c:showSerName val="0"/>
          <c:showPercent val="0"/>
          <c:showBubbleSize val="0"/>
        </c:dLbls>
        <c:gapWidth val="100"/>
        <c:overlap val="100"/>
        <c:axId val="196662016"/>
        <c:axId val="196663552"/>
      </c:barChart>
      <c:catAx>
        <c:axId val="196662016"/>
        <c:scaling>
          <c:orientation val="minMax"/>
        </c:scaling>
        <c:delete val="0"/>
        <c:axPos val="b"/>
        <c:numFmt formatCode="General" sourceLinked="1"/>
        <c:majorTickMark val="out"/>
        <c:minorTickMark val="none"/>
        <c:tickLblPos val="low"/>
        <c:spPr>
          <a:ln w="3175">
            <a:solidFill>
              <a:srgbClr val="000000"/>
            </a:solidFill>
            <a:prstDash val="solid"/>
          </a:ln>
        </c:spPr>
        <c:txPr>
          <a:bodyPr rot="0" vert="horz"/>
          <a:lstStyle/>
          <a:p>
            <a:pPr>
              <a:defRPr sz="875" b="1" i="0" u="none" strike="noStrike" baseline="0">
                <a:solidFill>
                  <a:srgbClr val="000000"/>
                </a:solidFill>
                <a:latin typeface="Arial"/>
                <a:ea typeface="Arial"/>
                <a:cs typeface="Arial"/>
              </a:defRPr>
            </a:pPr>
            <a:endParaRPr lang="pt-BR"/>
          </a:p>
        </c:txPr>
        <c:crossAx val="196663552"/>
        <c:crosses val="autoZero"/>
        <c:auto val="1"/>
        <c:lblAlgn val="ctr"/>
        <c:lblOffset val="100"/>
        <c:tickLblSkip val="1"/>
        <c:tickMarkSkip val="1"/>
        <c:noMultiLvlLbl val="0"/>
      </c:catAx>
      <c:valAx>
        <c:axId val="196663552"/>
        <c:scaling>
          <c:orientation val="minMax"/>
        </c:scaling>
        <c:delete val="0"/>
        <c:axPos val="l"/>
        <c:majorGridlines>
          <c:spPr>
            <a:ln w="3175">
              <a:solidFill>
                <a:srgbClr val="000000"/>
              </a:solidFill>
              <a:prstDash val="solid"/>
            </a:ln>
          </c:spPr>
        </c:majorGridlines>
        <c:title>
          <c:tx>
            <c:rich>
              <a:bodyPr/>
              <a:lstStyle/>
              <a:p>
                <a:pPr>
                  <a:defRPr sz="875" b="1" i="0" u="none" strike="noStrike" baseline="0">
                    <a:solidFill>
                      <a:sysClr val="windowText" lastClr="000000"/>
                    </a:solidFill>
                    <a:latin typeface="Arial"/>
                    <a:ea typeface="Arial"/>
                    <a:cs typeface="Arial"/>
                  </a:defRPr>
                </a:pPr>
                <a:r>
                  <a:rPr lang="de-DE">
                    <a:solidFill>
                      <a:sysClr val="windowText" lastClr="000000"/>
                    </a:solidFill>
                  </a:rPr>
                  <a:t>tonelada CO2-eq / ano</a:t>
                </a:r>
              </a:p>
            </c:rich>
          </c:tx>
          <c:layout>
            <c:manualLayout>
              <c:xMode val="edge"/>
              <c:yMode val="edge"/>
              <c:x val="8.8212774921771833E-3"/>
              <c:y val="0.37517229357203086"/>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75" b="0" i="0" u="none" strike="noStrike" baseline="0">
                <a:solidFill>
                  <a:srgbClr val="000000"/>
                </a:solidFill>
                <a:latin typeface="Arial"/>
                <a:ea typeface="Arial"/>
                <a:cs typeface="Arial"/>
              </a:defRPr>
            </a:pPr>
            <a:endParaRPr lang="pt-BR"/>
          </a:p>
        </c:txPr>
        <c:crossAx val="196662016"/>
        <c:crosses val="autoZero"/>
        <c:crossBetween val="between"/>
      </c:valAx>
      <c:spPr>
        <a:noFill/>
        <a:ln w="12700">
          <a:solidFill>
            <a:srgbClr val="808080"/>
          </a:solidFill>
          <a:prstDash val="solid"/>
        </a:ln>
      </c:spPr>
    </c:plotArea>
    <c:legend>
      <c:legendPos val="r"/>
      <c:legendEntry>
        <c:idx val="0"/>
        <c:txPr>
          <a:bodyPr/>
          <a:lstStyle/>
          <a:p>
            <a:pPr>
              <a:defRPr sz="780" b="1" i="0" u="none" strike="noStrike" baseline="0">
                <a:solidFill>
                  <a:srgbClr val="000000"/>
                </a:solidFill>
                <a:latin typeface="Arial"/>
                <a:ea typeface="Arial"/>
                <a:cs typeface="Arial"/>
              </a:defRPr>
            </a:pPr>
            <a:endParaRPr lang="pt-BR"/>
          </a:p>
        </c:txPr>
      </c:legendEntry>
      <c:legendEntry>
        <c:idx val="1"/>
        <c:txPr>
          <a:bodyPr/>
          <a:lstStyle/>
          <a:p>
            <a:pPr>
              <a:defRPr sz="780" b="1" i="0" u="none" strike="noStrike" baseline="0">
                <a:solidFill>
                  <a:srgbClr val="000000"/>
                </a:solidFill>
                <a:latin typeface="Arial"/>
                <a:ea typeface="Arial"/>
                <a:cs typeface="Arial"/>
              </a:defRPr>
            </a:pPr>
            <a:endParaRPr lang="pt-BR"/>
          </a:p>
        </c:txPr>
      </c:legendEntry>
      <c:legendEntry>
        <c:idx val="5"/>
        <c:txPr>
          <a:bodyPr/>
          <a:lstStyle/>
          <a:p>
            <a:pPr>
              <a:defRPr sz="780" b="0" i="0" u="none" strike="noStrike" baseline="0">
                <a:solidFill>
                  <a:srgbClr val="000000"/>
                </a:solidFill>
                <a:latin typeface="Arial"/>
                <a:ea typeface="Arial"/>
                <a:cs typeface="Arial"/>
              </a:defRPr>
            </a:pPr>
            <a:endParaRPr lang="pt-BR"/>
          </a:p>
        </c:txPr>
      </c:legendEntry>
      <c:legendEntry>
        <c:idx val="6"/>
        <c:txPr>
          <a:bodyPr/>
          <a:lstStyle/>
          <a:p>
            <a:pPr>
              <a:defRPr sz="780" b="0" i="0" u="none" strike="noStrike" baseline="0">
                <a:solidFill>
                  <a:srgbClr val="000000"/>
                </a:solidFill>
                <a:latin typeface="Arial"/>
                <a:ea typeface="Arial"/>
                <a:cs typeface="Arial"/>
              </a:defRPr>
            </a:pPr>
            <a:endParaRPr lang="pt-BR"/>
          </a:p>
        </c:txPr>
      </c:legendEntry>
      <c:legendEntry>
        <c:idx val="9"/>
        <c:txPr>
          <a:bodyPr/>
          <a:lstStyle/>
          <a:p>
            <a:pPr>
              <a:defRPr sz="780" b="0" i="0" u="none" strike="noStrike" baseline="0">
                <a:solidFill>
                  <a:srgbClr val="000000"/>
                </a:solidFill>
                <a:latin typeface="Arial"/>
                <a:ea typeface="Arial"/>
                <a:cs typeface="Arial"/>
              </a:defRPr>
            </a:pPr>
            <a:endParaRPr lang="pt-BR"/>
          </a:p>
        </c:txPr>
      </c:legendEntry>
      <c:legendEntry>
        <c:idx val="10"/>
        <c:txPr>
          <a:bodyPr/>
          <a:lstStyle/>
          <a:p>
            <a:pPr>
              <a:defRPr sz="780" b="0" i="0" u="none" strike="noStrike" baseline="0">
                <a:solidFill>
                  <a:srgbClr val="000000"/>
                </a:solidFill>
                <a:latin typeface="Arial"/>
                <a:ea typeface="Arial"/>
                <a:cs typeface="Arial"/>
              </a:defRPr>
            </a:pPr>
            <a:endParaRPr lang="pt-BR"/>
          </a:p>
        </c:txPr>
      </c:legendEntry>
      <c:legendEntry>
        <c:idx val="12"/>
        <c:txPr>
          <a:bodyPr/>
          <a:lstStyle/>
          <a:p>
            <a:pPr>
              <a:defRPr sz="780" b="1" i="0" u="none" strike="noStrike" baseline="0">
                <a:solidFill>
                  <a:srgbClr val="000000"/>
                </a:solidFill>
                <a:latin typeface="Arial"/>
                <a:ea typeface="Arial"/>
                <a:cs typeface="Arial"/>
              </a:defRPr>
            </a:pPr>
            <a:endParaRPr lang="pt-BR"/>
          </a:p>
        </c:txPr>
      </c:legendEntry>
      <c:legendEntry>
        <c:idx val="15"/>
        <c:txPr>
          <a:bodyPr/>
          <a:lstStyle/>
          <a:p>
            <a:pPr>
              <a:defRPr sz="780" b="0" i="0" u="none" strike="noStrike" baseline="0">
                <a:solidFill>
                  <a:srgbClr val="000000"/>
                </a:solidFill>
                <a:latin typeface="Arial"/>
                <a:ea typeface="Arial"/>
                <a:cs typeface="Arial"/>
              </a:defRPr>
            </a:pPr>
            <a:endParaRPr lang="pt-BR"/>
          </a:p>
        </c:txPr>
      </c:legendEntry>
      <c:legendEntry>
        <c:idx val="17"/>
        <c:txPr>
          <a:bodyPr/>
          <a:lstStyle/>
          <a:p>
            <a:pPr>
              <a:defRPr sz="780" b="0" i="0" u="none" strike="noStrike" baseline="0">
                <a:solidFill>
                  <a:srgbClr val="000000"/>
                </a:solidFill>
                <a:latin typeface="Arial"/>
                <a:ea typeface="Arial"/>
                <a:cs typeface="Arial"/>
              </a:defRPr>
            </a:pPr>
            <a:endParaRPr lang="pt-BR"/>
          </a:p>
        </c:txPr>
      </c:legendEntry>
      <c:layout>
        <c:manualLayout>
          <c:xMode val="edge"/>
          <c:yMode val="edge"/>
          <c:x val="0.72805585816659091"/>
          <c:y val="1.379406613671616E-3"/>
          <c:w val="0.23982592382137799"/>
          <c:h val="0.98536066700002301"/>
        </c:manualLayout>
      </c:layout>
      <c:overlay val="0"/>
      <c:spPr>
        <a:solidFill>
          <a:srgbClr val="FFFFFF"/>
        </a:solidFill>
        <a:ln w="3175">
          <a:solidFill>
            <a:srgbClr val="000000"/>
          </a:solidFill>
          <a:prstDash val="solid"/>
        </a:ln>
      </c:spPr>
      <c:txPr>
        <a:bodyPr/>
        <a:lstStyle/>
        <a:p>
          <a:pPr>
            <a:defRPr sz="780" b="0" i="0" u="none" strike="noStrike" baseline="0">
              <a:solidFill>
                <a:srgbClr val="000000"/>
              </a:solidFill>
              <a:latin typeface="Arial"/>
              <a:ea typeface="Arial"/>
              <a:cs typeface="Arial"/>
            </a:defRPr>
          </a:pPr>
          <a:endParaRPr lang="pt-BR"/>
        </a:p>
      </c:txPr>
    </c:legend>
    <c:plotVisOnly val="1"/>
    <c:dispBlanksAs val="gap"/>
    <c:showDLblsOverMax val="0"/>
  </c:chart>
  <c:spPr>
    <a:solidFill>
      <a:srgbClr val="FFFFFF"/>
    </a:solid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pt-BR"/>
    </a:p>
  </c:txPr>
  <c:printSettings>
    <c:headerFooter alignWithMargins="0"/>
    <c:pageMargins b="0.98425196899999978" l="0.78740157499999996" r="0.78740157499999996" t="0.98425196899999978" header="0.49212598450000011" footer="0.49212598450000011"/>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50" b="1" i="0" u="none" strike="noStrike" baseline="0">
                <a:solidFill>
                  <a:srgbClr val="000000"/>
                </a:solidFill>
                <a:latin typeface="Arial"/>
                <a:ea typeface="Arial"/>
                <a:cs typeface="Arial"/>
              </a:defRPr>
            </a:pPr>
            <a:r>
              <a:rPr lang="de-DE"/>
              <a:t>Emissões de GEE</a:t>
            </a:r>
          </a:p>
        </c:rich>
      </c:tx>
      <c:layout>
        <c:manualLayout>
          <c:xMode val="edge"/>
          <c:yMode val="edge"/>
          <c:x val="0.40831758034026489"/>
          <c:y val="1.5363128491620118E-2"/>
        </c:manualLayout>
      </c:layout>
      <c:overlay val="0"/>
      <c:spPr>
        <a:noFill/>
        <a:ln w="25400">
          <a:noFill/>
        </a:ln>
      </c:spPr>
    </c:title>
    <c:autoTitleDeleted val="0"/>
    <c:plotArea>
      <c:layout>
        <c:manualLayout>
          <c:layoutTarget val="inner"/>
          <c:xMode val="edge"/>
          <c:yMode val="edge"/>
          <c:x val="0.17202268431001888"/>
          <c:y val="0.11312849162011174"/>
          <c:w val="0.79584120982986772"/>
          <c:h val="0.77374301675977719"/>
        </c:manualLayout>
      </c:layout>
      <c:barChart>
        <c:barDir val="col"/>
        <c:grouping val="clustered"/>
        <c:varyColors val="0"/>
        <c:ser>
          <c:idx val="0"/>
          <c:order val="0"/>
          <c:tx>
            <c:strRef>
              <c:f>'CO2 - Cenário RT 1C'!$G$53</c:f>
              <c:strCache>
                <c:ptCount val="1"/>
                <c:pt idx="0">
                  <c:v>Débitos</c:v>
                </c:pt>
              </c:strCache>
            </c:strRef>
          </c:tx>
          <c:spPr>
            <a:solidFill>
              <a:srgbClr val="FFCC99"/>
            </a:solidFill>
            <a:ln w="12700">
              <a:solidFill>
                <a:srgbClr val="000000"/>
              </a:solidFill>
              <a:prstDash val="solid"/>
            </a:ln>
          </c:spPr>
          <c:invertIfNegative val="0"/>
          <c:cat>
            <c:strRef>
              <c:f>'CO2 - Cenário RT 1C'!$H$52:$J$52</c:f>
              <c:strCache>
                <c:ptCount val="3"/>
                <c:pt idx="0">
                  <c:v>Resíduo reciclado</c:v>
                </c:pt>
                <c:pt idx="1">
                  <c:v>Destinação de resíduos</c:v>
                </c:pt>
                <c:pt idx="2">
                  <c:v>RSU total</c:v>
                </c:pt>
              </c:strCache>
            </c:strRef>
          </c:cat>
          <c:val>
            <c:numRef>
              <c:f>'CO2 - Cenário RT 1C'!$H$53:$J$53</c:f>
              <c:numCache>
                <c:formatCode>#,##0</c:formatCode>
                <c:ptCount val="3"/>
                <c:pt idx="0">
                  <c:v>1665.6439969728001</c:v>
                </c:pt>
                <c:pt idx="1">
                  <c:v>11165.396044475874</c:v>
                </c:pt>
                <c:pt idx="2">
                  <c:v>12831.040041448674</c:v>
                </c:pt>
              </c:numCache>
            </c:numRef>
          </c:val>
          <c:extLst>
            <c:ext xmlns:c16="http://schemas.microsoft.com/office/drawing/2014/chart" uri="{C3380CC4-5D6E-409C-BE32-E72D297353CC}">
              <c16:uniqueId val="{00000000-D3D0-4BB4-97F6-7D608BEB4465}"/>
            </c:ext>
          </c:extLst>
        </c:ser>
        <c:ser>
          <c:idx val="1"/>
          <c:order val="1"/>
          <c:tx>
            <c:strRef>
              <c:f>'CO2 - Cenário RT 1C'!$G$54</c:f>
              <c:strCache>
                <c:ptCount val="1"/>
                <c:pt idx="0">
                  <c:v>Créditos</c:v>
                </c:pt>
              </c:strCache>
            </c:strRef>
          </c:tx>
          <c:spPr>
            <a:pattFill prst="wdUpDiag">
              <a:fgClr>
                <a:srgbClr val="FF99CC"/>
              </a:fgClr>
              <a:bgClr>
                <a:srgbClr val="800080"/>
              </a:bgClr>
            </a:pattFill>
            <a:ln w="12700">
              <a:solidFill>
                <a:srgbClr val="000000"/>
              </a:solidFill>
              <a:prstDash val="solid"/>
            </a:ln>
          </c:spPr>
          <c:invertIfNegative val="0"/>
          <c:cat>
            <c:strRef>
              <c:f>'CO2 - Cenário RT 1C'!$H$52:$J$52</c:f>
              <c:strCache>
                <c:ptCount val="3"/>
                <c:pt idx="0">
                  <c:v>Resíduo reciclado</c:v>
                </c:pt>
                <c:pt idx="1">
                  <c:v>Destinação de resíduos</c:v>
                </c:pt>
                <c:pt idx="2">
                  <c:v>RSU total</c:v>
                </c:pt>
              </c:strCache>
            </c:strRef>
          </c:cat>
          <c:val>
            <c:numRef>
              <c:f>'CO2 - Cenário RT 1C'!$H$54:$J$54</c:f>
              <c:numCache>
                <c:formatCode>#,##0</c:formatCode>
                <c:ptCount val="3"/>
                <c:pt idx="0">
                  <c:v>-5018.9513721984003</c:v>
                </c:pt>
                <c:pt idx="1">
                  <c:v>-6735.6898259584868</c:v>
                </c:pt>
                <c:pt idx="2">
                  <c:v>-11754.641198156887</c:v>
                </c:pt>
              </c:numCache>
            </c:numRef>
          </c:val>
          <c:extLst>
            <c:ext xmlns:c16="http://schemas.microsoft.com/office/drawing/2014/chart" uri="{C3380CC4-5D6E-409C-BE32-E72D297353CC}">
              <c16:uniqueId val="{00000001-D3D0-4BB4-97F6-7D608BEB4465}"/>
            </c:ext>
          </c:extLst>
        </c:ser>
        <c:ser>
          <c:idx val="2"/>
          <c:order val="2"/>
          <c:tx>
            <c:strRef>
              <c:f>'CO2 - Cenário RT 1C'!$G$55</c:f>
              <c:strCache>
                <c:ptCount val="1"/>
                <c:pt idx="0">
                  <c:v>Líquido</c:v>
                </c:pt>
              </c:strCache>
            </c:strRef>
          </c:tx>
          <c:spPr>
            <a:solidFill>
              <a:srgbClr val="0000FF"/>
            </a:solidFill>
            <a:ln w="12700">
              <a:solidFill>
                <a:srgbClr val="000000"/>
              </a:solidFill>
              <a:prstDash val="solid"/>
            </a:ln>
          </c:spPr>
          <c:invertIfNegative val="0"/>
          <c:cat>
            <c:strRef>
              <c:f>'CO2 - Cenário RT 1C'!$H$52:$J$52</c:f>
              <c:strCache>
                <c:ptCount val="3"/>
                <c:pt idx="0">
                  <c:v>Resíduo reciclado</c:v>
                </c:pt>
                <c:pt idx="1">
                  <c:v>Destinação de resíduos</c:v>
                </c:pt>
                <c:pt idx="2">
                  <c:v>RSU total</c:v>
                </c:pt>
              </c:strCache>
            </c:strRef>
          </c:cat>
          <c:val>
            <c:numRef>
              <c:f>'CO2 - Cenário RT 1C'!$H$55:$J$55</c:f>
              <c:numCache>
                <c:formatCode>#,##0</c:formatCode>
                <c:ptCount val="3"/>
                <c:pt idx="0">
                  <c:v>-3353.3073752256005</c:v>
                </c:pt>
                <c:pt idx="1">
                  <c:v>4429.7062185173872</c:v>
                </c:pt>
                <c:pt idx="2">
                  <c:v>1076.3988432917868</c:v>
                </c:pt>
              </c:numCache>
            </c:numRef>
          </c:val>
          <c:extLst>
            <c:ext xmlns:c16="http://schemas.microsoft.com/office/drawing/2014/chart" uri="{C3380CC4-5D6E-409C-BE32-E72D297353CC}">
              <c16:uniqueId val="{00000002-D3D0-4BB4-97F6-7D608BEB4465}"/>
            </c:ext>
          </c:extLst>
        </c:ser>
        <c:dLbls>
          <c:showLegendKey val="0"/>
          <c:showVal val="0"/>
          <c:showCatName val="0"/>
          <c:showSerName val="0"/>
          <c:showPercent val="0"/>
          <c:showBubbleSize val="0"/>
        </c:dLbls>
        <c:gapWidth val="100"/>
        <c:axId val="197125248"/>
        <c:axId val="197126784"/>
      </c:barChart>
      <c:catAx>
        <c:axId val="197125248"/>
        <c:scaling>
          <c:orientation val="minMax"/>
        </c:scaling>
        <c:delete val="0"/>
        <c:axPos val="b"/>
        <c:numFmt formatCode="General" sourceLinked="1"/>
        <c:majorTickMark val="out"/>
        <c:minorTickMark val="none"/>
        <c:tickLblPos val="low"/>
        <c:spPr>
          <a:ln w="3175">
            <a:solidFill>
              <a:srgbClr val="000000"/>
            </a:solidFill>
            <a:prstDash val="solid"/>
          </a:ln>
        </c:spPr>
        <c:txPr>
          <a:bodyPr rot="0" vert="horz"/>
          <a:lstStyle/>
          <a:p>
            <a:pPr>
              <a:defRPr sz="925" b="0" i="0" u="none" strike="noStrike" baseline="0">
                <a:solidFill>
                  <a:srgbClr val="000000"/>
                </a:solidFill>
                <a:latin typeface="Arial"/>
                <a:ea typeface="Arial"/>
                <a:cs typeface="Arial"/>
              </a:defRPr>
            </a:pPr>
            <a:endParaRPr lang="pt-BR"/>
          </a:p>
        </c:txPr>
        <c:crossAx val="197126784"/>
        <c:crosses val="autoZero"/>
        <c:auto val="1"/>
        <c:lblAlgn val="ctr"/>
        <c:lblOffset val="50"/>
        <c:tickLblSkip val="1"/>
        <c:tickMarkSkip val="1"/>
        <c:noMultiLvlLbl val="0"/>
      </c:catAx>
      <c:valAx>
        <c:axId val="197126784"/>
        <c:scaling>
          <c:orientation val="minMax"/>
        </c:scaling>
        <c:delete val="0"/>
        <c:axPos val="l"/>
        <c:majorGridlines>
          <c:spPr>
            <a:ln w="3175">
              <a:solidFill>
                <a:srgbClr val="000000"/>
              </a:solidFill>
              <a:prstDash val="solid"/>
            </a:ln>
          </c:spPr>
        </c:majorGridlines>
        <c:title>
          <c:tx>
            <c:rich>
              <a:bodyPr/>
              <a:lstStyle/>
              <a:p>
                <a:pPr>
                  <a:defRPr sz="925" b="1" i="0" u="none" strike="noStrike" baseline="0">
                    <a:solidFill>
                      <a:sysClr val="windowText" lastClr="000000"/>
                    </a:solidFill>
                    <a:latin typeface="Arial"/>
                    <a:ea typeface="Arial"/>
                    <a:cs typeface="Arial"/>
                  </a:defRPr>
                </a:pPr>
                <a:r>
                  <a:rPr lang="de-DE">
                    <a:solidFill>
                      <a:sysClr val="windowText" lastClr="000000"/>
                    </a:solidFill>
                  </a:rPr>
                  <a:t>tonelada CO2-eq / ano</a:t>
                </a:r>
              </a:p>
            </c:rich>
          </c:tx>
          <c:layout>
            <c:manualLayout>
              <c:xMode val="edge"/>
              <c:yMode val="edge"/>
              <c:x val="3.0073021116594712E-4"/>
              <c:y val="0.3547485558903678"/>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925" b="0" i="0" u="none" strike="noStrike" baseline="0">
                <a:solidFill>
                  <a:srgbClr val="000000"/>
                </a:solidFill>
                <a:latin typeface="Arial"/>
                <a:ea typeface="Arial"/>
                <a:cs typeface="Arial"/>
              </a:defRPr>
            </a:pPr>
            <a:endParaRPr lang="pt-BR"/>
          </a:p>
        </c:txPr>
        <c:crossAx val="197125248"/>
        <c:crosses val="autoZero"/>
        <c:crossBetween val="between"/>
      </c:valAx>
      <c:spPr>
        <a:noFill/>
        <a:ln w="3175">
          <a:solidFill>
            <a:srgbClr val="000000"/>
          </a:solidFill>
          <a:prstDash val="solid"/>
        </a:ln>
      </c:spPr>
    </c:plotArea>
    <c:legend>
      <c:legendPos val="r"/>
      <c:layout>
        <c:manualLayout>
          <c:xMode val="edge"/>
          <c:yMode val="edge"/>
          <c:x val="0.17863904063031819"/>
          <c:y val="4.0037243947858472E-2"/>
          <c:w val="0.18431001890359169"/>
          <c:h val="0.19134078212290509"/>
        </c:manualLayout>
      </c:layout>
      <c:overlay val="0"/>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pt-BR"/>
        </a:p>
      </c:txPr>
    </c:legend>
    <c:plotVisOnly val="1"/>
    <c:dispBlanksAs val="gap"/>
    <c:showDLblsOverMax val="0"/>
  </c:chart>
  <c:spPr>
    <a:solidFill>
      <a:srgbClr val="FFFFFF"/>
    </a:solid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pt-BR"/>
    </a:p>
  </c:txPr>
  <c:printSettings>
    <c:headerFooter alignWithMargins="0"/>
    <c:pageMargins b="0.98425196899999978" l="0.78740157499999996" r="0.78740157499999996" t="0.98425196899999978" header="0.49212598450000011" footer="0.49212598450000011"/>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75" b="1" i="0" u="none" strike="noStrike" baseline="0">
                <a:solidFill>
                  <a:srgbClr val="000000"/>
                </a:solidFill>
                <a:latin typeface="Arial"/>
                <a:ea typeface="Arial"/>
                <a:cs typeface="Arial"/>
              </a:defRPr>
            </a:pPr>
            <a:r>
              <a:rPr lang="de-DE"/>
              <a:t>Resíduos tratados</a:t>
            </a:r>
          </a:p>
        </c:rich>
      </c:tx>
      <c:layout>
        <c:manualLayout>
          <c:xMode val="edge"/>
          <c:yMode val="edge"/>
          <c:x val="0.42274881516587692"/>
          <c:y val="1.3333349116180301E-2"/>
        </c:manualLayout>
      </c:layout>
      <c:overlay val="0"/>
      <c:spPr>
        <a:noFill/>
        <a:ln w="25400">
          <a:noFill/>
        </a:ln>
      </c:spPr>
    </c:title>
    <c:autoTitleDeleted val="0"/>
    <c:plotArea>
      <c:layout>
        <c:manualLayout>
          <c:layoutTarget val="inner"/>
          <c:xMode val="edge"/>
          <c:yMode val="edge"/>
          <c:x val="0.18767772511848338"/>
          <c:y val="0.10666679292944244"/>
          <c:w val="0.78672985781990545"/>
          <c:h val="0.58545523846500769"/>
        </c:manualLayout>
      </c:layout>
      <c:barChart>
        <c:barDir val="col"/>
        <c:grouping val="clustered"/>
        <c:varyColors val="0"/>
        <c:ser>
          <c:idx val="0"/>
          <c:order val="0"/>
          <c:spPr>
            <a:solidFill>
              <a:srgbClr val="008000"/>
            </a:solidFill>
            <a:ln w="12700">
              <a:solidFill>
                <a:srgbClr val="000000"/>
              </a:solidFill>
              <a:prstDash val="solid"/>
            </a:ln>
          </c:spPr>
          <c:invertIfNegative val="0"/>
          <c:cat>
            <c:strRef>
              <c:f>('CO2 - Cenário RT 2'!$B$7:$B$15,'CO2 - Cenário RT 2'!$B$18:$B$27)</c:f>
              <c:strCache>
                <c:ptCount val="19"/>
                <c:pt idx="0">
                  <c:v>Resíduos de alimentos</c:v>
                </c:pt>
                <c:pt idx="1">
                  <c:v>Resíduos de jardins e parques</c:v>
                </c:pt>
                <c:pt idx="2">
                  <c:v>Papel, papelão</c:v>
                </c:pt>
                <c:pt idx="3">
                  <c:v>Plásticos</c:v>
                </c:pt>
                <c:pt idx="4">
                  <c:v>Vidros</c:v>
                </c:pt>
                <c:pt idx="5">
                  <c:v>Metais ferrosos</c:v>
                </c:pt>
                <c:pt idx="6">
                  <c:v>Alumínio</c:v>
                </c:pt>
                <c:pt idx="7">
                  <c:v>Têxteis</c:v>
                </c:pt>
                <c:pt idx="9">
                  <c:v>Resíduos dispersos</c:v>
                </c:pt>
                <c:pt idx="10">
                  <c:v>Queima a céu aberto</c:v>
                </c:pt>
                <c:pt idx="11">
                  <c:v>Lixão não controlado</c:v>
                </c:pt>
                <c:pt idx="12">
                  <c:v>Aterro controlado</c:v>
                </c:pt>
                <c:pt idx="13">
                  <c:v>Aterro sanitário</c:v>
                </c:pt>
                <c:pt idx="14">
                  <c:v>Trat. biol + cobertura at.</c:v>
                </c:pt>
                <c:pt idx="15">
                  <c:v>CDR seco + rejeito aterro</c:v>
                </c:pt>
                <c:pt idx="16">
                  <c:v>CDR seco + trat. biol.</c:v>
                </c:pt>
                <c:pt idx="17">
                  <c:v>CDR seco + CDR org.</c:v>
                </c:pt>
                <c:pt idx="18">
                  <c:v>Incineração</c:v>
                </c:pt>
              </c:strCache>
            </c:strRef>
          </c:cat>
          <c:val>
            <c:numRef>
              <c:f>('CO2 - Cenário RT 2'!$C$7:$C$15,'CO2 - Cenário RT 2'!$C$18:$C$27)</c:f>
              <c:numCache>
                <c:formatCode>#,##0</c:formatCode>
                <c:ptCount val="19"/>
                <c:pt idx="0">
                  <c:v>0</c:v>
                </c:pt>
                <c:pt idx="1">
                  <c:v>0</c:v>
                </c:pt>
                <c:pt idx="2">
                  <c:v>1004.4457488</c:v>
                </c:pt>
                <c:pt idx="3">
                  <c:v>683.86032</c:v>
                </c:pt>
                <c:pt idx="4">
                  <c:v>0</c:v>
                </c:pt>
                <c:pt idx="5">
                  <c:v>503.10935999999998</c:v>
                </c:pt>
                <c:pt idx="6">
                  <c:v>131.24591999999998</c:v>
                </c:pt>
                <c:pt idx="7">
                  <c:v>0</c:v>
                </c:pt>
                <c:pt idx="9">
                  <c:v>0</c:v>
                </c:pt>
                <c:pt idx="10">
                  <c:v>0</c:v>
                </c:pt>
                <c:pt idx="11">
                  <c:v>0</c:v>
                </c:pt>
                <c:pt idx="12">
                  <c:v>0</c:v>
                </c:pt>
                <c:pt idx="13">
                  <c:v>7763.6019941999994</c:v>
                </c:pt>
                <c:pt idx="14">
                  <c:v>12939.336657</c:v>
                </c:pt>
                <c:pt idx="15">
                  <c:v>0</c:v>
                </c:pt>
                <c:pt idx="16">
                  <c:v>0</c:v>
                </c:pt>
                <c:pt idx="17">
                  <c:v>0</c:v>
                </c:pt>
                <c:pt idx="18">
                  <c:v>0</c:v>
                </c:pt>
              </c:numCache>
            </c:numRef>
          </c:val>
          <c:extLst>
            <c:ext xmlns:c16="http://schemas.microsoft.com/office/drawing/2014/chart" uri="{C3380CC4-5D6E-409C-BE32-E72D297353CC}">
              <c16:uniqueId val="{00000000-919D-4729-B3A3-30CB45814024}"/>
            </c:ext>
          </c:extLst>
        </c:ser>
        <c:dLbls>
          <c:showLegendKey val="0"/>
          <c:showVal val="0"/>
          <c:showCatName val="0"/>
          <c:showSerName val="0"/>
          <c:showPercent val="0"/>
          <c:showBubbleSize val="0"/>
        </c:dLbls>
        <c:gapWidth val="100"/>
        <c:axId val="197260416"/>
        <c:axId val="197261952"/>
      </c:barChart>
      <c:catAx>
        <c:axId val="197260416"/>
        <c:scaling>
          <c:orientation val="minMax"/>
        </c:scaling>
        <c:delete val="0"/>
        <c:axPos val="b"/>
        <c:numFmt formatCode="General" sourceLinked="1"/>
        <c:majorTickMark val="out"/>
        <c:minorTickMark val="none"/>
        <c:tickLblPos val="nextTo"/>
        <c:spPr>
          <a:ln w="3175">
            <a:solidFill>
              <a:srgbClr val="000000"/>
            </a:solidFill>
            <a:prstDash val="solid"/>
          </a:ln>
        </c:spPr>
        <c:txPr>
          <a:bodyPr rot="-3660000" vert="horz"/>
          <a:lstStyle/>
          <a:p>
            <a:pPr>
              <a:defRPr sz="875" b="0" i="0" u="none" strike="noStrike" baseline="0">
                <a:solidFill>
                  <a:srgbClr val="000000"/>
                </a:solidFill>
                <a:latin typeface="Arial"/>
                <a:ea typeface="Arial"/>
                <a:cs typeface="Arial"/>
              </a:defRPr>
            </a:pPr>
            <a:endParaRPr lang="pt-BR"/>
          </a:p>
        </c:txPr>
        <c:crossAx val="197261952"/>
        <c:crosses val="autoZero"/>
        <c:auto val="1"/>
        <c:lblAlgn val="ctr"/>
        <c:lblOffset val="100"/>
        <c:tickLblSkip val="1"/>
        <c:tickMarkSkip val="1"/>
        <c:noMultiLvlLbl val="0"/>
      </c:catAx>
      <c:valAx>
        <c:axId val="197261952"/>
        <c:scaling>
          <c:orientation val="minMax"/>
        </c:scaling>
        <c:delete val="0"/>
        <c:axPos val="l"/>
        <c:majorGridlines>
          <c:spPr>
            <a:ln w="3175">
              <a:solidFill>
                <a:srgbClr val="000000"/>
              </a:solidFill>
              <a:prstDash val="solid"/>
            </a:ln>
          </c:spPr>
        </c:majorGridlines>
        <c:title>
          <c:tx>
            <c:rich>
              <a:bodyPr/>
              <a:lstStyle/>
              <a:p>
                <a:pPr>
                  <a:defRPr sz="950" b="1" i="0" u="none" strike="noStrike" baseline="0">
                    <a:solidFill>
                      <a:sysClr val="windowText" lastClr="000000"/>
                    </a:solidFill>
                    <a:latin typeface="Arial"/>
                    <a:ea typeface="Arial"/>
                    <a:cs typeface="Arial"/>
                  </a:defRPr>
                </a:pPr>
                <a:r>
                  <a:rPr lang="de-DE">
                    <a:solidFill>
                      <a:sysClr val="windowText" lastClr="000000"/>
                    </a:solidFill>
                  </a:rPr>
                  <a:t>tonelada / ano</a:t>
                </a:r>
              </a:p>
            </c:rich>
          </c:tx>
          <c:layout>
            <c:manualLayout>
              <c:xMode val="edge"/>
              <c:yMode val="edge"/>
              <c:x val="1.0426540284360198E-2"/>
              <c:y val="0.36606103937149548"/>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950" b="0" i="0" u="none" strike="noStrike" baseline="0">
                <a:solidFill>
                  <a:srgbClr val="000000"/>
                </a:solidFill>
                <a:latin typeface="Arial"/>
                <a:ea typeface="Arial"/>
                <a:cs typeface="Arial"/>
              </a:defRPr>
            </a:pPr>
            <a:endParaRPr lang="pt-BR"/>
          </a:p>
        </c:txPr>
        <c:crossAx val="197260416"/>
        <c:crosses val="autoZero"/>
        <c:crossBetween val="between"/>
      </c:valAx>
      <c:spPr>
        <a:noFill/>
        <a:ln w="3175">
          <a:solidFill>
            <a:srgbClr val="000000"/>
          </a:solidFill>
          <a:prstDash val="solid"/>
        </a:ln>
      </c:spPr>
    </c:plotArea>
    <c:plotVisOnly val="1"/>
    <c:dispBlanksAs val="gap"/>
    <c:showDLblsOverMax val="0"/>
  </c:chart>
  <c:spPr>
    <a:no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pt-BR"/>
    </a:p>
  </c:txPr>
  <c:printSettings>
    <c:headerFooter alignWithMargins="0"/>
    <c:pageMargins b="0.98425196899999978" l="0.78740157499999996" r="0.78740157499999996" t="0.98425196899999978" header="0.49212598450000011" footer="0.49212598450000011"/>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b="1"/>
            </a:pPr>
            <a:r>
              <a:rPr lang="de-DE" b="1"/>
              <a:t>Emissões de GEE </a:t>
            </a:r>
            <a:r>
              <a:rPr lang="pt-BR" b="1"/>
              <a:t>—</a:t>
            </a:r>
            <a:r>
              <a:rPr lang="de-DE" b="1"/>
              <a:t> Reciclagem</a:t>
            </a:r>
          </a:p>
        </c:rich>
      </c:tx>
      <c:layout>
        <c:manualLayout>
          <c:xMode val="edge"/>
          <c:yMode val="edge"/>
          <c:x val="0.25966850828729282"/>
          <c:y val="1.5988417481653919E-2"/>
        </c:manualLayout>
      </c:layout>
      <c:overlay val="0"/>
      <c:spPr>
        <a:noFill/>
        <a:ln w="25400">
          <a:noFill/>
        </a:ln>
      </c:spPr>
    </c:title>
    <c:autoTitleDeleted val="0"/>
    <c:plotArea>
      <c:layout>
        <c:manualLayout>
          <c:layoutTarget val="inner"/>
          <c:xMode val="edge"/>
          <c:yMode val="edge"/>
          <c:x val="0.21767955801104968"/>
          <c:y val="0.12354686235823484"/>
          <c:w val="0.50386740331491708"/>
          <c:h val="0.75872308412939515"/>
        </c:manualLayout>
      </c:layout>
      <c:barChart>
        <c:barDir val="col"/>
        <c:grouping val="stacked"/>
        <c:varyColors val="0"/>
        <c:ser>
          <c:idx val="0"/>
          <c:order val="0"/>
          <c:tx>
            <c:strRef>
              <c:f>'CO2 - Cenário RT 2'!$B$62</c:f>
              <c:strCache>
                <c:ptCount val="1"/>
                <c:pt idx="0">
                  <c:v>Resíduos de alimentos</c:v>
                </c:pt>
              </c:strCache>
            </c:strRef>
          </c:tx>
          <c:spPr>
            <a:solidFill>
              <a:srgbClr val="99CC00"/>
            </a:solidFill>
            <a:ln w="12700">
              <a:solidFill>
                <a:srgbClr val="000000"/>
              </a:solidFill>
              <a:prstDash val="solid"/>
            </a:ln>
          </c:spPr>
          <c:invertIfNegative val="0"/>
          <c:cat>
            <c:strRef>
              <c:f>'CO2 - Cenário RT 2'!$C$61:$D$61</c:f>
              <c:strCache>
                <c:ptCount val="2"/>
                <c:pt idx="0">
                  <c:v>Resíduos reciclados</c:v>
                </c:pt>
                <c:pt idx="1">
                  <c:v>Líquido</c:v>
                </c:pt>
              </c:strCache>
            </c:strRef>
          </c:cat>
          <c:val>
            <c:numRef>
              <c:f>'CO2 - Cenário RT 2'!$C$62:$D$62</c:f>
              <c:numCache>
                <c:formatCode>General</c:formatCode>
                <c:ptCount val="2"/>
                <c:pt idx="0" formatCode="#,##0">
                  <c:v>0</c:v>
                </c:pt>
              </c:numCache>
            </c:numRef>
          </c:val>
          <c:extLst>
            <c:ext xmlns:c16="http://schemas.microsoft.com/office/drawing/2014/chart" uri="{C3380CC4-5D6E-409C-BE32-E72D297353CC}">
              <c16:uniqueId val="{00000000-CEC6-4518-96DC-3D8F9238C209}"/>
            </c:ext>
          </c:extLst>
        </c:ser>
        <c:ser>
          <c:idx val="1"/>
          <c:order val="1"/>
          <c:tx>
            <c:strRef>
              <c:f>'CO2 - Cenário RT 2'!$B$63</c:f>
              <c:strCache>
                <c:ptCount val="1"/>
                <c:pt idx="0">
                  <c:v>Resíduos de jardins e parques</c:v>
                </c:pt>
              </c:strCache>
            </c:strRef>
          </c:tx>
          <c:spPr>
            <a:solidFill>
              <a:srgbClr val="000080"/>
            </a:solidFill>
            <a:ln w="12700">
              <a:solidFill>
                <a:srgbClr val="000000"/>
              </a:solidFill>
              <a:prstDash val="solid"/>
            </a:ln>
          </c:spPr>
          <c:invertIfNegative val="0"/>
          <c:cat>
            <c:strRef>
              <c:f>'CO2 - Cenário RT 2'!$C$61:$D$61</c:f>
              <c:strCache>
                <c:ptCount val="2"/>
                <c:pt idx="0">
                  <c:v>Resíduos reciclados</c:v>
                </c:pt>
                <c:pt idx="1">
                  <c:v>Líquido</c:v>
                </c:pt>
              </c:strCache>
            </c:strRef>
          </c:cat>
          <c:val>
            <c:numRef>
              <c:f>'CO2 - Cenário RT 2'!$C$63:$D$63</c:f>
              <c:numCache>
                <c:formatCode>General</c:formatCode>
                <c:ptCount val="2"/>
                <c:pt idx="0" formatCode="#,##0">
                  <c:v>0</c:v>
                </c:pt>
              </c:numCache>
            </c:numRef>
          </c:val>
          <c:extLst>
            <c:ext xmlns:c16="http://schemas.microsoft.com/office/drawing/2014/chart" uri="{C3380CC4-5D6E-409C-BE32-E72D297353CC}">
              <c16:uniqueId val="{00000001-CEC6-4518-96DC-3D8F9238C209}"/>
            </c:ext>
          </c:extLst>
        </c:ser>
        <c:ser>
          <c:idx val="2"/>
          <c:order val="2"/>
          <c:tx>
            <c:strRef>
              <c:f>'CO2 - Cenário RT 2'!$B$64</c:f>
              <c:strCache>
                <c:ptCount val="1"/>
                <c:pt idx="0">
                  <c:v>Papel, papelão</c:v>
                </c:pt>
              </c:strCache>
            </c:strRef>
          </c:tx>
          <c:spPr>
            <a:solidFill>
              <a:srgbClr val="CC99FF"/>
            </a:solidFill>
            <a:ln w="12700">
              <a:solidFill>
                <a:srgbClr val="000000"/>
              </a:solidFill>
              <a:prstDash val="solid"/>
            </a:ln>
          </c:spPr>
          <c:invertIfNegative val="0"/>
          <c:cat>
            <c:strRef>
              <c:f>'CO2 - Cenário RT 2'!$C$61:$D$61</c:f>
              <c:strCache>
                <c:ptCount val="2"/>
                <c:pt idx="0">
                  <c:v>Resíduos reciclados</c:v>
                </c:pt>
                <c:pt idx="1">
                  <c:v>Líquido</c:v>
                </c:pt>
              </c:strCache>
            </c:strRef>
          </c:cat>
          <c:val>
            <c:numRef>
              <c:f>'CO2 - Cenário RT 2'!$C$64:$D$64</c:f>
              <c:numCache>
                <c:formatCode>General</c:formatCode>
                <c:ptCount val="2"/>
                <c:pt idx="0" formatCode="#,##0">
                  <c:v>1261.5838604928001</c:v>
                </c:pt>
              </c:numCache>
            </c:numRef>
          </c:val>
          <c:extLst>
            <c:ext xmlns:c16="http://schemas.microsoft.com/office/drawing/2014/chart" uri="{C3380CC4-5D6E-409C-BE32-E72D297353CC}">
              <c16:uniqueId val="{00000002-CEC6-4518-96DC-3D8F9238C209}"/>
            </c:ext>
          </c:extLst>
        </c:ser>
        <c:ser>
          <c:idx val="3"/>
          <c:order val="3"/>
          <c:tx>
            <c:strRef>
              <c:f>'CO2 - Cenário RT 2'!$B$65</c:f>
              <c:strCache>
                <c:ptCount val="1"/>
                <c:pt idx="0">
                  <c:v>Plásticos</c:v>
                </c:pt>
              </c:strCache>
            </c:strRef>
          </c:tx>
          <c:spPr>
            <a:solidFill>
              <a:srgbClr val="FFFF00"/>
            </a:solidFill>
            <a:ln w="12700">
              <a:solidFill>
                <a:srgbClr val="000000"/>
              </a:solidFill>
              <a:prstDash val="solid"/>
            </a:ln>
          </c:spPr>
          <c:invertIfNegative val="0"/>
          <c:cat>
            <c:strRef>
              <c:f>'CO2 - Cenário RT 2'!$C$61:$D$61</c:f>
              <c:strCache>
                <c:ptCount val="2"/>
                <c:pt idx="0">
                  <c:v>Resíduos reciclados</c:v>
                </c:pt>
                <c:pt idx="1">
                  <c:v>Líquido</c:v>
                </c:pt>
              </c:strCache>
            </c:strRef>
          </c:cat>
          <c:val>
            <c:numRef>
              <c:f>'CO2 - Cenário RT 2'!$C$65:$D$65</c:f>
              <c:numCache>
                <c:formatCode>General</c:formatCode>
                <c:ptCount val="2"/>
                <c:pt idx="0" formatCode="#,##0">
                  <c:v>280.38273119999997</c:v>
                </c:pt>
              </c:numCache>
            </c:numRef>
          </c:val>
          <c:extLst>
            <c:ext xmlns:c16="http://schemas.microsoft.com/office/drawing/2014/chart" uri="{C3380CC4-5D6E-409C-BE32-E72D297353CC}">
              <c16:uniqueId val="{00000003-CEC6-4518-96DC-3D8F9238C209}"/>
            </c:ext>
          </c:extLst>
        </c:ser>
        <c:ser>
          <c:idx val="4"/>
          <c:order val="4"/>
          <c:tx>
            <c:strRef>
              <c:f>'CO2 - Cenário RT 2'!$B$66</c:f>
              <c:strCache>
                <c:ptCount val="1"/>
                <c:pt idx="0">
                  <c:v>Vidros</c:v>
                </c:pt>
              </c:strCache>
            </c:strRef>
          </c:tx>
          <c:spPr>
            <a:solidFill>
              <a:srgbClr val="FF99CC"/>
            </a:solidFill>
            <a:ln w="12700">
              <a:solidFill>
                <a:srgbClr val="000000"/>
              </a:solidFill>
              <a:prstDash val="solid"/>
            </a:ln>
          </c:spPr>
          <c:invertIfNegative val="0"/>
          <c:cat>
            <c:strRef>
              <c:f>'CO2 - Cenário RT 2'!$C$61:$D$61</c:f>
              <c:strCache>
                <c:ptCount val="2"/>
                <c:pt idx="0">
                  <c:v>Resíduos reciclados</c:v>
                </c:pt>
                <c:pt idx="1">
                  <c:v>Líquido</c:v>
                </c:pt>
              </c:strCache>
            </c:strRef>
          </c:cat>
          <c:val>
            <c:numRef>
              <c:f>'CO2 - Cenário RT 2'!$C$66:$D$66</c:f>
              <c:numCache>
                <c:formatCode>General</c:formatCode>
                <c:ptCount val="2"/>
                <c:pt idx="0" formatCode="#,##0">
                  <c:v>0</c:v>
                </c:pt>
              </c:numCache>
            </c:numRef>
          </c:val>
          <c:extLst>
            <c:ext xmlns:c16="http://schemas.microsoft.com/office/drawing/2014/chart" uri="{C3380CC4-5D6E-409C-BE32-E72D297353CC}">
              <c16:uniqueId val="{00000004-CEC6-4518-96DC-3D8F9238C209}"/>
            </c:ext>
          </c:extLst>
        </c:ser>
        <c:ser>
          <c:idx val="5"/>
          <c:order val="5"/>
          <c:tx>
            <c:strRef>
              <c:f>'CO2 - Cenário RT 2'!$B$67</c:f>
              <c:strCache>
                <c:ptCount val="1"/>
                <c:pt idx="0">
                  <c:v>Metais ferrosos</c:v>
                </c:pt>
              </c:strCache>
            </c:strRef>
          </c:tx>
          <c:spPr>
            <a:solidFill>
              <a:srgbClr val="C0C0C0"/>
            </a:solidFill>
            <a:ln w="12700">
              <a:solidFill>
                <a:srgbClr val="000000"/>
              </a:solidFill>
              <a:prstDash val="solid"/>
            </a:ln>
          </c:spPr>
          <c:invertIfNegative val="0"/>
          <c:cat>
            <c:strRef>
              <c:f>'CO2 - Cenário RT 2'!$C$61:$D$61</c:f>
              <c:strCache>
                <c:ptCount val="2"/>
                <c:pt idx="0">
                  <c:v>Resíduos reciclados</c:v>
                </c:pt>
                <c:pt idx="1">
                  <c:v>Líquido</c:v>
                </c:pt>
              </c:strCache>
            </c:strRef>
          </c:cat>
          <c:val>
            <c:numRef>
              <c:f>'CO2 - Cenário RT 2'!$C$67:$D$67</c:f>
              <c:numCache>
                <c:formatCode>General</c:formatCode>
                <c:ptCount val="2"/>
                <c:pt idx="0" formatCode="#,##0">
                  <c:v>32.198999039999997</c:v>
                </c:pt>
              </c:numCache>
            </c:numRef>
          </c:val>
          <c:extLst>
            <c:ext xmlns:c16="http://schemas.microsoft.com/office/drawing/2014/chart" uri="{C3380CC4-5D6E-409C-BE32-E72D297353CC}">
              <c16:uniqueId val="{00000005-CEC6-4518-96DC-3D8F9238C209}"/>
            </c:ext>
          </c:extLst>
        </c:ser>
        <c:ser>
          <c:idx val="6"/>
          <c:order val="6"/>
          <c:tx>
            <c:strRef>
              <c:f>'CO2 - Cenário RT 2'!$B$68</c:f>
              <c:strCache>
                <c:ptCount val="1"/>
                <c:pt idx="0">
                  <c:v>Alumínio</c:v>
                </c:pt>
              </c:strCache>
            </c:strRef>
          </c:tx>
          <c:spPr>
            <a:solidFill>
              <a:srgbClr val="993366"/>
            </a:solidFill>
            <a:ln w="12700">
              <a:solidFill>
                <a:srgbClr val="000000"/>
              </a:solidFill>
              <a:prstDash val="solid"/>
            </a:ln>
          </c:spPr>
          <c:invertIfNegative val="0"/>
          <c:cat>
            <c:strRef>
              <c:f>'CO2 - Cenário RT 2'!$C$61:$D$61</c:f>
              <c:strCache>
                <c:ptCount val="2"/>
                <c:pt idx="0">
                  <c:v>Resíduos reciclados</c:v>
                </c:pt>
                <c:pt idx="1">
                  <c:v>Líquido</c:v>
                </c:pt>
              </c:strCache>
            </c:strRef>
          </c:cat>
          <c:val>
            <c:numRef>
              <c:f>'CO2 - Cenário RT 2'!$C$68:$D$68</c:f>
              <c:numCache>
                <c:formatCode>General</c:formatCode>
                <c:ptCount val="2"/>
                <c:pt idx="0" formatCode="#,##0">
                  <c:v>91.478406239999984</c:v>
                </c:pt>
              </c:numCache>
            </c:numRef>
          </c:val>
          <c:extLst>
            <c:ext xmlns:c16="http://schemas.microsoft.com/office/drawing/2014/chart" uri="{C3380CC4-5D6E-409C-BE32-E72D297353CC}">
              <c16:uniqueId val="{00000006-CEC6-4518-96DC-3D8F9238C209}"/>
            </c:ext>
          </c:extLst>
        </c:ser>
        <c:ser>
          <c:idx val="7"/>
          <c:order val="7"/>
          <c:tx>
            <c:strRef>
              <c:f>'CO2 - Cenário RT 2'!$B$69</c:f>
              <c:strCache>
                <c:ptCount val="1"/>
                <c:pt idx="0">
                  <c:v>Têxteis</c:v>
                </c:pt>
              </c:strCache>
            </c:strRef>
          </c:tx>
          <c:spPr>
            <a:solidFill>
              <a:srgbClr val="9999FF"/>
            </a:solidFill>
            <a:ln w="12700">
              <a:solidFill>
                <a:srgbClr val="000000"/>
              </a:solidFill>
              <a:prstDash val="solid"/>
            </a:ln>
          </c:spPr>
          <c:invertIfNegative val="0"/>
          <c:cat>
            <c:strRef>
              <c:f>'CO2 - Cenário RT 2'!$C$61:$D$61</c:f>
              <c:strCache>
                <c:ptCount val="2"/>
                <c:pt idx="0">
                  <c:v>Resíduos reciclados</c:v>
                </c:pt>
                <c:pt idx="1">
                  <c:v>Líquido</c:v>
                </c:pt>
              </c:strCache>
            </c:strRef>
          </c:cat>
          <c:val>
            <c:numRef>
              <c:f>'CO2 - Cenário RT 2'!$C$69:$D$69</c:f>
              <c:numCache>
                <c:formatCode>General</c:formatCode>
                <c:ptCount val="2"/>
                <c:pt idx="0" formatCode="#,##0">
                  <c:v>0</c:v>
                </c:pt>
              </c:numCache>
            </c:numRef>
          </c:val>
          <c:extLst>
            <c:ext xmlns:c16="http://schemas.microsoft.com/office/drawing/2014/chart" uri="{C3380CC4-5D6E-409C-BE32-E72D297353CC}">
              <c16:uniqueId val="{00000007-CEC6-4518-96DC-3D8F9238C209}"/>
            </c:ext>
          </c:extLst>
        </c:ser>
        <c:ser>
          <c:idx val="8"/>
          <c:order val="8"/>
          <c:tx>
            <c:strRef>
              <c:f>'CO2 - Cenário RT 2'!$B$70</c:f>
              <c:strCache>
                <c:ptCount val="1"/>
                <c:pt idx="0">
                  <c:v>Débitos</c:v>
                </c:pt>
              </c:strCache>
            </c:strRef>
          </c:tx>
          <c:spPr>
            <a:noFill/>
            <a:ln w="25400">
              <a:noFill/>
            </a:ln>
          </c:spPr>
          <c:invertIfNegative val="0"/>
          <c:cat>
            <c:strRef>
              <c:f>'CO2 - Cenário RT 2'!$C$61:$D$61</c:f>
              <c:strCache>
                <c:ptCount val="2"/>
                <c:pt idx="0">
                  <c:v>Resíduos reciclados</c:v>
                </c:pt>
                <c:pt idx="1">
                  <c:v>Líquido</c:v>
                </c:pt>
              </c:strCache>
            </c:strRef>
          </c:cat>
          <c:val>
            <c:numRef>
              <c:f>'CO2 - Cenário RT 2'!$C$70:$D$70</c:f>
              <c:numCache>
                <c:formatCode>#,##0</c:formatCode>
                <c:ptCount val="2"/>
              </c:numCache>
            </c:numRef>
          </c:val>
          <c:extLst>
            <c:ext xmlns:c16="http://schemas.microsoft.com/office/drawing/2014/chart" uri="{C3380CC4-5D6E-409C-BE32-E72D297353CC}">
              <c16:uniqueId val="{00000008-CEC6-4518-96DC-3D8F9238C209}"/>
            </c:ext>
          </c:extLst>
        </c:ser>
        <c:ser>
          <c:idx val="9"/>
          <c:order val="9"/>
          <c:tx>
            <c:strRef>
              <c:f>'CO2 - Cenário RT 2'!$B$71</c:f>
              <c:strCache>
                <c:ptCount val="1"/>
                <c:pt idx="0">
                  <c:v>Resíduos de alimentos</c:v>
                </c:pt>
              </c:strCache>
            </c:strRef>
          </c:tx>
          <c:spPr>
            <a:pattFill prst="wdDnDiag">
              <a:fgClr>
                <a:srgbClr val="99CC00"/>
              </a:fgClr>
              <a:bgClr>
                <a:srgbClr val="FFFFFF"/>
              </a:bgClr>
            </a:pattFill>
            <a:ln w="12700">
              <a:solidFill>
                <a:srgbClr val="000000"/>
              </a:solidFill>
              <a:prstDash val="solid"/>
            </a:ln>
          </c:spPr>
          <c:invertIfNegative val="0"/>
          <c:cat>
            <c:strRef>
              <c:f>'CO2 - Cenário RT 2'!$C$61:$D$61</c:f>
              <c:strCache>
                <c:ptCount val="2"/>
                <c:pt idx="0">
                  <c:v>Resíduos reciclados</c:v>
                </c:pt>
                <c:pt idx="1">
                  <c:v>Líquido</c:v>
                </c:pt>
              </c:strCache>
            </c:strRef>
          </c:cat>
          <c:val>
            <c:numRef>
              <c:f>'CO2 - Cenário RT 2'!$C$71:$D$71</c:f>
              <c:numCache>
                <c:formatCode>General</c:formatCode>
                <c:ptCount val="2"/>
                <c:pt idx="0" formatCode="#,##0">
                  <c:v>0</c:v>
                </c:pt>
              </c:numCache>
            </c:numRef>
          </c:val>
          <c:extLst>
            <c:ext xmlns:c16="http://schemas.microsoft.com/office/drawing/2014/chart" uri="{C3380CC4-5D6E-409C-BE32-E72D297353CC}">
              <c16:uniqueId val="{00000009-CEC6-4518-96DC-3D8F9238C209}"/>
            </c:ext>
          </c:extLst>
        </c:ser>
        <c:ser>
          <c:idx val="10"/>
          <c:order val="10"/>
          <c:tx>
            <c:strRef>
              <c:f>'CO2 - Cenário RT 2'!$B$72</c:f>
              <c:strCache>
                <c:ptCount val="1"/>
                <c:pt idx="0">
                  <c:v>Resíduos de jardins e parques</c:v>
                </c:pt>
              </c:strCache>
            </c:strRef>
          </c:tx>
          <c:spPr>
            <a:pattFill prst="wdUpDiag">
              <a:fgClr>
                <a:srgbClr val="000080"/>
              </a:fgClr>
              <a:bgClr>
                <a:srgbClr val="FFFFFF"/>
              </a:bgClr>
            </a:pattFill>
            <a:ln w="12700">
              <a:solidFill>
                <a:srgbClr val="000000"/>
              </a:solidFill>
              <a:prstDash val="solid"/>
            </a:ln>
          </c:spPr>
          <c:invertIfNegative val="0"/>
          <c:cat>
            <c:strRef>
              <c:f>'CO2 - Cenário RT 2'!$C$61:$D$61</c:f>
              <c:strCache>
                <c:ptCount val="2"/>
                <c:pt idx="0">
                  <c:v>Resíduos reciclados</c:v>
                </c:pt>
                <c:pt idx="1">
                  <c:v>Líquido</c:v>
                </c:pt>
              </c:strCache>
            </c:strRef>
          </c:cat>
          <c:val>
            <c:numRef>
              <c:f>'CO2 - Cenário RT 2'!$C$72:$D$72</c:f>
              <c:numCache>
                <c:formatCode>General</c:formatCode>
                <c:ptCount val="2"/>
                <c:pt idx="0" formatCode="#,##0">
                  <c:v>0</c:v>
                </c:pt>
              </c:numCache>
            </c:numRef>
          </c:val>
          <c:extLst>
            <c:ext xmlns:c16="http://schemas.microsoft.com/office/drawing/2014/chart" uri="{C3380CC4-5D6E-409C-BE32-E72D297353CC}">
              <c16:uniqueId val="{0000000A-CEC6-4518-96DC-3D8F9238C209}"/>
            </c:ext>
          </c:extLst>
        </c:ser>
        <c:ser>
          <c:idx val="11"/>
          <c:order val="11"/>
          <c:tx>
            <c:strRef>
              <c:f>'CO2 - Cenário RT 2'!$B$73</c:f>
              <c:strCache>
                <c:ptCount val="1"/>
                <c:pt idx="0">
                  <c:v>Papel, papelão</c:v>
                </c:pt>
              </c:strCache>
            </c:strRef>
          </c:tx>
          <c:spPr>
            <a:pattFill prst="wdDnDiag">
              <a:fgClr>
                <a:srgbClr val="CC99FF"/>
              </a:fgClr>
              <a:bgClr>
                <a:srgbClr val="FFFFFF"/>
              </a:bgClr>
            </a:pattFill>
            <a:ln w="12700">
              <a:solidFill>
                <a:srgbClr val="000000"/>
              </a:solidFill>
              <a:prstDash val="solid"/>
            </a:ln>
          </c:spPr>
          <c:invertIfNegative val="0"/>
          <c:cat>
            <c:strRef>
              <c:f>'CO2 - Cenário RT 2'!$C$61:$D$61</c:f>
              <c:strCache>
                <c:ptCount val="2"/>
                <c:pt idx="0">
                  <c:v>Resíduos reciclados</c:v>
                </c:pt>
                <c:pt idx="1">
                  <c:v>Líquido</c:v>
                </c:pt>
              </c:strCache>
            </c:strRef>
          </c:cat>
          <c:val>
            <c:numRef>
              <c:f>'CO2 - Cenário RT 2'!$C$73:$D$73</c:f>
              <c:numCache>
                <c:formatCode>General</c:formatCode>
                <c:ptCount val="2"/>
                <c:pt idx="0" formatCode="#,##0">
                  <c:v>-1554.8820191423999</c:v>
                </c:pt>
              </c:numCache>
            </c:numRef>
          </c:val>
          <c:extLst>
            <c:ext xmlns:c16="http://schemas.microsoft.com/office/drawing/2014/chart" uri="{C3380CC4-5D6E-409C-BE32-E72D297353CC}">
              <c16:uniqueId val="{0000000B-CEC6-4518-96DC-3D8F9238C209}"/>
            </c:ext>
          </c:extLst>
        </c:ser>
        <c:ser>
          <c:idx val="12"/>
          <c:order val="12"/>
          <c:tx>
            <c:strRef>
              <c:f>'CO2 - Cenário RT 2'!$B$74</c:f>
              <c:strCache>
                <c:ptCount val="1"/>
                <c:pt idx="0">
                  <c:v>Plásticos</c:v>
                </c:pt>
              </c:strCache>
            </c:strRef>
          </c:tx>
          <c:spPr>
            <a:pattFill prst="wdUpDiag">
              <a:fgClr>
                <a:srgbClr val="FFFF00"/>
              </a:fgClr>
              <a:bgClr>
                <a:srgbClr val="FFFFFF"/>
              </a:bgClr>
            </a:pattFill>
            <a:ln w="12700">
              <a:solidFill>
                <a:srgbClr val="000000"/>
              </a:solidFill>
              <a:prstDash val="solid"/>
            </a:ln>
          </c:spPr>
          <c:invertIfNegative val="0"/>
          <c:cat>
            <c:strRef>
              <c:f>'CO2 - Cenário RT 2'!$C$61:$D$61</c:f>
              <c:strCache>
                <c:ptCount val="2"/>
                <c:pt idx="0">
                  <c:v>Resíduos reciclados</c:v>
                </c:pt>
                <c:pt idx="1">
                  <c:v>Líquido</c:v>
                </c:pt>
              </c:strCache>
            </c:strRef>
          </c:cat>
          <c:val>
            <c:numRef>
              <c:f>'CO2 - Cenário RT 2'!$C$74:$D$74</c:f>
              <c:numCache>
                <c:formatCode>General</c:formatCode>
                <c:ptCount val="2"/>
                <c:pt idx="0" formatCode="#,##0">
                  <c:v>-1306.0364391359999</c:v>
                </c:pt>
              </c:numCache>
            </c:numRef>
          </c:val>
          <c:extLst>
            <c:ext xmlns:c16="http://schemas.microsoft.com/office/drawing/2014/chart" uri="{C3380CC4-5D6E-409C-BE32-E72D297353CC}">
              <c16:uniqueId val="{0000000C-CEC6-4518-96DC-3D8F9238C209}"/>
            </c:ext>
          </c:extLst>
        </c:ser>
        <c:ser>
          <c:idx val="13"/>
          <c:order val="13"/>
          <c:tx>
            <c:strRef>
              <c:f>'CO2 - Cenário RT 2'!$B$75</c:f>
              <c:strCache>
                <c:ptCount val="1"/>
                <c:pt idx="0">
                  <c:v>Vidros</c:v>
                </c:pt>
              </c:strCache>
            </c:strRef>
          </c:tx>
          <c:spPr>
            <a:pattFill prst="wdDnDiag">
              <a:fgClr>
                <a:srgbClr val="FF99CC"/>
              </a:fgClr>
              <a:bgClr>
                <a:srgbClr val="FFFFFF"/>
              </a:bgClr>
            </a:pattFill>
            <a:ln w="12700">
              <a:solidFill>
                <a:srgbClr val="000000"/>
              </a:solidFill>
              <a:prstDash val="solid"/>
            </a:ln>
          </c:spPr>
          <c:invertIfNegative val="0"/>
          <c:cat>
            <c:strRef>
              <c:f>'CO2 - Cenário RT 2'!$C$61:$D$61</c:f>
              <c:strCache>
                <c:ptCount val="2"/>
                <c:pt idx="0">
                  <c:v>Resíduos reciclados</c:v>
                </c:pt>
                <c:pt idx="1">
                  <c:v>Líquido</c:v>
                </c:pt>
              </c:strCache>
            </c:strRef>
          </c:cat>
          <c:val>
            <c:numRef>
              <c:f>'CO2 - Cenário RT 2'!$C$75:$D$75</c:f>
              <c:numCache>
                <c:formatCode>General</c:formatCode>
                <c:ptCount val="2"/>
                <c:pt idx="0" formatCode="#,##0">
                  <c:v>0</c:v>
                </c:pt>
              </c:numCache>
            </c:numRef>
          </c:val>
          <c:extLst>
            <c:ext xmlns:c16="http://schemas.microsoft.com/office/drawing/2014/chart" uri="{C3380CC4-5D6E-409C-BE32-E72D297353CC}">
              <c16:uniqueId val="{0000000D-CEC6-4518-96DC-3D8F9238C209}"/>
            </c:ext>
          </c:extLst>
        </c:ser>
        <c:ser>
          <c:idx val="14"/>
          <c:order val="14"/>
          <c:tx>
            <c:strRef>
              <c:f>'CO2 - Cenário RT 2'!$B$76</c:f>
              <c:strCache>
                <c:ptCount val="1"/>
                <c:pt idx="0">
                  <c:v>Metais ferrosos</c:v>
                </c:pt>
              </c:strCache>
            </c:strRef>
          </c:tx>
          <c:spPr>
            <a:pattFill prst="wdUpDiag">
              <a:fgClr>
                <a:srgbClr val="C0C0C0"/>
              </a:fgClr>
              <a:bgClr>
                <a:srgbClr val="FFFFFF"/>
              </a:bgClr>
            </a:pattFill>
            <a:ln w="12700">
              <a:solidFill>
                <a:srgbClr val="000000"/>
              </a:solidFill>
              <a:prstDash val="solid"/>
            </a:ln>
          </c:spPr>
          <c:invertIfNegative val="0"/>
          <c:cat>
            <c:strRef>
              <c:f>'CO2 - Cenário RT 2'!$C$61:$D$61</c:f>
              <c:strCache>
                <c:ptCount val="2"/>
                <c:pt idx="0">
                  <c:v>Resíduos reciclados</c:v>
                </c:pt>
                <c:pt idx="1">
                  <c:v>Líquido</c:v>
                </c:pt>
              </c:strCache>
            </c:strRef>
          </c:cat>
          <c:val>
            <c:numRef>
              <c:f>'CO2 - Cenário RT 2'!$C$76:$D$76</c:f>
              <c:numCache>
                <c:formatCode>General</c:formatCode>
                <c:ptCount val="2"/>
                <c:pt idx="0" formatCode="#,##0">
                  <c:v>-861.32322431999989</c:v>
                </c:pt>
              </c:numCache>
            </c:numRef>
          </c:val>
          <c:extLst>
            <c:ext xmlns:c16="http://schemas.microsoft.com/office/drawing/2014/chart" uri="{C3380CC4-5D6E-409C-BE32-E72D297353CC}">
              <c16:uniqueId val="{0000000E-CEC6-4518-96DC-3D8F9238C209}"/>
            </c:ext>
          </c:extLst>
        </c:ser>
        <c:ser>
          <c:idx val="15"/>
          <c:order val="15"/>
          <c:tx>
            <c:strRef>
              <c:f>'CO2 - Cenário RT 2'!$B$77</c:f>
              <c:strCache>
                <c:ptCount val="1"/>
                <c:pt idx="0">
                  <c:v>Alumínio</c:v>
                </c:pt>
              </c:strCache>
            </c:strRef>
          </c:tx>
          <c:spPr>
            <a:pattFill prst="wdDnDiag">
              <a:fgClr>
                <a:srgbClr val="993366"/>
              </a:fgClr>
              <a:bgClr>
                <a:srgbClr val="FFFFFF"/>
              </a:bgClr>
            </a:pattFill>
            <a:ln w="12700">
              <a:solidFill>
                <a:srgbClr val="000000"/>
              </a:solidFill>
              <a:prstDash val="solid"/>
            </a:ln>
          </c:spPr>
          <c:invertIfNegative val="0"/>
          <c:cat>
            <c:strRef>
              <c:f>'CO2 - Cenário RT 2'!$C$61:$D$61</c:f>
              <c:strCache>
                <c:ptCount val="2"/>
                <c:pt idx="0">
                  <c:v>Resíduos reciclados</c:v>
                </c:pt>
                <c:pt idx="1">
                  <c:v>Líquido</c:v>
                </c:pt>
              </c:strCache>
            </c:strRef>
          </c:cat>
          <c:val>
            <c:numRef>
              <c:f>'CO2 - Cenário RT 2'!$C$77:$D$77</c:f>
              <c:numCache>
                <c:formatCode>General</c:formatCode>
                <c:ptCount val="2"/>
                <c:pt idx="0" formatCode="#,##0">
                  <c:v>-1296.7096895999998</c:v>
                </c:pt>
              </c:numCache>
            </c:numRef>
          </c:val>
          <c:extLst>
            <c:ext xmlns:c16="http://schemas.microsoft.com/office/drawing/2014/chart" uri="{C3380CC4-5D6E-409C-BE32-E72D297353CC}">
              <c16:uniqueId val="{0000000F-CEC6-4518-96DC-3D8F9238C209}"/>
            </c:ext>
          </c:extLst>
        </c:ser>
        <c:ser>
          <c:idx val="16"/>
          <c:order val="16"/>
          <c:tx>
            <c:strRef>
              <c:f>'CO2 - Cenário RT 2'!$B$78</c:f>
              <c:strCache>
                <c:ptCount val="1"/>
                <c:pt idx="0">
                  <c:v>Têxteis</c:v>
                </c:pt>
              </c:strCache>
            </c:strRef>
          </c:tx>
          <c:spPr>
            <a:pattFill prst="wdUpDiag">
              <a:fgClr>
                <a:srgbClr val="9999FF"/>
              </a:fgClr>
              <a:bgClr>
                <a:srgbClr val="FFFFFF"/>
              </a:bgClr>
            </a:pattFill>
            <a:ln w="12700">
              <a:solidFill>
                <a:srgbClr val="000000"/>
              </a:solidFill>
              <a:prstDash val="solid"/>
            </a:ln>
          </c:spPr>
          <c:invertIfNegative val="0"/>
          <c:cat>
            <c:strRef>
              <c:f>'CO2 - Cenário RT 2'!$C$61:$D$61</c:f>
              <c:strCache>
                <c:ptCount val="2"/>
                <c:pt idx="0">
                  <c:v>Resíduos reciclados</c:v>
                </c:pt>
                <c:pt idx="1">
                  <c:v>Líquido</c:v>
                </c:pt>
              </c:strCache>
            </c:strRef>
          </c:cat>
          <c:val>
            <c:numRef>
              <c:f>'CO2 - Cenário RT 2'!$C$78:$D$78</c:f>
              <c:numCache>
                <c:formatCode>General</c:formatCode>
                <c:ptCount val="2"/>
                <c:pt idx="0" formatCode="#,##0">
                  <c:v>0</c:v>
                </c:pt>
              </c:numCache>
            </c:numRef>
          </c:val>
          <c:extLst>
            <c:ext xmlns:c16="http://schemas.microsoft.com/office/drawing/2014/chart" uri="{C3380CC4-5D6E-409C-BE32-E72D297353CC}">
              <c16:uniqueId val="{00000010-CEC6-4518-96DC-3D8F9238C209}"/>
            </c:ext>
          </c:extLst>
        </c:ser>
        <c:ser>
          <c:idx val="17"/>
          <c:order val="17"/>
          <c:tx>
            <c:strRef>
              <c:f>'CO2 - Cenário RT 2'!$B$79</c:f>
              <c:strCache>
                <c:ptCount val="1"/>
                <c:pt idx="0">
                  <c:v>Créditos</c:v>
                </c:pt>
              </c:strCache>
            </c:strRef>
          </c:tx>
          <c:spPr>
            <a:noFill/>
            <a:ln w="25400">
              <a:noFill/>
            </a:ln>
          </c:spPr>
          <c:invertIfNegative val="0"/>
          <c:cat>
            <c:strRef>
              <c:f>'CO2 - Cenário RT 2'!$C$61:$D$61</c:f>
              <c:strCache>
                <c:ptCount val="2"/>
                <c:pt idx="0">
                  <c:v>Resíduos reciclados</c:v>
                </c:pt>
                <c:pt idx="1">
                  <c:v>Líquido</c:v>
                </c:pt>
              </c:strCache>
            </c:strRef>
          </c:cat>
          <c:val>
            <c:numRef>
              <c:f>'CO2 - Cenário RT 2'!$C$79:$D$79</c:f>
              <c:numCache>
                <c:formatCode>#,##0</c:formatCode>
                <c:ptCount val="2"/>
              </c:numCache>
            </c:numRef>
          </c:val>
          <c:extLst>
            <c:ext xmlns:c16="http://schemas.microsoft.com/office/drawing/2014/chart" uri="{C3380CC4-5D6E-409C-BE32-E72D297353CC}">
              <c16:uniqueId val="{00000011-CEC6-4518-96DC-3D8F9238C209}"/>
            </c:ext>
          </c:extLst>
        </c:ser>
        <c:ser>
          <c:idx val="18"/>
          <c:order val="18"/>
          <c:tx>
            <c:strRef>
              <c:f>'CO2 - Cenário RT 2'!$B$80</c:f>
              <c:strCache>
                <c:ptCount val="1"/>
                <c:pt idx="0">
                  <c:v>Líquido</c:v>
                </c:pt>
              </c:strCache>
            </c:strRef>
          </c:tx>
          <c:spPr>
            <a:solidFill>
              <a:srgbClr val="0000FF"/>
            </a:solidFill>
            <a:ln w="12700">
              <a:solidFill>
                <a:srgbClr val="000000"/>
              </a:solidFill>
              <a:prstDash val="solid"/>
            </a:ln>
          </c:spPr>
          <c:invertIfNegative val="0"/>
          <c:cat>
            <c:strRef>
              <c:f>'CO2 - Cenário RT 2'!$C$61:$D$61</c:f>
              <c:strCache>
                <c:ptCount val="2"/>
                <c:pt idx="0">
                  <c:v>Resíduos reciclados</c:v>
                </c:pt>
                <c:pt idx="1">
                  <c:v>Líquido</c:v>
                </c:pt>
              </c:strCache>
            </c:strRef>
          </c:cat>
          <c:val>
            <c:numRef>
              <c:f>'CO2 - Cenário RT 2'!$C$80:$D$80</c:f>
              <c:numCache>
                <c:formatCode>#,##0</c:formatCode>
                <c:ptCount val="2"/>
                <c:pt idx="1">
                  <c:v>-3353.3073752255996</c:v>
                </c:pt>
              </c:numCache>
            </c:numRef>
          </c:val>
          <c:extLst>
            <c:ext xmlns:c16="http://schemas.microsoft.com/office/drawing/2014/chart" uri="{C3380CC4-5D6E-409C-BE32-E72D297353CC}">
              <c16:uniqueId val="{00000012-CEC6-4518-96DC-3D8F9238C209}"/>
            </c:ext>
          </c:extLst>
        </c:ser>
        <c:dLbls>
          <c:showLegendKey val="0"/>
          <c:showVal val="0"/>
          <c:showCatName val="0"/>
          <c:showSerName val="0"/>
          <c:showPercent val="0"/>
          <c:showBubbleSize val="0"/>
        </c:dLbls>
        <c:gapWidth val="100"/>
        <c:overlap val="100"/>
        <c:axId val="197706496"/>
        <c:axId val="197708032"/>
      </c:barChart>
      <c:catAx>
        <c:axId val="197706496"/>
        <c:scaling>
          <c:orientation val="minMax"/>
        </c:scaling>
        <c:delete val="0"/>
        <c:axPos val="b"/>
        <c:numFmt formatCode="General" sourceLinked="1"/>
        <c:majorTickMark val="out"/>
        <c:minorTickMark val="none"/>
        <c:tickLblPos val="low"/>
        <c:spPr>
          <a:ln w="3175">
            <a:solidFill>
              <a:srgbClr val="000000"/>
            </a:solidFill>
            <a:prstDash val="solid"/>
          </a:ln>
        </c:spPr>
        <c:txPr>
          <a:bodyPr rot="0" vert="horz"/>
          <a:lstStyle/>
          <a:p>
            <a:pPr>
              <a:defRPr/>
            </a:pPr>
            <a:endParaRPr lang="pt-BR"/>
          </a:p>
        </c:txPr>
        <c:crossAx val="197708032"/>
        <c:crosses val="autoZero"/>
        <c:auto val="1"/>
        <c:lblAlgn val="ctr"/>
        <c:lblOffset val="100"/>
        <c:tickLblSkip val="1"/>
        <c:tickMarkSkip val="1"/>
        <c:noMultiLvlLbl val="0"/>
      </c:catAx>
      <c:valAx>
        <c:axId val="197708032"/>
        <c:scaling>
          <c:orientation val="minMax"/>
        </c:scaling>
        <c:delete val="0"/>
        <c:axPos val="l"/>
        <c:majorGridlines>
          <c:spPr>
            <a:ln w="3175">
              <a:solidFill>
                <a:srgbClr val="000000"/>
              </a:solidFill>
              <a:prstDash val="solid"/>
            </a:ln>
          </c:spPr>
        </c:majorGridlines>
        <c:title>
          <c:tx>
            <c:rich>
              <a:bodyPr/>
              <a:lstStyle/>
              <a:p>
                <a:pPr>
                  <a:defRPr/>
                </a:pPr>
                <a:r>
                  <a:rPr lang="de-DE"/>
                  <a:t>tonelada CO2-eq / ano</a:t>
                </a:r>
              </a:p>
            </c:rich>
          </c:tx>
          <c:layout>
            <c:manualLayout>
              <c:xMode val="edge"/>
              <c:yMode val="edge"/>
              <c:x val="8.4175416734546919E-3"/>
              <c:y val="0.36337299537595014"/>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a:pPr>
            <a:endParaRPr lang="pt-BR"/>
          </a:p>
        </c:txPr>
        <c:crossAx val="197706496"/>
        <c:crosses val="autoZero"/>
        <c:crossBetween val="between"/>
      </c:valAx>
      <c:spPr>
        <a:noFill/>
        <a:ln w="12700">
          <a:solidFill>
            <a:srgbClr val="808080"/>
          </a:solidFill>
          <a:prstDash val="solid"/>
        </a:ln>
      </c:spPr>
    </c:plotArea>
    <c:legend>
      <c:legendPos val="r"/>
      <c:layout>
        <c:manualLayout>
          <c:xMode val="edge"/>
          <c:yMode val="edge"/>
          <c:x val="0.69944751381215453"/>
          <c:y val="1.5988417481653919E-2"/>
          <c:w val="0.28839779005524885"/>
          <c:h val="0.97549216540435602"/>
        </c:manualLayout>
      </c:layout>
      <c:overlay val="0"/>
      <c:spPr>
        <a:solidFill>
          <a:srgbClr val="FFFFFF"/>
        </a:solidFill>
        <a:ln w="3175">
          <a:solidFill>
            <a:srgbClr val="000000"/>
          </a:solidFill>
          <a:prstDash val="solid"/>
        </a:ln>
      </c:spPr>
    </c:legend>
    <c:plotVisOnly val="1"/>
    <c:dispBlanksAs val="gap"/>
    <c:showDLblsOverMax val="0"/>
  </c:chart>
  <c:spPr>
    <a:solidFill>
      <a:srgbClr val="FFFFFF"/>
    </a:solidFill>
    <a:ln w="25400">
      <a:solidFill>
        <a:srgbClr val="000000"/>
      </a:solidFill>
      <a:prstDash val="solid"/>
    </a:ln>
  </c:spPr>
  <c:txPr>
    <a:bodyPr/>
    <a:lstStyle/>
    <a:p>
      <a:pPr>
        <a:defRPr sz="800" b="0" i="0" u="none" strike="noStrike" baseline="0">
          <a:solidFill>
            <a:sysClr val="windowText" lastClr="000000"/>
          </a:solidFill>
          <a:latin typeface="Arial"/>
          <a:ea typeface="Arial"/>
          <a:cs typeface="Arial"/>
        </a:defRPr>
      </a:pPr>
      <a:endParaRPr lang="pt-BR"/>
    </a:p>
  </c:txPr>
  <c:printSettings>
    <c:headerFooter alignWithMargins="0"/>
    <c:pageMargins b="0.98425196899999978" l="0.78740157499999996" r="0.78740157499999996" t="0.98425196899999978" header="0.49212598450000011" footer="0.49212598450000011"/>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75" b="1" i="0" u="none" strike="noStrike" baseline="0">
                <a:solidFill>
                  <a:srgbClr val="000000"/>
                </a:solidFill>
                <a:latin typeface="Arial"/>
                <a:ea typeface="Arial"/>
                <a:cs typeface="Arial"/>
              </a:defRPr>
            </a:pPr>
            <a:r>
              <a:rPr lang="de-DE"/>
              <a:t>Emissões de </a:t>
            </a:r>
            <a:r>
              <a:rPr lang="de-DE">
                <a:solidFill>
                  <a:sysClr val="windowText" lastClr="000000"/>
                </a:solidFill>
              </a:rPr>
              <a:t>GEE </a:t>
            </a:r>
            <a:r>
              <a:rPr lang="pt-BR" sz="975" b="0" i="0" u="none" strike="noStrike" baseline="0">
                <a:solidFill>
                  <a:sysClr val="windowText" lastClr="000000"/>
                </a:solidFill>
                <a:effectLst/>
              </a:rPr>
              <a:t>—</a:t>
            </a:r>
            <a:r>
              <a:rPr lang="de-DE">
                <a:solidFill>
                  <a:sysClr val="windowText" lastClr="000000"/>
                </a:solidFill>
              </a:rPr>
              <a:t> Destinação</a:t>
            </a:r>
          </a:p>
        </c:rich>
      </c:tx>
      <c:layout>
        <c:manualLayout>
          <c:xMode val="edge"/>
          <c:yMode val="edge"/>
          <c:x val="0.29333257919466071"/>
          <c:y val="1.5172310896869899E-2"/>
        </c:manualLayout>
      </c:layout>
      <c:overlay val="0"/>
      <c:spPr>
        <a:noFill/>
        <a:ln w="25400">
          <a:noFill/>
        </a:ln>
      </c:spPr>
    </c:title>
    <c:autoTitleDeleted val="0"/>
    <c:plotArea>
      <c:layout>
        <c:manualLayout>
          <c:layoutTarget val="inner"/>
          <c:xMode val="edge"/>
          <c:yMode val="edge"/>
          <c:x val="0.16820529667998471"/>
          <c:y val="0.12689655172413788"/>
          <c:w val="0.54461593010409692"/>
          <c:h val="0.76137931034482786"/>
        </c:manualLayout>
      </c:layout>
      <c:barChart>
        <c:barDir val="col"/>
        <c:grouping val="stacked"/>
        <c:varyColors val="0"/>
        <c:ser>
          <c:idx val="0"/>
          <c:order val="0"/>
          <c:tx>
            <c:strRef>
              <c:f>'CO2 - Cenário RT 2'!$K$62</c:f>
              <c:strCache>
                <c:ptCount val="1"/>
                <c:pt idx="0">
                  <c:v>Resíduos dispersos</c:v>
                </c:pt>
              </c:strCache>
            </c:strRef>
          </c:tx>
          <c:spPr>
            <a:solidFill>
              <a:srgbClr val="FFFFFF"/>
            </a:solidFill>
            <a:ln w="12700">
              <a:solidFill>
                <a:srgbClr val="000000"/>
              </a:solidFill>
              <a:prstDash val="solid"/>
            </a:ln>
          </c:spPr>
          <c:invertIfNegative val="0"/>
          <c:cat>
            <c:strRef>
              <c:f>'CO2 - Cenário RT 2'!$L$61:$M$61</c:f>
              <c:strCache>
                <c:ptCount val="2"/>
                <c:pt idx="0">
                  <c:v>Destinação de resíduos</c:v>
                </c:pt>
                <c:pt idx="1">
                  <c:v>Líquido</c:v>
                </c:pt>
              </c:strCache>
            </c:strRef>
          </c:cat>
          <c:val>
            <c:numRef>
              <c:f>'CO2 - Cenário RT 2'!$L$62:$M$62</c:f>
              <c:numCache>
                <c:formatCode>General</c:formatCode>
                <c:ptCount val="2"/>
                <c:pt idx="0" formatCode="#,##0">
                  <c:v>0</c:v>
                </c:pt>
              </c:numCache>
            </c:numRef>
          </c:val>
          <c:extLst>
            <c:ext xmlns:c16="http://schemas.microsoft.com/office/drawing/2014/chart" uri="{C3380CC4-5D6E-409C-BE32-E72D297353CC}">
              <c16:uniqueId val="{00000000-D8CC-4A75-BA2C-1345EB2966C3}"/>
            </c:ext>
          </c:extLst>
        </c:ser>
        <c:ser>
          <c:idx val="1"/>
          <c:order val="1"/>
          <c:tx>
            <c:strRef>
              <c:f>'CO2 - Cenário RT 2'!$K$63</c:f>
              <c:strCache>
                <c:ptCount val="1"/>
                <c:pt idx="0">
                  <c:v>Queima a céu aberto</c:v>
                </c:pt>
              </c:strCache>
            </c:strRef>
          </c:tx>
          <c:spPr>
            <a:solidFill>
              <a:srgbClr val="FF8080"/>
            </a:solidFill>
            <a:ln w="12700">
              <a:solidFill>
                <a:srgbClr val="000000"/>
              </a:solidFill>
              <a:prstDash val="solid"/>
            </a:ln>
          </c:spPr>
          <c:invertIfNegative val="0"/>
          <c:cat>
            <c:strRef>
              <c:f>'CO2 - Cenário RT 2'!$L$61:$M$61</c:f>
              <c:strCache>
                <c:ptCount val="2"/>
                <c:pt idx="0">
                  <c:v>Destinação de resíduos</c:v>
                </c:pt>
                <c:pt idx="1">
                  <c:v>Líquido</c:v>
                </c:pt>
              </c:strCache>
            </c:strRef>
          </c:cat>
          <c:val>
            <c:numRef>
              <c:f>'CO2 - Cenário RT 2'!$L$63:$M$63</c:f>
              <c:numCache>
                <c:formatCode>General</c:formatCode>
                <c:ptCount val="2"/>
                <c:pt idx="0" formatCode="#,##0">
                  <c:v>0</c:v>
                </c:pt>
              </c:numCache>
            </c:numRef>
          </c:val>
          <c:extLst>
            <c:ext xmlns:c16="http://schemas.microsoft.com/office/drawing/2014/chart" uri="{C3380CC4-5D6E-409C-BE32-E72D297353CC}">
              <c16:uniqueId val="{00000001-D8CC-4A75-BA2C-1345EB2966C3}"/>
            </c:ext>
          </c:extLst>
        </c:ser>
        <c:ser>
          <c:idx val="2"/>
          <c:order val="2"/>
          <c:tx>
            <c:strRef>
              <c:f>'CO2 - Cenário RT 2'!$K$64</c:f>
              <c:strCache>
                <c:ptCount val="1"/>
                <c:pt idx="0">
                  <c:v>Lixão não controlado</c:v>
                </c:pt>
              </c:strCache>
            </c:strRef>
          </c:tx>
          <c:spPr>
            <a:solidFill>
              <a:srgbClr val="993300"/>
            </a:solidFill>
            <a:ln w="12700">
              <a:solidFill>
                <a:srgbClr val="000000"/>
              </a:solidFill>
              <a:prstDash val="solid"/>
            </a:ln>
          </c:spPr>
          <c:invertIfNegative val="0"/>
          <c:cat>
            <c:strRef>
              <c:f>'CO2 - Cenário RT 2'!$L$61:$M$61</c:f>
              <c:strCache>
                <c:ptCount val="2"/>
                <c:pt idx="0">
                  <c:v>Destinação de resíduos</c:v>
                </c:pt>
                <c:pt idx="1">
                  <c:v>Líquido</c:v>
                </c:pt>
              </c:strCache>
            </c:strRef>
          </c:cat>
          <c:val>
            <c:numRef>
              <c:f>'CO2 - Cenário RT 2'!$L$64:$M$64</c:f>
              <c:numCache>
                <c:formatCode>General</c:formatCode>
                <c:ptCount val="2"/>
                <c:pt idx="0" formatCode="#,##0">
                  <c:v>0</c:v>
                </c:pt>
              </c:numCache>
            </c:numRef>
          </c:val>
          <c:extLst>
            <c:ext xmlns:c16="http://schemas.microsoft.com/office/drawing/2014/chart" uri="{C3380CC4-5D6E-409C-BE32-E72D297353CC}">
              <c16:uniqueId val="{00000002-D8CC-4A75-BA2C-1345EB2966C3}"/>
            </c:ext>
          </c:extLst>
        </c:ser>
        <c:ser>
          <c:idx val="3"/>
          <c:order val="3"/>
          <c:tx>
            <c:strRef>
              <c:f>'CO2 - Cenário RT 2'!$K$65</c:f>
              <c:strCache>
                <c:ptCount val="1"/>
                <c:pt idx="0">
                  <c:v>Aterro controlado</c:v>
                </c:pt>
              </c:strCache>
            </c:strRef>
          </c:tx>
          <c:spPr>
            <a:solidFill>
              <a:srgbClr val="99CC00"/>
            </a:solidFill>
            <a:ln w="12700">
              <a:solidFill>
                <a:srgbClr val="000000"/>
              </a:solidFill>
              <a:prstDash val="solid"/>
            </a:ln>
          </c:spPr>
          <c:invertIfNegative val="0"/>
          <c:cat>
            <c:strRef>
              <c:f>'CO2 - Cenário RT 2'!$L$61:$M$61</c:f>
              <c:strCache>
                <c:ptCount val="2"/>
                <c:pt idx="0">
                  <c:v>Destinação de resíduos</c:v>
                </c:pt>
                <c:pt idx="1">
                  <c:v>Líquido</c:v>
                </c:pt>
              </c:strCache>
            </c:strRef>
          </c:cat>
          <c:val>
            <c:numRef>
              <c:f>'CO2 - Cenário RT 2'!$L$65:$M$65</c:f>
              <c:numCache>
                <c:formatCode>General</c:formatCode>
                <c:ptCount val="2"/>
                <c:pt idx="0" formatCode="#,##0">
                  <c:v>0</c:v>
                </c:pt>
              </c:numCache>
            </c:numRef>
          </c:val>
          <c:extLst>
            <c:ext xmlns:c16="http://schemas.microsoft.com/office/drawing/2014/chart" uri="{C3380CC4-5D6E-409C-BE32-E72D297353CC}">
              <c16:uniqueId val="{00000003-D8CC-4A75-BA2C-1345EB2966C3}"/>
            </c:ext>
          </c:extLst>
        </c:ser>
        <c:ser>
          <c:idx val="4"/>
          <c:order val="4"/>
          <c:tx>
            <c:strRef>
              <c:f>'CO2 - Cenário RT 2'!$K$66</c:f>
              <c:strCache>
                <c:ptCount val="1"/>
                <c:pt idx="0">
                  <c:v>Aterro sanitário</c:v>
                </c:pt>
              </c:strCache>
            </c:strRef>
          </c:tx>
          <c:spPr>
            <a:solidFill>
              <a:srgbClr val="FFFF00"/>
            </a:solidFill>
            <a:ln w="12700">
              <a:solidFill>
                <a:srgbClr val="000000"/>
              </a:solidFill>
              <a:prstDash val="solid"/>
            </a:ln>
          </c:spPr>
          <c:invertIfNegative val="0"/>
          <c:cat>
            <c:strRef>
              <c:f>'CO2 - Cenário RT 2'!$L$61:$M$61</c:f>
              <c:strCache>
                <c:ptCount val="2"/>
                <c:pt idx="0">
                  <c:v>Destinação de resíduos</c:v>
                </c:pt>
                <c:pt idx="1">
                  <c:v>Líquido</c:v>
                </c:pt>
              </c:strCache>
            </c:strRef>
          </c:cat>
          <c:val>
            <c:numRef>
              <c:f>'CO2 - Cenário RT 2'!$L$66:$M$66</c:f>
              <c:numCache>
                <c:formatCode>General</c:formatCode>
                <c:ptCount val="2"/>
                <c:pt idx="0" formatCode="#,##0">
                  <c:v>9121.4067014552929</c:v>
                </c:pt>
              </c:numCache>
            </c:numRef>
          </c:val>
          <c:extLst>
            <c:ext xmlns:c16="http://schemas.microsoft.com/office/drawing/2014/chart" uri="{C3380CC4-5D6E-409C-BE32-E72D297353CC}">
              <c16:uniqueId val="{00000004-D8CC-4A75-BA2C-1345EB2966C3}"/>
            </c:ext>
          </c:extLst>
        </c:ser>
        <c:ser>
          <c:idx val="5"/>
          <c:order val="5"/>
          <c:tx>
            <c:strRef>
              <c:f>'CO2 - Cenário RT 2'!$K$67</c:f>
              <c:strCache>
                <c:ptCount val="1"/>
                <c:pt idx="0">
                  <c:v>Trat. biol + cobertura at.</c:v>
                </c:pt>
              </c:strCache>
            </c:strRef>
          </c:tx>
          <c:spPr>
            <a:solidFill>
              <a:srgbClr val="FF00FF"/>
            </a:solidFill>
            <a:ln w="12700">
              <a:solidFill>
                <a:srgbClr val="000000"/>
              </a:solidFill>
              <a:prstDash val="solid"/>
            </a:ln>
          </c:spPr>
          <c:invertIfNegative val="0"/>
          <c:cat>
            <c:strRef>
              <c:f>'CO2 - Cenário RT 2'!$L$61:$M$61</c:f>
              <c:strCache>
                <c:ptCount val="2"/>
                <c:pt idx="0">
                  <c:v>Destinação de resíduos</c:v>
                </c:pt>
                <c:pt idx="1">
                  <c:v>Líquido</c:v>
                </c:pt>
              </c:strCache>
            </c:strRef>
          </c:cat>
          <c:val>
            <c:numRef>
              <c:f>'CO2 - Cenário RT 2'!$L$67:$M$67</c:f>
              <c:numCache>
                <c:formatCode>General</c:formatCode>
                <c:ptCount val="2"/>
                <c:pt idx="0" formatCode="#,##0">
                  <c:v>456.29923754077652</c:v>
                </c:pt>
              </c:numCache>
            </c:numRef>
          </c:val>
          <c:extLst>
            <c:ext xmlns:c16="http://schemas.microsoft.com/office/drawing/2014/chart" uri="{C3380CC4-5D6E-409C-BE32-E72D297353CC}">
              <c16:uniqueId val="{00000005-D8CC-4A75-BA2C-1345EB2966C3}"/>
            </c:ext>
          </c:extLst>
        </c:ser>
        <c:ser>
          <c:idx val="6"/>
          <c:order val="6"/>
          <c:tx>
            <c:strRef>
              <c:f>'CO2 - Cenário RT 2'!$K$68</c:f>
              <c:strCache>
                <c:ptCount val="1"/>
                <c:pt idx="0">
                  <c:v>CDR seco + rejeito aterro</c:v>
                </c:pt>
              </c:strCache>
            </c:strRef>
          </c:tx>
          <c:spPr>
            <a:solidFill>
              <a:srgbClr val="008080"/>
            </a:solidFill>
            <a:ln w="12700">
              <a:solidFill>
                <a:srgbClr val="000000"/>
              </a:solidFill>
              <a:prstDash val="solid"/>
            </a:ln>
          </c:spPr>
          <c:invertIfNegative val="0"/>
          <c:cat>
            <c:strRef>
              <c:f>'CO2 - Cenário RT 2'!$L$61:$M$61</c:f>
              <c:strCache>
                <c:ptCount val="2"/>
                <c:pt idx="0">
                  <c:v>Destinação de resíduos</c:v>
                </c:pt>
                <c:pt idx="1">
                  <c:v>Líquido</c:v>
                </c:pt>
              </c:strCache>
            </c:strRef>
          </c:cat>
          <c:val>
            <c:numRef>
              <c:f>'CO2 - Cenário RT 2'!$L$68:$M$68</c:f>
              <c:numCache>
                <c:formatCode>General</c:formatCode>
                <c:ptCount val="2"/>
                <c:pt idx="0" formatCode="#,##0">
                  <c:v>0</c:v>
                </c:pt>
              </c:numCache>
            </c:numRef>
          </c:val>
          <c:extLst>
            <c:ext xmlns:c16="http://schemas.microsoft.com/office/drawing/2014/chart" uri="{C3380CC4-5D6E-409C-BE32-E72D297353CC}">
              <c16:uniqueId val="{00000006-D8CC-4A75-BA2C-1345EB2966C3}"/>
            </c:ext>
          </c:extLst>
        </c:ser>
        <c:ser>
          <c:idx val="7"/>
          <c:order val="7"/>
          <c:tx>
            <c:strRef>
              <c:f>'CO2 - Cenário RT 2'!$K$69</c:f>
              <c:strCache>
                <c:ptCount val="1"/>
                <c:pt idx="0">
                  <c:v>CDR seco + trat. biol.</c:v>
                </c:pt>
              </c:strCache>
            </c:strRef>
          </c:tx>
          <c:spPr>
            <a:solidFill>
              <a:srgbClr val="FF9900"/>
            </a:solidFill>
            <a:ln w="12700">
              <a:solidFill>
                <a:srgbClr val="000000"/>
              </a:solidFill>
              <a:prstDash val="solid"/>
            </a:ln>
          </c:spPr>
          <c:invertIfNegative val="0"/>
          <c:cat>
            <c:strRef>
              <c:f>'CO2 - Cenário RT 2'!$L$61:$M$61</c:f>
              <c:strCache>
                <c:ptCount val="2"/>
                <c:pt idx="0">
                  <c:v>Destinação de resíduos</c:v>
                </c:pt>
                <c:pt idx="1">
                  <c:v>Líquido</c:v>
                </c:pt>
              </c:strCache>
            </c:strRef>
          </c:cat>
          <c:val>
            <c:numRef>
              <c:f>'CO2 - Cenário RT 2'!$L$69:$M$69</c:f>
              <c:numCache>
                <c:formatCode>General</c:formatCode>
                <c:ptCount val="2"/>
                <c:pt idx="0" formatCode="#,##0">
                  <c:v>0</c:v>
                </c:pt>
              </c:numCache>
            </c:numRef>
          </c:val>
          <c:extLst>
            <c:ext xmlns:c16="http://schemas.microsoft.com/office/drawing/2014/chart" uri="{C3380CC4-5D6E-409C-BE32-E72D297353CC}">
              <c16:uniqueId val="{00000007-D8CC-4A75-BA2C-1345EB2966C3}"/>
            </c:ext>
          </c:extLst>
        </c:ser>
        <c:ser>
          <c:idx val="21"/>
          <c:order val="8"/>
          <c:tx>
            <c:strRef>
              <c:f>'CO2 - Cenário RT 2'!$K$70</c:f>
              <c:strCache>
                <c:ptCount val="1"/>
                <c:pt idx="0">
                  <c:v>CDR seco + CDR org.</c:v>
                </c:pt>
              </c:strCache>
            </c:strRef>
          </c:tx>
          <c:spPr>
            <a:solidFill>
              <a:srgbClr val="00B0F0"/>
            </a:solidFill>
            <a:ln w="12700">
              <a:solidFill>
                <a:srgbClr val="000000"/>
              </a:solidFill>
            </a:ln>
          </c:spPr>
          <c:invertIfNegative val="0"/>
          <c:cat>
            <c:strRef>
              <c:f>'CO2 - Cenário RT 2'!$L$61:$M$61</c:f>
              <c:strCache>
                <c:ptCount val="2"/>
                <c:pt idx="0">
                  <c:v>Destinação de resíduos</c:v>
                </c:pt>
                <c:pt idx="1">
                  <c:v>Líquido</c:v>
                </c:pt>
              </c:strCache>
            </c:strRef>
          </c:cat>
          <c:val>
            <c:numRef>
              <c:f>'CO2 - Cenário RT 2'!$L$70:$M$70</c:f>
              <c:numCache>
                <c:formatCode>General</c:formatCode>
                <c:ptCount val="2"/>
                <c:pt idx="0" formatCode="#,##0">
                  <c:v>0</c:v>
                </c:pt>
              </c:numCache>
            </c:numRef>
          </c:val>
          <c:extLst>
            <c:ext xmlns:c16="http://schemas.microsoft.com/office/drawing/2014/chart" uri="{C3380CC4-5D6E-409C-BE32-E72D297353CC}">
              <c16:uniqueId val="{00000008-D8CC-4A75-BA2C-1345EB2966C3}"/>
            </c:ext>
          </c:extLst>
        </c:ser>
        <c:ser>
          <c:idx val="8"/>
          <c:order val="9"/>
          <c:tx>
            <c:strRef>
              <c:f>'CO2 - Cenário RT 2'!$K$71</c:f>
              <c:strCache>
                <c:ptCount val="1"/>
                <c:pt idx="0">
                  <c:v>Incineração</c:v>
                </c:pt>
              </c:strCache>
            </c:strRef>
          </c:tx>
          <c:spPr>
            <a:solidFill>
              <a:srgbClr val="CCCCFF"/>
            </a:solidFill>
            <a:ln w="12700">
              <a:solidFill>
                <a:srgbClr val="000000"/>
              </a:solidFill>
              <a:prstDash val="solid"/>
            </a:ln>
          </c:spPr>
          <c:invertIfNegative val="0"/>
          <c:cat>
            <c:strRef>
              <c:f>'CO2 - Cenário RT 2'!$L$61:$M$61</c:f>
              <c:strCache>
                <c:ptCount val="2"/>
                <c:pt idx="0">
                  <c:v>Destinação de resíduos</c:v>
                </c:pt>
                <c:pt idx="1">
                  <c:v>Líquido</c:v>
                </c:pt>
              </c:strCache>
            </c:strRef>
          </c:cat>
          <c:val>
            <c:numRef>
              <c:f>'CO2 - Cenário RT 2'!$L$71:$M$71</c:f>
              <c:numCache>
                <c:formatCode>General</c:formatCode>
                <c:ptCount val="2"/>
                <c:pt idx="0" formatCode="#,##0">
                  <c:v>0</c:v>
                </c:pt>
              </c:numCache>
            </c:numRef>
          </c:val>
          <c:extLst>
            <c:ext xmlns:c16="http://schemas.microsoft.com/office/drawing/2014/chart" uri="{C3380CC4-5D6E-409C-BE32-E72D297353CC}">
              <c16:uniqueId val="{00000009-D8CC-4A75-BA2C-1345EB2966C3}"/>
            </c:ext>
          </c:extLst>
        </c:ser>
        <c:ser>
          <c:idx val="9"/>
          <c:order val="10"/>
          <c:tx>
            <c:strRef>
              <c:f>'CO2 - Cenário RT 2'!$K$72</c:f>
              <c:strCache>
                <c:ptCount val="1"/>
                <c:pt idx="0">
                  <c:v>Débitos</c:v>
                </c:pt>
              </c:strCache>
            </c:strRef>
          </c:tx>
          <c:spPr>
            <a:noFill/>
            <a:ln w="25400">
              <a:noFill/>
            </a:ln>
          </c:spPr>
          <c:invertIfNegative val="0"/>
          <c:cat>
            <c:strRef>
              <c:f>'CO2 - Cenário RT 2'!$L$61:$M$61</c:f>
              <c:strCache>
                <c:ptCount val="2"/>
                <c:pt idx="0">
                  <c:v>Destinação de resíduos</c:v>
                </c:pt>
                <c:pt idx="1">
                  <c:v>Líquido</c:v>
                </c:pt>
              </c:strCache>
            </c:strRef>
          </c:cat>
          <c:val>
            <c:numRef>
              <c:f>'CO2 - Cenário RT 2'!$L$72:$M$72</c:f>
              <c:numCache>
                <c:formatCode>General</c:formatCode>
                <c:ptCount val="2"/>
              </c:numCache>
            </c:numRef>
          </c:val>
          <c:extLst>
            <c:ext xmlns:c16="http://schemas.microsoft.com/office/drawing/2014/chart" uri="{C3380CC4-5D6E-409C-BE32-E72D297353CC}">
              <c16:uniqueId val="{0000000A-D8CC-4A75-BA2C-1345EB2966C3}"/>
            </c:ext>
          </c:extLst>
        </c:ser>
        <c:ser>
          <c:idx val="10"/>
          <c:order val="11"/>
          <c:tx>
            <c:strRef>
              <c:f>'CO2 - Cenário RT 2'!$K$73</c:f>
              <c:strCache>
                <c:ptCount val="1"/>
                <c:pt idx="0">
                  <c:v>Resíduos dispersos</c:v>
                </c:pt>
              </c:strCache>
            </c:strRef>
          </c:tx>
          <c:spPr>
            <a:pattFill prst="wdUpDiag">
              <a:fgClr>
                <a:srgbClr val="FFFFFF"/>
              </a:fgClr>
              <a:bgClr>
                <a:srgbClr val="000000"/>
              </a:bgClr>
            </a:pattFill>
            <a:ln w="12700">
              <a:solidFill>
                <a:srgbClr val="000000"/>
              </a:solidFill>
              <a:prstDash val="solid"/>
            </a:ln>
          </c:spPr>
          <c:invertIfNegative val="0"/>
          <c:cat>
            <c:strRef>
              <c:f>'CO2 - Cenário RT 2'!$L$61:$M$61</c:f>
              <c:strCache>
                <c:ptCount val="2"/>
                <c:pt idx="0">
                  <c:v>Destinação de resíduos</c:v>
                </c:pt>
                <c:pt idx="1">
                  <c:v>Líquido</c:v>
                </c:pt>
              </c:strCache>
            </c:strRef>
          </c:cat>
          <c:val>
            <c:numRef>
              <c:f>'CO2 - Cenário RT 2'!$L$73:$M$73</c:f>
              <c:numCache>
                <c:formatCode>General</c:formatCode>
                <c:ptCount val="2"/>
                <c:pt idx="0" formatCode="#,##0">
                  <c:v>0</c:v>
                </c:pt>
              </c:numCache>
            </c:numRef>
          </c:val>
          <c:extLst>
            <c:ext xmlns:c16="http://schemas.microsoft.com/office/drawing/2014/chart" uri="{C3380CC4-5D6E-409C-BE32-E72D297353CC}">
              <c16:uniqueId val="{0000000B-D8CC-4A75-BA2C-1345EB2966C3}"/>
            </c:ext>
          </c:extLst>
        </c:ser>
        <c:ser>
          <c:idx val="11"/>
          <c:order val="12"/>
          <c:tx>
            <c:strRef>
              <c:f>'CO2 - Cenário RT 2'!$K$74</c:f>
              <c:strCache>
                <c:ptCount val="1"/>
                <c:pt idx="0">
                  <c:v>Queima a céu aberto</c:v>
                </c:pt>
              </c:strCache>
            </c:strRef>
          </c:tx>
          <c:spPr>
            <a:pattFill prst="wdDnDiag">
              <a:fgClr>
                <a:srgbClr val="FF8080"/>
              </a:fgClr>
              <a:bgClr>
                <a:srgbClr val="FFFFFF"/>
              </a:bgClr>
            </a:pattFill>
            <a:ln w="12700">
              <a:solidFill>
                <a:srgbClr val="000000"/>
              </a:solidFill>
              <a:prstDash val="solid"/>
            </a:ln>
          </c:spPr>
          <c:invertIfNegative val="0"/>
          <c:cat>
            <c:strRef>
              <c:f>'CO2 - Cenário RT 2'!$L$61:$M$61</c:f>
              <c:strCache>
                <c:ptCount val="2"/>
                <c:pt idx="0">
                  <c:v>Destinação de resíduos</c:v>
                </c:pt>
                <c:pt idx="1">
                  <c:v>Líquido</c:v>
                </c:pt>
              </c:strCache>
            </c:strRef>
          </c:cat>
          <c:val>
            <c:numRef>
              <c:f>'CO2 - Cenário RT 2'!$L$74:$M$74</c:f>
              <c:numCache>
                <c:formatCode>General</c:formatCode>
                <c:ptCount val="2"/>
                <c:pt idx="0" formatCode="#,##0">
                  <c:v>0</c:v>
                </c:pt>
              </c:numCache>
            </c:numRef>
          </c:val>
          <c:extLst>
            <c:ext xmlns:c16="http://schemas.microsoft.com/office/drawing/2014/chart" uri="{C3380CC4-5D6E-409C-BE32-E72D297353CC}">
              <c16:uniqueId val="{0000000C-D8CC-4A75-BA2C-1345EB2966C3}"/>
            </c:ext>
          </c:extLst>
        </c:ser>
        <c:ser>
          <c:idx val="12"/>
          <c:order val="13"/>
          <c:tx>
            <c:strRef>
              <c:f>'CO2 - Cenário RT 2'!$K$75</c:f>
              <c:strCache>
                <c:ptCount val="1"/>
                <c:pt idx="0">
                  <c:v>Lixão não controlado</c:v>
                </c:pt>
              </c:strCache>
            </c:strRef>
          </c:tx>
          <c:spPr>
            <a:pattFill prst="wdUpDiag">
              <a:fgClr>
                <a:srgbClr val="993300"/>
              </a:fgClr>
              <a:bgClr>
                <a:srgbClr val="FFFFFF"/>
              </a:bgClr>
            </a:pattFill>
            <a:ln w="12700">
              <a:solidFill>
                <a:srgbClr val="000000"/>
              </a:solidFill>
              <a:prstDash val="solid"/>
            </a:ln>
          </c:spPr>
          <c:invertIfNegative val="0"/>
          <c:cat>
            <c:strRef>
              <c:f>'CO2 - Cenário RT 2'!$L$61:$M$61</c:f>
              <c:strCache>
                <c:ptCount val="2"/>
                <c:pt idx="0">
                  <c:v>Destinação de resíduos</c:v>
                </c:pt>
                <c:pt idx="1">
                  <c:v>Líquido</c:v>
                </c:pt>
              </c:strCache>
            </c:strRef>
          </c:cat>
          <c:val>
            <c:numRef>
              <c:f>'CO2 - Cenário RT 2'!$L$75:$M$75</c:f>
              <c:numCache>
                <c:formatCode>General</c:formatCode>
                <c:ptCount val="2"/>
                <c:pt idx="0" formatCode="#,##0">
                  <c:v>0</c:v>
                </c:pt>
              </c:numCache>
            </c:numRef>
          </c:val>
          <c:extLst>
            <c:ext xmlns:c16="http://schemas.microsoft.com/office/drawing/2014/chart" uri="{C3380CC4-5D6E-409C-BE32-E72D297353CC}">
              <c16:uniqueId val="{0000000D-D8CC-4A75-BA2C-1345EB2966C3}"/>
            </c:ext>
          </c:extLst>
        </c:ser>
        <c:ser>
          <c:idx val="13"/>
          <c:order val="14"/>
          <c:tx>
            <c:strRef>
              <c:f>'CO2 - Cenário RT 2'!$K$76</c:f>
              <c:strCache>
                <c:ptCount val="1"/>
                <c:pt idx="0">
                  <c:v>Aterro controlado</c:v>
                </c:pt>
              </c:strCache>
            </c:strRef>
          </c:tx>
          <c:spPr>
            <a:pattFill prst="wdDnDiag">
              <a:fgClr>
                <a:srgbClr val="99CC00"/>
              </a:fgClr>
              <a:bgClr>
                <a:srgbClr val="FFFFFF"/>
              </a:bgClr>
            </a:pattFill>
            <a:ln w="12700">
              <a:solidFill>
                <a:srgbClr val="000000"/>
              </a:solidFill>
              <a:prstDash val="solid"/>
            </a:ln>
          </c:spPr>
          <c:invertIfNegative val="0"/>
          <c:cat>
            <c:strRef>
              <c:f>'CO2 - Cenário RT 2'!$L$61:$M$61</c:f>
              <c:strCache>
                <c:ptCount val="2"/>
                <c:pt idx="0">
                  <c:v>Destinação de resíduos</c:v>
                </c:pt>
                <c:pt idx="1">
                  <c:v>Líquido</c:v>
                </c:pt>
              </c:strCache>
            </c:strRef>
          </c:cat>
          <c:val>
            <c:numRef>
              <c:f>'CO2 - Cenário RT 2'!$L$76:$M$76</c:f>
              <c:numCache>
                <c:formatCode>General</c:formatCode>
                <c:ptCount val="2"/>
                <c:pt idx="0" formatCode="#,##0">
                  <c:v>0</c:v>
                </c:pt>
              </c:numCache>
            </c:numRef>
          </c:val>
          <c:extLst>
            <c:ext xmlns:c16="http://schemas.microsoft.com/office/drawing/2014/chart" uri="{C3380CC4-5D6E-409C-BE32-E72D297353CC}">
              <c16:uniqueId val="{0000000E-D8CC-4A75-BA2C-1345EB2966C3}"/>
            </c:ext>
          </c:extLst>
        </c:ser>
        <c:ser>
          <c:idx val="14"/>
          <c:order val="15"/>
          <c:tx>
            <c:strRef>
              <c:f>'CO2 - Cenário RT 2'!$K$77</c:f>
              <c:strCache>
                <c:ptCount val="1"/>
                <c:pt idx="0">
                  <c:v>Aterro sanitário</c:v>
                </c:pt>
              </c:strCache>
            </c:strRef>
          </c:tx>
          <c:spPr>
            <a:pattFill prst="wdUpDiag">
              <a:fgClr>
                <a:srgbClr val="FFFF00"/>
              </a:fgClr>
              <a:bgClr>
                <a:srgbClr val="FFFFFF"/>
              </a:bgClr>
            </a:pattFill>
            <a:ln w="12700">
              <a:solidFill>
                <a:srgbClr val="000000"/>
              </a:solidFill>
              <a:prstDash val="solid"/>
            </a:ln>
          </c:spPr>
          <c:invertIfNegative val="0"/>
          <c:cat>
            <c:strRef>
              <c:f>'CO2 - Cenário RT 2'!$L$61:$M$61</c:f>
              <c:strCache>
                <c:ptCount val="2"/>
                <c:pt idx="0">
                  <c:v>Destinação de resíduos</c:v>
                </c:pt>
                <c:pt idx="1">
                  <c:v>Líquido</c:v>
                </c:pt>
              </c:strCache>
            </c:strRef>
          </c:cat>
          <c:val>
            <c:numRef>
              <c:f>'CO2 - Cenário RT 2'!$L$77:$M$77</c:f>
              <c:numCache>
                <c:formatCode>General</c:formatCode>
                <c:ptCount val="2"/>
                <c:pt idx="0" formatCode="#,##0">
                  <c:v>0</c:v>
                </c:pt>
              </c:numCache>
            </c:numRef>
          </c:val>
          <c:extLst>
            <c:ext xmlns:c16="http://schemas.microsoft.com/office/drawing/2014/chart" uri="{C3380CC4-5D6E-409C-BE32-E72D297353CC}">
              <c16:uniqueId val="{0000000F-D8CC-4A75-BA2C-1345EB2966C3}"/>
            </c:ext>
          </c:extLst>
        </c:ser>
        <c:ser>
          <c:idx val="15"/>
          <c:order val="16"/>
          <c:tx>
            <c:strRef>
              <c:f>'CO2 - Cenário RT 2'!$K$78</c:f>
              <c:strCache>
                <c:ptCount val="1"/>
                <c:pt idx="0">
                  <c:v>Trat. biol + cobertura at.</c:v>
                </c:pt>
              </c:strCache>
            </c:strRef>
          </c:tx>
          <c:spPr>
            <a:pattFill prst="wdDnDiag">
              <a:fgClr>
                <a:srgbClr val="FF00FF"/>
              </a:fgClr>
              <a:bgClr>
                <a:srgbClr val="FFFFFF"/>
              </a:bgClr>
            </a:pattFill>
            <a:ln w="12700">
              <a:solidFill>
                <a:srgbClr val="000000"/>
              </a:solidFill>
              <a:prstDash val="solid"/>
            </a:ln>
          </c:spPr>
          <c:invertIfNegative val="0"/>
          <c:cat>
            <c:strRef>
              <c:f>'CO2 - Cenário RT 2'!$L$61:$M$61</c:f>
              <c:strCache>
                <c:ptCount val="2"/>
                <c:pt idx="0">
                  <c:v>Destinação de resíduos</c:v>
                </c:pt>
                <c:pt idx="1">
                  <c:v>Líquido</c:v>
                </c:pt>
              </c:strCache>
            </c:strRef>
          </c:cat>
          <c:val>
            <c:numRef>
              <c:f>'CO2 - Cenário RT 2'!$L$78:$M$78</c:f>
              <c:numCache>
                <c:formatCode>General</c:formatCode>
                <c:ptCount val="2"/>
                <c:pt idx="0" formatCode="#,##0">
                  <c:v>0</c:v>
                </c:pt>
              </c:numCache>
            </c:numRef>
          </c:val>
          <c:extLst>
            <c:ext xmlns:c16="http://schemas.microsoft.com/office/drawing/2014/chart" uri="{C3380CC4-5D6E-409C-BE32-E72D297353CC}">
              <c16:uniqueId val="{00000010-D8CC-4A75-BA2C-1345EB2966C3}"/>
            </c:ext>
          </c:extLst>
        </c:ser>
        <c:ser>
          <c:idx val="16"/>
          <c:order val="17"/>
          <c:tx>
            <c:strRef>
              <c:f>'CO2 - Cenário RT 2'!$K$79</c:f>
              <c:strCache>
                <c:ptCount val="1"/>
                <c:pt idx="0">
                  <c:v>CDR seco + rejeito aterro</c:v>
                </c:pt>
              </c:strCache>
            </c:strRef>
          </c:tx>
          <c:spPr>
            <a:pattFill prst="wdUpDiag">
              <a:fgClr>
                <a:srgbClr val="008080"/>
              </a:fgClr>
              <a:bgClr>
                <a:srgbClr val="FFFFFF"/>
              </a:bgClr>
            </a:pattFill>
            <a:ln w="12700">
              <a:solidFill>
                <a:srgbClr val="000000"/>
              </a:solidFill>
              <a:prstDash val="solid"/>
            </a:ln>
          </c:spPr>
          <c:invertIfNegative val="0"/>
          <c:cat>
            <c:strRef>
              <c:f>'CO2 - Cenário RT 2'!$L$61:$M$61</c:f>
              <c:strCache>
                <c:ptCount val="2"/>
                <c:pt idx="0">
                  <c:v>Destinação de resíduos</c:v>
                </c:pt>
                <c:pt idx="1">
                  <c:v>Líquido</c:v>
                </c:pt>
              </c:strCache>
            </c:strRef>
          </c:cat>
          <c:val>
            <c:numRef>
              <c:f>'CO2 - Cenário RT 2'!$L$79:$M$79</c:f>
              <c:numCache>
                <c:formatCode>General</c:formatCode>
                <c:ptCount val="2"/>
                <c:pt idx="0" formatCode="#,##0">
                  <c:v>0</c:v>
                </c:pt>
              </c:numCache>
            </c:numRef>
          </c:val>
          <c:extLst>
            <c:ext xmlns:c16="http://schemas.microsoft.com/office/drawing/2014/chart" uri="{C3380CC4-5D6E-409C-BE32-E72D297353CC}">
              <c16:uniqueId val="{00000011-D8CC-4A75-BA2C-1345EB2966C3}"/>
            </c:ext>
          </c:extLst>
        </c:ser>
        <c:ser>
          <c:idx val="17"/>
          <c:order val="18"/>
          <c:tx>
            <c:strRef>
              <c:f>'CO2 - Cenário RT 2'!$K$80</c:f>
              <c:strCache>
                <c:ptCount val="1"/>
                <c:pt idx="0">
                  <c:v>CDR seco + trat. biol.</c:v>
                </c:pt>
              </c:strCache>
            </c:strRef>
          </c:tx>
          <c:spPr>
            <a:pattFill prst="wdDnDiag">
              <a:fgClr>
                <a:srgbClr val="FF9900"/>
              </a:fgClr>
              <a:bgClr>
                <a:srgbClr val="FFFFFF"/>
              </a:bgClr>
            </a:pattFill>
            <a:ln w="12700">
              <a:solidFill>
                <a:srgbClr val="000000"/>
              </a:solidFill>
              <a:prstDash val="solid"/>
            </a:ln>
          </c:spPr>
          <c:invertIfNegative val="0"/>
          <c:cat>
            <c:strRef>
              <c:f>'CO2 - Cenário RT 2'!$L$61:$M$61</c:f>
              <c:strCache>
                <c:ptCount val="2"/>
                <c:pt idx="0">
                  <c:v>Destinação de resíduos</c:v>
                </c:pt>
                <c:pt idx="1">
                  <c:v>Líquido</c:v>
                </c:pt>
              </c:strCache>
            </c:strRef>
          </c:cat>
          <c:val>
            <c:numRef>
              <c:f>'CO2 - Cenário RT 2'!$L$80:$M$80</c:f>
              <c:numCache>
                <c:formatCode>General</c:formatCode>
                <c:ptCount val="2"/>
                <c:pt idx="0" formatCode="#,##0">
                  <c:v>0</c:v>
                </c:pt>
              </c:numCache>
            </c:numRef>
          </c:val>
          <c:extLst>
            <c:ext xmlns:c16="http://schemas.microsoft.com/office/drawing/2014/chart" uri="{C3380CC4-5D6E-409C-BE32-E72D297353CC}">
              <c16:uniqueId val="{00000012-D8CC-4A75-BA2C-1345EB2966C3}"/>
            </c:ext>
          </c:extLst>
        </c:ser>
        <c:ser>
          <c:idx val="22"/>
          <c:order val="19"/>
          <c:tx>
            <c:strRef>
              <c:f>'CO2 - Cenário RT 2'!$K$81</c:f>
              <c:strCache>
                <c:ptCount val="1"/>
                <c:pt idx="0">
                  <c:v>CDR seco + CDR org.</c:v>
                </c:pt>
              </c:strCache>
            </c:strRef>
          </c:tx>
          <c:spPr>
            <a:pattFill prst="wdUpDiag">
              <a:fgClr>
                <a:srgbClr val="00B0F0"/>
              </a:fgClr>
              <a:bgClr>
                <a:schemeClr val="bg1"/>
              </a:bgClr>
            </a:pattFill>
            <a:ln w="12700">
              <a:solidFill>
                <a:srgbClr val="000000"/>
              </a:solidFill>
            </a:ln>
          </c:spPr>
          <c:invertIfNegative val="0"/>
          <c:cat>
            <c:strRef>
              <c:f>'CO2 - Cenário RT 2'!$L$61:$M$61</c:f>
              <c:strCache>
                <c:ptCount val="2"/>
                <c:pt idx="0">
                  <c:v>Destinação de resíduos</c:v>
                </c:pt>
                <c:pt idx="1">
                  <c:v>Líquido</c:v>
                </c:pt>
              </c:strCache>
            </c:strRef>
          </c:cat>
          <c:val>
            <c:numRef>
              <c:f>'CO2 - Cenário RT 2'!$L$81:$M$81</c:f>
              <c:numCache>
                <c:formatCode>General</c:formatCode>
                <c:ptCount val="2"/>
                <c:pt idx="0" formatCode="#,##0">
                  <c:v>0</c:v>
                </c:pt>
              </c:numCache>
            </c:numRef>
          </c:val>
          <c:extLst>
            <c:ext xmlns:c16="http://schemas.microsoft.com/office/drawing/2014/chart" uri="{C3380CC4-5D6E-409C-BE32-E72D297353CC}">
              <c16:uniqueId val="{00000013-D8CC-4A75-BA2C-1345EB2966C3}"/>
            </c:ext>
          </c:extLst>
        </c:ser>
        <c:ser>
          <c:idx val="18"/>
          <c:order val="20"/>
          <c:tx>
            <c:strRef>
              <c:f>'CO2 - Cenário RT 2'!$K$82</c:f>
              <c:strCache>
                <c:ptCount val="1"/>
                <c:pt idx="0">
                  <c:v>Incineração</c:v>
                </c:pt>
              </c:strCache>
            </c:strRef>
          </c:tx>
          <c:spPr>
            <a:pattFill prst="wdDnDiag">
              <a:fgClr>
                <a:srgbClr val="CCCCFF"/>
              </a:fgClr>
              <a:bgClr>
                <a:srgbClr val="FFFFFF"/>
              </a:bgClr>
            </a:pattFill>
            <a:ln w="12700">
              <a:solidFill>
                <a:srgbClr val="000000"/>
              </a:solidFill>
              <a:prstDash val="solid"/>
            </a:ln>
          </c:spPr>
          <c:invertIfNegative val="0"/>
          <c:cat>
            <c:strRef>
              <c:f>'CO2 - Cenário RT 2'!$L$61:$M$61</c:f>
              <c:strCache>
                <c:ptCount val="2"/>
                <c:pt idx="0">
                  <c:v>Destinação de resíduos</c:v>
                </c:pt>
                <c:pt idx="1">
                  <c:v>Líquido</c:v>
                </c:pt>
              </c:strCache>
            </c:strRef>
          </c:cat>
          <c:val>
            <c:numRef>
              <c:f>'CO2 - Cenário RT 2'!$L$82:$M$82</c:f>
              <c:numCache>
                <c:formatCode>General</c:formatCode>
                <c:ptCount val="2"/>
                <c:pt idx="0" formatCode="#,##0">
                  <c:v>0</c:v>
                </c:pt>
              </c:numCache>
            </c:numRef>
          </c:val>
          <c:extLst>
            <c:ext xmlns:c16="http://schemas.microsoft.com/office/drawing/2014/chart" uri="{C3380CC4-5D6E-409C-BE32-E72D297353CC}">
              <c16:uniqueId val="{00000014-D8CC-4A75-BA2C-1345EB2966C3}"/>
            </c:ext>
          </c:extLst>
        </c:ser>
        <c:ser>
          <c:idx val="19"/>
          <c:order val="21"/>
          <c:tx>
            <c:strRef>
              <c:f>'CO2 - Cenário RT 2'!$K$83</c:f>
              <c:strCache>
                <c:ptCount val="1"/>
                <c:pt idx="0">
                  <c:v>Créditos</c:v>
                </c:pt>
              </c:strCache>
            </c:strRef>
          </c:tx>
          <c:spPr>
            <a:noFill/>
            <a:ln w="25400">
              <a:noFill/>
            </a:ln>
          </c:spPr>
          <c:invertIfNegative val="0"/>
          <c:cat>
            <c:strRef>
              <c:f>'CO2 - Cenário RT 2'!$L$61:$M$61</c:f>
              <c:strCache>
                <c:ptCount val="2"/>
                <c:pt idx="0">
                  <c:v>Destinação de resíduos</c:v>
                </c:pt>
                <c:pt idx="1">
                  <c:v>Líquido</c:v>
                </c:pt>
              </c:strCache>
            </c:strRef>
          </c:cat>
          <c:val>
            <c:numRef>
              <c:f>'CO2 - Cenário RT 2'!$L$83:$M$83</c:f>
              <c:numCache>
                <c:formatCode>General</c:formatCode>
                <c:ptCount val="2"/>
              </c:numCache>
            </c:numRef>
          </c:val>
          <c:extLst>
            <c:ext xmlns:c16="http://schemas.microsoft.com/office/drawing/2014/chart" uri="{C3380CC4-5D6E-409C-BE32-E72D297353CC}">
              <c16:uniqueId val="{00000015-D8CC-4A75-BA2C-1345EB2966C3}"/>
            </c:ext>
          </c:extLst>
        </c:ser>
        <c:ser>
          <c:idx val="20"/>
          <c:order val="22"/>
          <c:tx>
            <c:strRef>
              <c:f>'CO2 - Cenário RT 2'!$K$84</c:f>
              <c:strCache>
                <c:ptCount val="1"/>
                <c:pt idx="0">
                  <c:v>Líquido</c:v>
                </c:pt>
              </c:strCache>
            </c:strRef>
          </c:tx>
          <c:spPr>
            <a:solidFill>
              <a:srgbClr val="0000FF"/>
            </a:solidFill>
            <a:ln w="12700">
              <a:solidFill>
                <a:srgbClr val="000000"/>
              </a:solidFill>
              <a:prstDash val="solid"/>
            </a:ln>
          </c:spPr>
          <c:invertIfNegative val="0"/>
          <c:cat>
            <c:strRef>
              <c:f>'CO2 - Cenário RT 2'!$L$61:$M$61</c:f>
              <c:strCache>
                <c:ptCount val="2"/>
                <c:pt idx="0">
                  <c:v>Destinação de resíduos</c:v>
                </c:pt>
                <c:pt idx="1">
                  <c:v>Líquido</c:v>
                </c:pt>
              </c:strCache>
            </c:strRef>
          </c:cat>
          <c:val>
            <c:numRef>
              <c:f>'CO2 - Cenário RT 2'!$L$84:$M$84</c:f>
              <c:numCache>
                <c:formatCode>#,##0</c:formatCode>
                <c:ptCount val="2"/>
                <c:pt idx="1">
                  <c:v>9577.7059389960687</c:v>
                </c:pt>
              </c:numCache>
            </c:numRef>
          </c:val>
          <c:extLst>
            <c:ext xmlns:c16="http://schemas.microsoft.com/office/drawing/2014/chart" uri="{C3380CC4-5D6E-409C-BE32-E72D297353CC}">
              <c16:uniqueId val="{00000016-D8CC-4A75-BA2C-1345EB2966C3}"/>
            </c:ext>
          </c:extLst>
        </c:ser>
        <c:dLbls>
          <c:showLegendKey val="0"/>
          <c:showVal val="0"/>
          <c:showCatName val="0"/>
          <c:showSerName val="0"/>
          <c:showPercent val="0"/>
          <c:showBubbleSize val="0"/>
        </c:dLbls>
        <c:gapWidth val="100"/>
        <c:overlap val="100"/>
        <c:axId val="197621632"/>
        <c:axId val="197623168"/>
      </c:barChart>
      <c:catAx>
        <c:axId val="197621632"/>
        <c:scaling>
          <c:orientation val="minMax"/>
        </c:scaling>
        <c:delete val="0"/>
        <c:axPos val="b"/>
        <c:numFmt formatCode="General" sourceLinked="1"/>
        <c:majorTickMark val="out"/>
        <c:minorTickMark val="none"/>
        <c:tickLblPos val="low"/>
        <c:spPr>
          <a:ln w="3175">
            <a:solidFill>
              <a:srgbClr val="000000"/>
            </a:solidFill>
            <a:prstDash val="solid"/>
          </a:ln>
        </c:spPr>
        <c:txPr>
          <a:bodyPr rot="0" vert="horz"/>
          <a:lstStyle/>
          <a:p>
            <a:pPr>
              <a:defRPr sz="875" b="1" i="0" u="none" strike="noStrike" baseline="0">
                <a:solidFill>
                  <a:srgbClr val="000000"/>
                </a:solidFill>
                <a:latin typeface="Arial"/>
                <a:ea typeface="Arial"/>
                <a:cs typeface="Arial"/>
              </a:defRPr>
            </a:pPr>
            <a:endParaRPr lang="pt-BR"/>
          </a:p>
        </c:txPr>
        <c:crossAx val="197623168"/>
        <c:crosses val="autoZero"/>
        <c:auto val="1"/>
        <c:lblAlgn val="ctr"/>
        <c:lblOffset val="100"/>
        <c:tickLblSkip val="1"/>
        <c:tickMarkSkip val="1"/>
        <c:noMultiLvlLbl val="0"/>
      </c:catAx>
      <c:valAx>
        <c:axId val="197623168"/>
        <c:scaling>
          <c:orientation val="minMax"/>
        </c:scaling>
        <c:delete val="0"/>
        <c:axPos val="l"/>
        <c:majorGridlines>
          <c:spPr>
            <a:ln w="3175">
              <a:solidFill>
                <a:srgbClr val="000000"/>
              </a:solidFill>
              <a:prstDash val="solid"/>
            </a:ln>
          </c:spPr>
        </c:majorGridlines>
        <c:title>
          <c:tx>
            <c:rich>
              <a:bodyPr/>
              <a:lstStyle/>
              <a:p>
                <a:pPr>
                  <a:defRPr sz="875" b="1" i="0" u="none" strike="noStrike" baseline="0">
                    <a:solidFill>
                      <a:sysClr val="windowText" lastClr="000000"/>
                    </a:solidFill>
                    <a:latin typeface="Arial"/>
                    <a:ea typeface="Arial"/>
                    <a:cs typeface="Arial"/>
                  </a:defRPr>
                </a:pPr>
                <a:r>
                  <a:rPr lang="de-DE">
                    <a:solidFill>
                      <a:sysClr val="windowText" lastClr="000000"/>
                    </a:solidFill>
                  </a:rPr>
                  <a:t>tonelada CO2-eq / ano</a:t>
                </a:r>
              </a:p>
            </c:rich>
          </c:tx>
          <c:layout>
            <c:manualLayout>
              <c:xMode val="edge"/>
              <c:yMode val="edge"/>
              <c:x val="5.2069555550346737E-3"/>
              <c:y val="0.37517252296886083"/>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75" b="0" i="0" u="none" strike="noStrike" baseline="0">
                <a:solidFill>
                  <a:srgbClr val="000000"/>
                </a:solidFill>
                <a:latin typeface="Arial"/>
                <a:ea typeface="Arial"/>
                <a:cs typeface="Arial"/>
              </a:defRPr>
            </a:pPr>
            <a:endParaRPr lang="pt-BR"/>
          </a:p>
        </c:txPr>
        <c:crossAx val="197621632"/>
        <c:crosses val="autoZero"/>
        <c:crossBetween val="between"/>
      </c:valAx>
      <c:spPr>
        <a:noFill/>
        <a:ln w="12700">
          <a:solidFill>
            <a:srgbClr val="808080"/>
          </a:solidFill>
          <a:prstDash val="solid"/>
        </a:ln>
      </c:spPr>
    </c:plotArea>
    <c:legend>
      <c:legendPos val="r"/>
      <c:legendEntry>
        <c:idx val="0"/>
        <c:txPr>
          <a:bodyPr/>
          <a:lstStyle/>
          <a:p>
            <a:pPr>
              <a:defRPr sz="780" b="1" i="0" u="none" strike="noStrike" baseline="0">
                <a:solidFill>
                  <a:srgbClr val="000000"/>
                </a:solidFill>
                <a:latin typeface="Arial"/>
                <a:ea typeface="Arial"/>
                <a:cs typeface="Arial"/>
              </a:defRPr>
            </a:pPr>
            <a:endParaRPr lang="pt-BR"/>
          </a:p>
        </c:txPr>
      </c:legendEntry>
      <c:legendEntry>
        <c:idx val="1"/>
        <c:txPr>
          <a:bodyPr/>
          <a:lstStyle/>
          <a:p>
            <a:pPr>
              <a:defRPr sz="780" b="1" i="0" u="none" strike="noStrike" baseline="0">
                <a:solidFill>
                  <a:srgbClr val="000000"/>
                </a:solidFill>
                <a:latin typeface="Arial"/>
                <a:ea typeface="Arial"/>
                <a:cs typeface="Arial"/>
              </a:defRPr>
            </a:pPr>
            <a:endParaRPr lang="pt-BR"/>
          </a:p>
        </c:txPr>
      </c:legendEntry>
      <c:legendEntry>
        <c:idx val="5"/>
        <c:txPr>
          <a:bodyPr/>
          <a:lstStyle/>
          <a:p>
            <a:pPr>
              <a:defRPr sz="780" b="0" i="0" u="none" strike="noStrike" baseline="0">
                <a:solidFill>
                  <a:srgbClr val="000000"/>
                </a:solidFill>
                <a:latin typeface="Arial"/>
                <a:ea typeface="Arial"/>
                <a:cs typeface="Arial"/>
              </a:defRPr>
            </a:pPr>
            <a:endParaRPr lang="pt-BR"/>
          </a:p>
        </c:txPr>
      </c:legendEntry>
      <c:legendEntry>
        <c:idx val="6"/>
        <c:txPr>
          <a:bodyPr/>
          <a:lstStyle/>
          <a:p>
            <a:pPr>
              <a:defRPr sz="780" b="0" i="0" u="none" strike="noStrike" baseline="0">
                <a:solidFill>
                  <a:srgbClr val="000000"/>
                </a:solidFill>
                <a:latin typeface="Arial"/>
                <a:ea typeface="Arial"/>
                <a:cs typeface="Arial"/>
              </a:defRPr>
            </a:pPr>
            <a:endParaRPr lang="pt-BR"/>
          </a:p>
        </c:txPr>
      </c:legendEntry>
      <c:legendEntry>
        <c:idx val="9"/>
        <c:txPr>
          <a:bodyPr/>
          <a:lstStyle/>
          <a:p>
            <a:pPr>
              <a:defRPr sz="780" b="0" i="0" u="none" strike="noStrike" baseline="0">
                <a:solidFill>
                  <a:srgbClr val="000000"/>
                </a:solidFill>
                <a:latin typeface="Arial"/>
                <a:ea typeface="Arial"/>
                <a:cs typeface="Arial"/>
              </a:defRPr>
            </a:pPr>
            <a:endParaRPr lang="pt-BR"/>
          </a:p>
        </c:txPr>
      </c:legendEntry>
      <c:legendEntry>
        <c:idx val="10"/>
        <c:txPr>
          <a:bodyPr/>
          <a:lstStyle/>
          <a:p>
            <a:pPr>
              <a:defRPr sz="780" b="0" i="0" u="none" strike="noStrike" baseline="0">
                <a:solidFill>
                  <a:srgbClr val="000000"/>
                </a:solidFill>
                <a:latin typeface="Arial"/>
                <a:ea typeface="Arial"/>
                <a:cs typeface="Arial"/>
              </a:defRPr>
            </a:pPr>
            <a:endParaRPr lang="pt-BR"/>
          </a:p>
        </c:txPr>
      </c:legendEntry>
      <c:legendEntry>
        <c:idx val="12"/>
        <c:txPr>
          <a:bodyPr/>
          <a:lstStyle/>
          <a:p>
            <a:pPr>
              <a:defRPr sz="780" b="1" i="0" u="none" strike="noStrike" baseline="0">
                <a:solidFill>
                  <a:srgbClr val="000000"/>
                </a:solidFill>
                <a:latin typeface="Arial"/>
                <a:ea typeface="Arial"/>
                <a:cs typeface="Arial"/>
              </a:defRPr>
            </a:pPr>
            <a:endParaRPr lang="pt-BR"/>
          </a:p>
        </c:txPr>
      </c:legendEntry>
      <c:legendEntry>
        <c:idx val="15"/>
        <c:txPr>
          <a:bodyPr/>
          <a:lstStyle/>
          <a:p>
            <a:pPr>
              <a:defRPr sz="780" b="0" i="0" u="none" strike="noStrike" baseline="0">
                <a:solidFill>
                  <a:srgbClr val="000000"/>
                </a:solidFill>
                <a:latin typeface="Arial"/>
                <a:ea typeface="Arial"/>
                <a:cs typeface="Arial"/>
              </a:defRPr>
            </a:pPr>
            <a:endParaRPr lang="pt-BR"/>
          </a:p>
        </c:txPr>
      </c:legendEntry>
      <c:legendEntry>
        <c:idx val="17"/>
        <c:txPr>
          <a:bodyPr/>
          <a:lstStyle/>
          <a:p>
            <a:pPr>
              <a:defRPr sz="780" b="0" i="0" u="none" strike="noStrike" baseline="0">
                <a:solidFill>
                  <a:srgbClr val="000000"/>
                </a:solidFill>
                <a:latin typeface="Arial"/>
                <a:ea typeface="Arial"/>
                <a:cs typeface="Arial"/>
              </a:defRPr>
            </a:pPr>
            <a:endParaRPr lang="pt-BR"/>
          </a:p>
        </c:txPr>
      </c:legendEntry>
      <c:layout>
        <c:manualLayout>
          <c:xMode val="edge"/>
          <c:yMode val="edge"/>
          <c:x val="0.73241295379035887"/>
          <c:y val="1.379406613671616E-3"/>
          <c:w val="0.25295402590805183"/>
          <c:h val="0.97700328922295776"/>
        </c:manualLayout>
      </c:layout>
      <c:overlay val="0"/>
      <c:spPr>
        <a:solidFill>
          <a:srgbClr val="FFFFFF"/>
        </a:solidFill>
        <a:ln w="3175">
          <a:solidFill>
            <a:srgbClr val="000000"/>
          </a:solidFill>
          <a:prstDash val="solid"/>
        </a:ln>
      </c:spPr>
      <c:txPr>
        <a:bodyPr/>
        <a:lstStyle/>
        <a:p>
          <a:pPr>
            <a:defRPr sz="780" b="0" i="0" u="none" strike="noStrike" baseline="0">
              <a:solidFill>
                <a:srgbClr val="000000"/>
              </a:solidFill>
              <a:latin typeface="Arial"/>
              <a:ea typeface="Arial"/>
              <a:cs typeface="Arial"/>
            </a:defRPr>
          </a:pPr>
          <a:endParaRPr lang="pt-BR"/>
        </a:p>
      </c:txPr>
    </c:legend>
    <c:plotVisOnly val="1"/>
    <c:dispBlanksAs val="gap"/>
    <c:showDLblsOverMax val="0"/>
  </c:chart>
  <c:spPr>
    <a:solidFill>
      <a:srgbClr val="FFFFFF"/>
    </a:solid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pt-BR"/>
    </a:p>
  </c:txPr>
  <c:printSettings>
    <c:headerFooter alignWithMargins="0"/>
    <c:pageMargins b="0.98425196899999978" l="0.78740157499999996" r="0.78740157499999996" t="0.98425196899999978" header="0.49212598450000011" footer="0.49212598450000011"/>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50" b="1" i="0" u="none" strike="noStrike" baseline="0">
                <a:solidFill>
                  <a:srgbClr val="000000"/>
                </a:solidFill>
                <a:latin typeface="Arial"/>
                <a:ea typeface="Arial"/>
                <a:cs typeface="Arial"/>
              </a:defRPr>
            </a:pPr>
            <a:r>
              <a:rPr lang="de-DE"/>
              <a:t>Emissões de GEE</a:t>
            </a:r>
          </a:p>
        </c:rich>
      </c:tx>
      <c:layout>
        <c:manualLayout>
          <c:xMode val="edge"/>
          <c:yMode val="edge"/>
          <c:x val="0.40831758034026489"/>
          <c:y val="1.5363128491620118E-2"/>
        </c:manualLayout>
      </c:layout>
      <c:overlay val="0"/>
      <c:spPr>
        <a:noFill/>
        <a:ln w="25400">
          <a:noFill/>
        </a:ln>
      </c:spPr>
    </c:title>
    <c:autoTitleDeleted val="0"/>
    <c:plotArea>
      <c:layout>
        <c:manualLayout>
          <c:layoutTarget val="inner"/>
          <c:xMode val="edge"/>
          <c:yMode val="edge"/>
          <c:x val="0.17202268431001888"/>
          <c:y val="0.11312849162011174"/>
          <c:w val="0.79584120982986772"/>
          <c:h val="0.77374301675977719"/>
        </c:manualLayout>
      </c:layout>
      <c:barChart>
        <c:barDir val="col"/>
        <c:grouping val="clustered"/>
        <c:varyColors val="0"/>
        <c:ser>
          <c:idx val="0"/>
          <c:order val="0"/>
          <c:tx>
            <c:strRef>
              <c:f>'CO2 - Cenário RT 2'!$G$53</c:f>
              <c:strCache>
                <c:ptCount val="1"/>
                <c:pt idx="0">
                  <c:v>Débitos</c:v>
                </c:pt>
              </c:strCache>
            </c:strRef>
          </c:tx>
          <c:spPr>
            <a:solidFill>
              <a:srgbClr val="FFCC99"/>
            </a:solidFill>
            <a:ln w="12700">
              <a:solidFill>
                <a:srgbClr val="000000"/>
              </a:solidFill>
              <a:prstDash val="solid"/>
            </a:ln>
          </c:spPr>
          <c:invertIfNegative val="0"/>
          <c:cat>
            <c:strRef>
              <c:f>'CO2 - Cenário RT 2'!$H$52:$J$52</c:f>
              <c:strCache>
                <c:ptCount val="3"/>
                <c:pt idx="0">
                  <c:v>Resíduo reciclado</c:v>
                </c:pt>
                <c:pt idx="1">
                  <c:v>Destinação de resíduo</c:v>
                </c:pt>
                <c:pt idx="2">
                  <c:v>RSU total</c:v>
                </c:pt>
              </c:strCache>
            </c:strRef>
          </c:cat>
          <c:val>
            <c:numRef>
              <c:f>'CO2 - Cenário RT 2'!$H$53:$J$53</c:f>
              <c:numCache>
                <c:formatCode>#,##0</c:formatCode>
                <c:ptCount val="3"/>
                <c:pt idx="0">
                  <c:v>1665.6439969728001</c:v>
                </c:pt>
                <c:pt idx="1">
                  <c:v>9577.7059389960687</c:v>
                </c:pt>
                <c:pt idx="2">
                  <c:v>11243.349935968869</c:v>
                </c:pt>
              </c:numCache>
            </c:numRef>
          </c:val>
          <c:extLst>
            <c:ext xmlns:c16="http://schemas.microsoft.com/office/drawing/2014/chart" uri="{C3380CC4-5D6E-409C-BE32-E72D297353CC}">
              <c16:uniqueId val="{00000000-D381-490D-AB9D-ECD0C840B4BC}"/>
            </c:ext>
          </c:extLst>
        </c:ser>
        <c:ser>
          <c:idx val="1"/>
          <c:order val="1"/>
          <c:tx>
            <c:strRef>
              <c:f>'CO2 - Cenário RT 2'!$G$54</c:f>
              <c:strCache>
                <c:ptCount val="1"/>
                <c:pt idx="0">
                  <c:v>Créditos</c:v>
                </c:pt>
              </c:strCache>
            </c:strRef>
          </c:tx>
          <c:spPr>
            <a:pattFill prst="wdUpDiag">
              <a:fgClr>
                <a:srgbClr val="FF99CC"/>
              </a:fgClr>
              <a:bgClr>
                <a:srgbClr val="800080"/>
              </a:bgClr>
            </a:pattFill>
            <a:ln w="12700">
              <a:solidFill>
                <a:srgbClr val="000000"/>
              </a:solidFill>
              <a:prstDash val="solid"/>
            </a:ln>
          </c:spPr>
          <c:invertIfNegative val="0"/>
          <c:cat>
            <c:strRef>
              <c:f>'CO2 - Cenário RT 2'!$H$52:$J$52</c:f>
              <c:strCache>
                <c:ptCount val="3"/>
                <c:pt idx="0">
                  <c:v>Resíduo reciclado</c:v>
                </c:pt>
                <c:pt idx="1">
                  <c:v>Destinação de resíduo</c:v>
                </c:pt>
                <c:pt idx="2">
                  <c:v>RSU total</c:v>
                </c:pt>
              </c:strCache>
            </c:strRef>
          </c:cat>
          <c:val>
            <c:numRef>
              <c:f>'CO2 - Cenário RT 2'!$H$54:$J$54</c:f>
              <c:numCache>
                <c:formatCode>#,##0</c:formatCode>
                <c:ptCount val="3"/>
                <c:pt idx="0">
                  <c:v>-5018.9513721984003</c:v>
                </c:pt>
                <c:pt idx="1">
                  <c:v>0</c:v>
                </c:pt>
                <c:pt idx="2">
                  <c:v>-5018.9513721984003</c:v>
                </c:pt>
              </c:numCache>
            </c:numRef>
          </c:val>
          <c:extLst>
            <c:ext xmlns:c16="http://schemas.microsoft.com/office/drawing/2014/chart" uri="{C3380CC4-5D6E-409C-BE32-E72D297353CC}">
              <c16:uniqueId val="{00000001-D381-490D-AB9D-ECD0C840B4BC}"/>
            </c:ext>
          </c:extLst>
        </c:ser>
        <c:ser>
          <c:idx val="2"/>
          <c:order val="2"/>
          <c:tx>
            <c:strRef>
              <c:f>'CO2 - Cenário RT 2'!$G$55</c:f>
              <c:strCache>
                <c:ptCount val="1"/>
                <c:pt idx="0">
                  <c:v>Líquido</c:v>
                </c:pt>
              </c:strCache>
            </c:strRef>
          </c:tx>
          <c:spPr>
            <a:solidFill>
              <a:srgbClr val="0000FF"/>
            </a:solidFill>
            <a:ln w="12700">
              <a:solidFill>
                <a:srgbClr val="000000"/>
              </a:solidFill>
              <a:prstDash val="solid"/>
            </a:ln>
          </c:spPr>
          <c:invertIfNegative val="0"/>
          <c:cat>
            <c:strRef>
              <c:f>'CO2 - Cenário RT 2'!$H$52:$J$52</c:f>
              <c:strCache>
                <c:ptCount val="3"/>
                <c:pt idx="0">
                  <c:v>Resíduo reciclado</c:v>
                </c:pt>
                <c:pt idx="1">
                  <c:v>Destinação de resíduo</c:v>
                </c:pt>
                <c:pt idx="2">
                  <c:v>RSU total</c:v>
                </c:pt>
              </c:strCache>
            </c:strRef>
          </c:cat>
          <c:val>
            <c:numRef>
              <c:f>'CO2 - Cenário RT 2'!$H$55:$J$55</c:f>
              <c:numCache>
                <c:formatCode>#,##0</c:formatCode>
                <c:ptCount val="3"/>
                <c:pt idx="0">
                  <c:v>-3353.3073752256005</c:v>
                </c:pt>
                <c:pt idx="1">
                  <c:v>9577.7059389960687</c:v>
                </c:pt>
                <c:pt idx="2">
                  <c:v>6224.3985637704682</c:v>
                </c:pt>
              </c:numCache>
            </c:numRef>
          </c:val>
          <c:extLst>
            <c:ext xmlns:c16="http://schemas.microsoft.com/office/drawing/2014/chart" uri="{C3380CC4-5D6E-409C-BE32-E72D297353CC}">
              <c16:uniqueId val="{00000002-D381-490D-AB9D-ECD0C840B4BC}"/>
            </c:ext>
          </c:extLst>
        </c:ser>
        <c:dLbls>
          <c:showLegendKey val="0"/>
          <c:showVal val="0"/>
          <c:showCatName val="0"/>
          <c:showSerName val="0"/>
          <c:showPercent val="0"/>
          <c:showBubbleSize val="0"/>
        </c:dLbls>
        <c:gapWidth val="100"/>
        <c:axId val="197736704"/>
        <c:axId val="197742592"/>
      </c:barChart>
      <c:catAx>
        <c:axId val="197736704"/>
        <c:scaling>
          <c:orientation val="minMax"/>
        </c:scaling>
        <c:delete val="0"/>
        <c:axPos val="b"/>
        <c:numFmt formatCode="General" sourceLinked="1"/>
        <c:majorTickMark val="out"/>
        <c:minorTickMark val="none"/>
        <c:tickLblPos val="low"/>
        <c:spPr>
          <a:ln w="3175">
            <a:solidFill>
              <a:srgbClr val="000000"/>
            </a:solidFill>
            <a:prstDash val="solid"/>
          </a:ln>
        </c:spPr>
        <c:txPr>
          <a:bodyPr rot="0" vert="horz"/>
          <a:lstStyle/>
          <a:p>
            <a:pPr>
              <a:defRPr sz="925" b="0" i="0" u="none" strike="noStrike" baseline="0">
                <a:solidFill>
                  <a:srgbClr val="000000"/>
                </a:solidFill>
                <a:latin typeface="Arial"/>
                <a:ea typeface="Arial"/>
                <a:cs typeface="Arial"/>
              </a:defRPr>
            </a:pPr>
            <a:endParaRPr lang="pt-BR"/>
          </a:p>
        </c:txPr>
        <c:crossAx val="197742592"/>
        <c:crosses val="autoZero"/>
        <c:auto val="1"/>
        <c:lblAlgn val="ctr"/>
        <c:lblOffset val="50"/>
        <c:tickLblSkip val="1"/>
        <c:tickMarkSkip val="1"/>
        <c:noMultiLvlLbl val="0"/>
      </c:catAx>
      <c:valAx>
        <c:axId val="197742592"/>
        <c:scaling>
          <c:orientation val="minMax"/>
        </c:scaling>
        <c:delete val="0"/>
        <c:axPos val="l"/>
        <c:majorGridlines>
          <c:spPr>
            <a:ln w="3175">
              <a:solidFill>
                <a:srgbClr val="000000"/>
              </a:solidFill>
              <a:prstDash val="solid"/>
            </a:ln>
          </c:spPr>
        </c:majorGridlines>
        <c:title>
          <c:tx>
            <c:rich>
              <a:bodyPr/>
              <a:lstStyle/>
              <a:p>
                <a:pPr>
                  <a:defRPr sz="925" b="1" i="0" u="none" strike="noStrike" baseline="0">
                    <a:solidFill>
                      <a:sysClr val="windowText" lastClr="000000"/>
                    </a:solidFill>
                    <a:latin typeface="Arial"/>
                    <a:ea typeface="Arial"/>
                    <a:cs typeface="Arial"/>
                  </a:defRPr>
                </a:pPr>
                <a:r>
                  <a:rPr lang="de-DE">
                    <a:solidFill>
                      <a:sysClr val="windowText" lastClr="000000"/>
                    </a:solidFill>
                  </a:rPr>
                  <a:t>tonelada CO2-eq / ano</a:t>
                </a:r>
              </a:p>
            </c:rich>
          </c:tx>
          <c:layout>
            <c:manualLayout>
              <c:xMode val="edge"/>
              <c:yMode val="edge"/>
              <c:x val="2.8640024743070773E-4"/>
              <c:y val="0.3547485558903678"/>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925" b="0" i="0" u="none" strike="noStrike" baseline="0">
                <a:solidFill>
                  <a:srgbClr val="000000"/>
                </a:solidFill>
                <a:latin typeface="Arial"/>
                <a:ea typeface="Arial"/>
                <a:cs typeface="Arial"/>
              </a:defRPr>
            </a:pPr>
            <a:endParaRPr lang="pt-BR"/>
          </a:p>
        </c:txPr>
        <c:crossAx val="197736704"/>
        <c:crosses val="autoZero"/>
        <c:crossBetween val="between"/>
      </c:valAx>
      <c:spPr>
        <a:noFill/>
        <a:ln w="3175">
          <a:solidFill>
            <a:srgbClr val="000000"/>
          </a:solidFill>
          <a:prstDash val="solid"/>
        </a:ln>
      </c:spPr>
    </c:plotArea>
    <c:legend>
      <c:legendPos val="r"/>
      <c:layout>
        <c:manualLayout>
          <c:xMode val="edge"/>
          <c:yMode val="edge"/>
          <c:x val="0.18641531379535659"/>
          <c:y val="2.8507506323380952E-2"/>
          <c:w val="0.18431001890359169"/>
          <c:h val="0.19134078212290509"/>
        </c:manualLayout>
      </c:layout>
      <c:overlay val="0"/>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pt-BR"/>
        </a:p>
      </c:txPr>
    </c:legend>
    <c:plotVisOnly val="1"/>
    <c:dispBlanksAs val="gap"/>
    <c:showDLblsOverMax val="0"/>
  </c:chart>
  <c:spPr>
    <a:solidFill>
      <a:srgbClr val="FFFFFF"/>
    </a:solid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pt-BR"/>
    </a:p>
  </c:txPr>
  <c:printSettings>
    <c:headerFooter alignWithMargins="0"/>
    <c:pageMargins b="0.98425196899999978" l="0.78740157499999996" r="0.78740157499999996" t="0.98425196899999978" header="0.49212598450000011" footer="0.49212598450000011"/>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75" b="1" i="0" u="none" strike="noStrike" baseline="0">
                <a:solidFill>
                  <a:srgbClr val="000000"/>
                </a:solidFill>
                <a:latin typeface="Arial"/>
                <a:ea typeface="Arial"/>
                <a:cs typeface="Arial"/>
              </a:defRPr>
            </a:pPr>
            <a:r>
              <a:rPr lang="de-DE"/>
              <a:t>Resíduos tratados</a:t>
            </a:r>
          </a:p>
        </c:rich>
      </c:tx>
      <c:layout>
        <c:manualLayout>
          <c:xMode val="edge"/>
          <c:yMode val="edge"/>
          <c:x val="0.42234887542620636"/>
          <c:y val="1.3317222772640101E-2"/>
        </c:manualLayout>
      </c:layout>
      <c:overlay val="0"/>
      <c:spPr>
        <a:noFill/>
        <a:ln w="25400">
          <a:noFill/>
        </a:ln>
      </c:spPr>
    </c:title>
    <c:autoTitleDeleted val="0"/>
    <c:plotArea>
      <c:layout>
        <c:manualLayout>
          <c:layoutTarget val="inner"/>
          <c:xMode val="edge"/>
          <c:yMode val="edge"/>
          <c:x val="0.18750017339549072"/>
          <c:y val="0.10653778218112091"/>
          <c:w val="0.78598557534473334"/>
          <c:h val="0.58595780199616432"/>
        </c:manualLayout>
      </c:layout>
      <c:barChart>
        <c:barDir val="col"/>
        <c:grouping val="clustered"/>
        <c:varyColors val="0"/>
        <c:ser>
          <c:idx val="0"/>
          <c:order val="0"/>
          <c:spPr>
            <a:solidFill>
              <a:srgbClr val="008000"/>
            </a:solidFill>
            <a:ln w="12700">
              <a:solidFill>
                <a:srgbClr val="000000"/>
              </a:solidFill>
              <a:prstDash val="solid"/>
            </a:ln>
          </c:spPr>
          <c:invertIfNegative val="0"/>
          <c:cat>
            <c:strRef>
              <c:f>('CO2 - Cenário RT 3'!$B$7:$B$15,'CO2 - Cenário RT 3'!$B$18:$B$27)</c:f>
              <c:strCache>
                <c:ptCount val="19"/>
                <c:pt idx="0">
                  <c:v>Resíduos de alimentos</c:v>
                </c:pt>
                <c:pt idx="1">
                  <c:v>Resíduos de jardins e parques</c:v>
                </c:pt>
                <c:pt idx="2">
                  <c:v>Papel, papelão</c:v>
                </c:pt>
                <c:pt idx="3">
                  <c:v>Plásticos</c:v>
                </c:pt>
                <c:pt idx="4">
                  <c:v>Vidros</c:v>
                </c:pt>
                <c:pt idx="5">
                  <c:v>Metais ferrosos</c:v>
                </c:pt>
                <c:pt idx="6">
                  <c:v>Alumínio</c:v>
                </c:pt>
                <c:pt idx="7">
                  <c:v>Têxteis</c:v>
                </c:pt>
                <c:pt idx="9">
                  <c:v>Resíduos dispersos</c:v>
                </c:pt>
                <c:pt idx="10">
                  <c:v>Queima a céu aberto</c:v>
                </c:pt>
                <c:pt idx="11">
                  <c:v>Lixão não controlado</c:v>
                </c:pt>
                <c:pt idx="12">
                  <c:v>Aterro controlado</c:v>
                </c:pt>
                <c:pt idx="13">
                  <c:v>Aterro sanitário</c:v>
                </c:pt>
                <c:pt idx="14">
                  <c:v>Trat. biol + cobertura at.</c:v>
                </c:pt>
                <c:pt idx="15">
                  <c:v>CDR seco + rejeito aterro</c:v>
                </c:pt>
                <c:pt idx="16">
                  <c:v>CDR seco + trat. biol.</c:v>
                </c:pt>
                <c:pt idx="17">
                  <c:v>CDR seco + CDR org.</c:v>
                </c:pt>
                <c:pt idx="18">
                  <c:v>Incineração</c:v>
                </c:pt>
              </c:strCache>
            </c:strRef>
          </c:cat>
          <c:val>
            <c:numRef>
              <c:f>('CO2 - Cenário RT 3'!$C$7:$C$15,'CO2 - Cenário RT 3'!$C$18:$C$27)</c:f>
              <c:numCache>
                <c:formatCode>#,##0</c:formatCode>
                <c:ptCount val="19"/>
                <c:pt idx="0">
                  <c:v>0</c:v>
                </c:pt>
                <c:pt idx="1">
                  <c:v>0</c:v>
                </c:pt>
                <c:pt idx="2">
                  <c:v>1004.4457488</c:v>
                </c:pt>
                <c:pt idx="3">
                  <c:v>683.86032</c:v>
                </c:pt>
                <c:pt idx="4">
                  <c:v>0</c:v>
                </c:pt>
                <c:pt idx="5">
                  <c:v>503.10935999999998</c:v>
                </c:pt>
                <c:pt idx="6">
                  <c:v>131.24591999999998</c:v>
                </c:pt>
                <c:pt idx="7">
                  <c:v>0</c:v>
                </c:pt>
                <c:pt idx="9">
                  <c:v>0</c:v>
                </c:pt>
                <c:pt idx="10">
                  <c:v>0</c:v>
                </c:pt>
                <c:pt idx="11">
                  <c:v>0</c:v>
                </c:pt>
                <c:pt idx="12">
                  <c:v>6210.8815953599997</c:v>
                </c:pt>
                <c:pt idx="13">
                  <c:v>0</c:v>
                </c:pt>
                <c:pt idx="14">
                  <c:v>0</c:v>
                </c:pt>
                <c:pt idx="15">
                  <c:v>0</c:v>
                </c:pt>
                <c:pt idx="16">
                  <c:v>0</c:v>
                </c:pt>
                <c:pt idx="17">
                  <c:v>14492.057055839998</c:v>
                </c:pt>
                <c:pt idx="18">
                  <c:v>0</c:v>
                </c:pt>
              </c:numCache>
            </c:numRef>
          </c:val>
          <c:extLst>
            <c:ext xmlns:c16="http://schemas.microsoft.com/office/drawing/2014/chart" uri="{C3380CC4-5D6E-409C-BE32-E72D297353CC}">
              <c16:uniqueId val="{00000000-217D-4A07-B553-4FDFDD0719DB}"/>
            </c:ext>
          </c:extLst>
        </c:ser>
        <c:dLbls>
          <c:showLegendKey val="0"/>
          <c:showVal val="0"/>
          <c:showCatName val="0"/>
          <c:showSerName val="0"/>
          <c:showPercent val="0"/>
          <c:showBubbleSize val="0"/>
        </c:dLbls>
        <c:gapWidth val="100"/>
        <c:axId val="197835392"/>
        <c:axId val="197837184"/>
      </c:barChart>
      <c:catAx>
        <c:axId val="197835392"/>
        <c:scaling>
          <c:orientation val="minMax"/>
        </c:scaling>
        <c:delete val="0"/>
        <c:axPos val="b"/>
        <c:numFmt formatCode="General" sourceLinked="1"/>
        <c:majorTickMark val="out"/>
        <c:minorTickMark val="none"/>
        <c:tickLblPos val="nextTo"/>
        <c:spPr>
          <a:ln w="3175">
            <a:solidFill>
              <a:srgbClr val="000000"/>
            </a:solidFill>
            <a:prstDash val="solid"/>
          </a:ln>
        </c:spPr>
        <c:txPr>
          <a:bodyPr rot="-3660000" vert="horz"/>
          <a:lstStyle/>
          <a:p>
            <a:pPr>
              <a:defRPr sz="875" b="0" i="0" u="none" strike="noStrike" baseline="0">
                <a:solidFill>
                  <a:srgbClr val="000000"/>
                </a:solidFill>
                <a:latin typeface="Arial"/>
                <a:ea typeface="Arial"/>
                <a:cs typeface="Arial"/>
              </a:defRPr>
            </a:pPr>
            <a:endParaRPr lang="pt-BR"/>
          </a:p>
        </c:txPr>
        <c:crossAx val="197837184"/>
        <c:crosses val="autoZero"/>
        <c:auto val="1"/>
        <c:lblAlgn val="ctr"/>
        <c:lblOffset val="100"/>
        <c:tickLblSkip val="1"/>
        <c:tickMarkSkip val="1"/>
        <c:noMultiLvlLbl val="0"/>
      </c:catAx>
      <c:valAx>
        <c:axId val="197837184"/>
        <c:scaling>
          <c:orientation val="minMax"/>
        </c:scaling>
        <c:delete val="0"/>
        <c:axPos val="l"/>
        <c:majorGridlines>
          <c:spPr>
            <a:ln w="3175">
              <a:solidFill>
                <a:srgbClr val="000000"/>
              </a:solidFill>
              <a:prstDash val="solid"/>
            </a:ln>
          </c:spPr>
        </c:majorGridlines>
        <c:title>
          <c:tx>
            <c:rich>
              <a:bodyPr/>
              <a:lstStyle/>
              <a:p>
                <a:pPr>
                  <a:defRPr sz="950" b="1" i="0" u="none" strike="noStrike" baseline="0">
                    <a:solidFill>
                      <a:sysClr val="windowText" lastClr="000000"/>
                    </a:solidFill>
                    <a:latin typeface="Arial"/>
                    <a:ea typeface="Arial"/>
                    <a:cs typeface="Arial"/>
                  </a:defRPr>
                </a:pPr>
                <a:r>
                  <a:rPr lang="de-DE">
                    <a:solidFill>
                      <a:sysClr val="windowText" lastClr="000000"/>
                    </a:solidFill>
                  </a:rPr>
                  <a:t>tonelada</a:t>
                </a:r>
                <a:r>
                  <a:rPr lang="de-DE" baseline="0">
                    <a:solidFill>
                      <a:sysClr val="windowText" lastClr="000000"/>
                    </a:solidFill>
                  </a:rPr>
                  <a:t> </a:t>
                </a:r>
                <a:r>
                  <a:rPr lang="de-DE">
                    <a:solidFill>
                      <a:sysClr val="windowText" lastClr="000000"/>
                    </a:solidFill>
                  </a:rPr>
                  <a:t>/ ano</a:t>
                </a:r>
              </a:p>
            </c:rich>
          </c:tx>
          <c:layout>
            <c:manualLayout>
              <c:xMode val="edge"/>
              <c:yMode val="edge"/>
              <c:x val="1.2487080419295414E-2"/>
              <c:y val="0.36372088265352071"/>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950" b="0" i="0" u="none" strike="noStrike" baseline="0">
                <a:solidFill>
                  <a:srgbClr val="000000"/>
                </a:solidFill>
                <a:latin typeface="Arial"/>
                <a:ea typeface="Arial"/>
                <a:cs typeface="Arial"/>
              </a:defRPr>
            </a:pPr>
            <a:endParaRPr lang="pt-BR"/>
          </a:p>
        </c:txPr>
        <c:crossAx val="197835392"/>
        <c:crosses val="autoZero"/>
        <c:crossBetween val="between"/>
      </c:valAx>
      <c:spPr>
        <a:noFill/>
        <a:ln w="3175">
          <a:solidFill>
            <a:srgbClr val="000000"/>
          </a:solidFill>
          <a:prstDash val="solid"/>
        </a:ln>
      </c:spPr>
    </c:plotArea>
    <c:plotVisOnly val="1"/>
    <c:dispBlanksAs val="gap"/>
    <c:showDLblsOverMax val="0"/>
  </c:chart>
  <c:spPr>
    <a:no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pt-BR"/>
    </a:p>
  </c:txPr>
  <c:printSettings>
    <c:headerFooter alignWithMargins="0"/>
    <c:pageMargins b="0.98425196899999978" l="0.78740157499999996" r="0.78740157499999996" t="0.98425196899999978" header="0.49212598450000011" footer="0.49212598450000011"/>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75" b="1" i="0" u="none" strike="noStrike" baseline="0">
                <a:solidFill>
                  <a:srgbClr val="000000"/>
                </a:solidFill>
                <a:latin typeface="Arial"/>
                <a:ea typeface="Arial"/>
                <a:cs typeface="Arial"/>
              </a:defRPr>
            </a:pPr>
            <a:r>
              <a:rPr lang="de-DE"/>
              <a:t>Emissões</a:t>
            </a:r>
            <a:r>
              <a:rPr lang="de-DE" baseline="0"/>
              <a:t> de GEE</a:t>
            </a:r>
            <a:r>
              <a:rPr lang="de-DE"/>
              <a:t> </a:t>
            </a:r>
            <a:r>
              <a:rPr lang="pt-BR" sz="975" b="0" i="0" u="none" strike="noStrike" baseline="0">
                <a:solidFill>
                  <a:sysClr val="windowText" lastClr="000000"/>
                </a:solidFill>
                <a:effectLst/>
              </a:rPr>
              <a:t>—</a:t>
            </a:r>
            <a:r>
              <a:rPr lang="de-DE">
                <a:solidFill>
                  <a:sysClr val="windowText" lastClr="000000"/>
                </a:solidFill>
              </a:rPr>
              <a:t> Reciclagem</a:t>
            </a:r>
          </a:p>
        </c:rich>
      </c:tx>
      <c:layout>
        <c:manualLayout>
          <c:xMode val="edge"/>
          <c:yMode val="edge"/>
          <c:x val="0.25966850828729282"/>
          <c:y val="1.5988417481653919E-2"/>
        </c:manualLayout>
      </c:layout>
      <c:overlay val="0"/>
      <c:spPr>
        <a:noFill/>
        <a:ln w="25400">
          <a:noFill/>
        </a:ln>
      </c:spPr>
    </c:title>
    <c:autoTitleDeleted val="0"/>
    <c:plotArea>
      <c:layout>
        <c:manualLayout>
          <c:layoutTarget val="inner"/>
          <c:xMode val="edge"/>
          <c:yMode val="edge"/>
          <c:x val="0.21767955801104968"/>
          <c:y val="0.12354686235823484"/>
          <c:w val="0.50386740331491708"/>
          <c:h val="0.75872308412939515"/>
        </c:manualLayout>
      </c:layout>
      <c:barChart>
        <c:barDir val="col"/>
        <c:grouping val="stacked"/>
        <c:varyColors val="0"/>
        <c:ser>
          <c:idx val="0"/>
          <c:order val="0"/>
          <c:tx>
            <c:strRef>
              <c:f>'CO2 - Cenário RT 3'!$B$62</c:f>
              <c:strCache>
                <c:ptCount val="1"/>
                <c:pt idx="0">
                  <c:v>Resíduos de alimentos</c:v>
                </c:pt>
              </c:strCache>
            </c:strRef>
          </c:tx>
          <c:spPr>
            <a:solidFill>
              <a:srgbClr val="99CC00"/>
            </a:solidFill>
            <a:ln w="12700">
              <a:solidFill>
                <a:srgbClr val="000000"/>
              </a:solidFill>
              <a:prstDash val="solid"/>
            </a:ln>
          </c:spPr>
          <c:invertIfNegative val="0"/>
          <c:cat>
            <c:strRef>
              <c:f>'CO2 - Cenário RT 3'!$C$61:$D$61</c:f>
              <c:strCache>
                <c:ptCount val="2"/>
                <c:pt idx="0">
                  <c:v>Resíduos reciclados</c:v>
                </c:pt>
                <c:pt idx="1">
                  <c:v>Líquido</c:v>
                </c:pt>
              </c:strCache>
            </c:strRef>
          </c:cat>
          <c:val>
            <c:numRef>
              <c:f>'CO2 - Cenário RT 3'!$C$62:$D$62</c:f>
              <c:numCache>
                <c:formatCode>General</c:formatCode>
                <c:ptCount val="2"/>
                <c:pt idx="0" formatCode="#,##0">
                  <c:v>0</c:v>
                </c:pt>
              </c:numCache>
            </c:numRef>
          </c:val>
          <c:extLst>
            <c:ext xmlns:c16="http://schemas.microsoft.com/office/drawing/2014/chart" uri="{C3380CC4-5D6E-409C-BE32-E72D297353CC}">
              <c16:uniqueId val="{00000000-9AF2-4D2A-A871-EA1D5CF56BF3}"/>
            </c:ext>
          </c:extLst>
        </c:ser>
        <c:ser>
          <c:idx val="1"/>
          <c:order val="1"/>
          <c:tx>
            <c:strRef>
              <c:f>'CO2 - Cenário RT 3'!$B$63</c:f>
              <c:strCache>
                <c:ptCount val="1"/>
                <c:pt idx="0">
                  <c:v>Resíduos de jardins e parques</c:v>
                </c:pt>
              </c:strCache>
            </c:strRef>
          </c:tx>
          <c:spPr>
            <a:solidFill>
              <a:srgbClr val="000080"/>
            </a:solidFill>
            <a:ln w="12700">
              <a:solidFill>
                <a:srgbClr val="000000"/>
              </a:solidFill>
              <a:prstDash val="solid"/>
            </a:ln>
          </c:spPr>
          <c:invertIfNegative val="0"/>
          <c:cat>
            <c:strRef>
              <c:f>'CO2 - Cenário RT 3'!$C$61:$D$61</c:f>
              <c:strCache>
                <c:ptCount val="2"/>
                <c:pt idx="0">
                  <c:v>Resíduos reciclados</c:v>
                </c:pt>
                <c:pt idx="1">
                  <c:v>Líquido</c:v>
                </c:pt>
              </c:strCache>
            </c:strRef>
          </c:cat>
          <c:val>
            <c:numRef>
              <c:f>'CO2 - Cenário RT 3'!$C$63:$D$63</c:f>
              <c:numCache>
                <c:formatCode>General</c:formatCode>
                <c:ptCount val="2"/>
                <c:pt idx="0" formatCode="#,##0">
                  <c:v>0</c:v>
                </c:pt>
              </c:numCache>
            </c:numRef>
          </c:val>
          <c:extLst>
            <c:ext xmlns:c16="http://schemas.microsoft.com/office/drawing/2014/chart" uri="{C3380CC4-5D6E-409C-BE32-E72D297353CC}">
              <c16:uniqueId val="{00000001-9AF2-4D2A-A871-EA1D5CF56BF3}"/>
            </c:ext>
          </c:extLst>
        </c:ser>
        <c:ser>
          <c:idx val="2"/>
          <c:order val="2"/>
          <c:tx>
            <c:strRef>
              <c:f>'CO2 - Cenário RT 3'!$B$64</c:f>
              <c:strCache>
                <c:ptCount val="1"/>
                <c:pt idx="0">
                  <c:v>Papel, papelão</c:v>
                </c:pt>
              </c:strCache>
            </c:strRef>
          </c:tx>
          <c:spPr>
            <a:solidFill>
              <a:srgbClr val="CC99FF"/>
            </a:solidFill>
            <a:ln w="12700">
              <a:solidFill>
                <a:srgbClr val="000000"/>
              </a:solidFill>
              <a:prstDash val="solid"/>
            </a:ln>
          </c:spPr>
          <c:invertIfNegative val="0"/>
          <c:cat>
            <c:strRef>
              <c:f>'CO2 - Cenário RT 3'!$C$61:$D$61</c:f>
              <c:strCache>
                <c:ptCount val="2"/>
                <c:pt idx="0">
                  <c:v>Resíduos reciclados</c:v>
                </c:pt>
                <c:pt idx="1">
                  <c:v>Líquido</c:v>
                </c:pt>
              </c:strCache>
            </c:strRef>
          </c:cat>
          <c:val>
            <c:numRef>
              <c:f>'CO2 - Cenário RT 3'!$C$64:$D$64</c:f>
              <c:numCache>
                <c:formatCode>General</c:formatCode>
                <c:ptCount val="2"/>
                <c:pt idx="0" formatCode="#,##0">
                  <c:v>1261.5838604928001</c:v>
                </c:pt>
              </c:numCache>
            </c:numRef>
          </c:val>
          <c:extLst>
            <c:ext xmlns:c16="http://schemas.microsoft.com/office/drawing/2014/chart" uri="{C3380CC4-5D6E-409C-BE32-E72D297353CC}">
              <c16:uniqueId val="{00000002-9AF2-4D2A-A871-EA1D5CF56BF3}"/>
            </c:ext>
          </c:extLst>
        </c:ser>
        <c:ser>
          <c:idx val="3"/>
          <c:order val="3"/>
          <c:tx>
            <c:strRef>
              <c:f>'CO2 - Cenário RT 3'!$B$65</c:f>
              <c:strCache>
                <c:ptCount val="1"/>
                <c:pt idx="0">
                  <c:v>Plásticos</c:v>
                </c:pt>
              </c:strCache>
            </c:strRef>
          </c:tx>
          <c:spPr>
            <a:solidFill>
              <a:srgbClr val="FFFF00"/>
            </a:solidFill>
            <a:ln w="12700">
              <a:solidFill>
                <a:srgbClr val="000000"/>
              </a:solidFill>
              <a:prstDash val="solid"/>
            </a:ln>
          </c:spPr>
          <c:invertIfNegative val="0"/>
          <c:cat>
            <c:strRef>
              <c:f>'CO2 - Cenário RT 3'!$C$61:$D$61</c:f>
              <c:strCache>
                <c:ptCount val="2"/>
                <c:pt idx="0">
                  <c:v>Resíduos reciclados</c:v>
                </c:pt>
                <c:pt idx="1">
                  <c:v>Líquido</c:v>
                </c:pt>
              </c:strCache>
            </c:strRef>
          </c:cat>
          <c:val>
            <c:numRef>
              <c:f>'CO2 - Cenário RT 3'!$C$65:$D$65</c:f>
              <c:numCache>
                <c:formatCode>General</c:formatCode>
                <c:ptCount val="2"/>
                <c:pt idx="0" formatCode="#,##0">
                  <c:v>280.38273119999997</c:v>
                </c:pt>
              </c:numCache>
            </c:numRef>
          </c:val>
          <c:extLst>
            <c:ext xmlns:c16="http://schemas.microsoft.com/office/drawing/2014/chart" uri="{C3380CC4-5D6E-409C-BE32-E72D297353CC}">
              <c16:uniqueId val="{00000003-9AF2-4D2A-A871-EA1D5CF56BF3}"/>
            </c:ext>
          </c:extLst>
        </c:ser>
        <c:ser>
          <c:idx val="4"/>
          <c:order val="4"/>
          <c:tx>
            <c:strRef>
              <c:f>'CO2 - Cenário RT 3'!$B$66</c:f>
              <c:strCache>
                <c:ptCount val="1"/>
                <c:pt idx="0">
                  <c:v>Vidros</c:v>
                </c:pt>
              </c:strCache>
            </c:strRef>
          </c:tx>
          <c:spPr>
            <a:solidFill>
              <a:srgbClr val="FF99CC"/>
            </a:solidFill>
            <a:ln w="12700">
              <a:solidFill>
                <a:srgbClr val="000000"/>
              </a:solidFill>
              <a:prstDash val="solid"/>
            </a:ln>
          </c:spPr>
          <c:invertIfNegative val="0"/>
          <c:cat>
            <c:strRef>
              <c:f>'CO2 - Cenário RT 3'!$C$61:$D$61</c:f>
              <c:strCache>
                <c:ptCount val="2"/>
                <c:pt idx="0">
                  <c:v>Resíduos reciclados</c:v>
                </c:pt>
                <c:pt idx="1">
                  <c:v>Líquido</c:v>
                </c:pt>
              </c:strCache>
            </c:strRef>
          </c:cat>
          <c:val>
            <c:numRef>
              <c:f>'CO2 - Cenário RT 3'!$C$66:$D$66</c:f>
              <c:numCache>
                <c:formatCode>General</c:formatCode>
                <c:ptCount val="2"/>
                <c:pt idx="0" formatCode="#,##0">
                  <c:v>0</c:v>
                </c:pt>
              </c:numCache>
            </c:numRef>
          </c:val>
          <c:extLst>
            <c:ext xmlns:c16="http://schemas.microsoft.com/office/drawing/2014/chart" uri="{C3380CC4-5D6E-409C-BE32-E72D297353CC}">
              <c16:uniqueId val="{00000004-9AF2-4D2A-A871-EA1D5CF56BF3}"/>
            </c:ext>
          </c:extLst>
        </c:ser>
        <c:ser>
          <c:idx val="5"/>
          <c:order val="5"/>
          <c:tx>
            <c:strRef>
              <c:f>'CO2 - Cenário RT 3'!$B$67</c:f>
              <c:strCache>
                <c:ptCount val="1"/>
                <c:pt idx="0">
                  <c:v>Metais ferrosos</c:v>
                </c:pt>
              </c:strCache>
            </c:strRef>
          </c:tx>
          <c:spPr>
            <a:solidFill>
              <a:srgbClr val="C0C0C0"/>
            </a:solidFill>
            <a:ln w="12700">
              <a:solidFill>
                <a:srgbClr val="000000"/>
              </a:solidFill>
              <a:prstDash val="solid"/>
            </a:ln>
          </c:spPr>
          <c:invertIfNegative val="0"/>
          <c:cat>
            <c:strRef>
              <c:f>'CO2 - Cenário RT 3'!$C$61:$D$61</c:f>
              <c:strCache>
                <c:ptCount val="2"/>
                <c:pt idx="0">
                  <c:v>Resíduos reciclados</c:v>
                </c:pt>
                <c:pt idx="1">
                  <c:v>Líquido</c:v>
                </c:pt>
              </c:strCache>
            </c:strRef>
          </c:cat>
          <c:val>
            <c:numRef>
              <c:f>'CO2 - Cenário RT 3'!$C$67:$D$67</c:f>
              <c:numCache>
                <c:formatCode>General</c:formatCode>
                <c:ptCount val="2"/>
                <c:pt idx="0" formatCode="#,##0">
                  <c:v>32.198999039999997</c:v>
                </c:pt>
              </c:numCache>
            </c:numRef>
          </c:val>
          <c:extLst>
            <c:ext xmlns:c16="http://schemas.microsoft.com/office/drawing/2014/chart" uri="{C3380CC4-5D6E-409C-BE32-E72D297353CC}">
              <c16:uniqueId val="{00000005-9AF2-4D2A-A871-EA1D5CF56BF3}"/>
            </c:ext>
          </c:extLst>
        </c:ser>
        <c:ser>
          <c:idx val="6"/>
          <c:order val="6"/>
          <c:tx>
            <c:strRef>
              <c:f>'CO2 - Cenário RT 3'!$B$68</c:f>
              <c:strCache>
                <c:ptCount val="1"/>
                <c:pt idx="0">
                  <c:v>Alumínio</c:v>
                </c:pt>
              </c:strCache>
            </c:strRef>
          </c:tx>
          <c:spPr>
            <a:solidFill>
              <a:srgbClr val="993366"/>
            </a:solidFill>
            <a:ln w="12700">
              <a:solidFill>
                <a:srgbClr val="000000"/>
              </a:solidFill>
              <a:prstDash val="solid"/>
            </a:ln>
          </c:spPr>
          <c:invertIfNegative val="0"/>
          <c:cat>
            <c:strRef>
              <c:f>'CO2 - Cenário RT 3'!$C$61:$D$61</c:f>
              <c:strCache>
                <c:ptCount val="2"/>
                <c:pt idx="0">
                  <c:v>Resíduos reciclados</c:v>
                </c:pt>
                <c:pt idx="1">
                  <c:v>Líquido</c:v>
                </c:pt>
              </c:strCache>
            </c:strRef>
          </c:cat>
          <c:val>
            <c:numRef>
              <c:f>'CO2 - Cenário RT 3'!$C$68:$D$68</c:f>
              <c:numCache>
                <c:formatCode>General</c:formatCode>
                <c:ptCount val="2"/>
                <c:pt idx="0" formatCode="#,##0">
                  <c:v>91.478406239999984</c:v>
                </c:pt>
              </c:numCache>
            </c:numRef>
          </c:val>
          <c:extLst>
            <c:ext xmlns:c16="http://schemas.microsoft.com/office/drawing/2014/chart" uri="{C3380CC4-5D6E-409C-BE32-E72D297353CC}">
              <c16:uniqueId val="{00000006-9AF2-4D2A-A871-EA1D5CF56BF3}"/>
            </c:ext>
          </c:extLst>
        </c:ser>
        <c:ser>
          <c:idx val="7"/>
          <c:order val="7"/>
          <c:tx>
            <c:strRef>
              <c:f>'CO2 - Cenário RT 3'!$B$69</c:f>
              <c:strCache>
                <c:ptCount val="1"/>
                <c:pt idx="0">
                  <c:v>Têxteis</c:v>
                </c:pt>
              </c:strCache>
            </c:strRef>
          </c:tx>
          <c:spPr>
            <a:solidFill>
              <a:srgbClr val="9999FF"/>
            </a:solidFill>
            <a:ln w="12700">
              <a:solidFill>
                <a:srgbClr val="000000"/>
              </a:solidFill>
              <a:prstDash val="solid"/>
            </a:ln>
          </c:spPr>
          <c:invertIfNegative val="0"/>
          <c:cat>
            <c:strRef>
              <c:f>'CO2 - Cenário RT 3'!$C$61:$D$61</c:f>
              <c:strCache>
                <c:ptCount val="2"/>
                <c:pt idx="0">
                  <c:v>Resíduos reciclados</c:v>
                </c:pt>
                <c:pt idx="1">
                  <c:v>Líquido</c:v>
                </c:pt>
              </c:strCache>
            </c:strRef>
          </c:cat>
          <c:val>
            <c:numRef>
              <c:f>'CO2 - Cenário RT 3'!$C$69:$D$69</c:f>
              <c:numCache>
                <c:formatCode>General</c:formatCode>
                <c:ptCount val="2"/>
                <c:pt idx="0" formatCode="#,##0">
                  <c:v>0</c:v>
                </c:pt>
              </c:numCache>
            </c:numRef>
          </c:val>
          <c:extLst>
            <c:ext xmlns:c16="http://schemas.microsoft.com/office/drawing/2014/chart" uri="{C3380CC4-5D6E-409C-BE32-E72D297353CC}">
              <c16:uniqueId val="{00000007-9AF2-4D2A-A871-EA1D5CF56BF3}"/>
            </c:ext>
          </c:extLst>
        </c:ser>
        <c:ser>
          <c:idx val="8"/>
          <c:order val="8"/>
          <c:tx>
            <c:strRef>
              <c:f>'CO2 - Cenário RT 3'!$B$70</c:f>
              <c:strCache>
                <c:ptCount val="1"/>
                <c:pt idx="0">
                  <c:v>Débitos</c:v>
                </c:pt>
              </c:strCache>
            </c:strRef>
          </c:tx>
          <c:spPr>
            <a:noFill/>
            <a:ln w="25400">
              <a:noFill/>
            </a:ln>
          </c:spPr>
          <c:invertIfNegative val="0"/>
          <c:cat>
            <c:strRef>
              <c:f>'CO2 - Cenário RT 3'!$C$61:$D$61</c:f>
              <c:strCache>
                <c:ptCount val="2"/>
                <c:pt idx="0">
                  <c:v>Resíduos reciclados</c:v>
                </c:pt>
                <c:pt idx="1">
                  <c:v>Líquido</c:v>
                </c:pt>
              </c:strCache>
            </c:strRef>
          </c:cat>
          <c:val>
            <c:numRef>
              <c:f>'CO2 - Cenário RT 3'!$C$70:$D$70</c:f>
              <c:numCache>
                <c:formatCode>#,##0</c:formatCode>
                <c:ptCount val="2"/>
              </c:numCache>
            </c:numRef>
          </c:val>
          <c:extLst>
            <c:ext xmlns:c16="http://schemas.microsoft.com/office/drawing/2014/chart" uri="{C3380CC4-5D6E-409C-BE32-E72D297353CC}">
              <c16:uniqueId val="{00000008-9AF2-4D2A-A871-EA1D5CF56BF3}"/>
            </c:ext>
          </c:extLst>
        </c:ser>
        <c:ser>
          <c:idx val="9"/>
          <c:order val="9"/>
          <c:tx>
            <c:strRef>
              <c:f>'CO2 - Cenário RT 3'!$B$71</c:f>
              <c:strCache>
                <c:ptCount val="1"/>
                <c:pt idx="0">
                  <c:v>Resíduos de alimentos</c:v>
                </c:pt>
              </c:strCache>
            </c:strRef>
          </c:tx>
          <c:spPr>
            <a:pattFill prst="wdDnDiag">
              <a:fgClr>
                <a:srgbClr val="99CC00"/>
              </a:fgClr>
              <a:bgClr>
                <a:srgbClr val="FFFFFF"/>
              </a:bgClr>
            </a:pattFill>
            <a:ln w="12700">
              <a:solidFill>
                <a:srgbClr val="000000"/>
              </a:solidFill>
              <a:prstDash val="solid"/>
            </a:ln>
          </c:spPr>
          <c:invertIfNegative val="0"/>
          <c:cat>
            <c:strRef>
              <c:f>'CO2 - Cenário RT 3'!$C$61:$D$61</c:f>
              <c:strCache>
                <c:ptCount val="2"/>
                <c:pt idx="0">
                  <c:v>Resíduos reciclados</c:v>
                </c:pt>
                <c:pt idx="1">
                  <c:v>Líquido</c:v>
                </c:pt>
              </c:strCache>
            </c:strRef>
          </c:cat>
          <c:val>
            <c:numRef>
              <c:f>'CO2 - Cenário RT 3'!$C$71:$D$71</c:f>
              <c:numCache>
                <c:formatCode>General</c:formatCode>
                <c:ptCount val="2"/>
                <c:pt idx="0" formatCode="#,##0">
                  <c:v>0</c:v>
                </c:pt>
              </c:numCache>
            </c:numRef>
          </c:val>
          <c:extLst>
            <c:ext xmlns:c16="http://schemas.microsoft.com/office/drawing/2014/chart" uri="{C3380CC4-5D6E-409C-BE32-E72D297353CC}">
              <c16:uniqueId val="{00000009-9AF2-4D2A-A871-EA1D5CF56BF3}"/>
            </c:ext>
          </c:extLst>
        </c:ser>
        <c:ser>
          <c:idx val="10"/>
          <c:order val="10"/>
          <c:tx>
            <c:strRef>
              <c:f>'CO2 - Cenário RT 3'!$B$72</c:f>
              <c:strCache>
                <c:ptCount val="1"/>
                <c:pt idx="0">
                  <c:v>Resíduos de jardins e parques</c:v>
                </c:pt>
              </c:strCache>
            </c:strRef>
          </c:tx>
          <c:spPr>
            <a:pattFill prst="wdUpDiag">
              <a:fgClr>
                <a:srgbClr val="000080"/>
              </a:fgClr>
              <a:bgClr>
                <a:srgbClr val="FFFFFF"/>
              </a:bgClr>
            </a:pattFill>
            <a:ln w="12700">
              <a:solidFill>
                <a:srgbClr val="000000"/>
              </a:solidFill>
              <a:prstDash val="solid"/>
            </a:ln>
          </c:spPr>
          <c:invertIfNegative val="0"/>
          <c:cat>
            <c:strRef>
              <c:f>'CO2 - Cenário RT 3'!$C$61:$D$61</c:f>
              <c:strCache>
                <c:ptCount val="2"/>
                <c:pt idx="0">
                  <c:v>Resíduos reciclados</c:v>
                </c:pt>
                <c:pt idx="1">
                  <c:v>Líquido</c:v>
                </c:pt>
              </c:strCache>
            </c:strRef>
          </c:cat>
          <c:val>
            <c:numRef>
              <c:f>'CO2 - Cenário RT 3'!$C$72:$D$72</c:f>
              <c:numCache>
                <c:formatCode>General</c:formatCode>
                <c:ptCount val="2"/>
                <c:pt idx="0" formatCode="#,##0">
                  <c:v>0</c:v>
                </c:pt>
              </c:numCache>
            </c:numRef>
          </c:val>
          <c:extLst>
            <c:ext xmlns:c16="http://schemas.microsoft.com/office/drawing/2014/chart" uri="{C3380CC4-5D6E-409C-BE32-E72D297353CC}">
              <c16:uniqueId val="{0000000A-9AF2-4D2A-A871-EA1D5CF56BF3}"/>
            </c:ext>
          </c:extLst>
        </c:ser>
        <c:ser>
          <c:idx val="11"/>
          <c:order val="11"/>
          <c:tx>
            <c:strRef>
              <c:f>'CO2 - Cenário RT 3'!$B$73</c:f>
              <c:strCache>
                <c:ptCount val="1"/>
                <c:pt idx="0">
                  <c:v>Papel, papelão</c:v>
                </c:pt>
              </c:strCache>
            </c:strRef>
          </c:tx>
          <c:spPr>
            <a:pattFill prst="wdDnDiag">
              <a:fgClr>
                <a:srgbClr val="CC99FF"/>
              </a:fgClr>
              <a:bgClr>
                <a:srgbClr val="FFFFFF"/>
              </a:bgClr>
            </a:pattFill>
            <a:ln w="12700">
              <a:solidFill>
                <a:srgbClr val="000000"/>
              </a:solidFill>
              <a:prstDash val="solid"/>
            </a:ln>
          </c:spPr>
          <c:invertIfNegative val="0"/>
          <c:cat>
            <c:strRef>
              <c:f>'CO2 - Cenário RT 3'!$C$61:$D$61</c:f>
              <c:strCache>
                <c:ptCount val="2"/>
                <c:pt idx="0">
                  <c:v>Resíduos reciclados</c:v>
                </c:pt>
                <c:pt idx="1">
                  <c:v>Líquido</c:v>
                </c:pt>
              </c:strCache>
            </c:strRef>
          </c:cat>
          <c:val>
            <c:numRef>
              <c:f>'CO2 - Cenário RT 3'!$C$73:$D$73</c:f>
              <c:numCache>
                <c:formatCode>General</c:formatCode>
                <c:ptCount val="2"/>
                <c:pt idx="0" formatCode="#,##0">
                  <c:v>-1554.8820191423999</c:v>
                </c:pt>
              </c:numCache>
            </c:numRef>
          </c:val>
          <c:extLst>
            <c:ext xmlns:c16="http://schemas.microsoft.com/office/drawing/2014/chart" uri="{C3380CC4-5D6E-409C-BE32-E72D297353CC}">
              <c16:uniqueId val="{0000000B-9AF2-4D2A-A871-EA1D5CF56BF3}"/>
            </c:ext>
          </c:extLst>
        </c:ser>
        <c:ser>
          <c:idx val="12"/>
          <c:order val="12"/>
          <c:tx>
            <c:strRef>
              <c:f>'CO2 - Cenário RT 3'!$B$74</c:f>
              <c:strCache>
                <c:ptCount val="1"/>
                <c:pt idx="0">
                  <c:v>Plásticos</c:v>
                </c:pt>
              </c:strCache>
            </c:strRef>
          </c:tx>
          <c:spPr>
            <a:pattFill prst="wdUpDiag">
              <a:fgClr>
                <a:srgbClr val="FFFF00"/>
              </a:fgClr>
              <a:bgClr>
                <a:srgbClr val="FFFFFF"/>
              </a:bgClr>
            </a:pattFill>
            <a:ln w="12700">
              <a:solidFill>
                <a:srgbClr val="000000"/>
              </a:solidFill>
              <a:prstDash val="solid"/>
            </a:ln>
          </c:spPr>
          <c:invertIfNegative val="0"/>
          <c:cat>
            <c:strRef>
              <c:f>'CO2 - Cenário RT 3'!$C$61:$D$61</c:f>
              <c:strCache>
                <c:ptCount val="2"/>
                <c:pt idx="0">
                  <c:v>Resíduos reciclados</c:v>
                </c:pt>
                <c:pt idx="1">
                  <c:v>Líquido</c:v>
                </c:pt>
              </c:strCache>
            </c:strRef>
          </c:cat>
          <c:val>
            <c:numRef>
              <c:f>'CO2 - Cenário RT 3'!$C$74:$D$74</c:f>
              <c:numCache>
                <c:formatCode>General</c:formatCode>
                <c:ptCount val="2"/>
                <c:pt idx="0" formatCode="#,##0">
                  <c:v>-1306.0364391359999</c:v>
                </c:pt>
              </c:numCache>
            </c:numRef>
          </c:val>
          <c:extLst>
            <c:ext xmlns:c16="http://schemas.microsoft.com/office/drawing/2014/chart" uri="{C3380CC4-5D6E-409C-BE32-E72D297353CC}">
              <c16:uniqueId val="{0000000C-9AF2-4D2A-A871-EA1D5CF56BF3}"/>
            </c:ext>
          </c:extLst>
        </c:ser>
        <c:ser>
          <c:idx val="13"/>
          <c:order val="13"/>
          <c:tx>
            <c:strRef>
              <c:f>'CO2 - Cenário RT 3'!$B$75</c:f>
              <c:strCache>
                <c:ptCount val="1"/>
                <c:pt idx="0">
                  <c:v>Vidros</c:v>
                </c:pt>
              </c:strCache>
            </c:strRef>
          </c:tx>
          <c:spPr>
            <a:pattFill prst="wdDnDiag">
              <a:fgClr>
                <a:srgbClr val="FF99CC"/>
              </a:fgClr>
              <a:bgClr>
                <a:srgbClr val="FFFFFF"/>
              </a:bgClr>
            </a:pattFill>
            <a:ln w="12700">
              <a:solidFill>
                <a:srgbClr val="000000"/>
              </a:solidFill>
              <a:prstDash val="solid"/>
            </a:ln>
          </c:spPr>
          <c:invertIfNegative val="0"/>
          <c:cat>
            <c:strRef>
              <c:f>'CO2 - Cenário RT 3'!$C$61:$D$61</c:f>
              <c:strCache>
                <c:ptCount val="2"/>
                <c:pt idx="0">
                  <c:v>Resíduos reciclados</c:v>
                </c:pt>
                <c:pt idx="1">
                  <c:v>Líquido</c:v>
                </c:pt>
              </c:strCache>
            </c:strRef>
          </c:cat>
          <c:val>
            <c:numRef>
              <c:f>'CO2 - Cenário RT 3'!$C$75:$D$75</c:f>
              <c:numCache>
                <c:formatCode>General</c:formatCode>
                <c:ptCount val="2"/>
                <c:pt idx="0" formatCode="#,##0">
                  <c:v>0</c:v>
                </c:pt>
              </c:numCache>
            </c:numRef>
          </c:val>
          <c:extLst>
            <c:ext xmlns:c16="http://schemas.microsoft.com/office/drawing/2014/chart" uri="{C3380CC4-5D6E-409C-BE32-E72D297353CC}">
              <c16:uniqueId val="{0000000D-9AF2-4D2A-A871-EA1D5CF56BF3}"/>
            </c:ext>
          </c:extLst>
        </c:ser>
        <c:ser>
          <c:idx val="14"/>
          <c:order val="14"/>
          <c:tx>
            <c:strRef>
              <c:f>'CO2 - Cenário RT 3'!$B$76</c:f>
              <c:strCache>
                <c:ptCount val="1"/>
                <c:pt idx="0">
                  <c:v>Metais ferrosos</c:v>
                </c:pt>
              </c:strCache>
            </c:strRef>
          </c:tx>
          <c:spPr>
            <a:pattFill prst="wdUpDiag">
              <a:fgClr>
                <a:srgbClr val="C0C0C0"/>
              </a:fgClr>
              <a:bgClr>
                <a:srgbClr val="FFFFFF"/>
              </a:bgClr>
            </a:pattFill>
            <a:ln w="12700">
              <a:solidFill>
                <a:srgbClr val="000000"/>
              </a:solidFill>
              <a:prstDash val="solid"/>
            </a:ln>
          </c:spPr>
          <c:invertIfNegative val="0"/>
          <c:cat>
            <c:strRef>
              <c:f>'CO2 - Cenário RT 3'!$C$61:$D$61</c:f>
              <c:strCache>
                <c:ptCount val="2"/>
                <c:pt idx="0">
                  <c:v>Resíduos reciclados</c:v>
                </c:pt>
                <c:pt idx="1">
                  <c:v>Líquido</c:v>
                </c:pt>
              </c:strCache>
            </c:strRef>
          </c:cat>
          <c:val>
            <c:numRef>
              <c:f>'CO2 - Cenário RT 3'!$C$76:$D$76</c:f>
              <c:numCache>
                <c:formatCode>General</c:formatCode>
                <c:ptCount val="2"/>
                <c:pt idx="0" formatCode="#,##0">
                  <c:v>-861.32322431999989</c:v>
                </c:pt>
              </c:numCache>
            </c:numRef>
          </c:val>
          <c:extLst>
            <c:ext xmlns:c16="http://schemas.microsoft.com/office/drawing/2014/chart" uri="{C3380CC4-5D6E-409C-BE32-E72D297353CC}">
              <c16:uniqueId val="{0000000E-9AF2-4D2A-A871-EA1D5CF56BF3}"/>
            </c:ext>
          </c:extLst>
        </c:ser>
        <c:ser>
          <c:idx val="15"/>
          <c:order val="15"/>
          <c:tx>
            <c:strRef>
              <c:f>'CO2 - Cenário RT 3'!$B$77</c:f>
              <c:strCache>
                <c:ptCount val="1"/>
                <c:pt idx="0">
                  <c:v>Alumínio</c:v>
                </c:pt>
              </c:strCache>
            </c:strRef>
          </c:tx>
          <c:spPr>
            <a:pattFill prst="wdDnDiag">
              <a:fgClr>
                <a:srgbClr val="993366"/>
              </a:fgClr>
              <a:bgClr>
                <a:srgbClr val="FFFFFF"/>
              </a:bgClr>
            </a:pattFill>
            <a:ln w="12700">
              <a:solidFill>
                <a:srgbClr val="000000"/>
              </a:solidFill>
              <a:prstDash val="solid"/>
            </a:ln>
          </c:spPr>
          <c:invertIfNegative val="0"/>
          <c:cat>
            <c:strRef>
              <c:f>'CO2 - Cenário RT 3'!$C$61:$D$61</c:f>
              <c:strCache>
                <c:ptCount val="2"/>
                <c:pt idx="0">
                  <c:v>Resíduos reciclados</c:v>
                </c:pt>
                <c:pt idx="1">
                  <c:v>Líquido</c:v>
                </c:pt>
              </c:strCache>
            </c:strRef>
          </c:cat>
          <c:val>
            <c:numRef>
              <c:f>'CO2 - Cenário RT 3'!$C$77:$D$77</c:f>
              <c:numCache>
                <c:formatCode>General</c:formatCode>
                <c:ptCount val="2"/>
                <c:pt idx="0" formatCode="#,##0">
                  <c:v>-1296.7096895999998</c:v>
                </c:pt>
              </c:numCache>
            </c:numRef>
          </c:val>
          <c:extLst>
            <c:ext xmlns:c16="http://schemas.microsoft.com/office/drawing/2014/chart" uri="{C3380CC4-5D6E-409C-BE32-E72D297353CC}">
              <c16:uniqueId val="{0000000F-9AF2-4D2A-A871-EA1D5CF56BF3}"/>
            </c:ext>
          </c:extLst>
        </c:ser>
        <c:ser>
          <c:idx val="16"/>
          <c:order val="16"/>
          <c:tx>
            <c:strRef>
              <c:f>'CO2 - Cenário RT 3'!$B$78</c:f>
              <c:strCache>
                <c:ptCount val="1"/>
                <c:pt idx="0">
                  <c:v>Têxteis</c:v>
                </c:pt>
              </c:strCache>
            </c:strRef>
          </c:tx>
          <c:spPr>
            <a:pattFill prst="wdUpDiag">
              <a:fgClr>
                <a:srgbClr val="9999FF"/>
              </a:fgClr>
              <a:bgClr>
                <a:srgbClr val="FFFFFF"/>
              </a:bgClr>
            </a:pattFill>
            <a:ln w="12700">
              <a:solidFill>
                <a:srgbClr val="000000"/>
              </a:solidFill>
              <a:prstDash val="solid"/>
            </a:ln>
          </c:spPr>
          <c:invertIfNegative val="0"/>
          <c:cat>
            <c:strRef>
              <c:f>'CO2 - Cenário RT 3'!$C$61:$D$61</c:f>
              <c:strCache>
                <c:ptCount val="2"/>
                <c:pt idx="0">
                  <c:v>Resíduos reciclados</c:v>
                </c:pt>
                <c:pt idx="1">
                  <c:v>Líquido</c:v>
                </c:pt>
              </c:strCache>
            </c:strRef>
          </c:cat>
          <c:val>
            <c:numRef>
              <c:f>'CO2 - Cenário RT 3'!$C$78:$D$78</c:f>
              <c:numCache>
                <c:formatCode>General</c:formatCode>
                <c:ptCount val="2"/>
                <c:pt idx="0" formatCode="#,##0">
                  <c:v>0</c:v>
                </c:pt>
              </c:numCache>
            </c:numRef>
          </c:val>
          <c:extLst>
            <c:ext xmlns:c16="http://schemas.microsoft.com/office/drawing/2014/chart" uri="{C3380CC4-5D6E-409C-BE32-E72D297353CC}">
              <c16:uniqueId val="{00000010-9AF2-4D2A-A871-EA1D5CF56BF3}"/>
            </c:ext>
          </c:extLst>
        </c:ser>
        <c:ser>
          <c:idx val="17"/>
          <c:order val="17"/>
          <c:tx>
            <c:strRef>
              <c:f>'CO2 - Cenário RT 3'!$B$79</c:f>
              <c:strCache>
                <c:ptCount val="1"/>
                <c:pt idx="0">
                  <c:v>Créditos</c:v>
                </c:pt>
              </c:strCache>
            </c:strRef>
          </c:tx>
          <c:spPr>
            <a:noFill/>
            <a:ln w="25400">
              <a:noFill/>
            </a:ln>
          </c:spPr>
          <c:invertIfNegative val="0"/>
          <c:cat>
            <c:strRef>
              <c:f>'CO2 - Cenário RT 3'!$C$61:$D$61</c:f>
              <c:strCache>
                <c:ptCount val="2"/>
                <c:pt idx="0">
                  <c:v>Resíduos reciclados</c:v>
                </c:pt>
                <c:pt idx="1">
                  <c:v>Líquido</c:v>
                </c:pt>
              </c:strCache>
            </c:strRef>
          </c:cat>
          <c:val>
            <c:numRef>
              <c:f>'CO2 - Cenário RT 3'!$C$79:$D$79</c:f>
              <c:numCache>
                <c:formatCode>#,##0</c:formatCode>
                <c:ptCount val="2"/>
              </c:numCache>
            </c:numRef>
          </c:val>
          <c:extLst>
            <c:ext xmlns:c16="http://schemas.microsoft.com/office/drawing/2014/chart" uri="{C3380CC4-5D6E-409C-BE32-E72D297353CC}">
              <c16:uniqueId val="{00000011-9AF2-4D2A-A871-EA1D5CF56BF3}"/>
            </c:ext>
          </c:extLst>
        </c:ser>
        <c:ser>
          <c:idx val="18"/>
          <c:order val="18"/>
          <c:tx>
            <c:strRef>
              <c:f>'CO2 - Cenário RT 3'!$B$80</c:f>
              <c:strCache>
                <c:ptCount val="1"/>
                <c:pt idx="0">
                  <c:v>Líquido</c:v>
                </c:pt>
              </c:strCache>
            </c:strRef>
          </c:tx>
          <c:spPr>
            <a:solidFill>
              <a:srgbClr val="0000FF"/>
            </a:solidFill>
            <a:ln w="12700">
              <a:solidFill>
                <a:srgbClr val="000000"/>
              </a:solidFill>
              <a:prstDash val="solid"/>
            </a:ln>
          </c:spPr>
          <c:invertIfNegative val="0"/>
          <c:cat>
            <c:strRef>
              <c:f>'CO2 - Cenário RT 3'!$C$61:$D$61</c:f>
              <c:strCache>
                <c:ptCount val="2"/>
                <c:pt idx="0">
                  <c:v>Resíduos reciclados</c:v>
                </c:pt>
                <c:pt idx="1">
                  <c:v>Líquido</c:v>
                </c:pt>
              </c:strCache>
            </c:strRef>
          </c:cat>
          <c:val>
            <c:numRef>
              <c:f>'CO2 - Cenário RT 3'!$C$80:$D$80</c:f>
              <c:numCache>
                <c:formatCode>#,##0</c:formatCode>
                <c:ptCount val="2"/>
                <c:pt idx="1">
                  <c:v>-3353.3073752255996</c:v>
                </c:pt>
              </c:numCache>
            </c:numRef>
          </c:val>
          <c:extLst>
            <c:ext xmlns:c16="http://schemas.microsoft.com/office/drawing/2014/chart" uri="{C3380CC4-5D6E-409C-BE32-E72D297353CC}">
              <c16:uniqueId val="{00000012-9AF2-4D2A-A871-EA1D5CF56BF3}"/>
            </c:ext>
          </c:extLst>
        </c:ser>
        <c:dLbls>
          <c:showLegendKey val="0"/>
          <c:showVal val="0"/>
          <c:showCatName val="0"/>
          <c:showSerName val="0"/>
          <c:showPercent val="0"/>
          <c:showBubbleSize val="0"/>
        </c:dLbls>
        <c:gapWidth val="100"/>
        <c:overlap val="100"/>
        <c:axId val="198289664"/>
        <c:axId val="198299648"/>
      </c:barChart>
      <c:catAx>
        <c:axId val="198289664"/>
        <c:scaling>
          <c:orientation val="minMax"/>
        </c:scaling>
        <c:delete val="0"/>
        <c:axPos val="b"/>
        <c:numFmt formatCode="General" sourceLinked="1"/>
        <c:majorTickMark val="out"/>
        <c:minorTickMark val="none"/>
        <c:tickLblPos val="low"/>
        <c:spPr>
          <a:ln w="3175">
            <a:solidFill>
              <a:srgbClr val="000000"/>
            </a:solidFill>
            <a:prstDash val="solid"/>
          </a:ln>
        </c:spPr>
        <c:txPr>
          <a:bodyPr rot="0" vert="horz"/>
          <a:lstStyle/>
          <a:p>
            <a:pPr>
              <a:defRPr sz="875" b="1" i="0" u="none" strike="noStrike" baseline="0">
                <a:solidFill>
                  <a:srgbClr val="000000"/>
                </a:solidFill>
                <a:latin typeface="Arial"/>
                <a:ea typeface="Arial"/>
                <a:cs typeface="Arial"/>
              </a:defRPr>
            </a:pPr>
            <a:endParaRPr lang="pt-BR"/>
          </a:p>
        </c:txPr>
        <c:crossAx val="198299648"/>
        <c:crosses val="autoZero"/>
        <c:auto val="1"/>
        <c:lblAlgn val="ctr"/>
        <c:lblOffset val="100"/>
        <c:tickLblSkip val="1"/>
        <c:tickMarkSkip val="1"/>
        <c:noMultiLvlLbl val="0"/>
      </c:catAx>
      <c:valAx>
        <c:axId val="198299648"/>
        <c:scaling>
          <c:orientation val="minMax"/>
        </c:scaling>
        <c:delete val="0"/>
        <c:axPos val="l"/>
        <c:majorGridlines>
          <c:spPr>
            <a:ln w="3175">
              <a:solidFill>
                <a:srgbClr val="000000"/>
              </a:solidFill>
              <a:prstDash val="solid"/>
            </a:ln>
          </c:spPr>
        </c:majorGridlines>
        <c:title>
          <c:tx>
            <c:rich>
              <a:bodyPr/>
              <a:lstStyle/>
              <a:p>
                <a:pPr>
                  <a:defRPr sz="875" b="1" i="0" u="none" strike="noStrike" baseline="0">
                    <a:solidFill>
                      <a:sysClr val="windowText" lastClr="000000"/>
                    </a:solidFill>
                    <a:latin typeface="Arial"/>
                    <a:ea typeface="Arial"/>
                    <a:cs typeface="Arial"/>
                  </a:defRPr>
                </a:pPr>
                <a:r>
                  <a:rPr lang="de-DE">
                    <a:solidFill>
                      <a:sysClr val="windowText" lastClr="000000"/>
                    </a:solidFill>
                  </a:rPr>
                  <a:t>tonelada CO2-eq / ano</a:t>
                </a:r>
              </a:p>
            </c:rich>
          </c:tx>
          <c:layout>
            <c:manualLayout>
              <c:xMode val="edge"/>
              <c:yMode val="edge"/>
              <c:x val="1.1369026467846592E-2"/>
              <c:y val="0.35946155547219227"/>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75" b="0" i="0" u="none" strike="noStrike" baseline="0">
                <a:solidFill>
                  <a:srgbClr val="000000"/>
                </a:solidFill>
                <a:latin typeface="Arial"/>
                <a:ea typeface="Arial"/>
                <a:cs typeface="Arial"/>
              </a:defRPr>
            </a:pPr>
            <a:endParaRPr lang="pt-BR"/>
          </a:p>
        </c:txPr>
        <c:crossAx val="198289664"/>
        <c:crosses val="autoZero"/>
        <c:crossBetween val="between"/>
      </c:valAx>
      <c:spPr>
        <a:noFill/>
        <a:ln w="12700">
          <a:solidFill>
            <a:srgbClr val="808080"/>
          </a:solidFill>
          <a:prstDash val="solid"/>
        </a:ln>
      </c:spPr>
    </c:plotArea>
    <c:legend>
      <c:legendPos val="r"/>
      <c:legendEntry>
        <c:idx val="0"/>
        <c:txPr>
          <a:bodyPr/>
          <a:lstStyle/>
          <a:p>
            <a:pPr>
              <a:defRPr sz="755" b="1" i="0" u="none" strike="noStrike" baseline="0">
                <a:solidFill>
                  <a:srgbClr val="000000"/>
                </a:solidFill>
                <a:latin typeface="Arial"/>
                <a:ea typeface="Arial"/>
                <a:cs typeface="Arial"/>
              </a:defRPr>
            </a:pPr>
            <a:endParaRPr lang="pt-BR"/>
          </a:p>
        </c:txPr>
      </c:legendEntry>
      <c:legendEntry>
        <c:idx val="1"/>
        <c:txPr>
          <a:bodyPr/>
          <a:lstStyle/>
          <a:p>
            <a:pPr>
              <a:defRPr sz="755" b="1" i="0" u="none" strike="noStrike" baseline="0">
                <a:solidFill>
                  <a:srgbClr val="000000"/>
                </a:solidFill>
                <a:latin typeface="Arial"/>
                <a:ea typeface="Arial"/>
                <a:cs typeface="Arial"/>
              </a:defRPr>
            </a:pPr>
            <a:endParaRPr lang="pt-BR"/>
          </a:p>
        </c:txPr>
      </c:legendEntry>
      <c:legendEntry>
        <c:idx val="4"/>
        <c:txPr>
          <a:bodyPr/>
          <a:lstStyle/>
          <a:p>
            <a:pPr>
              <a:defRPr sz="755" b="0" i="0" u="none" strike="noStrike" baseline="0">
                <a:solidFill>
                  <a:srgbClr val="000000"/>
                </a:solidFill>
                <a:latin typeface="Arial"/>
                <a:ea typeface="Arial"/>
                <a:cs typeface="Arial"/>
              </a:defRPr>
            </a:pPr>
            <a:endParaRPr lang="pt-BR"/>
          </a:p>
        </c:txPr>
      </c:legendEntry>
      <c:legendEntry>
        <c:idx val="5"/>
        <c:txPr>
          <a:bodyPr/>
          <a:lstStyle/>
          <a:p>
            <a:pPr>
              <a:defRPr sz="755" b="0" i="0" u="none" strike="noStrike" baseline="0">
                <a:solidFill>
                  <a:srgbClr val="000000"/>
                </a:solidFill>
                <a:latin typeface="Arial"/>
                <a:ea typeface="Arial"/>
                <a:cs typeface="Arial"/>
              </a:defRPr>
            </a:pPr>
            <a:endParaRPr lang="pt-BR"/>
          </a:p>
        </c:txPr>
      </c:legendEntry>
      <c:legendEntry>
        <c:idx val="6"/>
        <c:txPr>
          <a:bodyPr/>
          <a:lstStyle/>
          <a:p>
            <a:pPr>
              <a:defRPr sz="755" b="0" i="0" u="none" strike="noStrike" baseline="0">
                <a:solidFill>
                  <a:srgbClr val="000000"/>
                </a:solidFill>
                <a:latin typeface="Arial"/>
                <a:ea typeface="Arial"/>
                <a:cs typeface="Arial"/>
              </a:defRPr>
            </a:pPr>
            <a:endParaRPr lang="pt-BR"/>
          </a:p>
        </c:txPr>
      </c:legendEntry>
      <c:legendEntry>
        <c:idx val="7"/>
        <c:txPr>
          <a:bodyPr/>
          <a:lstStyle/>
          <a:p>
            <a:pPr>
              <a:defRPr sz="755" b="0" i="0" u="none" strike="noStrike" baseline="0">
                <a:solidFill>
                  <a:srgbClr val="000000"/>
                </a:solidFill>
                <a:latin typeface="Arial"/>
                <a:ea typeface="Arial"/>
                <a:cs typeface="Arial"/>
              </a:defRPr>
            </a:pPr>
            <a:endParaRPr lang="pt-BR"/>
          </a:p>
        </c:txPr>
      </c:legendEntry>
      <c:legendEntry>
        <c:idx val="9"/>
        <c:txPr>
          <a:bodyPr/>
          <a:lstStyle/>
          <a:p>
            <a:pPr>
              <a:defRPr sz="755" b="0" i="0" u="none" strike="noStrike" baseline="0">
                <a:solidFill>
                  <a:srgbClr val="000000"/>
                </a:solidFill>
                <a:latin typeface="Arial"/>
                <a:ea typeface="Arial"/>
                <a:cs typeface="Arial"/>
              </a:defRPr>
            </a:pPr>
            <a:endParaRPr lang="pt-BR"/>
          </a:p>
        </c:txPr>
      </c:legendEntry>
      <c:legendEntry>
        <c:idx val="10"/>
        <c:txPr>
          <a:bodyPr/>
          <a:lstStyle/>
          <a:p>
            <a:pPr>
              <a:defRPr sz="755" b="1" i="0" u="none" strike="noStrike" baseline="0">
                <a:solidFill>
                  <a:srgbClr val="000000"/>
                </a:solidFill>
                <a:latin typeface="Arial"/>
                <a:ea typeface="Arial"/>
                <a:cs typeface="Arial"/>
              </a:defRPr>
            </a:pPr>
            <a:endParaRPr lang="pt-BR"/>
          </a:p>
        </c:txPr>
      </c:legendEntry>
      <c:legendEntry>
        <c:idx val="12"/>
        <c:txPr>
          <a:bodyPr/>
          <a:lstStyle/>
          <a:p>
            <a:pPr>
              <a:defRPr sz="755" b="0" i="0" u="none" strike="noStrike" baseline="0">
                <a:solidFill>
                  <a:srgbClr val="000000"/>
                </a:solidFill>
                <a:latin typeface="Arial"/>
                <a:ea typeface="Arial"/>
                <a:cs typeface="Arial"/>
              </a:defRPr>
            </a:pPr>
            <a:endParaRPr lang="pt-BR"/>
          </a:p>
        </c:txPr>
      </c:legendEntry>
      <c:legendEntry>
        <c:idx val="13"/>
        <c:txPr>
          <a:bodyPr/>
          <a:lstStyle/>
          <a:p>
            <a:pPr>
              <a:defRPr sz="755" b="0" i="0" u="none" strike="noStrike" baseline="0">
                <a:solidFill>
                  <a:srgbClr val="000000"/>
                </a:solidFill>
                <a:latin typeface="Arial"/>
                <a:ea typeface="Arial"/>
                <a:cs typeface="Arial"/>
              </a:defRPr>
            </a:pPr>
            <a:endParaRPr lang="pt-BR"/>
          </a:p>
        </c:txPr>
      </c:legendEntry>
      <c:layout>
        <c:manualLayout>
          <c:xMode val="edge"/>
          <c:yMode val="edge"/>
          <c:x val="0.69944751381215453"/>
          <c:y val="1.5988417481653919E-2"/>
          <c:w val="0.28839779005524885"/>
          <c:h val="0.91279328895260536"/>
        </c:manualLayout>
      </c:layout>
      <c:overlay val="0"/>
      <c:spPr>
        <a:solidFill>
          <a:srgbClr val="FFFFFF"/>
        </a:solidFill>
        <a:ln w="3175">
          <a:solidFill>
            <a:srgbClr val="000000"/>
          </a:solidFill>
          <a:prstDash val="solid"/>
        </a:ln>
      </c:spPr>
      <c:txPr>
        <a:bodyPr/>
        <a:lstStyle/>
        <a:p>
          <a:pPr>
            <a:defRPr sz="755" b="0" i="0" u="none" strike="noStrike" baseline="0">
              <a:solidFill>
                <a:srgbClr val="000000"/>
              </a:solidFill>
              <a:latin typeface="Arial"/>
              <a:ea typeface="Arial"/>
              <a:cs typeface="Arial"/>
            </a:defRPr>
          </a:pPr>
          <a:endParaRPr lang="pt-BR"/>
        </a:p>
      </c:txPr>
    </c:legend>
    <c:plotVisOnly val="1"/>
    <c:dispBlanksAs val="gap"/>
    <c:showDLblsOverMax val="0"/>
  </c:chart>
  <c:spPr>
    <a:solidFill>
      <a:srgbClr val="FFFFFF"/>
    </a:solid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pt-BR"/>
    </a:p>
  </c:txPr>
  <c:printSettings>
    <c:headerFooter alignWithMargins="0"/>
    <c:pageMargins b="0.98425196899999978" l="0.78740157499999996" r="0.78740157499999996" t="0.98425196899999978" header="0.49212598450000011" footer="0.49212598450000011"/>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75" b="1" i="0" u="none" strike="noStrike" baseline="0">
                <a:solidFill>
                  <a:srgbClr val="000000"/>
                </a:solidFill>
                <a:latin typeface="Arial"/>
                <a:ea typeface="Arial"/>
                <a:cs typeface="Arial"/>
              </a:defRPr>
            </a:pPr>
            <a:r>
              <a:rPr lang="de-DE"/>
              <a:t>Emissões de </a:t>
            </a:r>
            <a:r>
              <a:rPr lang="de-DE">
                <a:solidFill>
                  <a:sysClr val="windowText" lastClr="000000"/>
                </a:solidFill>
              </a:rPr>
              <a:t>GEE </a:t>
            </a:r>
            <a:r>
              <a:rPr lang="pt-BR" sz="975" b="0" i="0" u="none" strike="noStrike" baseline="0">
                <a:solidFill>
                  <a:sysClr val="windowText" lastClr="000000"/>
                </a:solidFill>
                <a:effectLst/>
              </a:rPr>
              <a:t>—</a:t>
            </a:r>
            <a:r>
              <a:rPr lang="de-DE">
                <a:solidFill>
                  <a:sysClr val="windowText" lastClr="000000"/>
                </a:solidFill>
              </a:rPr>
              <a:t> Destinação</a:t>
            </a:r>
          </a:p>
        </c:rich>
      </c:tx>
      <c:layout>
        <c:manualLayout>
          <c:xMode val="edge"/>
          <c:yMode val="edge"/>
          <c:x val="0.29557157569515985"/>
          <c:y val="1.5172413793103448E-2"/>
        </c:manualLayout>
      </c:layout>
      <c:overlay val="0"/>
      <c:spPr>
        <a:noFill/>
        <a:ln w="25400">
          <a:noFill/>
        </a:ln>
      </c:spPr>
    </c:title>
    <c:autoTitleDeleted val="0"/>
    <c:plotArea>
      <c:layout>
        <c:manualLayout>
          <c:layoutTarget val="inner"/>
          <c:xMode val="edge"/>
          <c:yMode val="edge"/>
          <c:x val="0.19670442842430488"/>
          <c:y val="0.12689655172413788"/>
          <c:w val="0.51802265705458328"/>
          <c:h val="0.76137931034482786"/>
        </c:manualLayout>
      </c:layout>
      <c:barChart>
        <c:barDir val="col"/>
        <c:grouping val="stacked"/>
        <c:varyColors val="0"/>
        <c:ser>
          <c:idx val="0"/>
          <c:order val="0"/>
          <c:tx>
            <c:strRef>
              <c:f>'CO2 - Cenário RT 3'!$K$62</c:f>
              <c:strCache>
                <c:ptCount val="1"/>
                <c:pt idx="0">
                  <c:v>Resíduos dispersos</c:v>
                </c:pt>
              </c:strCache>
            </c:strRef>
          </c:tx>
          <c:spPr>
            <a:solidFill>
              <a:srgbClr val="FFFFFF"/>
            </a:solidFill>
            <a:ln w="12700">
              <a:solidFill>
                <a:srgbClr val="000000"/>
              </a:solidFill>
              <a:prstDash val="solid"/>
            </a:ln>
          </c:spPr>
          <c:invertIfNegative val="0"/>
          <c:cat>
            <c:strRef>
              <c:f>'CO2 - Cenário RT 3'!$L$61:$M$61</c:f>
              <c:strCache>
                <c:ptCount val="2"/>
                <c:pt idx="0">
                  <c:v>Destinação de resíduos</c:v>
                </c:pt>
                <c:pt idx="1">
                  <c:v>Líquido</c:v>
                </c:pt>
              </c:strCache>
            </c:strRef>
          </c:cat>
          <c:val>
            <c:numRef>
              <c:f>'CO2 - Cenário RT 3'!$L$62:$M$62</c:f>
              <c:numCache>
                <c:formatCode>General</c:formatCode>
                <c:ptCount val="2"/>
                <c:pt idx="0" formatCode="#,##0">
                  <c:v>0</c:v>
                </c:pt>
              </c:numCache>
            </c:numRef>
          </c:val>
          <c:extLst>
            <c:ext xmlns:c16="http://schemas.microsoft.com/office/drawing/2014/chart" uri="{C3380CC4-5D6E-409C-BE32-E72D297353CC}">
              <c16:uniqueId val="{00000000-636F-4F7F-B8D7-2A2515F8EFE4}"/>
            </c:ext>
          </c:extLst>
        </c:ser>
        <c:ser>
          <c:idx val="1"/>
          <c:order val="1"/>
          <c:tx>
            <c:strRef>
              <c:f>'CO2 - Cenário RT 3'!$K$63</c:f>
              <c:strCache>
                <c:ptCount val="1"/>
                <c:pt idx="0">
                  <c:v>Queima a céu aberto</c:v>
                </c:pt>
              </c:strCache>
            </c:strRef>
          </c:tx>
          <c:spPr>
            <a:solidFill>
              <a:srgbClr val="FF8080"/>
            </a:solidFill>
            <a:ln w="12700">
              <a:solidFill>
                <a:srgbClr val="000000"/>
              </a:solidFill>
              <a:prstDash val="solid"/>
            </a:ln>
          </c:spPr>
          <c:invertIfNegative val="0"/>
          <c:cat>
            <c:strRef>
              <c:f>'CO2 - Cenário RT 3'!$L$61:$M$61</c:f>
              <c:strCache>
                <c:ptCount val="2"/>
                <c:pt idx="0">
                  <c:v>Destinação de resíduos</c:v>
                </c:pt>
                <c:pt idx="1">
                  <c:v>Líquido</c:v>
                </c:pt>
              </c:strCache>
            </c:strRef>
          </c:cat>
          <c:val>
            <c:numRef>
              <c:f>'CO2 - Cenário RT 3'!$L$63:$M$63</c:f>
              <c:numCache>
                <c:formatCode>General</c:formatCode>
                <c:ptCount val="2"/>
                <c:pt idx="0" formatCode="#,##0">
                  <c:v>0</c:v>
                </c:pt>
              </c:numCache>
            </c:numRef>
          </c:val>
          <c:extLst>
            <c:ext xmlns:c16="http://schemas.microsoft.com/office/drawing/2014/chart" uri="{C3380CC4-5D6E-409C-BE32-E72D297353CC}">
              <c16:uniqueId val="{00000001-636F-4F7F-B8D7-2A2515F8EFE4}"/>
            </c:ext>
          </c:extLst>
        </c:ser>
        <c:ser>
          <c:idx val="2"/>
          <c:order val="2"/>
          <c:tx>
            <c:strRef>
              <c:f>'CO2 - Cenário RT 3'!$K$64</c:f>
              <c:strCache>
                <c:ptCount val="1"/>
                <c:pt idx="0">
                  <c:v>Lixão não controlado</c:v>
                </c:pt>
              </c:strCache>
            </c:strRef>
          </c:tx>
          <c:spPr>
            <a:solidFill>
              <a:srgbClr val="993300"/>
            </a:solidFill>
            <a:ln w="12700">
              <a:solidFill>
                <a:srgbClr val="000000"/>
              </a:solidFill>
              <a:prstDash val="solid"/>
            </a:ln>
          </c:spPr>
          <c:invertIfNegative val="0"/>
          <c:cat>
            <c:strRef>
              <c:f>'CO2 - Cenário RT 3'!$L$61:$M$61</c:f>
              <c:strCache>
                <c:ptCount val="2"/>
                <c:pt idx="0">
                  <c:v>Destinação de resíduos</c:v>
                </c:pt>
                <c:pt idx="1">
                  <c:v>Líquido</c:v>
                </c:pt>
              </c:strCache>
            </c:strRef>
          </c:cat>
          <c:val>
            <c:numRef>
              <c:f>'CO2 - Cenário RT 3'!$L$64:$M$64</c:f>
              <c:numCache>
                <c:formatCode>General</c:formatCode>
                <c:ptCount val="2"/>
                <c:pt idx="0" formatCode="#,##0">
                  <c:v>0</c:v>
                </c:pt>
              </c:numCache>
            </c:numRef>
          </c:val>
          <c:extLst>
            <c:ext xmlns:c16="http://schemas.microsoft.com/office/drawing/2014/chart" uri="{C3380CC4-5D6E-409C-BE32-E72D297353CC}">
              <c16:uniqueId val="{00000002-636F-4F7F-B8D7-2A2515F8EFE4}"/>
            </c:ext>
          </c:extLst>
        </c:ser>
        <c:ser>
          <c:idx val="3"/>
          <c:order val="3"/>
          <c:tx>
            <c:strRef>
              <c:f>'CO2 - Cenário RT 3'!$K$65</c:f>
              <c:strCache>
                <c:ptCount val="1"/>
                <c:pt idx="0">
                  <c:v>Aterro controlado</c:v>
                </c:pt>
              </c:strCache>
            </c:strRef>
          </c:tx>
          <c:spPr>
            <a:solidFill>
              <a:srgbClr val="99CC00"/>
            </a:solidFill>
            <a:ln w="12700">
              <a:solidFill>
                <a:srgbClr val="000000"/>
              </a:solidFill>
              <a:prstDash val="solid"/>
            </a:ln>
          </c:spPr>
          <c:invertIfNegative val="0"/>
          <c:cat>
            <c:strRef>
              <c:f>'CO2 - Cenário RT 3'!$L$61:$M$61</c:f>
              <c:strCache>
                <c:ptCount val="2"/>
                <c:pt idx="0">
                  <c:v>Destinação de resíduos</c:v>
                </c:pt>
                <c:pt idx="1">
                  <c:v>Líquido</c:v>
                </c:pt>
              </c:strCache>
            </c:strRef>
          </c:cat>
          <c:val>
            <c:numRef>
              <c:f>'CO2 - Cenário RT 3'!$L$65:$M$65</c:f>
              <c:numCache>
                <c:formatCode>General</c:formatCode>
                <c:ptCount val="2"/>
                <c:pt idx="0" formatCode="#,##0">
                  <c:v>8346.3928112269059</c:v>
                </c:pt>
              </c:numCache>
            </c:numRef>
          </c:val>
          <c:extLst>
            <c:ext xmlns:c16="http://schemas.microsoft.com/office/drawing/2014/chart" uri="{C3380CC4-5D6E-409C-BE32-E72D297353CC}">
              <c16:uniqueId val="{00000003-636F-4F7F-B8D7-2A2515F8EFE4}"/>
            </c:ext>
          </c:extLst>
        </c:ser>
        <c:ser>
          <c:idx val="4"/>
          <c:order val="4"/>
          <c:tx>
            <c:strRef>
              <c:f>'CO2 - Cenário RT 3'!$K$66</c:f>
              <c:strCache>
                <c:ptCount val="1"/>
                <c:pt idx="0">
                  <c:v>Aterro sanitário</c:v>
                </c:pt>
              </c:strCache>
            </c:strRef>
          </c:tx>
          <c:spPr>
            <a:solidFill>
              <a:srgbClr val="FFFF00"/>
            </a:solidFill>
            <a:ln w="12700">
              <a:solidFill>
                <a:srgbClr val="000000"/>
              </a:solidFill>
              <a:prstDash val="solid"/>
            </a:ln>
          </c:spPr>
          <c:invertIfNegative val="0"/>
          <c:cat>
            <c:strRef>
              <c:f>'CO2 - Cenário RT 3'!$L$61:$M$61</c:f>
              <c:strCache>
                <c:ptCount val="2"/>
                <c:pt idx="0">
                  <c:v>Destinação de resíduos</c:v>
                </c:pt>
                <c:pt idx="1">
                  <c:v>Líquido</c:v>
                </c:pt>
              </c:strCache>
            </c:strRef>
          </c:cat>
          <c:val>
            <c:numRef>
              <c:f>'CO2 - Cenário RT 3'!$L$66:$M$66</c:f>
              <c:numCache>
                <c:formatCode>General</c:formatCode>
                <c:ptCount val="2"/>
                <c:pt idx="0" formatCode="#,##0">
                  <c:v>0</c:v>
                </c:pt>
              </c:numCache>
            </c:numRef>
          </c:val>
          <c:extLst>
            <c:ext xmlns:c16="http://schemas.microsoft.com/office/drawing/2014/chart" uri="{C3380CC4-5D6E-409C-BE32-E72D297353CC}">
              <c16:uniqueId val="{00000004-636F-4F7F-B8D7-2A2515F8EFE4}"/>
            </c:ext>
          </c:extLst>
        </c:ser>
        <c:ser>
          <c:idx val="5"/>
          <c:order val="5"/>
          <c:tx>
            <c:strRef>
              <c:f>'CO2 - Cenário RT 3'!$K$67</c:f>
              <c:strCache>
                <c:ptCount val="1"/>
                <c:pt idx="0">
                  <c:v>Trat. biol + cobertura at.</c:v>
                </c:pt>
              </c:strCache>
            </c:strRef>
          </c:tx>
          <c:spPr>
            <a:solidFill>
              <a:srgbClr val="FF00FF"/>
            </a:solidFill>
            <a:ln w="12700">
              <a:solidFill>
                <a:srgbClr val="000000"/>
              </a:solidFill>
              <a:prstDash val="solid"/>
            </a:ln>
          </c:spPr>
          <c:invertIfNegative val="0"/>
          <c:cat>
            <c:strRef>
              <c:f>'CO2 - Cenário RT 3'!$L$61:$M$61</c:f>
              <c:strCache>
                <c:ptCount val="2"/>
                <c:pt idx="0">
                  <c:v>Destinação de resíduos</c:v>
                </c:pt>
                <c:pt idx="1">
                  <c:v>Líquido</c:v>
                </c:pt>
              </c:strCache>
            </c:strRef>
          </c:cat>
          <c:val>
            <c:numRef>
              <c:f>'CO2 - Cenário RT 3'!$L$67:$M$67</c:f>
              <c:numCache>
                <c:formatCode>General</c:formatCode>
                <c:ptCount val="2"/>
                <c:pt idx="0" formatCode="#,##0">
                  <c:v>0</c:v>
                </c:pt>
              </c:numCache>
            </c:numRef>
          </c:val>
          <c:extLst>
            <c:ext xmlns:c16="http://schemas.microsoft.com/office/drawing/2014/chart" uri="{C3380CC4-5D6E-409C-BE32-E72D297353CC}">
              <c16:uniqueId val="{00000005-636F-4F7F-B8D7-2A2515F8EFE4}"/>
            </c:ext>
          </c:extLst>
        </c:ser>
        <c:ser>
          <c:idx val="6"/>
          <c:order val="6"/>
          <c:tx>
            <c:strRef>
              <c:f>'CO2 - Cenário RT 3'!$K$68</c:f>
              <c:strCache>
                <c:ptCount val="1"/>
                <c:pt idx="0">
                  <c:v>CDR seco + rejeito aterro</c:v>
                </c:pt>
              </c:strCache>
            </c:strRef>
          </c:tx>
          <c:spPr>
            <a:solidFill>
              <a:srgbClr val="008080"/>
            </a:solidFill>
            <a:ln w="12700">
              <a:solidFill>
                <a:srgbClr val="000000"/>
              </a:solidFill>
              <a:prstDash val="solid"/>
            </a:ln>
          </c:spPr>
          <c:invertIfNegative val="0"/>
          <c:cat>
            <c:strRef>
              <c:f>'CO2 - Cenário RT 3'!$L$61:$M$61</c:f>
              <c:strCache>
                <c:ptCount val="2"/>
                <c:pt idx="0">
                  <c:v>Destinação de resíduos</c:v>
                </c:pt>
                <c:pt idx="1">
                  <c:v>Líquido</c:v>
                </c:pt>
              </c:strCache>
            </c:strRef>
          </c:cat>
          <c:val>
            <c:numRef>
              <c:f>'CO2 - Cenário RT 3'!$L$68:$M$68</c:f>
              <c:numCache>
                <c:formatCode>General</c:formatCode>
                <c:ptCount val="2"/>
                <c:pt idx="0" formatCode="#,##0">
                  <c:v>0</c:v>
                </c:pt>
              </c:numCache>
            </c:numRef>
          </c:val>
          <c:extLst>
            <c:ext xmlns:c16="http://schemas.microsoft.com/office/drawing/2014/chart" uri="{C3380CC4-5D6E-409C-BE32-E72D297353CC}">
              <c16:uniqueId val="{00000006-636F-4F7F-B8D7-2A2515F8EFE4}"/>
            </c:ext>
          </c:extLst>
        </c:ser>
        <c:ser>
          <c:idx val="7"/>
          <c:order val="7"/>
          <c:tx>
            <c:strRef>
              <c:f>'CO2 - Cenário RT 3'!$K$69</c:f>
              <c:strCache>
                <c:ptCount val="1"/>
                <c:pt idx="0">
                  <c:v>CDR seco + trat. biol.</c:v>
                </c:pt>
              </c:strCache>
            </c:strRef>
          </c:tx>
          <c:spPr>
            <a:solidFill>
              <a:srgbClr val="FF9900"/>
            </a:solidFill>
            <a:ln w="12700">
              <a:solidFill>
                <a:srgbClr val="000000"/>
              </a:solidFill>
              <a:prstDash val="solid"/>
            </a:ln>
          </c:spPr>
          <c:invertIfNegative val="0"/>
          <c:cat>
            <c:strRef>
              <c:f>'CO2 - Cenário RT 3'!$L$61:$M$61</c:f>
              <c:strCache>
                <c:ptCount val="2"/>
                <c:pt idx="0">
                  <c:v>Destinação de resíduos</c:v>
                </c:pt>
                <c:pt idx="1">
                  <c:v>Líquido</c:v>
                </c:pt>
              </c:strCache>
            </c:strRef>
          </c:cat>
          <c:val>
            <c:numRef>
              <c:f>'CO2 - Cenário RT 3'!$L$69:$M$69</c:f>
              <c:numCache>
                <c:formatCode>General</c:formatCode>
                <c:ptCount val="2"/>
                <c:pt idx="0" formatCode="#,##0">
                  <c:v>0</c:v>
                </c:pt>
              </c:numCache>
            </c:numRef>
          </c:val>
          <c:extLst>
            <c:ext xmlns:c16="http://schemas.microsoft.com/office/drawing/2014/chart" uri="{C3380CC4-5D6E-409C-BE32-E72D297353CC}">
              <c16:uniqueId val="{00000007-636F-4F7F-B8D7-2A2515F8EFE4}"/>
            </c:ext>
          </c:extLst>
        </c:ser>
        <c:ser>
          <c:idx val="21"/>
          <c:order val="8"/>
          <c:tx>
            <c:strRef>
              <c:f>'CO2 - Cenário RT 3'!$K$70</c:f>
              <c:strCache>
                <c:ptCount val="1"/>
                <c:pt idx="0">
                  <c:v>CDR seco + CDR org.</c:v>
                </c:pt>
              </c:strCache>
            </c:strRef>
          </c:tx>
          <c:spPr>
            <a:solidFill>
              <a:srgbClr val="00B0F0"/>
            </a:solidFill>
            <a:ln w="12700">
              <a:solidFill>
                <a:srgbClr val="000000"/>
              </a:solidFill>
            </a:ln>
          </c:spPr>
          <c:invertIfNegative val="0"/>
          <c:cat>
            <c:strRef>
              <c:f>'CO2 - Cenário RT 3'!$L$61:$M$61</c:f>
              <c:strCache>
                <c:ptCount val="2"/>
                <c:pt idx="0">
                  <c:v>Destinação de resíduos</c:v>
                </c:pt>
                <c:pt idx="1">
                  <c:v>Líquido</c:v>
                </c:pt>
              </c:strCache>
            </c:strRef>
          </c:cat>
          <c:val>
            <c:numRef>
              <c:f>'CO2 - Cenário RT 3'!$L$70:$M$70</c:f>
              <c:numCache>
                <c:formatCode>General</c:formatCode>
                <c:ptCount val="2"/>
                <c:pt idx="0" formatCode="#,##0">
                  <c:v>2254.8862787014923</c:v>
                </c:pt>
              </c:numCache>
            </c:numRef>
          </c:val>
          <c:extLst>
            <c:ext xmlns:c16="http://schemas.microsoft.com/office/drawing/2014/chart" uri="{C3380CC4-5D6E-409C-BE32-E72D297353CC}">
              <c16:uniqueId val="{00000008-636F-4F7F-B8D7-2A2515F8EFE4}"/>
            </c:ext>
          </c:extLst>
        </c:ser>
        <c:ser>
          <c:idx val="8"/>
          <c:order val="9"/>
          <c:tx>
            <c:strRef>
              <c:f>'CO2 - Cenário RT 3'!$K$71</c:f>
              <c:strCache>
                <c:ptCount val="1"/>
                <c:pt idx="0">
                  <c:v>Incineração</c:v>
                </c:pt>
              </c:strCache>
            </c:strRef>
          </c:tx>
          <c:spPr>
            <a:solidFill>
              <a:srgbClr val="CCCCFF"/>
            </a:solidFill>
            <a:ln w="12700">
              <a:solidFill>
                <a:srgbClr val="000000"/>
              </a:solidFill>
              <a:prstDash val="solid"/>
            </a:ln>
          </c:spPr>
          <c:invertIfNegative val="0"/>
          <c:cat>
            <c:strRef>
              <c:f>'CO2 - Cenário RT 3'!$L$61:$M$61</c:f>
              <c:strCache>
                <c:ptCount val="2"/>
                <c:pt idx="0">
                  <c:v>Destinação de resíduos</c:v>
                </c:pt>
                <c:pt idx="1">
                  <c:v>Líquido</c:v>
                </c:pt>
              </c:strCache>
            </c:strRef>
          </c:cat>
          <c:val>
            <c:numRef>
              <c:f>'CO2 - Cenário RT 3'!$L$71:$M$71</c:f>
              <c:numCache>
                <c:formatCode>General</c:formatCode>
                <c:ptCount val="2"/>
                <c:pt idx="0" formatCode="#,##0">
                  <c:v>0</c:v>
                </c:pt>
              </c:numCache>
            </c:numRef>
          </c:val>
          <c:extLst>
            <c:ext xmlns:c16="http://schemas.microsoft.com/office/drawing/2014/chart" uri="{C3380CC4-5D6E-409C-BE32-E72D297353CC}">
              <c16:uniqueId val="{00000009-636F-4F7F-B8D7-2A2515F8EFE4}"/>
            </c:ext>
          </c:extLst>
        </c:ser>
        <c:ser>
          <c:idx val="9"/>
          <c:order val="10"/>
          <c:tx>
            <c:strRef>
              <c:f>'CO2 - Cenário RT 3'!$K$72</c:f>
              <c:strCache>
                <c:ptCount val="1"/>
                <c:pt idx="0">
                  <c:v>Débitos</c:v>
                </c:pt>
              </c:strCache>
            </c:strRef>
          </c:tx>
          <c:spPr>
            <a:noFill/>
            <a:ln w="25400">
              <a:noFill/>
            </a:ln>
          </c:spPr>
          <c:invertIfNegative val="0"/>
          <c:cat>
            <c:strRef>
              <c:f>'CO2 - Cenário RT 3'!$L$61:$M$61</c:f>
              <c:strCache>
                <c:ptCount val="2"/>
                <c:pt idx="0">
                  <c:v>Destinação de resíduos</c:v>
                </c:pt>
                <c:pt idx="1">
                  <c:v>Líquido</c:v>
                </c:pt>
              </c:strCache>
            </c:strRef>
          </c:cat>
          <c:val>
            <c:numRef>
              <c:f>'CO2 - Cenário RT 3'!$L$72:$M$72</c:f>
              <c:numCache>
                <c:formatCode>General</c:formatCode>
                <c:ptCount val="2"/>
              </c:numCache>
            </c:numRef>
          </c:val>
          <c:extLst>
            <c:ext xmlns:c16="http://schemas.microsoft.com/office/drawing/2014/chart" uri="{C3380CC4-5D6E-409C-BE32-E72D297353CC}">
              <c16:uniqueId val="{0000000A-636F-4F7F-B8D7-2A2515F8EFE4}"/>
            </c:ext>
          </c:extLst>
        </c:ser>
        <c:ser>
          <c:idx val="10"/>
          <c:order val="11"/>
          <c:tx>
            <c:strRef>
              <c:f>'CO2 - Cenário RT 3'!$K$73</c:f>
              <c:strCache>
                <c:ptCount val="1"/>
                <c:pt idx="0">
                  <c:v>Resíduos dispersos</c:v>
                </c:pt>
              </c:strCache>
            </c:strRef>
          </c:tx>
          <c:spPr>
            <a:pattFill prst="wdUpDiag">
              <a:fgClr>
                <a:srgbClr val="FFFFFF"/>
              </a:fgClr>
              <a:bgClr>
                <a:srgbClr val="000000"/>
              </a:bgClr>
            </a:pattFill>
            <a:ln w="12700">
              <a:solidFill>
                <a:srgbClr val="000000"/>
              </a:solidFill>
              <a:prstDash val="solid"/>
            </a:ln>
          </c:spPr>
          <c:invertIfNegative val="0"/>
          <c:cat>
            <c:strRef>
              <c:f>'CO2 - Cenário RT 3'!$L$61:$M$61</c:f>
              <c:strCache>
                <c:ptCount val="2"/>
                <c:pt idx="0">
                  <c:v>Destinação de resíduos</c:v>
                </c:pt>
                <c:pt idx="1">
                  <c:v>Líquido</c:v>
                </c:pt>
              </c:strCache>
            </c:strRef>
          </c:cat>
          <c:val>
            <c:numRef>
              <c:f>'CO2 - Cenário RT 3'!$L$73:$M$73</c:f>
              <c:numCache>
                <c:formatCode>General</c:formatCode>
                <c:ptCount val="2"/>
                <c:pt idx="0" formatCode="#,##0">
                  <c:v>0</c:v>
                </c:pt>
              </c:numCache>
            </c:numRef>
          </c:val>
          <c:extLst>
            <c:ext xmlns:c16="http://schemas.microsoft.com/office/drawing/2014/chart" uri="{C3380CC4-5D6E-409C-BE32-E72D297353CC}">
              <c16:uniqueId val="{0000000B-636F-4F7F-B8D7-2A2515F8EFE4}"/>
            </c:ext>
          </c:extLst>
        </c:ser>
        <c:ser>
          <c:idx val="11"/>
          <c:order val="12"/>
          <c:tx>
            <c:strRef>
              <c:f>'CO2 - Cenário RT 3'!$K$74</c:f>
              <c:strCache>
                <c:ptCount val="1"/>
                <c:pt idx="0">
                  <c:v>Queima a céu aberto</c:v>
                </c:pt>
              </c:strCache>
            </c:strRef>
          </c:tx>
          <c:spPr>
            <a:pattFill prst="wdDnDiag">
              <a:fgClr>
                <a:srgbClr val="FF8080"/>
              </a:fgClr>
              <a:bgClr>
                <a:srgbClr val="FFFFFF"/>
              </a:bgClr>
            </a:pattFill>
            <a:ln w="12700">
              <a:solidFill>
                <a:srgbClr val="000000"/>
              </a:solidFill>
              <a:prstDash val="solid"/>
            </a:ln>
          </c:spPr>
          <c:invertIfNegative val="0"/>
          <c:cat>
            <c:strRef>
              <c:f>'CO2 - Cenário RT 3'!$L$61:$M$61</c:f>
              <c:strCache>
                <c:ptCount val="2"/>
                <c:pt idx="0">
                  <c:v>Destinação de resíduos</c:v>
                </c:pt>
                <c:pt idx="1">
                  <c:v>Líquido</c:v>
                </c:pt>
              </c:strCache>
            </c:strRef>
          </c:cat>
          <c:val>
            <c:numRef>
              <c:f>'CO2 - Cenário RT 3'!$L$74:$M$74</c:f>
              <c:numCache>
                <c:formatCode>General</c:formatCode>
                <c:ptCount val="2"/>
                <c:pt idx="0" formatCode="#,##0">
                  <c:v>0</c:v>
                </c:pt>
              </c:numCache>
            </c:numRef>
          </c:val>
          <c:extLst>
            <c:ext xmlns:c16="http://schemas.microsoft.com/office/drawing/2014/chart" uri="{C3380CC4-5D6E-409C-BE32-E72D297353CC}">
              <c16:uniqueId val="{0000000C-636F-4F7F-B8D7-2A2515F8EFE4}"/>
            </c:ext>
          </c:extLst>
        </c:ser>
        <c:ser>
          <c:idx val="12"/>
          <c:order val="13"/>
          <c:tx>
            <c:strRef>
              <c:f>'CO2 - Cenário RT 3'!$K$75</c:f>
              <c:strCache>
                <c:ptCount val="1"/>
                <c:pt idx="0">
                  <c:v>Lixão não controlado</c:v>
                </c:pt>
              </c:strCache>
            </c:strRef>
          </c:tx>
          <c:spPr>
            <a:pattFill prst="wdUpDiag">
              <a:fgClr>
                <a:srgbClr val="993300"/>
              </a:fgClr>
              <a:bgClr>
                <a:srgbClr val="FFFFFF"/>
              </a:bgClr>
            </a:pattFill>
            <a:ln w="12700">
              <a:solidFill>
                <a:srgbClr val="000000"/>
              </a:solidFill>
              <a:prstDash val="solid"/>
            </a:ln>
          </c:spPr>
          <c:invertIfNegative val="0"/>
          <c:cat>
            <c:strRef>
              <c:f>'CO2 - Cenário RT 3'!$L$61:$M$61</c:f>
              <c:strCache>
                <c:ptCount val="2"/>
                <c:pt idx="0">
                  <c:v>Destinação de resíduos</c:v>
                </c:pt>
                <c:pt idx="1">
                  <c:v>Líquido</c:v>
                </c:pt>
              </c:strCache>
            </c:strRef>
          </c:cat>
          <c:val>
            <c:numRef>
              <c:f>'CO2 - Cenário RT 3'!$L$75:$M$75</c:f>
              <c:numCache>
                <c:formatCode>General</c:formatCode>
                <c:ptCount val="2"/>
                <c:pt idx="0" formatCode="#,##0">
                  <c:v>0</c:v>
                </c:pt>
              </c:numCache>
            </c:numRef>
          </c:val>
          <c:extLst>
            <c:ext xmlns:c16="http://schemas.microsoft.com/office/drawing/2014/chart" uri="{C3380CC4-5D6E-409C-BE32-E72D297353CC}">
              <c16:uniqueId val="{0000000D-636F-4F7F-B8D7-2A2515F8EFE4}"/>
            </c:ext>
          </c:extLst>
        </c:ser>
        <c:ser>
          <c:idx val="13"/>
          <c:order val="14"/>
          <c:tx>
            <c:strRef>
              <c:f>'CO2 - Cenário RT 3'!$K$76</c:f>
              <c:strCache>
                <c:ptCount val="1"/>
                <c:pt idx="0">
                  <c:v>Aterro controlado</c:v>
                </c:pt>
              </c:strCache>
            </c:strRef>
          </c:tx>
          <c:spPr>
            <a:pattFill prst="wdDnDiag">
              <a:fgClr>
                <a:srgbClr val="99CC00"/>
              </a:fgClr>
              <a:bgClr>
                <a:srgbClr val="FFFFFF"/>
              </a:bgClr>
            </a:pattFill>
            <a:ln w="12700">
              <a:solidFill>
                <a:srgbClr val="000000"/>
              </a:solidFill>
              <a:prstDash val="solid"/>
            </a:ln>
          </c:spPr>
          <c:invertIfNegative val="0"/>
          <c:cat>
            <c:strRef>
              <c:f>'CO2 - Cenário RT 3'!$L$61:$M$61</c:f>
              <c:strCache>
                <c:ptCount val="2"/>
                <c:pt idx="0">
                  <c:v>Destinação de resíduos</c:v>
                </c:pt>
                <c:pt idx="1">
                  <c:v>Líquido</c:v>
                </c:pt>
              </c:strCache>
            </c:strRef>
          </c:cat>
          <c:val>
            <c:numRef>
              <c:f>'CO2 - Cenário RT 3'!$L$76:$M$76</c:f>
              <c:numCache>
                <c:formatCode>General</c:formatCode>
                <c:ptCount val="2"/>
                <c:pt idx="0" formatCode="#,##0">
                  <c:v>0</c:v>
                </c:pt>
              </c:numCache>
            </c:numRef>
          </c:val>
          <c:extLst>
            <c:ext xmlns:c16="http://schemas.microsoft.com/office/drawing/2014/chart" uri="{C3380CC4-5D6E-409C-BE32-E72D297353CC}">
              <c16:uniqueId val="{0000000E-636F-4F7F-B8D7-2A2515F8EFE4}"/>
            </c:ext>
          </c:extLst>
        </c:ser>
        <c:ser>
          <c:idx val="14"/>
          <c:order val="15"/>
          <c:tx>
            <c:strRef>
              <c:f>'CO2 - Cenário RT 3'!$K$77</c:f>
              <c:strCache>
                <c:ptCount val="1"/>
                <c:pt idx="0">
                  <c:v>Aterro sanitário</c:v>
                </c:pt>
              </c:strCache>
            </c:strRef>
          </c:tx>
          <c:spPr>
            <a:pattFill prst="wdUpDiag">
              <a:fgClr>
                <a:srgbClr val="FFFF00"/>
              </a:fgClr>
              <a:bgClr>
                <a:srgbClr val="FFFFFF"/>
              </a:bgClr>
            </a:pattFill>
            <a:ln w="12700">
              <a:solidFill>
                <a:srgbClr val="000000"/>
              </a:solidFill>
              <a:prstDash val="solid"/>
            </a:ln>
          </c:spPr>
          <c:invertIfNegative val="0"/>
          <c:cat>
            <c:strRef>
              <c:f>'CO2 - Cenário RT 3'!$L$61:$M$61</c:f>
              <c:strCache>
                <c:ptCount val="2"/>
                <c:pt idx="0">
                  <c:v>Destinação de resíduos</c:v>
                </c:pt>
                <c:pt idx="1">
                  <c:v>Líquido</c:v>
                </c:pt>
              </c:strCache>
            </c:strRef>
          </c:cat>
          <c:val>
            <c:numRef>
              <c:f>'CO2 - Cenário RT 3'!$L$77:$M$77</c:f>
              <c:numCache>
                <c:formatCode>General</c:formatCode>
                <c:ptCount val="2"/>
                <c:pt idx="0" formatCode="#,##0">
                  <c:v>0</c:v>
                </c:pt>
              </c:numCache>
            </c:numRef>
          </c:val>
          <c:extLst>
            <c:ext xmlns:c16="http://schemas.microsoft.com/office/drawing/2014/chart" uri="{C3380CC4-5D6E-409C-BE32-E72D297353CC}">
              <c16:uniqueId val="{0000000F-636F-4F7F-B8D7-2A2515F8EFE4}"/>
            </c:ext>
          </c:extLst>
        </c:ser>
        <c:ser>
          <c:idx val="15"/>
          <c:order val="16"/>
          <c:tx>
            <c:strRef>
              <c:f>'CO2 - Cenário RT 3'!$K$78</c:f>
              <c:strCache>
                <c:ptCount val="1"/>
                <c:pt idx="0">
                  <c:v>Trat. biol + cobertura at.</c:v>
                </c:pt>
              </c:strCache>
            </c:strRef>
          </c:tx>
          <c:spPr>
            <a:pattFill prst="wdDnDiag">
              <a:fgClr>
                <a:srgbClr val="FF00FF"/>
              </a:fgClr>
              <a:bgClr>
                <a:srgbClr val="FFFFFF"/>
              </a:bgClr>
            </a:pattFill>
            <a:ln w="12700">
              <a:solidFill>
                <a:srgbClr val="000000"/>
              </a:solidFill>
              <a:prstDash val="solid"/>
            </a:ln>
          </c:spPr>
          <c:invertIfNegative val="0"/>
          <c:cat>
            <c:strRef>
              <c:f>'CO2 - Cenário RT 3'!$L$61:$M$61</c:f>
              <c:strCache>
                <c:ptCount val="2"/>
                <c:pt idx="0">
                  <c:v>Destinação de resíduos</c:v>
                </c:pt>
                <c:pt idx="1">
                  <c:v>Líquido</c:v>
                </c:pt>
              </c:strCache>
            </c:strRef>
          </c:cat>
          <c:val>
            <c:numRef>
              <c:f>'CO2 - Cenário RT 3'!$L$78:$M$78</c:f>
              <c:numCache>
                <c:formatCode>General</c:formatCode>
                <c:ptCount val="2"/>
                <c:pt idx="0" formatCode="#,##0">
                  <c:v>0</c:v>
                </c:pt>
              </c:numCache>
            </c:numRef>
          </c:val>
          <c:extLst>
            <c:ext xmlns:c16="http://schemas.microsoft.com/office/drawing/2014/chart" uri="{C3380CC4-5D6E-409C-BE32-E72D297353CC}">
              <c16:uniqueId val="{00000010-636F-4F7F-B8D7-2A2515F8EFE4}"/>
            </c:ext>
          </c:extLst>
        </c:ser>
        <c:ser>
          <c:idx val="16"/>
          <c:order val="17"/>
          <c:tx>
            <c:strRef>
              <c:f>'CO2 - Cenário RT 3'!$K$79</c:f>
              <c:strCache>
                <c:ptCount val="1"/>
                <c:pt idx="0">
                  <c:v>CDR seco + rejeito aterro</c:v>
                </c:pt>
              </c:strCache>
            </c:strRef>
          </c:tx>
          <c:spPr>
            <a:pattFill prst="wdUpDiag">
              <a:fgClr>
                <a:srgbClr val="008080"/>
              </a:fgClr>
              <a:bgClr>
                <a:srgbClr val="FFFFFF"/>
              </a:bgClr>
            </a:pattFill>
            <a:ln w="12700">
              <a:solidFill>
                <a:srgbClr val="000000"/>
              </a:solidFill>
              <a:prstDash val="solid"/>
            </a:ln>
          </c:spPr>
          <c:invertIfNegative val="0"/>
          <c:cat>
            <c:strRef>
              <c:f>'CO2 - Cenário RT 3'!$L$61:$M$61</c:f>
              <c:strCache>
                <c:ptCount val="2"/>
                <c:pt idx="0">
                  <c:v>Destinação de resíduos</c:v>
                </c:pt>
                <c:pt idx="1">
                  <c:v>Líquido</c:v>
                </c:pt>
              </c:strCache>
            </c:strRef>
          </c:cat>
          <c:val>
            <c:numRef>
              <c:f>'CO2 - Cenário RT 3'!$L$79:$M$79</c:f>
              <c:numCache>
                <c:formatCode>General</c:formatCode>
                <c:ptCount val="2"/>
                <c:pt idx="0" formatCode="#,##0">
                  <c:v>0</c:v>
                </c:pt>
              </c:numCache>
            </c:numRef>
          </c:val>
          <c:extLst>
            <c:ext xmlns:c16="http://schemas.microsoft.com/office/drawing/2014/chart" uri="{C3380CC4-5D6E-409C-BE32-E72D297353CC}">
              <c16:uniqueId val="{00000011-636F-4F7F-B8D7-2A2515F8EFE4}"/>
            </c:ext>
          </c:extLst>
        </c:ser>
        <c:ser>
          <c:idx val="17"/>
          <c:order val="18"/>
          <c:tx>
            <c:strRef>
              <c:f>'CO2 - Cenário RT 3'!$K$80</c:f>
              <c:strCache>
                <c:ptCount val="1"/>
                <c:pt idx="0">
                  <c:v>CDR seco + trat. biol.</c:v>
                </c:pt>
              </c:strCache>
            </c:strRef>
          </c:tx>
          <c:spPr>
            <a:pattFill prst="wdDnDiag">
              <a:fgClr>
                <a:srgbClr val="FF9900"/>
              </a:fgClr>
              <a:bgClr>
                <a:srgbClr val="FFFFFF"/>
              </a:bgClr>
            </a:pattFill>
            <a:ln w="12700">
              <a:solidFill>
                <a:srgbClr val="000000"/>
              </a:solidFill>
              <a:prstDash val="solid"/>
            </a:ln>
          </c:spPr>
          <c:invertIfNegative val="0"/>
          <c:cat>
            <c:strRef>
              <c:f>'CO2 - Cenário RT 3'!$L$61:$M$61</c:f>
              <c:strCache>
                <c:ptCount val="2"/>
                <c:pt idx="0">
                  <c:v>Destinação de resíduos</c:v>
                </c:pt>
                <c:pt idx="1">
                  <c:v>Líquido</c:v>
                </c:pt>
              </c:strCache>
            </c:strRef>
          </c:cat>
          <c:val>
            <c:numRef>
              <c:f>'CO2 - Cenário RT 3'!$L$80:$M$80</c:f>
              <c:numCache>
                <c:formatCode>General</c:formatCode>
                <c:ptCount val="2"/>
                <c:pt idx="0" formatCode="#,##0">
                  <c:v>0</c:v>
                </c:pt>
              </c:numCache>
            </c:numRef>
          </c:val>
          <c:extLst>
            <c:ext xmlns:c16="http://schemas.microsoft.com/office/drawing/2014/chart" uri="{C3380CC4-5D6E-409C-BE32-E72D297353CC}">
              <c16:uniqueId val="{00000012-636F-4F7F-B8D7-2A2515F8EFE4}"/>
            </c:ext>
          </c:extLst>
        </c:ser>
        <c:ser>
          <c:idx val="22"/>
          <c:order val="19"/>
          <c:tx>
            <c:strRef>
              <c:f>'CO2 - Cenário RT 3'!$K$81</c:f>
              <c:strCache>
                <c:ptCount val="1"/>
                <c:pt idx="0">
                  <c:v>CDR seco + CDR org.</c:v>
                </c:pt>
              </c:strCache>
            </c:strRef>
          </c:tx>
          <c:spPr>
            <a:pattFill prst="wdUpDiag">
              <a:fgClr>
                <a:srgbClr val="00B0F0"/>
              </a:fgClr>
              <a:bgClr>
                <a:schemeClr val="bg1"/>
              </a:bgClr>
            </a:pattFill>
            <a:ln w="12700">
              <a:solidFill>
                <a:srgbClr val="000000"/>
              </a:solidFill>
            </a:ln>
          </c:spPr>
          <c:invertIfNegative val="0"/>
          <c:cat>
            <c:strRef>
              <c:f>'CO2 - Cenário RT 3'!$L$61:$M$61</c:f>
              <c:strCache>
                <c:ptCount val="2"/>
                <c:pt idx="0">
                  <c:v>Destinação de resíduos</c:v>
                </c:pt>
                <c:pt idx="1">
                  <c:v>Líquido</c:v>
                </c:pt>
              </c:strCache>
            </c:strRef>
          </c:cat>
          <c:val>
            <c:numRef>
              <c:f>'CO2 - Cenário RT 3'!$L$81:$M$81</c:f>
              <c:numCache>
                <c:formatCode>General</c:formatCode>
                <c:ptCount val="2"/>
                <c:pt idx="0" formatCode="#,##0">
                  <c:v>-12742.065710846115</c:v>
                </c:pt>
              </c:numCache>
            </c:numRef>
          </c:val>
          <c:extLst>
            <c:ext xmlns:c16="http://schemas.microsoft.com/office/drawing/2014/chart" uri="{C3380CC4-5D6E-409C-BE32-E72D297353CC}">
              <c16:uniqueId val="{00000013-636F-4F7F-B8D7-2A2515F8EFE4}"/>
            </c:ext>
          </c:extLst>
        </c:ser>
        <c:ser>
          <c:idx val="18"/>
          <c:order val="20"/>
          <c:tx>
            <c:strRef>
              <c:f>'CO2 - Cenário RT 3'!$K$82</c:f>
              <c:strCache>
                <c:ptCount val="1"/>
                <c:pt idx="0">
                  <c:v>Incineração</c:v>
                </c:pt>
              </c:strCache>
            </c:strRef>
          </c:tx>
          <c:spPr>
            <a:pattFill prst="wdDnDiag">
              <a:fgClr>
                <a:srgbClr val="CCCCFF"/>
              </a:fgClr>
              <a:bgClr>
                <a:srgbClr val="FFFFFF"/>
              </a:bgClr>
            </a:pattFill>
            <a:ln w="12700">
              <a:solidFill>
                <a:srgbClr val="000000"/>
              </a:solidFill>
              <a:prstDash val="solid"/>
            </a:ln>
          </c:spPr>
          <c:invertIfNegative val="0"/>
          <c:cat>
            <c:strRef>
              <c:f>'CO2 - Cenário RT 3'!$L$61:$M$61</c:f>
              <c:strCache>
                <c:ptCount val="2"/>
                <c:pt idx="0">
                  <c:v>Destinação de resíduos</c:v>
                </c:pt>
                <c:pt idx="1">
                  <c:v>Líquido</c:v>
                </c:pt>
              </c:strCache>
            </c:strRef>
          </c:cat>
          <c:val>
            <c:numRef>
              <c:f>'CO2 - Cenário RT 3'!$L$82:$M$82</c:f>
              <c:numCache>
                <c:formatCode>General</c:formatCode>
                <c:ptCount val="2"/>
                <c:pt idx="0" formatCode="#,##0">
                  <c:v>0</c:v>
                </c:pt>
              </c:numCache>
            </c:numRef>
          </c:val>
          <c:extLst>
            <c:ext xmlns:c16="http://schemas.microsoft.com/office/drawing/2014/chart" uri="{C3380CC4-5D6E-409C-BE32-E72D297353CC}">
              <c16:uniqueId val="{00000014-636F-4F7F-B8D7-2A2515F8EFE4}"/>
            </c:ext>
          </c:extLst>
        </c:ser>
        <c:ser>
          <c:idx val="19"/>
          <c:order val="21"/>
          <c:tx>
            <c:strRef>
              <c:f>'CO2 - Cenário RT 3'!$K$83</c:f>
              <c:strCache>
                <c:ptCount val="1"/>
                <c:pt idx="0">
                  <c:v>Créditos</c:v>
                </c:pt>
              </c:strCache>
            </c:strRef>
          </c:tx>
          <c:spPr>
            <a:noFill/>
            <a:ln w="25400">
              <a:noFill/>
            </a:ln>
          </c:spPr>
          <c:invertIfNegative val="0"/>
          <c:cat>
            <c:strRef>
              <c:f>'CO2 - Cenário RT 3'!$L$61:$M$61</c:f>
              <c:strCache>
                <c:ptCount val="2"/>
                <c:pt idx="0">
                  <c:v>Destinação de resíduos</c:v>
                </c:pt>
                <c:pt idx="1">
                  <c:v>Líquido</c:v>
                </c:pt>
              </c:strCache>
            </c:strRef>
          </c:cat>
          <c:val>
            <c:numRef>
              <c:f>'CO2 - Cenário RT 3'!$L$83:$M$83</c:f>
              <c:numCache>
                <c:formatCode>General</c:formatCode>
                <c:ptCount val="2"/>
              </c:numCache>
            </c:numRef>
          </c:val>
          <c:extLst>
            <c:ext xmlns:c16="http://schemas.microsoft.com/office/drawing/2014/chart" uri="{C3380CC4-5D6E-409C-BE32-E72D297353CC}">
              <c16:uniqueId val="{00000015-636F-4F7F-B8D7-2A2515F8EFE4}"/>
            </c:ext>
          </c:extLst>
        </c:ser>
        <c:ser>
          <c:idx val="20"/>
          <c:order val="22"/>
          <c:tx>
            <c:strRef>
              <c:f>'CO2 - Cenário RT 3'!$K$84</c:f>
              <c:strCache>
                <c:ptCount val="1"/>
                <c:pt idx="0">
                  <c:v>Líquido</c:v>
                </c:pt>
              </c:strCache>
            </c:strRef>
          </c:tx>
          <c:spPr>
            <a:solidFill>
              <a:srgbClr val="0000FF"/>
            </a:solidFill>
            <a:ln w="12700">
              <a:solidFill>
                <a:srgbClr val="000000"/>
              </a:solidFill>
              <a:prstDash val="solid"/>
            </a:ln>
          </c:spPr>
          <c:invertIfNegative val="0"/>
          <c:cat>
            <c:strRef>
              <c:f>'CO2 - Cenário RT 3'!$L$61:$M$61</c:f>
              <c:strCache>
                <c:ptCount val="2"/>
                <c:pt idx="0">
                  <c:v>Destinação de resíduos</c:v>
                </c:pt>
                <c:pt idx="1">
                  <c:v>Líquido</c:v>
                </c:pt>
              </c:strCache>
            </c:strRef>
          </c:cat>
          <c:val>
            <c:numRef>
              <c:f>'CO2 - Cenário RT 3'!$L$84:$M$84</c:f>
              <c:numCache>
                <c:formatCode>#,##0</c:formatCode>
                <c:ptCount val="2"/>
                <c:pt idx="1">
                  <c:v>-2140.7866209177173</c:v>
                </c:pt>
              </c:numCache>
            </c:numRef>
          </c:val>
          <c:extLst>
            <c:ext xmlns:c16="http://schemas.microsoft.com/office/drawing/2014/chart" uri="{C3380CC4-5D6E-409C-BE32-E72D297353CC}">
              <c16:uniqueId val="{00000016-636F-4F7F-B8D7-2A2515F8EFE4}"/>
            </c:ext>
          </c:extLst>
        </c:ser>
        <c:dLbls>
          <c:showLegendKey val="0"/>
          <c:showVal val="0"/>
          <c:showCatName val="0"/>
          <c:showSerName val="0"/>
          <c:showPercent val="0"/>
          <c:showBubbleSize val="0"/>
        </c:dLbls>
        <c:gapWidth val="100"/>
        <c:overlap val="100"/>
        <c:axId val="198032768"/>
        <c:axId val="198046848"/>
      </c:barChart>
      <c:catAx>
        <c:axId val="198032768"/>
        <c:scaling>
          <c:orientation val="minMax"/>
        </c:scaling>
        <c:delete val="0"/>
        <c:axPos val="b"/>
        <c:numFmt formatCode="General" sourceLinked="1"/>
        <c:majorTickMark val="out"/>
        <c:minorTickMark val="none"/>
        <c:tickLblPos val="low"/>
        <c:spPr>
          <a:ln w="3175">
            <a:solidFill>
              <a:srgbClr val="000000"/>
            </a:solidFill>
            <a:prstDash val="solid"/>
          </a:ln>
        </c:spPr>
        <c:txPr>
          <a:bodyPr rot="0" vert="horz"/>
          <a:lstStyle/>
          <a:p>
            <a:pPr>
              <a:defRPr sz="875" b="1" i="0" u="none" strike="noStrike" baseline="0">
                <a:solidFill>
                  <a:srgbClr val="000000"/>
                </a:solidFill>
                <a:latin typeface="Arial"/>
                <a:ea typeface="Arial"/>
                <a:cs typeface="Arial"/>
              </a:defRPr>
            </a:pPr>
            <a:endParaRPr lang="pt-BR"/>
          </a:p>
        </c:txPr>
        <c:crossAx val="198046848"/>
        <c:crosses val="autoZero"/>
        <c:auto val="1"/>
        <c:lblAlgn val="ctr"/>
        <c:lblOffset val="100"/>
        <c:tickLblSkip val="1"/>
        <c:tickMarkSkip val="1"/>
        <c:noMultiLvlLbl val="0"/>
      </c:catAx>
      <c:valAx>
        <c:axId val="198046848"/>
        <c:scaling>
          <c:orientation val="minMax"/>
        </c:scaling>
        <c:delete val="0"/>
        <c:axPos val="l"/>
        <c:majorGridlines>
          <c:spPr>
            <a:ln w="3175">
              <a:solidFill>
                <a:srgbClr val="000000"/>
              </a:solidFill>
              <a:prstDash val="solid"/>
            </a:ln>
          </c:spPr>
        </c:majorGridlines>
        <c:title>
          <c:tx>
            <c:rich>
              <a:bodyPr/>
              <a:lstStyle/>
              <a:p>
                <a:pPr>
                  <a:defRPr sz="875" b="1" i="0" u="none" strike="noStrike" baseline="0">
                    <a:solidFill>
                      <a:sysClr val="windowText" lastClr="000000"/>
                    </a:solidFill>
                    <a:latin typeface="Arial"/>
                    <a:ea typeface="Arial"/>
                    <a:cs typeface="Arial"/>
                  </a:defRPr>
                </a:pPr>
                <a:r>
                  <a:rPr lang="de-DE">
                    <a:solidFill>
                      <a:sysClr val="windowText" lastClr="000000"/>
                    </a:solidFill>
                  </a:rPr>
                  <a:t>tonelada CO2-eq / ano</a:t>
                </a:r>
              </a:p>
            </c:rich>
          </c:tx>
          <c:layout>
            <c:manualLayout>
              <c:xMode val="edge"/>
              <c:yMode val="edge"/>
              <c:x val="3.0684130583057021E-3"/>
              <c:y val="0.3751722955236233"/>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75" b="0" i="0" u="none" strike="noStrike" baseline="0">
                <a:solidFill>
                  <a:srgbClr val="000000"/>
                </a:solidFill>
                <a:latin typeface="Arial"/>
                <a:ea typeface="Arial"/>
                <a:cs typeface="Arial"/>
              </a:defRPr>
            </a:pPr>
            <a:endParaRPr lang="pt-BR"/>
          </a:p>
        </c:txPr>
        <c:crossAx val="198032768"/>
        <c:crosses val="autoZero"/>
        <c:crossBetween val="between"/>
      </c:valAx>
      <c:spPr>
        <a:noFill/>
        <a:ln w="12700">
          <a:solidFill>
            <a:srgbClr val="808080"/>
          </a:solidFill>
          <a:prstDash val="solid"/>
        </a:ln>
      </c:spPr>
    </c:plotArea>
    <c:legend>
      <c:legendPos val="r"/>
      <c:legendEntry>
        <c:idx val="0"/>
        <c:txPr>
          <a:bodyPr/>
          <a:lstStyle/>
          <a:p>
            <a:pPr>
              <a:defRPr sz="780" b="1" i="0" u="none" strike="noStrike" baseline="0">
                <a:solidFill>
                  <a:srgbClr val="000000"/>
                </a:solidFill>
                <a:latin typeface="Arial"/>
                <a:ea typeface="Arial"/>
                <a:cs typeface="Arial"/>
              </a:defRPr>
            </a:pPr>
            <a:endParaRPr lang="pt-BR"/>
          </a:p>
        </c:txPr>
      </c:legendEntry>
      <c:legendEntry>
        <c:idx val="1"/>
        <c:txPr>
          <a:bodyPr/>
          <a:lstStyle/>
          <a:p>
            <a:pPr>
              <a:defRPr sz="780" b="1" i="0" u="none" strike="noStrike" baseline="0">
                <a:solidFill>
                  <a:srgbClr val="000000"/>
                </a:solidFill>
                <a:latin typeface="Arial"/>
                <a:ea typeface="Arial"/>
                <a:cs typeface="Arial"/>
              </a:defRPr>
            </a:pPr>
            <a:endParaRPr lang="pt-BR"/>
          </a:p>
        </c:txPr>
      </c:legendEntry>
      <c:legendEntry>
        <c:idx val="5"/>
        <c:txPr>
          <a:bodyPr/>
          <a:lstStyle/>
          <a:p>
            <a:pPr>
              <a:defRPr sz="780" b="0" i="0" u="none" strike="noStrike" baseline="0">
                <a:solidFill>
                  <a:srgbClr val="000000"/>
                </a:solidFill>
                <a:latin typeface="Arial"/>
                <a:ea typeface="Arial"/>
                <a:cs typeface="Arial"/>
              </a:defRPr>
            </a:pPr>
            <a:endParaRPr lang="pt-BR"/>
          </a:p>
        </c:txPr>
      </c:legendEntry>
      <c:legendEntry>
        <c:idx val="6"/>
        <c:txPr>
          <a:bodyPr/>
          <a:lstStyle/>
          <a:p>
            <a:pPr>
              <a:defRPr sz="780" b="0" i="0" u="none" strike="noStrike" baseline="0">
                <a:solidFill>
                  <a:srgbClr val="000000"/>
                </a:solidFill>
                <a:latin typeface="Arial"/>
                <a:ea typeface="Arial"/>
                <a:cs typeface="Arial"/>
              </a:defRPr>
            </a:pPr>
            <a:endParaRPr lang="pt-BR"/>
          </a:p>
        </c:txPr>
      </c:legendEntry>
      <c:legendEntry>
        <c:idx val="9"/>
        <c:txPr>
          <a:bodyPr/>
          <a:lstStyle/>
          <a:p>
            <a:pPr>
              <a:defRPr sz="780" b="0" i="0" u="none" strike="noStrike" baseline="0">
                <a:solidFill>
                  <a:srgbClr val="000000"/>
                </a:solidFill>
                <a:latin typeface="Arial"/>
                <a:ea typeface="Arial"/>
                <a:cs typeface="Arial"/>
              </a:defRPr>
            </a:pPr>
            <a:endParaRPr lang="pt-BR"/>
          </a:p>
        </c:txPr>
      </c:legendEntry>
      <c:legendEntry>
        <c:idx val="10"/>
        <c:txPr>
          <a:bodyPr/>
          <a:lstStyle/>
          <a:p>
            <a:pPr>
              <a:defRPr sz="780" b="0" i="0" u="none" strike="noStrike" baseline="0">
                <a:solidFill>
                  <a:srgbClr val="000000"/>
                </a:solidFill>
                <a:latin typeface="Arial"/>
                <a:ea typeface="Arial"/>
                <a:cs typeface="Arial"/>
              </a:defRPr>
            </a:pPr>
            <a:endParaRPr lang="pt-BR"/>
          </a:p>
        </c:txPr>
      </c:legendEntry>
      <c:legendEntry>
        <c:idx val="12"/>
        <c:txPr>
          <a:bodyPr/>
          <a:lstStyle/>
          <a:p>
            <a:pPr>
              <a:defRPr sz="780" b="1" i="0" u="none" strike="noStrike" baseline="0">
                <a:solidFill>
                  <a:srgbClr val="000000"/>
                </a:solidFill>
                <a:latin typeface="Arial"/>
                <a:ea typeface="Arial"/>
                <a:cs typeface="Arial"/>
              </a:defRPr>
            </a:pPr>
            <a:endParaRPr lang="pt-BR"/>
          </a:p>
        </c:txPr>
      </c:legendEntry>
      <c:legendEntry>
        <c:idx val="15"/>
        <c:txPr>
          <a:bodyPr/>
          <a:lstStyle/>
          <a:p>
            <a:pPr>
              <a:defRPr sz="780" b="0" i="0" u="none" strike="noStrike" baseline="0">
                <a:solidFill>
                  <a:srgbClr val="000000"/>
                </a:solidFill>
                <a:latin typeface="Arial"/>
                <a:ea typeface="Arial"/>
                <a:cs typeface="Arial"/>
              </a:defRPr>
            </a:pPr>
            <a:endParaRPr lang="pt-BR"/>
          </a:p>
        </c:txPr>
      </c:legendEntry>
      <c:legendEntry>
        <c:idx val="17"/>
        <c:txPr>
          <a:bodyPr/>
          <a:lstStyle/>
          <a:p>
            <a:pPr>
              <a:defRPr sz="780" b="0" i="0" u="none" strike="noStrike" baseline="0">
                <a:solidFill>
                  <a:srgbClr val="000000"/>
                </a:solidFill>
                <a:latin typeface="Arial"/>
                <a:ea typeface="Arial"/>
                <a:cs typeface="Arial"/>
              </a:defRPr>
            </a:pPr>
            <a:endParaRPr lang="pt-BR"/>
          </a:p>
        </c:txPr>
      </c:legendEntry>
      <c:layout>
        <c:manualLayout>
          <c:xMode val="edge"/>
          <c:yMode val="edge"/>
          <c:x val="0.70957775489186381"/>
          <c:y val="1.5172413793103448E-2"/>
          <c:w val="0.28823678878313236"/>
          <c:h val="0.97158433452518422"/>
        </c:manualLayout>
      </c:layout>
      <c:overlay val="0"/>
      <c:spPr>
        <a:solidFill>
          <a:srgbClr val="FFFFFF"/>
        </a:solidFill>
        <a:ln w="3175">
          <a:solidFill>
            <a:srgbClr val="000000"/>
          </a:solidFill>
          <a:prstDash val="solid"/>
        </a:ln>
      </c:spPr>
      <c:txPr>
        <a:bodyPr/>
        <a:lstStyle/>
        <a:p>
          <a:pPr>
            <a:defRPr sz="780" b="0" i="0" u="none" strike="noStrike" baseline="0">
              <a:solidFill>
                <a:srgbClr val="000000"/>
              </a:solidFill>
              <a:latin typeface="Arial"/>
              <a:ea typeface="Arial"/>
              <a:cs typeface="Arial"/>
            </a:defRPr>
          </a:pPr>
          <a:endParaRPr lang="pt-BR"/>
        </a:p>
      </c:txPr>
    </c:legend>
    <c:plotVisOnly val="1"/>
    <c:dispBlanksAs val="gap"/>
    <c:showDLblsOverMax val="0"/>
  </c:chart>
  <c:spPr>
    <a:solidFill>
      <a:srgbClr val="FFFFFF"/>
    </a:solid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pt-BR"/>
    </a:p>
  </c:txPr>
  <c:printSettings>
    <c:headerFooter alignWithMargins="0"/>
    <c:pageMargins b="0.98425196899999978" l="0.78740157499999996" r="0.78740157499999996" t="0.98425196899999978" header="0.49212598450000011" footer="0.49212598450000011"/>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50" b="1" i="0" u="none" strike="noStrike" baseline="0">
                <a:solidFill>
                  <a:srgbClr val="000000"/>
                </a:solidFill>
                <a:latin typeface="Arial"/>
                <a:ea typeface="Arial"/>
                <a:cs typeface="Arial"/>
              </a:defRPr>
            </a:pPr>
            <a:r>
              <a:rPr lang="de-DE"/>
              <a:t>Emissões de GEE</a:t>
            </a:r>
          </a:p>
        </c:rich>
      </c:tx>
      <c:layout>
        <c:manualLayout>
          <c:xMode val="edge"/>
          <c:yMode val="edge"/>
          <c:x val="0.40831758034026489"/>
          <c:y val="1.5363128491620118E-2"/>
        </c:manualLayout>
      </c:layout>
      <c:overlay val="0"/>
      <c:spPr>
        <a:noFill/>
        <a:ln w="25400">
          <a:noFill/>
        </a:ln>
      </c:spPr>
    </c:title>
    <c:autoTitleDeleted val="0"/>
    <c:plotArea>
      <c:layout>
        <c:manualLayout>
          <c:layoutTarget val="inner"/>
          <c:xMode val="edge"/>
          <c:yMode val="edge"/>
          <c:x val="0.17958412098298676"/>
          <c:y val="0.11312849162011174"/>
          <c:w val="0.78827977315690001"/>
          <c:h val="0.77374301675977719"/>
        </c:manualLayout>
      </c:layout>
      <c:barChart>
        <c:barDir val="col"/>
        <c:grouping val="clustered"/>
        <c:varyColors val="0"/>
        <c:ser>
          <c:idx val="0"/>
          <c:order val="0"/>
          <c:tx>
            <c:strRef>
              <c:f>'CO2 - Cenário RT 3'!$G$53</c:f>
              <c:strCache>
                <c:ptCount val="1"/>
                <c:pt idx="0">
                  <c:v>Débitos</c:v>
                </c:pt>
              </c:strCache>
            </c:strRef>
          </c:tx>
          <c:spPr>
            <a:solidFill>
              <a:srgbClr val="FFCC99"/>
            </a:solidFill>
            <a:ln w="12700">
              <a:solidFill>
                <a:srgbClr val="000000"/>
              </a:solidFill>
              <a:prstDash val="solid"/>
            </a:ln>
          </c:spPr>
          <c:invertIfNegative val="0"/>
          <c:cat>
            <c:strRef>
              <c:f>'CO2 - Cenário RT 3'!$H$52:$J$52</c:f>
              <c:strCache>
                <c:ptCount val="3"/>
                <c:pt idx="0">
                  <c:v>Resíduo reciclado</c:v>
                </c:pt>
                <c:pt idx="1">
                  <c:v>Destinação de resíduo</c:v>
                </c:pt>
                <c:pt idx="2">
                  <c:v>RSU total</c:v>
                </c:pt>
              </c:strCache>
            </c:strRef>
          </c:cat>
          <c:val>
            <c:numRef>
              <c:f>'CO2 - Cenário RT 3'!$H$53:$J$53</c:f>
              <c:numCache>
                <c:formatCode>#,##0</c:formatCode>
                <c:ptCount val="3"/>
                <c:pt idx="0">
                  <c:v>1665.6439969728001</c:v>
                </c:pt>
                <c:pt idx="1">
                  <c:v>10601.279089928397</c:v>
                </c:pt>
                <c:pt idx="2">
                  <c:v>12266.923086901197</c:v>
                </c:pt>
              </c:numCache>
            </c:numRef>
          </c:val>
          <c:extLst>
            <c:ext xmlns:c16="http://schemas.microsoft.com/office/drawing/2014/chart" uri="{C3380CC4-5D6E-409C-BE32-E72D297353CC}">
              <c16:uniqueId val="{00000000-6792-4CE4-A149-F01C4ADBA46D}"/>
            </c:ext>
          </c:extLst>
        </c:ser>
        <c:ser>
          <c:idx val="1"/>
          <c:order val="1"/>
          <c:tx>
            <c:strRef>
              <c:f>'CO2 - Cenário RT 3'!$G$54</c:f>
              <c:strCache>
                <c:ptCount val="1"/>
                <c:pt idx="0">
                  <c:v>Créditos</c:v>
                </c:pt>
              </c:strCache>
            </c:strRef>
          </c:tx>
          <c:spPr>
            <a:pattFill prst="wdUpDiag">
              <a:fgClr>
                <a:srgbClr val="FF99CC"/>
              </a:fgClr>
              <a:bgClr>
                <a:srgbClr val="800080"/>
              </a:bgClr>
            </a:pattFill>
            <a:ln w="12700">
              <a:solidFill>
                <a:srgbClr val="000000"/>
              </a:solidFill>
              <a:prstDash val="solid"/>
            </a:ln>
          </c:spPr>
          <c:invertIfNegative val="0"/>
          <c:cat>
            <c:strRef>
              <c:f>'CO2 - Cenário RT 3'!$H$52:$J$52</c:f>
              <c:strCache>
                <c:ptCount val="3"/>
                <c:pt idx="0">
                  <c:v>Resíduo reciclado</c:v>
                </c:pt>
                <c:pt idx="1">
                  <c:v>Destinação de resíduo</c:v>
                </c:pt>
                <c:pt idx="2">
                  <c:v>RSU total</c:v>
                </c:pt>
              </c:strCache>
            </c:strRef>
          </c:cat>
          <c:val>
            <c:numRef>
              <c:f>'CO2 - Cenário RT 3'!$H$54:$J$54</c:f>
              <c:numCache>
                <c:formatCode>#,##0</c:formatCode>
                <c:ptCount val="3"/>
                <c:pt idx="0">
                  <c:v>-5018.9513721984003</c:v>
                </c:pt>
                <c:pt idx="1">
                  <c:v>-12742.065710846115</c:v>
                </c:pt>
                <c:pt idx="2">
                  <c:v>-17761.017083044513</c:v>
                </c:pt>
              </c:numCache>
            </c:numRef>
          </c:val>
          <c:extLst>
            <c:ext xmlns:c16="http://schemas.microsoft.com/office/drawing/2014/chart" uri="{C3380CC4-5D6E-409C-BE32-E72D297353CC}">
              <c16:uniqueId val="{00000001-6792-4CE4-A149-F01C4ADBA46D}"/>
            </c:ext>
          </c:extLst>
        </c:ser>
        <c:ser>
          <c:idx val="2"/>
          <c:order val="2"/>
          <c:tx>
            <c:strRef>
              <c:f>'CO2 - Cenário RT 3'!$G$55</c:f>
              <c:strCache>
                <c:ptCount val="1"/>
                <c:pt idx="0">
                  <c:v>Líquido</c:v>
                </c:pt>
              </c:strCache>
            </c:strRef>
          </c:tx>
          <c:spPr>
            <a:solidFill>
              <a:srgbClr val="0000FF"/>
            </a:solidFill>
            <a:ln w="12700">
              <a:solidFill>
                <a:srgbClr val="000000"/>
              </a:solidFill>
              <a:prstDash val="solid"/>
            </a:ln>
          </c:spPr>
          <c:invertIfNegative val="0"/>
          <c:cat>
            <c:strRef>
              <c:f>'CO2 - Cenário RT 3'!$H$52:$J$52</c:f>
              <c:strCache>
                <c:ptCount val="3"/>
                <c:pt idx="0">
                  <c:v>Resíduo reciclado</c:v>
                </c:pt>
                <c:pt idx="1">
                  <c:v>Destinação de resíduo</c:v>
                </c:pt>
                <c:pt idx="2">
                  <c:v>RSU total</c:v>
                </c:pt>
              </c:strCache>
            </c:strRef>
          </c:cat>
          <c:val>
            <c:numRef>
              <c:f>'CO2 - Cenário RT 3'!$H$55:$J$55</c:f>
              <c:numCache>
                <c:formatCode>#,##0</c:formatCode>
                <c:ptCount val="3"/>
                <c:pt idx="0">
                  <c:v>-3353.3073752256005</c:v>
                </c:pt>
                <c:pt idx="1">
                  <c:v>-2140.7866209177173</c:v>
                </c:pt>
                <c:pt idx="2">
                  <c:v>-5494.0939961433178</c:v>
                </c:pt>
              </c:numCache>
            </c:numRef>
          </c:val>
          <c:extLst>
            <c:ext xmlns:c16="http://schemas.microsoft.com/office/drawing/2014/chart" uri="{C3380CC4-5D6E-409C-BE32-E72D297353CC}">
              <c16:uniqueId val="{00000002-6792-4CE4-A149-F01C4ADBA46D}"/>
            </c:ext>
          </c:extLst>
        </c:ser>
        <c:dLbls>
          <c:showLegendKey val="0"/>
          <c:showVal val="0"/>
          <c:showCatName val="0"/>
          <c:showSerName val="0"/>
          <c:showPercent val="0"/>
          <c:showBubbleSize val="0"/>
        </c:dLbls>
        <c:gapWidth val="100"/>
        <c:axId val="198103040"/>
        <c:axId val="198104576"/>
      </c:barChart>
      <c:catAx>
        <c:axId val="198103040"/>
        <c:scaling>
          <c:orientation val="minMax"/>
        </c:scaling>
        <c:delete val="0"/>
        <c:axPos val="b"/>
        <c:numFmt formatCode="General" sourceLinked="1"/>
        <c:majorTickMark val="out"/>
        <c:minorTickMark val="none"/>
        <c:tickLblPos val="low"/>
        <c:spPr>
          <a:ln w="3175">
            <a:solidFill>
              <a:srgbClr val="000000"/>
            </a:solidFill>
            <a:prstDash val="solid"/>
          </a:ln>
        </c:spPr>
        <c:txPr>
          <a:bodyPr rot="0" vert="horz"/>
          <a:lstStyle/>
          <a:p>
            <a:pPr>
              <a:defRPr sz="925" b="0" i="0" u="none" strike="noStrike" baseline="0">
                <a:solidFill>
                  <a:srgbClr val="000000"/>
                </a:solidFill>
                <a:latin typeface="Arial"/>
                <a:ea typeface="Arial"/>
                <a:cs typeface="Arial"/>
              </a:defRPr>
            </a:pPr>
            <a:endParaRPr lang="pt-BR"/>
          </a:p>
        </c:txPr>
        <c:crossAx val="198104576"/>
        <c:crosses val="autoZero"/>
        <c:auto val="1"/>
        <c:lblAlgn val="ctr"/>
        <c:lblOffset val="50"/>
        <c:tickLblSkip val="1"/>
        <c:tickMarkSkip val="1"/>
        <c:noMultiLvlLbl val="0"/>
      </c:catAx>
      <c:valAx>
        <c:axId val="198104576"/>
        <c:scaling>
          <c:orientation val="minMax"/>
        </c:scaling>
        <c:delete val="0"/>
        <c:axPos val="l"/>
        <c:majorGridlines>
          <c:spPr>
            <a:ln w="3175">
              <a:solidFill>
                <a:srgbClr val="000000"/>
              </a:solidFill>
              <a:prstDash val="solid"/>
            </a:ln>
          </c:spPr>
        </c:majorGridlines>
        <c:title>
          <c:tx>
            <c:rich>
              <a:bodyPr/>
              <a:lstStyle/>
              <a:p>
                <a:pPr>
                  <a:defRPr sz="925" b="1" i="0" u="none" strike="noStrike" baseline="0">
                    <a:solidFill>
                      <a:sysClr val="windowText" lastClr="000000"/>
                    </a:solidFill>
                    <a:latin typeface="Arial"/>
                    <a:ea typeface="Arial"/>
                    <a:cs typeface="Arial"/>
                  </a:defRPr>
                </a:pPr>
                <a:r>
                  <a:rPr lang="de-DE">
                    <a:solidFill>
                      <a:sysClr val="windowText" lastClr="000000"/>
                    </a:solidFill>
                  </a:rPr>
                  <a:t>tonelada CO2-eq / ano</a:t>
                </a:r>
              </a:p>
            </c:rich>
          </c:tx>
          <c:layout>
            <c:manualLayout>
              <c:xMode val="edge"/>
              <c:yMode val="edge"/>
              <c:x val="2.353659280961973E-3"/>
              <c:y val="0.35474860335195529"/>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925" b="0" i="0" u="none" strike="noStrike" baseline="0">
                <a:solidFill>
                  <a:srgbClr val="000000"/>
                </a:solidFill>
                <a:latin typeface="Arial"/>
                <a:ea typeface="Arial"/>
                <a:cs typeface="Arial"/>
              </a:defRPr>
            </a:pPr>
            <a:endParaRPr lang="pt-BR"/>
          </a:p>
        </c:txPr>
        <c:crossAx val="198103040"/>
        <c:crosses val="autoZero"/>
        <c:crossBetween val="between"/>
      </c:valAx>
      <c:spPr>
        <a:noFill/>
        <a:ln w="3175">
          <a:solidFill>
            <a:srgbClr val="000000"/>
          </a:solidFill>
          <a:prstDash val="solid"/>
        </a:ln>
      </c:spPr>
    </c:plotArea>
    <c:legend>
      <c:legendPos val="r"/>
      <c:layout>
        <c:manualLayout>
          <c:xMode val="edge"/>
          <c:yMode val="edge"/>
          <c:x val="0.18830567484476371"/>
          <c:y val="2.4787008843065887E-2"/>
          <c:w val="0.18431001890359169"/>
          <c:h val="0.19134078212290509"/>
        </c:manualLayout>
      </c:layout>
      <c:overlay val="0"/>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pt-BR"/>
        </a:p>
      </c:txPr>
    </c:legend>
    <c:plotVisOnly val="1"/>
    <c:dispBlanksAs val="gap"/>
    <c:showDLblsOverMax val="0"/>
  </c:chart>
  <c:spPr>
    <a:solidFill>
      <a:srgbClr val="FFFFFF"/>
    </a:solid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pt-BR"/>
    </a:p>
  </c:txPr>
  <c:printSettings>
    <c:headerFooter alignWithMargins="0"/>
    <c:pageMargins b="0.98425196899999978" l="0.78740157499999996" r="0.78740157499999996" t="0.98425196899999978" header="0.49212598450000011" footer="0.49212598450000011"/>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75" b="1" i="0" u="none" strike="noStrike" baseline="0">
                <a:solidFill>
                  <a:srgbClr val="000000"/>
                </a:solidFill>
                <a:latin typeface="Arial"/>
                <a:ea typeface="Arial"/>
                <a:cs typeface="Arial"/>
              </a:defRPr>
            </a:pPr>
            <a:r>
              <a:rPr lang="de-DE"/>
              <a:t>Resíduos tratados</a:t>
            </a:r>
          </a:p>
        </c:rich>
      </c:tx>
      <c:layout>
        <c:manualLayout>
          <c:xMode val="edge"/>
          <c:yMode val="edge"/>
          <c:x val="0.42234887542620636"/>
          <c:y val="1.3317222772640101E-2"/>
        </c:manualLayout>
      </c:layout>
      <c:overlay val="0"/>
      <c:spPr>
        <a:noFill/>
        <a:ln w="25400">
          <a:noFill/>
        </a:ln>
      </c:spPr>
    </c:title>
    <c:autoTitleDeleted val="0"/>
    <c:plotArea>
      <c:layout>
        <c:manualLayout>
          <c:layoutTarget val="inner"/>
          <c:xMode val="edge"/>
          <c:yMode val="edge"/>
          <c:x val="0.18750017339549072"/>
          <c:y val="0.10653778218112091"/>
          <c:w val="0.78598557534473334"/>
          <c:h val="0.58595780199616432"/>
        </c:manualLayout>
      </c:layout>
      <c:barChart>
        <c:barDir val="col"/>
        <c:grouping val="clustered"/>
        <c:varyColors val="0"/>
        <c:ser>
          <c:idx val="0"/>
          <c:order val="0"/>
          <c:spPr>
            <a:solidFill>
              <a:srgbClr val="008000"/>
            </a:solidFill>
            <a:ln w="12700">
              <a:solidFill>
                <a:srgbClr val="000000"/>
              </a:solidFill>
              <a:prstDash val="solid"/>
            </a:ln>
          </c:spPr>
          <c:invertIfNegative val="0"/>
          <c:cat>
            <c:strRef>
              <c:f>('CO2 - Cenário RT 4'!$B$7:$B$15,'CO2 - Cenário RT 4'!$B$18:$B$27)</c:f>
              <c:strCache>
                <c:ptCount val="19"/>
                <c:pt idx="0">
                  <c:v>Resíduos de alimentos</c:v>
                </c:pt>
                <c:pt idx="1">
                  <c:v>Resíduos de jardins e parques</c:v>
                </c:pt>
                <c:pt idx="2">
                  <c:v>Papel, papelão</c:v>
                </c:pt>
                <c:pt idx="3">
                  <c:v>Plásticos</c:v>
                </c:pt>
                <c:pt idx="4">
                  <c:v>Vidros</c:v>
                </c:pt>
                <c:pt idx="5">
                  <c:v>Metais ferrosos</c:v>
                </c:pt>
                <c:pt idx="6">
                  <c:v>Alumínio</c:v>
                </c:pt>
                <c:pt idx="7">
                  <c:v>Têxteis</c:v>
                </c:pt>
                <c:pt idx="9">
                  <c:v>Resíduos dispersos</c:v>
                </c:pt>
                <c:pt idx="10">
                  <c:v>Queima a céu aberto</c:v>
                </c:pt>
                <c:pt idx="11">
                  <c:v>Lixão não controlado</c:v>
                </c:pt>
                <c:pt idx="12">
                  <c:v>Aterro controlado</c:v>
                </c:pt>
                <c:pt idx="13">
                  <c:v>Aterro sanitário</c:v>
                </c:pt>
                <c:pt idx="14">
                  <c:v>Trat. biol + cobertura at.</c:v>
                </c:pt>
                <c:pt idx="15">
                  <c:v>CDR seco + rejeito aterro</c:v>
                </c:pt>
                <c:pt idx="16">
                  <c:v>CDR seco + trat. biol.</c:v>
                </c:pt>
                <c:pt idx="17">
                  <c:v>CDR seco + CDR org.</c:v>
                </c:pt>
                <c:pt idx="18">
                  <c:v>Incineração</c:v>
                </c:pt>
              </c:strCache>
            </c:strRef>
          </c:cat>
          <c:val>
            <c:numRef>
              <c:f>('CO2 - Cenário RT 4'!$C$7:$C$15,'CO2 - Cenário RT 4'!$C$18:$C$27)</c:f>
              <c:numCache>
                <c:formatCode>#,##0</c:formatCode>
                <c:ptCount val="19"/>
                <c:pt idx="0">
                  <c:v>0</c:v>
                </c:pt>
                <c:pt idx="1">
                  <c:v>0</c:v>
                </c:pt>
                <c:pt idx="2">
                  <c:v>1004.4457488</c:v>
                </c:pt>
                <c:pt idx="3">
                  <c:v>683.86032</c:v>
                </c:pt>
                <c:pt idx="4">
                  <c:v>0</c:v>
                </c:pt>
                <c:pt idx="5">
                  <c:v>503.10935999999998</c:v>
                </c:pt>
                <c:pt idx="6">
                  <c:v>131.24591999999998</c:v>
                </c:pt>
                <c:pt idx="7">
                  <c:v>0</c:v>
                </c:pt>
                <c:pt idx="9">
                  <c:v>0</c:v>
                </c:pt>
                <c:pt idx="10">
                  <c:v>0</c:v>
                </c:pt>
                <c:pt idx="11">
                  <c:v>0</c:v>
                </c:pt>
                <c:pt idx="12">
                  <c:v>3105.4407976799998</c:v>
                </c:pt>
                <c:pt idx="13">
                  <c:v>0</c:v>
                </c:pt>
                <c:pt idx="14">
                  <c:v>0</c:v>
                </c:pt>
                <c:pt idx="15">
                  <c:v>0</c:v>
                </c:pt>
                <c:pt idx="16">
                  <c:v>0</c:v>
                </c:pt>
                <c:pt idx="17">
                  <c:v>0</c:v>
                </c:pt>
                <c:pt idx="18">
                  <c:v>17597.497853519999</c:v>
                </c:pt>
              </c:numCache>
            </c:numRef>
          </c:val>
          <c:extLst>
            <c:ext xmlns:c16="http://schemas.microsoft.com/office/drawing/2014/chart" uri="{C3380CC4-5D6E-409C-BE32-E72D297353CC}">
              <c16:uniqueId val="{00000000-F3AA-41AC-B136-3169265EBF7E}"/>
            </c:ext>
          </c:extLst>
        </c:ser>
        <c:dLbls>
          <c:showLegendKey val="0"/>
          <c:showVal val="0"/>
          <c:showCatName val="0"/>
          <c:showSerName val="0"/>
          <c:showPercent val="0"/>
          <c:showBubbleSize val="0"/>
        </c:dLbls>
        <c:gapWidth val="100"/>
        <c:axId val="197835392"/>
        <c:axId val="197837184"/>
      </c:barChart>
      <c:catAx>
        <c:axId val="197835392"/>
        <c:scaling>
          <c:orientation val="minMax"/>
        </c:scaling>
        <c:delete val="0"/>
        <c:axPos val="b"/>
        <c:numFmt formatCode="General" sourceLinked="1"/>
        <c:majorTickMark val="out"/>
        <c:minorTickMark val="none"/>
        <c:tickLblPos val="nextTo"/>
        <c:spPr>
          <a:ln w="3175">
            <a:solidFill>
              <a:srgbClr val="000000"/>
            </a:solidFill>
            <a:prstDash val="solid"/>
          </a:ln>
        </c:spPr>
        <c:txPr>
          <a:bodyPr rot="-3660000" vert="horz"/>
          <a:lstStyle/>
          <a:p>
            <a:pPr>
              <a:defRPr sz="875" b="0" i="0" u="none" strike="noStrike" baseline="0">
                <a:solidFill>
                  <a:srgbClr val="000000"/>
                </a:solidFill>
                <a:latin typeface="Arial"/>
                <a:ea typeface="Arial"/>
                <a:cs typeface="Arial"/>
              </a:defRPr>
            </a:pPr>
            <a:endParaRPr lang="pt-BR"/>
          </a:p>
        </c:txPr>
        <c:crossAx val="197837184"/>
        <c:crosses val="autoZero"/>
        <c:auto val="1"/>
        <c:lblAlgn val="ctr"/>
        <c:lblOffset val="100"/>
        <c:tickLblSkip val="1"/>
        <c:tickMarkSkip val="1"/>
        <c:noMultiLvlLbl val="0"/>
      </c:catAx>
      <c:valAx>
        <c:axId val="197837184"/>
        <c:scaling>
          <c:orientation val="minMax"/>
        </c:scaling>
        <c:delete val="0"/>
        <c:axPos val="l"/>
        <c:majorGridlines>
          <c:spPr>
            <a:ln w="3175">
              <a:solidFill>
                <a:srgbClr val="000000"/>
              </a:solidFill>
              <a:prstDash val="solid"/>
            </a:ln>
          </c:spPr>
        </c:majorGridlines>
        <c:title>
          <c:tx>
            <c:rich>
              <a:bodyPr/>
              <a:lstStyle/>
              <a:p>
                <a:pPr>
                  <a:defRPr sz="950" b="1" i="0" u="none" strike="noStrike" baseline="0">
                    <a:solidFill>
                      <a:sysClr val="windowText" lastClr="000000"/>
                    </a:solidFill>
                    <a:latin typeface="Arial"/>
                    <a:ea typeface="Arial"/>
                    <a:cs typeface="Arial"/>
                  </a:defRPr>
                </a:pPr>
                <a:r>
                  <a:rPr lang="de-DE">
                    <a:solidFill>
                      <a:sysClr val="windowText" lastClr="000000"/>
                    </a:solidFill>
                  </a:rPr>
                  <a:t>tonelada</a:t>
                </a:r>
                <a:r>
                  <a:rPr lang="de-DE" baseline="0">
                    <a:solidFill>
                      <a:sysClr val="windowText" lastClr="000000"/>
                    </a:solidFill>
                  </a:rPr>
                  <a:t> </a:t>
                </a:r>
                <a:r>
                  <a:rPr lang="de-DE">
                    <a:solidFill>
                      <a:sysClr val="windowText" lastClr="000000"/>
                    </a:solidFill>
                  </a:rPr>
                  <a:t>/ ano</a:t>
                </a:r>
              </a:p>
            </c:rich>
          </c:tx>
          <c:layout>
            <c:manualLayout>
              <c:xMode val="edge"/>
              <c:yMode val="edge"/>
              <c:x val="1.2487080419295414E-2"/>
              <c:y val="0.36372088265352071"/>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950" b="0" i="0" u="none" strike="noStrike" baseline="0">
                <a:solidFill>
                  <a:srgbClr val="000000"/>
                </a:solidFill>
                <a:latin typeface="Arial"/>
                <a:ea typeface="Arial"/>
                <a:cs typeface="Arial"/>
              </a:defRPr>
            </a:pPr>
            <a:endParaRPr lang="pt-BR"/>
          </a:p>
        </c:txPr>
        <c:crossAx val="197835392"/>
        <c:crosses val="autoZero"/>
        <c:crossBetween val="between"/>
      </c:valAx>
      <c:spPr>
        <a:noFill/>
        <a:ln w="3175">
          <a:solidFill>
            <a:srgbClr val="000000"/>
          </a:solidFill>
          <a:prstDash val="solid"/>
        </a:ln>
      </c:spPr>
    </c:plotArea>
    <c:plotVisOnly val="1"/>
    <c:dispBlanksAs val="gap"/>
    <c:showDLblsOverMax val="0"/>
  </c:chart>
  <c:spPr>
    <a:no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pt-BR"/>
    </a:p>
  </c:txPr>
  <c:printSettings>
    <c:headerFooter alignWithMargins="0"/>
    <c:pageMargins b="0.98425196899999978" l="0.78740157499999996" r="0.78740157499999996" t="0.98425196899999978" header="0.49212598450000011" footer="0.49212598450000011"/>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75" b="1" i="0" u="none" strike="noStrike" baseline="0">
                <a:solidFill>
                  <a:srgbClr val="000000"/>
                </a:solidFill>
                <a:latin typeface="Arial"/>
                <a:ea typeface="Arial"/>
                <a:cs typeface="Arial"/>
              </a:defRPr>
            </a:pPr>
            <a:r>
              <a:rPr lang="de-DE"/>
              <a:t>Emissões</a:t>
            </a:r>
            <a:r>
              <a:rPr lang="de-DE" baseline="0"/>
              <a:t> de GEE</a:t>
            </a:r>
            <a:r>
              <a:rPr lang="de-DE"/>
              <a:t> </a:t>
            </a:r>
            <a:r>
              <a:rPr lang="pt-BR" sz="975" b="0" i="0" u="none" strike="noStrike" baseline="0">
                <a:solidFill>
                  <a:sysClr val="windowText" lastClr="000000"/>
                </a:solidFill>
                <a:effectLst/>
              </a:rPr>
              <a:t>—</a:t>
            </a:r>
            <a:r>
              <a:rPr lang="de-DE">
                <a:solidFill>
                  <a:sysClr val="windowText" lastClr="000000"/>
                </a:solidFill>
              </a:rPr>
              <a:t> Reciclagem</a:t>
            </a:r>
          </a:p>
        </c:rich>
      </c:tx>
      <c:layout>
        <c:manualLayout>
          <c:xMode val="edge"/>
          <c:yMode val="edge"/>
          <c:x val="0.25966850828729282"/>
          <c:y val="1.5988417481653919E-2"/>
        </c:manualLayout>
      </c:layout>
      <c:overlay val="0"/>
      <c:spPr>
        <a:noFill/>
        <a:ln w="25400">
          <a:noFill/>
        </a:ln>
      </c:spPr>
    </c:title>
    <c:autoTitleDeleted val="0"/>
    <c:plotArea>
      <c:layout>
        <c:manualLayout>
          <c:layoutTarget val="inner"/>
          <c:xMode val="edge"/>
          <c:yMode val="edge"/>
          <c:x val="0.21767955801104968"/>
          <c:y val="0.12354686235823484"/>
          <c:w val="0.50386740331491708"/>
          <c:h val="0.75872308412939515"/>
        </c:manualLayout>
      </c:layout>
      <c:barChart>
        <c:barDir val="col"/>
        <c:grouping val="stacked"/>
        <c:varyColors val="0"/>
        <c:ser>
          <c:idx val="0"/>
          <c:order val="0"/>
          <c:tx>
            <c:strRef>
              <c:f>'CO2 - Cenário RT 4'!$B$62</c:f>
              <c:strCache>
                <c:ptCount val="1"/>
                <c:pt idx="0">
                  <c:v>Resíduos de alimentos</c:v>
                </c:pt>
              </c:strCache>
            </c:strRef>
          </c:tx>
          <c:spPr>
            <a:solidFill>
              <a:srgbClr val="99CC00"/>
            </a:solidFill>
            <a:ln w="12700">
              <a:solidFill>
                <a:srgbClr val="000000"/>
              </a:solidFill>
              <a:prstDash val="solid"/>
            </a:ln>
          </c:spPr>
          <c:invertIfNegative val="0"/>
          <c:cat>
            <c:strRef>
              <c:f>'CO2 - Cenário RT 4'!$C$61:$D$61</c:f>
              <c:strCache>
                <c:ptCount val="2"/>
                <c:pt idx="0">
                  <c:v>Resíduos reciclados</c:v>
                </c:pt>
                <c:pt idx="1">
                  <c:v>Líquido</c:v>
                </c:pt>
              </c:strCache>
            </c:strRef>
          </c:cat>
          <c:val>
            <c:numRef>
              <c:f>'CO2 - Cenário RT 4'!$C$62:$D$62</c:f>
              <c:numCache>
                <c:formatCode>General</c:formatCode>
                <c:ptCount val="2"/>
                <c:pt idx="0" formatCode="#,##0">
                  <c:v>0</c:v>
                </c:pt>
              </c:numCache>
            </c:numRef>
          </c:val>
          <c:extLst>
            <c:ext xmlns:c16="http://schemas.microsoft.com/office/drawing/2014/chart" uri="{C3380CC4-5D6E-409C-BE32-E72D297353CC}">
              <c16:uniqueId val="{00000000-174E-4FE5-A2EA-D4958D16A910}"/>
            </c:ext>
          </c:extLst>
        </c:ser>
        <c:ser>
          <c:idx val="1"/>
          <c:order val="1"/>
          <c:tx>
            <c:strRef>
              <c:f>'CO2 - Cenário RT 4'!$B$63</c:f>
              <c:strCache>
                <c:ptCount val="1"/>
                <c:pt idx="0">
                  <c:v>Resíduos de jardins e parques</c:v>
                </c:pt>
              </c:strCache>
            </c:strRef>
          </c:tx>
          <c:spPr>
            <a:solidFill>
              <a:srgbClr val="000080"/>
            </a:solidFill>
            <a:ln w="12700">
              <a:solidFill>
                <a:srgbClr val="000000"/>
              </a:solidFill>
              <a:prstDash val="solid"/>
            </a:ln>
          </c:spPr>
          <c:invertIfNegative val="0"/>
          <c:cat>
            <c:strRef>
              <c:f>'CO2 - Cenário RT 4'!$C$61:$D$61</c:f>
              <c:strCache>
                <c:ptCount val="2"/>
                <c:pt idx="0">
                  <c:v>Resíduos reciclados</c:v>
                </c:pt>
                <c:pt idx="1">
                  <c:v>Líquido</c:v>
                </c:pt>
              </c:strCache>
            </c:strRef>
          </c:cat>
          <c:val>
            <c:numRef>
              <c:f>'CO2 - Cenário RT 4'!$C$63:$D$63</c:f>
              <c:numCache>
                <c:formatCode>General</c:formatCode>
                <c:ptCount val="2"/>
                <c:pt idx="0" formatCode="#,##0">
                  <c:v>0</c:v>
                </c:pt>
              </c:numCache>
            </c:numRef>
          </c:val>
          <c:extLst>
            <c:ext xmlns:c16="http://schemas.microsoft.com/office/drawing/2014/chart" uri="{C3380CC4-5D6E-409C-BE32-E72D297353CC}">
              <c16:uniqueId val="{00000001-174E-4FE5-A2EA-D4958D16A910}"/>
            </c:ext>
          </c:extLst>
        </c:ser>
        <c:ser>
          <c:idx val="2"/>
          <c:order val="2"/>
          <c:tx>
            <c:strRef>
              <c:f>'CO2 - Cenário RT 4'!$B$64</c:f>
              <c:strCache>
                <c:ptCount val="1"/>
                <c:pt idx="0">
                  <c:v>Papel, papelão</c:v>
                </c:pt>
              </c:strCache>
            </c:strRef>
          </c:tx>
          <c:spPr>
            <a:solidFill>
              <a:srgbClr val="CC99FF"/>
            </a:solidFill>
            <a:ln w="12700">
              <a:solidFill>
                <a:srgbClr val="000000"/>
              </a:solidFill>
              <a:prstDash val="solid"/>
            </a:ln>
          </c:spPr>
          <c:invertIfNegative val="0"/>
          <c:cat>
            <c:strRef>
              <c:f>'CO2 - Cenário RT 4'!$C$61:$D$61</c:f>
              <c:strCache>
                <c:ptCount val="2"/>
                <c:pt idx="0">
                  <c:v>Resíduos reciclados</c:v>
                </c:pt>
                <c:pt idx="1">
                  <c:v>Líquido</c:v>
                </c:pt>
              </c:strCache>
            </c:strRef>
          </c:cat>
          <c:val>
            <c:numRef>
              <c:f>'CO2 - Cenário RT 4'!$C$64:$D$64</c:f>
              <c:numCache>
                <c:formatCode>General</c:formatCode>
                <c:ptCount val="2"/>
                <c:pt idx="0" formatCode="#,##0">
                  <c:v>1261.5838604928001</c:v>
                </c:pt>
              </c:numCache>
            </c:numRef>
          </c:val>
          <c:extLst>
            <c:ext xmlns:c16="http://schemas.microsoft.com/office/drawing/2014/chart" uri="{C3380CC4-5D6E-409C-BE32-E72D297353CC}">
              <c16:uniqueId val="{00000002-174E-4FE5-A2EA-D4958D16A910}"/>
            </c:ext>
          </c:extLst>
        </c:ser>
        <c:ser>
          <c:idx val="3"/>
          <c:order val="3"/>
          <c:tx>
            <c:strRef>
              <c:f>'CO2 - Cenário RT 4'!$B$65</c:f>
              <c:strCache>
                <c:ptCount val="1"/>
                <c:pt idx="0">
                  <c:v>Plásticos</c:v>
                </c:pt>
              </c:strCache>
            </c:strRef>
          </c:tx>
          <c:spPr>
            <a:solidFill>
              <a:srgbClr val="FFFF00"/>
            </a:solidFill>
            <a:ln w="12700">
              <a:solidFill>
                <a:srgbClr val="000000"/>
              </a:solidFill>
              <a:prstDash val="solid"/>
            </a:ln>
          </c:spPr>
          <c:invertIfNegative val="0"/>
          <c:cat>
            <c:strRef>
              <c:f>'CO2 - Cenário RT 4'!$C$61:$D$61</c:f>
              <c:strCache>
                <c:ptCount val="2"/>
                <c:pt idx="0">
                  <c:v>Resíduos reciclados</c:v>
                </c:pt>
                <c:pt idx="1">
                  <c:v>Líquido</c:v>
                </c:pt>
              </c:strCache>
            </c:strRef>
          </c:cat>
          <c:val>
            <c:numRef>
              <c:f>'CO2 - Cenário RT 4'!$C$65:$D$65</c:f>
              <c:numCache>
                <c:formatCode>General</c:formatCode>
                <c:ptCount val="2"/>
                <c:pt idx="0" formatCode="#,##0">
                  <c:v>280.38273119999997</c:v>
                </c:pt>
              </c:numCache>
            </c:numRef>
          </c:val>
          <c:extLst>
            <c:ext xmlns:c16="http://schemas.microsoft.com/office/drawing/2014/chart" uri="{C3380CC4-5D6E-409C-BE32-E72D297353CC}">
              <c16:uniqueId val="{00000003-174E-4FE5-A2EA-D4958D16A910}"/>
            </c:ext>
          </c:extLst>
        </c:ser>
        <c:ser>
          <c:idx val="4"/>
          <c:order val="4"/>
          <c:tx>
            <c:strRef>
              <c:f>'CO2 - Cenário RT 4'!$B$66</c:f>
              <c:strCache>
                <c:ptCount val="1"/>
                <c:pt idx="0">
                  <c:v>Vidros</c:v>
                </c:pt>
              </c:strCache>
            </c:strRef>
          </c:tx>
          <c:spPr>
            <a:solidFill>
              <a:srgbClr val="FF99CC"/>
            </a:solidFill>
            <a:ln w="12700">
              <a:solidFill>
                <a:srgbClr val="000000"/>
              </a:solidFill>
              <a:prstDash val="solid"/>
            </a:ln>
          </c:spPr>
          <c:invertIfNegative val="0"/>
          <c:cat>
            <c:strRef>
              <c:f>'CO2 - Cenário RT 4'!$C$61:$D$61</c:f>
              <c:strCache>
                <c:ptCount val="2"/>
                <c:pt idx="0">
                  <c:v>Resíduos reciclados</c:v>
                </c:pt>
                <c:pt idx="1">
                  <c:v>Líquido</c:v>
                </c:pt>
              </c:strCache>
            </c:strRef>
          </c:cat>
          <c:val>
            <c:numRef>
              <c:f>'CO2 - Cenário RT 4'!$C$66:$D$66</c:f>
              <c:numCache>
                <c:formatCode>General</c:formatCode>
                <c:ptCount val="2"/>
                <c:pt idx="0" formatCode="#,##0">
                  <c:v>0</c:v>
                </c:pt>
              </c:numCache>
            </c:numRef>
          </c:val>
          <c:extLst>
            <c:ext xmlns:c16="http://schemas.microsoft.com/office/drawing/2014/chart" uri="{C3380CC4-5D6E-409C-BE32-E72D297353CC}">
              <c16:uniqueId val="{00000004-174E-4FE5-A2EA-D4958D16A910}"/>
            </c:ext>
          </c:extLst>
        </c:ser>
        <c:ser>
          <c:idx val="5"/>
          <c:order val="5"/>
          <c:tx>
            <c:strRef>
              <c:f>'CO2 - Cenário RT 4'!$B$67</c:f>
              <c:strCache>
                <c:ptCount val="1"/>
                <c:pt idx="0">
                  <c:v>Metais ferrosos</c:v>
                </c:pt>
              </c:strCache>
            </c:strRef>
          </c:tx>
          <c:spPr>
            <a:solidFill>
              <a:srgbClr val="C0C0C0"/>
            </a:solidFill>
            <a:ln w="12700">
              <a:solidFill>
                <a:srgbClr val="000000"/>
              </a:solidFill>
              <a:prstDash val="solid"/>
            </a:ln>
          </c:spPr>
          <c:invertIfNegative val="0"/>
          <c:cat>
            <c:strRef>
              <c:f>'CO2 - Cenário RT 4'!$C$61:$D$61</c:f>
              <c:strCache>
                <c:ptCount val="2"/>
                <c:pt idx="0">
                  <c:v>Resíduos reciclados</c:v>
                </c:pt>
                <c:pt idx="1">
                  <c:v>Líquido</c:v>
                </c:pt>
              </c:strCache>
            </c:strRef>
          </c:cat>
          <c:val>
            <c:numRef>
              <c:f>'CO2 - Cenário RT 4'!$C$67:$D$67</c:f>
              <c:numCache>
                <c:formatCode>General</c:formatCode>
                <c:ptCount val="2"/>
                <c:pt idx="0" formatCode="#,##0">
                  <c:v>32.198999039999997</c:v>
                </c:pt>
              </c:numCache>
            </c:numRef>
          </c:val>
          <c:extLst>
            <c:ext xmlns:c16="http://schemas.microsoft.com/office/drawing/2014/chart" uri="{C3380CC4-5D6E-409C-BE32-E72D297353CC}">
              <c16:uniqueId val="{00000005-174E-4FE5-A2EA-D4958D16A910}"/>
            </c:ext>
          </c:extLst>
        </c:ser>
        <c:ser>
          <c:idx val="6"/>
          <c:order val="6"/>
          <c:tx>
            <c:strRef>
              <c:f>'CO2 - Cenário RT 4'!$B$68</c:f>
              <c:strCache>
                <c:ptCount val="1"/>
                <c:pt idx="0">
                  <c:v>Alumínio</c:v>
                </c:pt>
              </c:strCache>
            </c:strRef>
          </c:tx>
          <c:spPr>
            <a:solidFill>
              <a:srgbClr val="993366"/>
            </a:solidFill>
            <a:ln w="12700">
              <a:solidFill>
                <a:srgbClr val="000000"/>
              </a:solidFill>
              <a:prstDash val="solid"/>
            </a:ln>
          </c:spPr>
          <c:invertIfNegative val="0"/>
          <c:cat>
            <c:strRef>
              <c:f>'CO2 - Cenário RT 4'!$C$61:$D$61</c:f>
              <c:strCache>
                <c:ptCount val="2"/>
                <c:pt idx="0">
                  <c:v>Resíduos reciclados</c:v>
                </c:pt>
                <c:pt idx="1">
                  <c:v>Líquido</c:v>
                </c:pt>
              </c:strCache>
            </c:strRef>
          </c:cat>
          <c:val>
            <c:numRef>
              <c:f>'CO2 - Cenário RT 4'!$C$68:$D$68</c:f>
              <c:numCache>
                <c:formatCode>General</c:formatCode>
                <c:ptCount val="2"/>
                <c:pt idx="0" formatCode="#,##0">
                  <c:v>91.478406239999984</c:v>
                </c:pt>
              </c:numCache>
            </c:numRef>
          </c:val>
          <c:extLst>
            <c:ext xmlns:c16="http://schemas.microsoft.com/office/drawing/2014/chart" uri="{C3380CC4-5D6E-409C-BE32-E72D297353CC}">
              <c16:uniqueId val="{00000006-174E-4FE5-A2EA-D4958D16A910}"/>
            </c:ext>
          </c:extLst>
        </c:ser>
        <c:ser>
          <c:idx val="7"/>
          <c:order val="7"/>
          <c:tx>
            <c:strRef>
              <c:f>'CO2 - Cenário RT 4'!$B$69</c:f>
              <c:strCache>
                <c:ptCount val="1"/>
                <c:pt idx="0">
                  <c:v>Têxteis</c:v>
                </c:pt>
              </c:strCache>
            </c:strRef>
          </c:tx>
          <c:spPr>
            <a:solidFill>
              <a:srgbClr val="9999FF"/>
            </a:solidFill>
            <a:ln w="12700">
              <a:solidFill>
                <a:srgbClr val="000000"/>
              </a:solidFill>
              <a:prstDash val="solid"/>
            </a:ln>
          </c:spPr>
          <c:invertIfNegative val="0"/>
          <c:cat>
            <c:strRef>
              <c:f>'CO2 - Cenário RT 4'!$C$61:$D$61</c:f>
              <c:strCache>
                <c:ptCount val="2"/>
                <c:pt idx="0">
                  <c:v>Resíduos reciclados</c:v>
                </c:pt>
                <c:pt idx="1">
                  <c:v>Líquido</c:v>
                </c:pt>
              </c:strCache>
            </c:strRef>
          </c:cat>
          <c:val>
            <c:numRef>
              <c:f>'CO2 - Cenário RT 4'!$C$69:$D$69</c:f>
              <c:numCache>
                <c:formatCode>General</c:formatCode>
                <c:ptCount val="2"/>
                <c:pt idx="0" formatCode="#,##0">
                  <c:v>0</c:v>
                </c:pt>
              </c:numCache>
            </c:numRef>
          </c:val>
          <c:extLst>
            <c:ext xmlns:c16="http://schemas.microsoft.com/office/drawing/2014/chart" uri="{C3380CC4-5D6E-409C-BE32-E72D297353CC}">
              <c16:uniqueId val="{00000007-174E-4FE5-A2EA-D4958D16A910}"/>
            </c:ext>
          </c:extLst>
        </c:ser>
        <c:ser>
          <c:idx val="8"/>
          <c:order val="8"/>
          <c:tx>
            <c:strRef>
              <c:f>'CO2 - Cenário RT 4'!$B$70</c:f>
              <c:strCache>
                <c:ptCount val="1"/>
                <c:pt idx="0">
                  <c:v>Débitos</c:v>
                </c:pt>
              </c:strCache>
            </c:strRef>
          </c:tx>
          <c:spPr>
            <a:noFill/>
            <a:ln w="25400">
              <a:noFill/>
            </a:ln>
          </c:spPr>
          <c:invertIfNegative val="0"/>
          <c:cat>
            <c:strRef>
              <c:f>'CO2 - Cenário RT 4'!$C$61:$D$61</c:f>
              <c:strCache>
                <c:ptCount val="2"/>
                <c:pt idx="0">
                  <c:v>Resíduos reciclados</c:v>
                </c:pt>
                <c:pt idx="1">
                  <c:v>Líquido</c:v>
                </c:pt>
              </c:strCache>
            </c:strRef>
          </c:cat>
          <c:val>
            <c:numRef>
              <c:f>'CO2 - Cenário RT 4'!$C$70:$D$70</c:f>
              <c:numCache>
                <c:formatCode>#,##0</c:formatCode>
                <c:ptCount val="2"/>
              </c:numCache>
            </c:numRef>
          </c:val>
          <c:extLst>
            <c:ext xmlns:c16="http://schemas.microsoft.com/office/drawing/2014/chart" uri="{C3380CC4-5D6E-409C-BE32-E72D297353CC}">
              <c16:uniqueId val="{00000008-174E-4FE5-A2EA-D4958D16A910}"/>
            </c:ext>
          </c:extLst>
        </c:ser>
        <c:ser>
          <c:idx val="9"/>
          <c:order val="9"/>
          <c:tx>
            <c:strRef>
              <c:f>'CO2 - Cenário RT 4'!$B$71</c:f>
              <c:strCache>
                <c:ptCount val="1"/>
                <c:pt idx="0">
                  <c:v>Resíduos de alimentos</c:v>
                </c:pt>
              </c:strCache>
            </c:strRef>
          </c:tx>
          <c:spPr>
            <a:pattFill prst="wdDnDiag">
              <a:fgClr>
                <a:srgbClr val="99CC00"/>
              </a:fgClr>
              <a:bgClr>
                <a:srgbClr val="FFFFFF"/>
              </a:bgClr>
            </a:pattFill>
            <a:ln w="12700">
              <a:solidFill>
                <a:srgbClr val="000000"/>
              </a:solidFill>
              <a:prstDash val="solid"/>
            </a:ln>
          </c:spPr>
          <c:invertIfNegative val="0"/>
          <c:cat>
            <c:strRef>
              <c:f>'CO2 - Cenário RT 4'!$C$61:$D$61</c:f>
              <c:strCache>
                <c:ptCount val="2"/>
                <c:pt idx="0">
                  <c:v>Resíduos reciclados</c:v>
                </c:pt>
                <c:pt idx="1">
                  <c:v>Líquido</c:v>
                </c:pt>
              </c:strCache>
            </c:strRef>
          </c:cat>
          <c:val>
            <c:numRef>
              <c:f>'CO2 - Cenário RT 4'!$C$71:$D$71</c:f>
              <c:numCache>
                <c:formatCode>General</c:formatCode>
                <c:ptCount val="2"/>
                <c:pt idx="0" formatCode="#,##0">
                  <c:v>0</c:v>
                </c:pt>
              </c:numCache>
            </c:numRef>
          </c:val>
          <c:extLst>
            <c:ext xmlns:c16="http://schemas.microsoft.com/office/drawing/2014/chart" uri="{C3380CC4-5D6E-409C-BE32-E72D297353CC}">
              <c16:uniqueId val="{00000009-174E-4FE5-A2EA-D4958D16A910}"/>
            </c:ext>
          </c:extLst>
        </c:ser>
        <c:ser>
          <c:idx val="10"/>
          <c:order val="10"/>
          <c:tx>
            <c:strRef>
              <c:f>'CO2 - Cenário RT 4'!$B$72</c:f>
              <c:strCache>
                <c:ptCount val="1"/>
                <c:pt idx="0">
                  <c:v>Resíduos de jardins e parques</c:v>
                </c:pt>
              </c:strCache>
            </c:strRef>
          </c:tx>
          <c:spPr>
            <a:pattFill prst="wdUpDiag">
              <a:fgClr>
                <a:srgbClr val="000080"/>
              </a:fgClr>
              <a:bgClr>
                <a:srgbClr val="FFFFFF"/>
              </a:bgClr>
            </a:pattFill>
            <a:ln w="12700">
              <a:solidFill>
                <a:srgbClr val="000000"/>
              </a:solidFill>
              <a:prstDash val="solid"/>
            </a:ln>
          </c:spPr>
          <c:invertIfNegative val="0"/>
          <c:cat>
            <c:strRef>
              <c:f>'CO2 - Cenário RT 4'!$C$61:$D$61</c:f>
              <c:strCache>
                <c:ptCount val="2"/>
                <c:pt idx="0">
                  <c:v>Resíduos reciclados</c:v>
                </c:pt>
                <c:pt idx="1">
                  <c:v>Líquido</c:v>
                </c:pt>
              </c:strCache>
            </c:strRef>
          </c:cat>
          <c:val>
            <c:numRef>
              <c:f>'CO2 - Cenário RT 4'!$C$72:$D$72</c:f>
              <c:numCache>
                <c:formatCode>General</c:formatCode>
                <c:ptCount val="2"/>
                <c:pt idx="0" formatCode="#,##0">
                  <c:v>0</c:v>
                </c:pt>
              </c:numCache>
            </c:numRef>
          </c:val>
          <c:extLst>
            <c:ext xmlns:c16="http://schemas.microsoft.com/office/drawing/2014/chart" uri="{C3380CC4-5D6E-409C-BE32-E72D297353CC}">
              <c16:uniqueId val="{0000000A-174E-4FE5-A2EA-D4958D16A910}"/>
            </c:ext>
          </c:extLst>
        </c:ser>
        <c:ser>
          <c:idx val="11"/>
          <c:order val="11"/>
          <c:tx>
            <c:strRef>
              <c:f>'CO2 - Cenário RT 4'!$B$73</c:f>
              <c:strCache>
                <c:ptCount val="1"/>
                <c:pt idx="0">
                  <c:v>Papel, papelão</c:v>
                </c:pt>
              </c:strCache>
            </c:strRef>
          </c:tx>
          <c:spPr>
            <a:pattFill prst="wdDnDiag">
              <a:fgClr>
                <a:srgbClr val="CC99FF"/>
              </a:fgClr>
              <a:bgClr>
                <a:srgbClr val="FFFFFF"/>
              </a:bgClr>
            </a:pattFill>
            <a:ln w="12700">
              <a:solidFill>
                <a:srgbClr val="000000"/>
              </a:solidFill>
              <a:prstDash val="solid"/>
            </a:ln>
          </c:spPr>
          <c:invertIfNegative val="0"/>
          <c:cat>
            <c:strRef>
              <c:f>'CO2 - Cenário RT 4'!$C$61:$D$61</c:f>
              <c:strCache>
                <c:ptCount val="2"/>
                <c:pt idx="0">
                  <c:v>Resíduos reciclados</c:v>
                </c:pt>
                <c:pt idx="1">
                  <c:v>Líquido</c:v>
                </c:pt>
              </c:strCache>
            </c:strRef>
          </c:cat>
          <c:val>
            <c:numRef>
              <c:f>'CO2 - Cenário RT 4'!$C$73:$D$73</c:f>
              <c:numCache>
                <c:formatCode>General</c:formatCode>
                <c:ptCount val="2"/>
                <c:pt idx="0" formatCode="#,##0">
                  <c:v>-1554.8820191423999</c:v>
                </c:pt>
              </c:numCache>
            </c:numRef>
          </c:val>
          <c:extLst>
            <c:ext xmlns:c16="http://schemas.microsoft.com/office/drawing/2014/chart" uri="{C3380CC4-5D6E-409C-BE32-E72D297353CC}">
              <c16:uniqueId val="{0000000B-174E-4FE5-A2EA-D4958D16A910}"/>
            </c:ext>
          </c:extLst>
        </c:ser>
        <c:ser>
          <c:idx val="12"/>
          <c:order val="12"/>
          <c:tx>
            <c:strRef>
              <c:f>'CO2 - Cenário RT 4'!$B$74</c:f>
              <c:strCache>
                <c:ptCount val="1"/>
                <c:pt idx="0">
                  <c:v>Plásticos</c:v>
                </c:pt>
              </c:strCache>
            </c:strRef>
          </c:tx>
          <c:spPr>
            <a:pattFill prst="wdUpDiag">
              <a:fgClr>
                <a:srgbClr val="FFFF00"/>
              </a:fgClr>
              <a:bgClr>
                <a:srgbClr val="FFFFFF"/>
              </a:bgClr>
            </a:pattFill>
            <a:ln w="12700">
              <a:solidFill>
                <a:srgbClr val="000000"/>
              </a:solidFill>
              <a:prstDash val="solid"/>
            </a:ln>
          </c:spPr>
          <c:invertIfNegative val="0"/>
          <c:cat>
            <c:strRef>
              <c:f>'CO2 - Cenário RT 4'!$C$61:$D$61</c:f>
              <c:strCache>
                <c:ptCount val="2"/>
                <c:pt idx="0">
                  <c:v>Resíduos reciclados</c:v>
                </c:pt>
                <c:pt idx="1">
                  <c:v>Líquido</c:v>
                </c:pt>
              </c:strCache>
            </c:strRef>
          </c:cat>
          <c:val>
            <c:numRef>
              <c:f>'CO2 - Cenário RT 4'!$C$74:$D$74</c:f>
              <c:numCache>
                <c:formatCode>General</c:formatCode>
                <c:ptCount val="2"/>
                <c:pt idx="0" formatCode="#,##0">
                  <c:v>-1306.0364391359999</c:v>
                </c:pt>
              </c:numCache>
            </c:numRef>
          </c:val>
          <c:extLst>
            <c:ext xmlns:c16="http://schemas.microsoft.com/office/drawing/2014/chart" uri="{C3380CC4-5D6E-409C-BE32-E72D297353CC}">
              <c16:uniqueId val="{0000000C-174E-4FE5-A2EA-D4958D16A910}"/>
            </c:ext>
          </c:extLst>
        </c:ser>
        <c:ser>
          <c:idx val="13"/>
          <c:order val="13"/>
          <c:tx>
            <c:strRef>
              <c:f>'CO2 - Cenário RT 4'!$B$75</c:f>
              <c:strCache>
                <c:ptCount val="1"/>
                <c:pt idx="0">
                  <c:v>Vidros</c:v>
                </c:pt>
              </c:strCache>
            </c:strRef>
          </c:tx>
          <c:spPr>
            <a:pattFill prst="wdDnDiag">
              <a:fgClr>
                <a:srgbClr val="FF99CC"/>
              </a:fgClr>
              <a:bgClr>
                <a:srgbClr val="FFFFFF"/>
              </a:bgClr>
            </a:pattFill>
            <a:ln w="12700">
              <a:solidFill>
                <a:srgbClr val="000000"/>
              </a:solidFill>
              <a:prstDash val="solid"/>
            </a:ln>
          </c:spPr>
          <c:invertIfNegative val="0"/>
          <c:cat>
            <c:strRef>
              <c:f>'CO2 - Cenário RT 4'!$C$61:$D$61</c:f>
              <c:strCache>
                <c:ptCount val="2"/>
                <c:pt idx="0">
                  <c:v>Resíduos reciclados</c:v>
                </c:pt>
                <c:pt idx="1">
                  <c:v>Líquido</c:v>
                </c:pt>
              </c:strCache>
            </c:strRef>
          </c:cat>
          <c:val>
            <c:numRef>
              <c:f>'CO2 - Cenário RT 4'!$C$75:$D$75</c:f>
              <c:numCache>
                <c:formatCode>General</c:formatCode>
                <c:ptCount val="2"/>
                <c:pt idx="0" formatCode="#,##0">
                  <c:v>0</c:v>
                </c:pt>
              </c:numCache>
            </c:numRef>
          </c:val>
          <c:extLst>
            <c:ext xmlns:c16="http://schemas.microsoft.com/office/drawing/2014/chart" uri="{C3380CC4-5D6E-409C-BE32-E72D297353CC}">
              <c16:uniqueId val="{0000000D-174E-4FE5-A2EA-D4958D16A910}"/>
            </c:ext>
          </c:extLst>
        </c:ser>
        <c:ser>
          <c:idx val="14"/>
          <c:order val="14"/>
          <c:tx>
            <c:strRef>
              <c:f>'CO2 - Cenário RT 4'!$B$76</c:f>
              <c:strCache>
                <c:ptCount val="1"/>
                <c:pt idx="0">
                  <c:v>Metais ferrosos</c:v>
                </c:pt>
              </c:strCache>
            </c:strRef>
          </c:tx>
          <c:spPr>
            <a:pattFill prst="wdUpDiag">
              <a:fgClr>
                <a:srgbClr val="C0C0C0"/>
              </a:fgClr>
              <a:bgClr>
                <a:srgbClr val="FFFFFF"/>
              </a:bgClr>
            </a:pattFill>
            <a:ln w="12700">
              <a:solidFill>
                <a:srgbClr val="000000"/>
              </a:solidFill>
              <a:prstDash val="solid"/>
            </a:ln>
          </c:spPr>
          <c:invertIfNegative val="0"/>
          <c:cat>
            <c:strRef>
              <c:f>'CO2 - Cenário RT 4'!$C$61:$D$61</c:f>
              <c:strCache>
                <c:ptCount val="2"/>
                <c:pt idx="0">
                  <c:v>Resíduos reciclados</c:v>
                </c:pt>
                <c:pt idx="1">
                  <c:v>Líquido</c:v>
                </c:pt>
              </c:strCache>
            </c:strRef>
          </c:cat>
          <c:val>
            <c:numRef>
              <c:f>'CO2 - Cenário RT 4'!$C$76:$D$76</c:f>
              <c:numCache>
                <c:formatCode>General</c:formatCode>
                <c:ptCount val="2"/>
                <c:pt idx="0" formatCode="#,##0">
                  <c:v>-861.32322431999989</c:v>
                </c:pt>
              </c:numCache>
            </c:numRef>
          </c:val>
          <c:extLst>
            <c:ext xmlns:c16="http://schemas.microsoft.com/office/drawing/2014/chart" uri="{C3380CC4-5D6E-409C-BE32-E72D297353CC}">
              <c16:uniqueId val="{0000000E-174E-4FE5-A2EA-D4958D16A910}"/>
            </c:ext>
          </c:extLst>
        </c:ser>
        <c:ser>
          <c:idx val="15"/>
          <c:order val="15"/>
          <c:tx>
            <c:strRef>
              <c:f>'CO2 - Cenário RT 4'!$B$77</c:f>
              <c:strCache>
                <c:ptCount val="1"/>
                <c:pt idx="0">
                  <c:v>Alumínio</c:v>
                </c:pt>
              </c:strCache>
            </c:strRef>
          </c:tx>
          <c:spPr>
            <a:pattFill prst="wdDnDiag">
              <a:fgClr>
                <a:srgbClr val="993366"/>
              </a:fgClr>
              <a:bgClr>
                <a:srgbClr val="FFFFFF"/>
              </a:bgClr>
            </a:pattFill>
            <a:ln w="12700">
              <a:solidFill>
                <a:srgbClr val="000000"/>
              </a:solidFill>
              <a:prstDash val="solid"/>
            </a:ln>
          </c:spPr>
          <c:invertIfNegative val="0"/>
          <c:cat>
            <c:strRef>
              <c:f>'CO2 - Cenário RT 4'!$C$61:$D$61</c:f>
              <c:strCache>
                <c:ptCount val="2"/>
                <c:pt idx="0">
                  <c:v>Resíduos reciclados</c:v>
                </c:pt>
                <c:pt idx="1">
                  <c:v>Líquido</c:v>
                </c:pt>
              </c:strCache>
            </c:strRef>
          </c:cat>
          <c:val>
            <c:numRef>
              <c:f>'CO2 - Cenário RT 4'!$C$77:$D$77</c:f>
              <c:numCache>
                <c:formatCode>General</c:formatCode>
                <c:ptCount val="2"/>
                <c:pt idx="0" formatCode="#,##0">
                  <c:v>-1296.7096895999998</c:v>
                </c:pt>
              </c:numCache>
            </c:numRef>
          </c:val>
          <c:extLst>
            <c:ext xmlns:c16="http://schemas.microsoft.com/office/drawing/2014/chart" uri="{C3380CC4-5D6E-409C-BE32-E72D297353CC}">
              <c16:uniqueId val="{0000000F-174E-4FE5-A2EA-D4958D16A910}"/>
            </c:ext>
          </c:extLst>
        </c:ser>
        <c:ser>
          <c:idx val="16"/>
          <c:order val="16"/>
          <c:tx>
            <c:strRef>
              <c:f>'CO2 - Cenário RT 4'!$B$78</c:f>
              <c:strCache>
                <c:ptCount val="1"/>
                <c:pt idx="0">
                  <c:v>Têxteis</c:v>
                </c:pt>
              </c:strCache>
            </c:strRef>
          </c:tx>
          <c:spPr>
            <a:pattFill prst="wdUpDiag">
              <a:fgClr>
                <a:srgbClr val="9999FF"/>
              </a:fgClr>
              <a:bgClr>
                <a:srgbClr val="FFFFFF"/>
              </a:bgClr>
            </a:pattFill>
            <a:ln w="12700">
              <a:solidFill>
                <a:srgbClr val="000000"/>
              </a:solidFill>
              <a:prstDash val="solid"/>
            </a:ln>
          </c:spPr>
          <c:invertIfNegative val="0"/>
          <c:cat>
            <c:strRef>
              <c:f>'CO2 - Cenário RT 4'!$C$61:$D$61</c:f>
              <c:strCache>
                <c:ptCount val="2"/>
                <c:pt idx="0">
                  <c:v>Resíduos reciclados</c:v>
                </c:pt>
                <c:pt idx="1">
                  <c:v>Líquido</c:v>
                </c:pt>
              </c:strCache>
            </c:strRef>
          </c:cat>
          <c:val>
            <c:numRef>
              <c:f>'CO2 - Cenário RT 4'!$C$78:$D$78</c:f>
              <c:numCache>
                <c:formatCode>General</c:formatCode>
                <c:ptCount val="2"/>
                <c:pt idx="0" formatCode="#,##0">
                  <c:v>0</c:v>
                </c:pt>
              </c:numCache>
            </c:numRef>
          </c:val>
          <c:extLst>
            <c:ext xmlns:c16="http://schemas.microsoft.com/office/drawing/2014/chart" uri="{C3380CC4-5D6E-409C-BE32-E72D297353CC}">
              <c16:uniqueId val="{00000010-174E-4FE5-A2EA-D4958D16A910}"/>
            </c:ext>
          </c:extLst>
        </c:ser>
        <c:ser>
          <c:idx val="17"/>
          <c:order val="17"/>
          <c:tx>
            <c:strRef>
              <c:f>'CO2 - Cenário RT 4'!$B$79</c:f>
              <c:strCache>
                <c:ptCount val="1"/>
                <c:pt idx="0">
                  <c:v>Créditos</c:v>
                </c:pt>
              </c:strCache>
            </c:strRef>
          </c:tx>
          <c:spPr>
            <a:noFill/>
            <a:ln w="25400">
              <a:noFill/>
            </a:ln>
          </c:spPr>
          <c:invertIfNegative val="0"/>
          <c:cat>
            <c:strRef>
              <c:f>'CO2 - Cenário RT 4'!$C$61:$D$61</c:f>
              <c:strCache>
                <c:ptCount val="2"/>
                <c:pt idx="0">
                  <c:v>Resíduos reciclados</c:v>
                </c:pt>
                <c:pt idx="1">
                  <c:v>Líquido</c:v>
                </c:pt>
              </c:strCache>
            </c:strRef>
          </c:cat>
          <c:val>
            <c:numRef>
              <c:f>'CO2 - Cenário RT 4'!$C$79:$D$79</c:f>
              <c:numCache>
                <c:formatCode>#,##0</c:formatCode>
                <c:ptCount val="2"/>
              </c:numCache>
            </c:numRef>
          </c:val>
          <c:extLst>
            <c:ext xmlns:c16="http://schemas.microsoft.com/office/drawing/2014/chart" uri="{C3380CC4-5D6E-409C-BE32-E72D297353CC}">
              <c16:uniqueId val="{00000011-174E-4FE5-A2EA-D4958D16A910}"/>
            </c:ext>
          </c:extLst>
        </c:ser>
        <c:ser>
          <c:idx val="18"/>
          <c:order val="18"/>
          <c:tx>
            <c:strRef>
              <c:f>'CO2 - Cenário RT 4'!$B$80</c:f>
              <c:strCache>
                <c:ptCount val="1"/>
                <c:pt idx="0">
                  <c:v>Líquido</c:v>
                </c:pt>
              </c:strCache>
            </c:strRef>
          </c:tx>
          <c:spPr>
            <a:solidFill>
              <a:srgbClr val="0000FF"/>
            </a:solidFill>
            <a:ln w="12700">
              <a:solidFill>
                <a:srgbClr val="000000"/>
              </a:solidFill>
              <a:prstDash val="solid"/>
            </a:ln>
          </c:spPr>
          <c:invertIfNegative val="0"/>
          <c:cat>
            <c:strRef>
              <c:f>'CO2 - Cenário RT 4'!$C$61:$D$61</c:f>
              <c:strCache>
                <c:ptCount val="2"/>
                <c:pt idx="0">
                  <c:v>Resíduos reciclados</c:v>
                </c:pt>
                <c:pt idx="1">
                  <c:v>Líquido</c:v>
                </c:pt>
              </c:strCache>
            </c:strRef>
          </c:cat>
          <c:val>
            <c:numRef>
              <c:f>'CO2 - Cenário RT 4'!$C$80:$D$80</c:f>
              <c:numCache>
                <c:formatCode>#,##0</c:formatCode>
                <c:ptCount val="2"/>
                <c:pt idx="1">
                  <c:v>-3353.3073752255996</c:v>
                </c:pt>
              </c:numCache>
            </c:numRef>
          </c:val>
          <c:extLst>
            <c:ext xmlns:c16="http://schemas.microsoft.com/office/drawing/2014/chart" uri="{C3380CC4-5D6E-409C-BE32-E72D297353CC}">
              <c16:uniqueId val="{00000012-174E-4FE5-A2EA-D4958D16A910}"/>
            </c:ext>
          </c:extLst>
        </c:ser>
        <c:dLbls>
          <c:showLegendKey val="0"/>
          <c:showVal val="0"/>
          <c:showCatName val="0"/>
          <c:showSerName val="0"/>
          <c:showPercent val="0"/>
          <c:showBubbleSize val="0"/>
        </c:dLbls>
        <c:gapWidth val="100"/>
        <c:overlap val="100"/>
        <c:axId val="198289664"/>
        <c:axId val="198299648"/>
      </c:barChart>
      <c:catAx>
        <c:axId val="198289664"/>
        <c:scaling>
          <c:orientation val="minMax"/>
        </c:scaling>
        <c:delete val="0"/>
        <c:axPos val="b"/>
        <c:numFmt formatCode="General" sourceLinked="1"/>
        <c:majorTickMark val="out"/>
        <c:minorTickMark val="none"/>
        <c:tickLblPos val="low"/>
        <c:spPr>
          <a:ln w="3175">
            <a:solidFill>
              <a:srgbClr val="000000"/>
            </a:solidFill>
            <a:prstDash val="solid"/>
          </a:ln>
        </c:spPr>
        <c:txPr>
          <a:bodyPr rot="0" vert="horz"/>
          <a:lstStyle/>
          <a:p>
            <a:pPr>
              <a:defRPr sz="875" b="1" i="0" u="none" strike="noStrike" baseline="0">
                <a:solidFill>
                  <a:srgbClr val="000000"/>
                </a:solidFill>
                <a:latin typeface="Arial"/>
                <a:ea typeface="Arial"/>
                <a:cs typeface="Arial"/>
              </a:defRPr>
            </a:pPr>
            <a:endParaRPr lang="pt-BR"/>
          </a:p>
        </c:txPr>
        <c:crossAx val="198299648"/>
        <c:crosses val="autoZero"/>
        <c:auto val="1"/>
        <c:lblAlgn val="ctr"/>
        <c:lblOffset val="100"/>
        <c:tickLblSkip val="1"/>
        <c:tickMarkSkip val="1"/>
        <c:noMultiLvlLbl val="0"/>
      </c:catAx>
      <c:valAx>
        <c:axId val="198299648"/>
        <c:scaling>
          <c:orientation val="minMax"/>
        </c:scaling>
        <c:delete val="0"/>
        <c:axPos val="l"/>
        <c:majorGridlines>
          <c:spPr>
            <a:ln w="3175">
              <a:solidFill>
                <a:srgbClr val="000000"/>
              </a:solidFill>
              <a:prstDash val="solid"/>
            </a:ln>
          </c:spPr>
        </c:majorGridlines>
        <c:title>
          <c:tx>
            <c:rich>
              <a:bodyPr/>
              <a:lstStyle/>
              <a:p>
                <a:pPr>
                  <a:defRPr sz="875" b="1" i="0" u="none" strike="noStrike" baseline="0">
                    <a:solidFill>
                      <a:sysClr val="windowText" lastClr="000000"/>
                    </a:solidFill>
                    <a:latin typeface="Arial"/>
                    <a:ea typeface="Arial"/>
                    <a:cs typeface="Arial"/>
                  </a:defRPr>
                </a:pPr>
                <a:r>
                  <a:rPr lang="de-DE">
                    <a:solidFill>
                      <a:sysClr val="windowText" lastClr="000000"/>
                    </a:solidFill>
                  </a:rPr>
                  <a:t>tonelada CO2-eq / ano</a:t>
                </a:r>
              </a:p>
            </c:rich>
          </c:tx>
          <c:layout>
            <c:manualLayout>
              <c:xMode val="edge"/>
              <c:yMode val="edge"/>
              <c:x val="1.1369026467846592E-2"/>
              <c:y val="0.35946155547219227"/>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75" b="0" i="0" u="none" strike="noStrike" baseline="0">
                <a:solidFill>
                  <a:srgbClr val="000000"/>
                </a:solidFill>
                <a:latin typeface="Arial"/>
                <a:ea typeface="Arial"/>
                <a:cs typeface="Arial"/>
              </a:defRPr>
            </a:pPr>
            <a:endParaRPr lang="pt-BR"/>
          </a:p>
        </c:txPr>
        <c:crossAx val="198289664"/>
        <c:crosses val="autoZero"/>
        <c:crossBetween val="between"/>
      </c:valAx>
      <c:spPr>
        <a:noFill/>
        <a:ln w="12700">
          <a:solidFill>
            <a:srgbClr val="808080"/>
          </a:solidFill>
          <a:prstDash val="solid"/>
        </a:ln>
      </c:spPr>
    </c:plotArea>
    <c:legend>
      <c:legendPos val="r"/>
      <c:legendEntry>
        <c:idx val="0"/>
        <c:txPr>
          <a:bodyPr/>
          <a:lstStyle/>
          <a:p>
            <a:pPr>
              <a:defRPr sz="755" b="1" i="0" u="none" strike="noStrike" baseline="0">
                <a:solidFill>
                  <a:srgbClr val="000000"/>
                </a:solidFill>
                <a:latin typeface="Arial"/>
                <a:ea typeface="Arial"/>
                <a:cs typeface="Arial"/>
              </a:defRPr>
            </a:pPr>
            <a:endParaRPr lang="pt-BR"/>
          </a:p>
        </c:txPr>
      </c:legendEntry>
      <c:legendEntry>
        <c:idx val="1"/>
        <c:txPr>
          <a:bodyPr/>
          <a:lstStyle/>
          <a:p>
            <a:pPr>
              <a:defRPr sz="755" b="1" i="0" u="none" strike="noStrike" baseline="0">
                <a:solidFill>
                  <a:srgbClr val="000000"/>
                </a:solidFill>
                <a:latin typeface="Arial"/>
                <a:ea typeface="Arial"/>
                <a:cs typeface="Arial"/>
              </a:defRPr>
            </a:pPr>
            <a:endParaRPr lang="pt-BR"/>
          </a:p>
        </c:txPr>
      </c:legendEntry>
      <c:legendEntry>
        <c:idx val="4"/>
        <c:txPr>
          <a:bodyPr/>
          <a:lstStyle/>
          <a:p>
            <a:pPr>
              <a:defRPr sz="755" b="0" i="0" u="none" strike="noStrike" baseline="0">
                <a:solidFill>
                  <a:srgbClr val="000000"/>
                </a:solidFill>
                <a:latin typeface="Arial"/>
                <a:ea typeface="Arial"/>
                <a:cs typeface="Arial"/>
              </a:defRPr>
            </a:pPr>
            <a:endParaRPr lang="pt-BR"/>
          </a:p>
        </c:txPr>
      </c:legendEntry>
      <c:legendEntry>
        <c:idx val="5"/>
        <c:txPr>
          <a:bodyPr/>
          <a:lstStyle/>
          <a:p>
            <a:pPr>
              <a:defRPr sz="755" b="0" i="0" u="none" strike="noStrike" baseline="0">
                <a:solidFill>
                  <a:srgbClr val="000000"/>
                </a:solidFill>
                <a:latin typeface="Arial"/>
                <a:ea typeface="Arial"/>
                <a:cs typeface="Arial"/>
              </a:defRPr>
            </a:pPr>
            <a:endParaRPr lang="pt-BR"/>
          </a:p>
        </c:txPr>
      </c:legendEntry>
      <c:legendEntry>
        <c:idx val="6"/>
        <c:txPr>
          <a:bodyPr/>
          <a:lstStyle/>
          <a:p>
            <a:pPr>
              <a:defRPr sz="755" b="0" i="0" u="none" strike="noStrike" baseline="0">
                <a:solidFill>
                  <a:srgbClr val="000000"/>
                </a:solidFill>
                <a:latin typeface="Arial"/>
                <a:ea typeface="Arial"/>
                <a:cs typeface="Arial"/>
              </a:defRPr>
            </a:pPr>
            <a:endParaRPr lang="pt-BR"/>
          </a:p>
        </c:txPr>
      </c:legendEntry>
      <c:legendEntry>
        <c:idx val="7"/>
        <c:txPr>
          <a:bodyPr/>
          <a:lstStyle/>
          <a:p>
            <a:pPr>
              <a:defRPr sz="755" b="0" i="0" u="none" strike="noStrike" baseline="0">
                <a:solidFill>
                  <a:srgbClr val="000000"/>
                </a:solidFill>
                <a:latin typeface="Arial"/>
                <a:ea typeface="Arial"/>
                <a:cs typeface="Arial"/>
              </a:defRPr>
            </a:pPr>
            <a:endParaRPr lang="pt-BR"/>
          </a:p>
        </c:txPr>
      </c:legendEntry>
      <c:legendEntry>
        <c:idx val="9"/>
        <c:txPr>
          <a:bodyPr/>
          <a:lstStyle/>
          <a:p>
            <a:pPr>
              <a:defRPr sz="755" b="0" i="0" u="none" strike="noStrike" baseline="0">
                <a:solidFill>
                  <a:srgbClr val="000000"/>
                </a:solidFill>
                <a:latin typeface="Arial"/>
                <a:ea typeface="Arial"/>
                <a:cs typeface="Arial"/>
              </a:defRPr>
            </a:pPr>
            <a:endParaRPr lang="pt-BR"/>
          </a:p>
        </c:txPr>
      </c:legendEntry>
      <c:legendEntry>
        <c:idx val="10"/>
        <c:txPr>
          <a:bodyPr/>
          <a:lstStyle/>
          <a:p>
            <a:pPr>
              <a:defRPr sz="755" b="1" i="0" u="none" strike="noStrike" baseline="0">
                <a:solidFill>
                  <a:srgbClr val="000000"/>
                </a:solidFill>
                <a:latin typeface="Arial"/>
                <a:ea typeface="Arial"/>
                <a:cs typeface="Arial"/>
              </a:defRPr>
            </a:pPr>
            <a:endParaRPr lang="pt-BR"/>
          </a:p>
        </c:txPr>
      </c:legendEntry>
      <c:legendEntry>
        <c:idx val="12"/>
        <c:txPr>
          <a:bodyPr/>
          <a:lstStyle/>
          <a:p>
            <a:pPr>
              <a:defRPr sz="755" b="0" i="0" u="none" strike="noStrike" baseline="0">
                <a:solidFill>
                  <a:srgbClr val="000000"/>
                </a:solidFill>
                <a:latin typeface="Arial"/>
                <a:ea typeface="Arial"/>
                <a:cs typeface="Arial"/>
              </a:defRPr>
            </a:pPr>
            <a:endParaRPr lang="pt-BR"/>
          </a:p>
        </c:txPr>
      </c:legendEntry>
      <c:legendEntry>
        <c:idx val="13"/>
        <c:txPr>
          <a:bodyPr/>
          <a:lstStyle/>
          <a:p>
            <a:pPr>
              <a:defRPr sz="755" b="0" i="0" u="none" strike="noStrike" baseline="0">
                <a:solidFill>
                  <a:srgbClr val="000000"/>
                </a:solidFill>
                <a:latin typeface="Arial"/>
                <a:ea typeface="Arial"/>
                <a:cs typeface="Arial"/>
              </a:defRPr>
            </a:pPr>
            <a:endParaRPr lang="pt-BR"/>
          </a:p>
        </c:txPr>
      </c:legendEntry>
      <c:layout>
        <c:manualLayout>
          <c:xMode val="edge"/>
          <c:yMode val="edge"/>
          <c:x val="0.69944751381215453"/>
          <c:y val="1.5988417481653919E-2"/>
          <c:w val="0.28839779005524885"/>
          <c:h val="0.91279328895260536"/>
        </c:manualLayout>
      </c:layout>
      <c:overlay val="0"/>
      <c:spPr>
        <a:solidFill>
          <a:srgbClr val="FFFFFF"/>
        </a:solidFill>
        <a:ln w="3175">
          <a:solidFill>
            <a:srgbClr val="000000"/>
          </a:solidFill>
          <a:prstDash val="solid"/>
        </a:ln>
      </c:spPr>
      <c:txPr>
        <a:bodyPr/>
        <a:lstStyle/>
        <a:p>
          <a:pPr>
            <a:defRPr sz="755" b="0" i="0" u="none" strike="noStrike" baseline="0">
              <a:solidFill>
                <a:srgbClr val="000000"/>
              </a:solidFill>
              <a:latin typeface="Arial"/>
              <a:ea typeface="Arial"/>
              <a:cs typeface="Arial"/>
            </a:defRPr>
          </a:pPr>
          <a:endParaRPr lang="pt-BR"/>
        </a:p>
      </c:txPr>
    </c:legend>
    <c:plotVisOnly val="1"/>
    <c:dispBlanksAs val="gap"/>
    <c:showDLblsOverMax val="0"/>
  </c:chart>
  <c:spPr>
    <a:solidFill>
      <a:srgbClr val="FFFFFF"/>
    </a:solid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pt-BR"/>
    </a:p>
  </c:txPr>
  <c:printSettings>
    <c:headerFooter alignWithMargins="0"/>
    <c:pageMargins b="0.98425196899999978" l="0.78740157499999996" r="0.78740157499999996" t="0.98425196899999978" header="0.49212598450000011" footer="0.49212598450000011"/>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75" b="1" i="0" u="none" strike="noStrike" baseline="0">
                <a:solidFill>
                  <a:srgbClr val="000000"/>
                </a:solidFill>
                <a:latin typeface="Arial"/>
                <a:ea typeface="Arial"/>
                <a:cs typeface="Arial"/>
              </a:defRPr>
            </a:pPr>
            <a:r>
              <a:rPr lang="de-DE"/>
              <a:t>Emissões de </a:t>
            </a:r>
            <a:r>
              <a:rPr lang="de-DE">
                <a:solidFill>
                  <a:sysClr val="windowText" lastClr="000000"/>
                </a:solidFill>
              </a:rPr>
              <a:t>GEE </a:t>
            </a:r>
            <a:r>
              <a:rPr lang="pt-BR" sz="975" b="0" i="0" u="none" strike="noStrike" baseline="0">
                <a:solidFill>
                  <a:sysClr val="windowText" lastClr="000000"/>
                </a:solidFill>
                <a:effectLst/>
              </a:rPr>
              <a:t>—</a:t>
            </a:r>
            <a:r>
              <a:rPr lang="de-DE">
                <a:solidFill>
                  <a:sysClr val="windowText" lastClr="000000"/>
                </a:solidFill>
              </a:rPr>
              <a:t> Destinação</a:t>
            </a:r>
          </a:p>
        </c:rich>
      </c:tx>
      <c:layout>
        <c:manualLayout>
          <c:xMode val="edge"/>
          <c:yMode val="edge"/>
          <c:x val="0.29557157569515985"/>
          <c:y val="1.5172413793103448E-2"/>
        </c:manualLayout>
      </c:layout>
      <c:overlay val="0"/>
      <c:spPr>
        <a:noFill/>
        <a:ln w="25400">
          <a:noFill/>
        </a:ln>
      </c:spPr>
    </c:title>
    <c:autoTitleDeleted val="0"/>
    <c:plotArea>
      <c:layout>
        <c:manualLayout>
          <c:layoutTarget val="inner"/>
          <c:xMode val="edge"/>
          <c:yMode val="edge"/>
          <c:x val="0.19670442842430488"/>
          <c:y val="0.12689655172413788"/>
          <c:w val="0.51802265705458328"/>
          <c:h val="0.76137931034482786"/>
        </c:manualLayout>
      </c:layout>
      <c:barChart>
        <c:barDir val="col"/>
        <c:grouping val="stacked"/>
        <c:varyColors val="0"/>
        <c:ser>
          <c:idx val="0"/>
          <c:order val="0"/>
          <c:tx>
            <c:strRef>
              <c:f>'CO2 - Cenário RT 4'!$K$62</c:f>
              <c:strCache>
                <c:ptCount val="1"/>
                <c:pt idx="0">
                  <c:v>Resíduos dispersos</c:v>
                </c:pt>
              </c:strCache>
            </c:strRef>
          </c:tx>
          <c:spPr>
            <a:solidFill>
              <a:srgbClr val="FFFFFF"/>
            </a:solidFill>
            <a:ln w="12700">
              <a:solidFill>
                <a:srgbClr val="000000"/>
              </a:solidFill>
              <a:prstDash val="solid"/>
            </a:ln>
          </c:spPr>
          <c:invertIfNegative val="0"/>
          <c:cat>
            <c:strRef>
              <c:f>'CO2 - Cenário RT 4'!$L$61:$M$61</c:f>
              <c:strCache>
                <c:ptCount val="2"/>
                <c:pt idx="0">
                  <c:v>Destinação de resíduos</c:v>
                </c:pt>
                <c:pt idx="1">
                  <c:v>Líquido</c:v>
                </c:pt>
              </c:strCache>
            </c:strRef>
          </c:cat>
          <c:val>
            <c:numRef>
              <c:f>'CO2 - Cenário RT 4'!$L$62:$M$62</c:f>
              <c:numCache>
                <c:formatCode>General</c:formatCode>
                <c:ptCount val="2"/>
                <c:pt idx="0" formatCode="#,##0">
                  <c:v>0</c:v>
                </c:pt>
              </c:numCache>
            </c:numRef>
          </c:val>
          <c:extLst>
            <c:ext xmlns:c16="http://schemas.microsoft.com/office/drawing/2014/chart" uri="{C3380CC4-5D6E-409C-BE32-E72D297353CC}">
              <c16:uniqueId val="{00000000-41BF-4F15-8E43-6262CBE7564C}"/>
            </c:ext>
          </c:extLst>
        </c:ser>
        <c:ser>
          <c:idx val="1"/>
          <c:order val="1"/>
          <c:tx>
            <c:strRef>
              <c:f>'CO2 - Cenário RT 4'!$K$63</c:f>
              <c:strCache>
                <c:ptCount val="1"/>
                <c:pt idx="0">
                  <c:v>Queima a céu aberto</c:v>
                </c:pt>
              </c:strCache>
            </c:strRef>
          </c:tx>
          <c:spPr>
            <a:solidFill>
              <a:srgbClr val="FF8080"/>
            </a:solidFill>
            <a:ln w="12700">
              <a:solidFill>
                <a:srgbClr val="000000"/>
              </a:solidFill>
              <a:prstDash val="solid"/>
            </a:ln>
          </c:spPr>
          <c:invertIfNegative val="0"/>
          <c:cat>
            <c:strRef>
              <c:f>'CO2 - Cenário RT 4'!$L$61:$M$61</c:f>
              <c:strCache>
                <c:ptCount val="2"/>
                <c:pt idx="0">
                  <c:v>Destinação de resíduos</c:v>
                </c:pt>
                <c:pt idx="1">
                  <c:v>Líquido</c:v>
                </c:pt>
              </c:strCache>
            </c:strRef>
          </c:cat>
          <c:val>
            <c:numRef>
              <c:f>'CO2 - Cenário RT 4'!$L$63:$M$63</c:f>
              <c:numCache>
                <c:formatCode>General</c:formatCode>
                <c:ptCount val="2"/>
                <c:pt idx="0" formatCode="#,##0">
                  <c:v>0</c:v>
                </c:pt>
              </c:numCache>
            </c:numRef>
          </c:val>
          <c:extLst>
            <c:ext xmlns:c16="http://schemas.microsoft.com/office/drawing/2014/chart" uri="{C3380CC4-5D6E-409C-BE32-E72D297353CC}">
              <c16:uniqueId val="{00000001-41BF-4F15-8E43-6262CBE7564C}"/>
            </c:ext>
          </c:extLst>
        </c:ser>
        <c:ser>
          <c:idx val="2"/>
          <c:order val="2"/>
          <c:tx>
            <c:strRef>
              <c:f>'CO2 - Cenário RT 4'!$K$64</c:f>
              <c:strCache>
                <c:ptCount val="1"/>
                <c:pt idx="0">
                  <c:v>Lixão não controlado</c:v>
                </c:pt>
              </c:strCache>
            </c:strRef>
          </c:tx>
          <c:spPr>
            <a:solidFill>
              <a:srgbClr val="993300"/>
            </a:solidFill>
            <a:ln w="12700">
              <a:solidFill>
                <a:srgbClr val="000000"/>
              </a:solidFill>
              <a:prstDash val="solid"/>
            </a:ln>
          </c:spPr>
          <c:invertIfNegative val="0"/>
          <c:cat>
            <c:strRef>
              <c:f>'CO2 - Cenário RT 4'!$L$61:$M$61</c:f>
              <c:strCache>
                <c:ptCount val="2"/>
                <c:pt idx="0">
                  <c:v>Destinação de resíduos</c:v>
                </c:pt>
                <c:pt idx="1">
                  <c:v>Líquido</c:v>
                </c:pt>
              </c:strCache>
            </c:strRef>
          </c:cat>
          <c:val>
            <c:numRef>
              <c:f>'CO2 - Cenário RT 4'!$L$64:$M$64</c:f>
              <c:numCache>
                <c:formatCode>General</c:formatCode>
                <c:ptCount val="2"/>
                <c:pt idx="0" formatCode="#,##0">
                  <c:v>0</c:v>
                </c:pt>
              </c:numCache>
            </c:numRef>
          </c:val>
          <c:extLst>
            <c:ext xmlns:c16="http://schemas.microsoft.com/office/drawing/2014/chart" uri="{C3380CC4-5D6E-409C-BE32-E72D297353CC}">
              <c16:uniqueId val="{00000002-41BF-4F15-8E43-6262CBE7564C}"/>
            </c:ext>
          </c:extLst>
        </c:ser>
        <c:ser>
          <c:idx val="3"/>
          <c:order val="3"/>
          <c:tx>
            <c:strRef>
              <c:f>'CO2 - Cenário RT 4'!$K$65</c:f>
              <c:strCache>
                <c:ptCount val="1"/>
                <c:pt idx="0">
                  <c:v>Aterro controlado</c:v>
                </c:pt>
              </c:strCache>
            </c:strRef>
          </c:tx>
          <c:spPr>
            <a:solidFill>
              <a:srgbClr val="99CC00"/>
            </a:solidFill>
            <a:ln w="12700">
              <a:solidFill>
                <a:srgbClr val="000000"/>
              </a:solidFill>
              <a:prstDash val="solid"/>
            </a:ln>
          </c:spPr>
          <c:invertIfNegative val="0"/>
          <c:cat>
            <c:strRef>
              <c:f>'CO2 - Cenário RT 4'!$L$61:$M$61</c:f>
              <c:strCache>
                <c:ptCount val="2"/>
                <c:pt idx="0">
                  <c:v>Destinação de resíduos</c:v>
                </c:pt>
                <c:pt idx="1">
                  <c:v>Líquido</c:v>
                </c:pt>
              </c:strCache>
            </c:strRef>
          </c:cat>
          <c:val>
            <c:numRef>
              <c:f>'CO2 - Cenário RT 4'!$L$65:$M$65</c:f>
              <c:numCache>
                <c:formatCode>General</c:formatCode>
                <c:ptCount val="2"/>
                <c:pt idx="0" formatCode="#,##0">
                  <c:v>4173.196405613453</c:v>
                </c:pt>
              </c:numCache>
            </c:numRef>
          </c:val>
          <c:extLst>
            <c:ext xmlns:c16="http://schemas.microsoft.com/office/drawing/2014/chart" uri="{C3380CC4-5D6E-409C-BE32-E72D297353CC}">
              <c16:uniqueId val="{00000003-41BF-4F15-8E43-6262CBE7564C}"/>
            </c:ext>
          </c:extLst>
        </c:ser>
        <c:ser>
          <c:idx val="4"/>
          <c:order val="4"/>
          <c:tx>
            <c:strRef>
              <c:f>'CO2 - Cenário RT 4'!$K$66</c:f>
              <c:strCache>
                <c:ptCount val="1"/>
                <c:pt idx="0">
                  <c:v>Aterro sanitário</c:v>
                </c:pt>
              </c:strCache>
            </c:strRef>
          </c:tx>
          <c:spPr>
            <a:solidFill>
              <a:srgbClr val="FFFF00"/>
            </a:solidFill>
            <a:ln w="12700">
              <a:solidFill>
                <a:srgbClr val="000000"/>
              </a:solidFill>
              <a:prstDash val="solid"/>
            </a:ln>
          </c:spPr>
          <c:invertIfNegative val="0"/>
          <c:cat>
            <c:strRef>
              <c:f>'CO2 - Cenário RT 4'!$L$61:$M$61</c:f>
              <c:strCache>
                <c:ptCount val="2"/>
                <c:pt idx="0">
                  <c:v>Destinação de resíduos</c:v>
                </c:pt>
                <c:pt idx="1">
                  <c:v>Líquido</c:v>
                </c:pt>
              </c:strCache>
            </c:strRef>
          </c:cat>
          <c:val>
            <c:numRef>
              <c:f>'CO2 - Cenário RT 4'!$L$66:$M$66</c:f>
              <c:numCache>
                <c:formatCode>General</c:formatCode>
                <c:ptCount val="2"/>
                <c:pt idx="0" formatCode="#,##0">
                  <c:v>0</c:v>
                </c:pt>
              </c:numCache>
            </c:numRef>
          </c:val>
          <c:extLst>
            <c:ext xmlns:c16="http://schemas.microsoft.com/office/drawing/2014/chart" uri="{C3380CC4-5D6E-409C-BE32-E72D297353CC}">
              <c16:uniqueId val="{00000004-41BF-4F15-8E43-6262CBE7564C}"/>
            </c:ext>
          </c:extLst>
        </c:ser>
        <c:ser>
          <c:idx val="5"/>
          <c:order val="5"/>
          <c:tx>
            <c:strRef>
              <c:f>'CO2 - Cenário RT 4'!$K$67</c:f>
              <c:strCache>
                <c:ptCount val="1"/>
                <c:pt idx="0">
                  <c:v>Trat. biol + cobertura at.</c:v>
                </c:pt>
              </c:strCache>
            </c:strRef>
          </c:tx>
          <c:spPr>
            <a:solidFill>
              <a:srgbClr val="FF00FF"/>
            </a:solidFill>
            <a:ln w="12700">
              <a:solidFill>
                <a:srgbClr val="000000"/>
              </a:solidFill>
              <a:prstDash val="solid"/>
            </a:ln>
          </c:spPr>
          <c:invertIfNegative val="0"/>
          <c:cat>
            <c:strRef>
              <c:f>'CO2 - Cenário RT 4'!$L$61:$M$61</c:f>
              <c:strCache>
                <c:ptCount val="2"/>
                <c:pt idx="0">
                  <c:v>Destinação de resíduos</c:v>
                </c:pt>
                <c:pt idx="1">
                  <c:v>Líquido</c:v>
                </c:pt>
              </c:strCache>
            </c:strRef>
          </c:cat>
          <c:val>
            <c:numRef>
              <c:f>'CO2 - Cenário RT 4'!$L$67:$M$67</c:f>
              <c:numCache>
                <c:formatCode>General</c:formatCode>
                <c:ptCount val="2"/>
                <c:pt idx="0" formatCode="#,##0">
                  <c:v>0</c:v>
                </c:pt>
              </c:numCache>
            </c:numRef>
          </c:val>
          <c:extLst>
            <c:ext xmlns:c16="http://schemas.microsoft.com/office/drawing/2014/chart" uri="{C3380CC4-5D6E-409C-BE32-E72D297353CC}">
              <c16:uniqueId val="{00000005-41BF-4F15-8E43-6262CBE7564C}"/>
            </c:ext>
          </c:extLst>
        </c:ser>
        <c:ser>
          <c:idx val="6"/>
          <c:order val="6"/>
          <c:tx>
            <c:strRef>
              <c:f>'CO2 - Cenário RT 4'!$K$68</c:f>
              <c:strCache>
                <c:ptCount val="1"/>
                <c:pt idx="0">
                  <c:v>CDR seco + rejeito aterro</c:v>
                </c:pt>
              </c:strCache>
            </c:strRef>
          </c:tx>
          <c:spPr>
            <a:solidFill>
              <a:srgbClr val="008080"/>
            </a:solidFill>
            <a:ln w="12700">
              <a:solidFill>
                <a:srgbClr val="000000"/>
              </a:solidFill>
              <a:prstDash val="solid"/>
            </a:ln>
          </c:spPr>
          <c:invertIfNegative val="0"/>
          <c:cat>
            <c:strRef>
              <c:f>'CO2 - Cenário RT 4'!$L$61:$M$61</c:f>
              <c:strCache>
                <c:ptCount val="2"/>
                <c:pt idx="0">
                  <c:v>Destinação de resíduos</c:v>
                </c:pt>
                <c:pt idx="1">
                  <c:v>Líquido</c:v>
                </c:pt>
              </c:strCache>
            </c:strRef>
          </c:cat>
          <c:val>
            <c:numRef>
              <c:f>'CO2 - Cenário RT 4'!$L$68:$M$68</c:f>
              <c:numCache>
                <c:formatCode>General</c:formatCode>
                <c:ptCount val="2"/>
                <c:pt idx="0" formatCode="#,##0">
                  <c:v>0</c:v>
                </c:pt>
              </c:numCache>
            </c:numRef>
          </c:val>
          <c:extLst>
            <c:ext xmlns:c16="http://schemas.microsoft.com/office/drawing/2014/chart" uri="{C3380CC4-5D6E-409C-BE32-E72D297353CC}">
              <c16:uniqueId val="{00000006-41BF-4F15-8E43-6262CBE7564C}"/>
            </c:ext>
          </c:extLst>
        </c:ser>
        <c:ser>
          <c:idx val="7"/>
          <c:order val="7"/>
          <c:tx>
            <c:strRef>
              <c:f>'CO2 - Cenário RT 4'!$K$69</c:f>
              <c:strCache>
                <c:ptCount val="1"/>
                <c:pt idx="0">
                  <c:v>CDR seco + trat. biol.</c:v>
                </c:pt>
              </c:strCache>
            </c:strRef>
          </c:tx>
          <c:spPr>
            <a:solidFill>
              <a:srgbClr val="FF9900"/>
            </a:solidFill>
            <a:ln w="12700">
              <a:solidFill>
                <a:srgbClr val="000000"/>
              </a:solidFill>
              <a:prstDash val="solid"/>
            </a:ln>
          </c:spPr>
          <c:invertIfNegative val="0"/>
          <c:cat>
            <c:strRef>
              <c:f>'CO2 - Cenário RT 4'!$L$61:$M$61</c:f>
              <c:strCache>
                <c:ptCount val="2"/>
                <c:pt idx="0">
                  <c:v>Destinação de resíduos</c:v>
                </c:pt>
                <c:pt idx="1">
                  <c:v>Líquido</c:v>
                </c:pt>
              </c:strCache>
            </c:strRef>
          </c:cat>
          <c:val>
            <c:numRef>
              <c:f>'CO2 - Cenário RT 4'!$L$69:$M$69</c:f>
              <c:numCache>
                <c:formatCode>General</c:formatCode>
                <c:ptCount val="2"/>
                <c:pt idx="0" formatCode="#,##0">
                  <c:v>0</c:v>
                </c:pt>
              </c:numCache>
            </c:numRef>
          </c:val>
          <c:extLst>
            <c:ext xmlns:c16="http://schemas.microsoft.com/office/drawing/2014/chart" uri="{C3380CC4-5D6E-409C-BE32-E72D297353CC}">
              <c16:uniqueId val="{00000007-41BF-4F15-8E43-6262CBE7564C}"/>
            </c:ext>
          </c:extLst>
        </c:ser>
        <c:ser>
          <c:idx val="21"/>
          <c:order val="8"/>
          <c:tx>
            <c:strRef>
              <c:f>'CO2 - Cenário RT 4'!$K$70</c:f>
              <c:strCache>
                <c:ptCount val="1"/>
                <c:pt idx="0">
                  <c:v>CDR seco + CDR org.</c:v>
                </c:pt>
              </c:strCache>
            </c:strRef>
          </c:tx>
          <c:spPr>
            <a:solidFill>
              <a:srgbClr val="00B0F0"/>
            </a:solidFill>
            <a:ln w="12700">
              <a:solidFill>
                <a:srgbClr val="000000"/>
              </a:solidFill>
            </a:ln>
          </c:spPr>
          <c:invertIfNegative val="0"/>
          <c:cat>
            <c:strRef>
              <c:f>'CO2 - Cenário RT 4'!$L$61:$M$61</c:f>
              <c:strCache>
                <c:ptCount val="2"/>
                <c:pt idx="0">
                  <c:v>Destinação de resíduos</c:v>
                </c:pt>
                <c:pt idx="1">
                  <c:v>Líquido</c:v>
                </c:pt>
              </c:strCache>
            </c:strRef>
          </c:cat>
          <c:val>
            <c:numRef>
              <c:f>'CO2 - Cenário RT 4'!$L$70:$M$70</c:f>
              <c:numCache>
                <c:formatCode>General</c:formatCode>
                <c:ptCount val="2"/>
                <c:pt idx="0" formatCode="#,##0">
                  <c:v>0</c:v>
                </c:pt>
              </c:numCache>
            </c:numRef>
          </c:val>
          <c:extLst>
            <c:ext xmlns:c16="http://schemas.microsoft.com/office/drawing/2014/chart" uri="{C3380CC4-5D6E-409C-BE32-E72D297353CC}">
              <c16:uniqueId val="{00000008-41BF-4F15-8E43-6262CBE7564C}"/>
            </c:ext>
          </c:extLst>
        </c:ser>
        <c:ser>
          <c:idx val="8"/>
          <c:order val="9"/>
          <c:tx>
            <c:strRef>
              <c:f>'CO2 - Cenário RT 4'!$K$71</c:f>
              <c:strCache>
                <c:ptCount val="1"/>
                <c:pt idx="0">
                  <c:v>Incineração</c:v>
                </c:pt>
              </c:strCache>
            </c:strRef>
          </c:tx>
          <c:spPr>
            <a:solidFill>
              <a:srgbClr val="CCCCFF"/>
            </a:solidFill>
            <a:ln w="12700">
              <a:solidFill>
                <a:srgbClr val="000000"/>
              </a:solidFill>
              <a:prstDash val="solid"/>
            </a:ln>
          </c:spPr>
          <c:invertIfNegative val="0"/>
          <c:cat>
            <c:strRef>
              <c:f>'CO2 - Cenário RT 4'!$L$61:$M$61</c:f>
              <c:strCache>
                <c:ptCount val="2"/>
                <c:pt idx="0">
                  <c:v>Destinação de resíduos</c:v>
                </c:pt>
                <c:pt idx="1">
                  <c:v>Líquido</c:v>
                </c:pt>
              </c:strCache>
            </c:strRef>
          </c:cat>
          <c:val>
            <c:numRef>
              <c:f>'CO2 - Cenário RT 4'!$L$71:$M$71</c:f>
              <c:numCache>
                <c:formatCode>General</c:formatCode>
                <c:ptCount val="2"/>
                <c:pt idx="0" formatCode="#,##0">
                  <c:v>6233.9833509432347</c:v>
                </c:pt>
              </c:numCache>
            </c:numRef>
          </c:val>
          <c:extLst>
            <c:ext xmlns:c16="http://schemas.microsoft.com/office/drawing/2014/chart" uri="{C3380CC4-5D6E-409C-BE32-E72D297353CC}">
              <c16:uniqueId val="{00000009-41BF-4F15-8E43-6262CBE7564C}"/>
            </c:ext>
          </c:extLst>
        </c:ser>
        <c:ser>
          <c:idx val="9"/>
          <c:order val="10"/>
          <c:tx>
            <c:strRef>
              <c:f>'CO2 - Cenário RT 4'!$K$72</c:f>
              <c:strCache>
                <c:ptCount val="1"/>
                <c:pt idx="0">
                  <c:v>Débitos</c:v>
                </c:pt>
              </c:strCache>
            </c:strRef>
          </c:tx>
          <c:spPr>
            <a:noFill/>
            <a:ln w="25400">
              <a:noFill/>
            </a:ln>
          </c:spPr>
          <c:invertIfNegative val="0"/>
          <c:cat>
            <c:strRef>
              <c:f>'CO2 - Cenário RT 4'!$L$61:$M$61</c:f>
              <c:strCache>
                <c:ptCount val="2"/>
                <c:pt idx="0">
                  <c:v>Destinação de resíduos</c:v>
                </c:pt>
                <c:pt idx="1">
                  <c:v>Líquido</c:v>
                </c:pt>
              </c:strCache>
            </c:strRef>
          </c:cat>
          <c:val>
            <c:numRef>
              <c:f>'CO2 - Cenário RT 4'!$L$72:$M$72</c:f>
              <c:numCache>
                <c:formatCode>General</c:formatCode>
                <c:ptCount val="2"/>
              </c:numCache>
            </c:numRef>
          </c:val>
          <c:extLst>
            <c:ext xmlns:c16="http://schemas.microsoft.com/office/drawing/2014/chart" uri="{C3380CC4-5D6E-409C-BE32-E72D297353CC}">
              <c16:uniqueId val="{0000000A-41BF-4F15-8E43-6262CBE7564C}"/>
            </c:ext>
          </c:extLst>
        </c:ser>
        <c:ser>
          <c:idx val="10"/>
          <c:order val="11"/>
          <c:tx>
            <c:strRef>
              <c:f>'CO2 - Cenário RT 4'!$K$73</c:f>
              <c:strCache>
                <c:ptCount val="1"/>
                <c:pt idx="0">
                  <c:v>Resíduos dispersos</c:v>
                </c:pt>
              </c:strCache>
            </c:strRef>
          </c:tx>
          <c:spPr>
            <a:pattFill prst="wdUpDiag">
              <a:fgClr>
                <a:srgbClr val="FFFFFF"/>
              </a:fgClr>
              <a:bgClr>
                <a:srgbClr val="000000"/>
              </a:bgClr>
            </a:pattFill>
            <a:ln w="12700">
              <a:solidFill>
                <a:srgbClr val="000000"/>
              </a:solidFill>
              <a:prstDash val="solid"/>
            </a:ln>
          </c:spPr>
          <c:invertIfNegative val="0"/>
          <c:cat>
            <c:strRef>
              <c:f>'CO2 - Cenário RT 4'!$L$61:$M$61</c:f>
              <c:strCache>
                <c:ptCount val="2"/>
                <c:pt idx="0">
                  <c:v>Destinação de resíduos</c:v>
                </c:pt>
                <c:pt idx="1">
                  <c:v>Líquido</c:v>
                </c:pt>
              </c:strCache>
            </c:strRef>
          </c:cat>
          <c:val>
            <c:numRef>
              <c:f>'CO2 - Cenário RT 4'!$L$73:$M$73</c:f>
              <c:numCache>
                <c:formatCode>General</c:formatCode>
                <c:ptCount val="2"/>
                <c:pt idx="0" formatCode="#,##0">
                  <c:v>0</c:v>
                </c:pt>
              </c:numCache>
            </c:numRef>
          </c:val>
          <c:extLst>
            <c:ext xmlns:c16="http://schemas.microsoft.com/office/drawing/2014/chart" uri="{C3380CC4-5D6E-409C-BE32-E72D297353CC}">
              <c16:uniqueId val="{0000000B-41BF-4F15-8E43-6262CBE7564C}"/>
            </c:ext>
          </c:extLst>
        </c:ser>
        <c:ser>
          <c:idx val="11"/>
          <c:order val="12"/>
          <c:tx>
            <c:strRef>
              <c:f>'CO2 - Cenário RT 4'!$K$74</c:f>
              <c:strCache>
                <c:ptCount val="1"/>
                <c:pt idx="0">
                  <c:v>Queima a céu aberto</c:v>
                </c:pt>
              </c:strCache>
            </c:strRef>
          </c:tx>
          <c:spPr>
            <a:pattFill prst="wdDnDiag">
              <a:fgClr>
                <a:srgbClr val="FF8080"/>
              </a:fgClr>
              <a:bgClr>
                <a:srgbClr val="FFFFFF"/>
              </a:bgClr>
            </a:pattFill>
            <a:ln w="12700">
              <a:solidFill>
                <a:srgbClr val="000000"/>
              </a:solidFill>
              <a:prstDash val="solid"/>
            </a:ln>
          </c:spPr>
          <c:invertIfNegative val="0"/>
          <c:cat>
            <c:strRef>
              <c:f>'CO2 - Cenário RT 4'!$L$61:$M$61</c:f>
              <c:strCache>
                <c:ptCount val="2"/>
                <c:pt idx="0">
                  <c:v>Destinação de resíduos</c:v>
                </c:pt>
                <c:pt idx="1">
                  <c:v>Líquido</c:v>
                </c:pt>
              </c:strCache>
            </c:strRef>
          </c:cat>
          <c:val>
            <c:numRef>
              <c:f>'CO2 - Cenário RT 4'!$L$74:$M$74</c:f>
              <c:numCache>
                <c:formatCode>General</c:formatCode>
                <c:ptCount val="2"/>
                <c:pt idx="0" formatCode="#,##0">
                  <c:v>0</c:v>
                </c:pt>
              </c:numCache>
            </c:numRef>
          </c:val>
          <c:extLst>
            <c:ext xmlns:c16="http://schemas.microsoft.com/office/drawing/2014/chart" uri="{C3380CC4-5D6E-409C-BE32-E72D297353CC}">
              <c16:uniqueId val="{0000000C-41BF-4F15-8E43-6262CBE7564C}"/>
            </c:ext>
          </c:extLst>
        </c:ser>
        <c:ser>
          <c:idx val="12"/>
          <c:order val="13"/>
          <c:tx>
            <c:strRef>
              <c:f>'CO2 - Cenário RT 4'!$K$75</c:f>
              <c:strCache>
                <c:ptCount val="1"/>
                <c:pt idx="0">
                  <c:v>Lixão não controlado</c:v>
                </c:pt>
              </c:strCache>
            </c:strRef>
          </c:tx>
          <c:spPr>
            <a:pattFill prst="wdUpDiag">
              <a:fgClr>
                <a:srgbClr val="993300"/>
              </a:fgClr>
              <a:bgClr>
                <a:srgbClr val="FFFFFF"/>
              </a:bgClr>
            </a:pattFill>
            <a:ln w="12700">
              <a:solidFill>
                <a:srgbClr val="000000"/>
              </a:solidFill>
              <a:prstDash val="solid"/>
            </a:ln>
          </c:spPr>
          <c:invertIfNegative val="0"/>
          <c:cat>
            <c:strRef>
              <c:f>'CO2 - Cenário RT 4'!$L$61:$M$61</c:f>
              <c:strCache>
                <c:ptCount val="2"/>
                <c:pt idx="0">
                  <c:v>Destinação de resíduos</c:v>
                </c:pt>
                <c:pt idx="1">
                  <c:v>Líquido</c:v>
                </c:pt>
              </c:strCache>
            </c:strRef>
          </c:cat>
          <c:val>
            <c:numRef>
              <c:f>'CO2 - Cenário RT 4'!$L$75:$M$75</c:f>
              <c:numCache>
                <c:formatCode>General</c:formatCode>
                <c:ptCount val="2"/>
                <c:pt idx="0" formatCode="#,##0">
                  <c:v>0</c:v>
                </c:pt>
              </c:numCache>
            </c:numRef>
          </c:val>
          <c:extLst>
            <c:ext xmlns:c16="http://schemas.microsoft.com/office/drawing/2014/chart" uri="{C3380CC4-5D6E-409C-BE32-E72D297353CC}">
              <c16:uniqueId val="{0000000D-41BF-4F15-8E43-6262CBE7564C}"/>
            </c:ext>
          </c:extLst>
        </c:ser>
        <c:ser>
          <c:idx val="13"/>
          <c:order val="14"/>
          <c:tx>
            <c:strRef>
              <c:f>'CO2 - Cenário RT 4'!$K$76</c:f>
              <c:strCache>
                <c:ptCount val="1"/>
                <c:pt idx="0">
                  <c:v>Aterro controlado</c:v>
                </c:pt>
              </c:strCache>
            </c:strRef>
          </c:tx>
          <c:spPr>
            <a:pattFill prst="wdDnDiag">
              <a:fgClr>
                <a:srgbClr val="99CC00"/>
              </a:fgClr>
              <a:bgClr>
                <a:srgbClr val="FFFFFF"/>
              </a:bgClr>
            </a:pattFill>
            <a:ln w="12700">
              <a:solidFill>
                <a:srgbClr val="000000"/>
              </a:solidFill>
              <a:prstDash val="solid"/>
            </a:ln>
          </c:spPr>
          <c:invertIfNegative val="0"/>
          <c:cat>
            <c:strRef>
              <c:f>'CO2 - Cenário RT 4'!$L$61:$M$61</c:f>
              <c:strCache>
                <c:ptCount val="2"/>
                <c:pt idx="0">
                  <c:v>Destinação de resíduos</c:v>
                </c:pt>
                <c:pt idx="1">
                  <c:v>Líquido</c:v>
                </c:pt>
              </c:strCache>
            </c:strRef>
          </c:cat>
          <c:val>
            <c:numRef>
              <c:f>'CO2 - Cenário RT 4'!$L$76:$M$76</c:f>
              <c:numCache>
                <c:formatCode>General</c:formatCode>
                <c:ptCount val="2"/>
                <c:pt idx="0" formatCode="#,##0">
                  <c:v>0</c:v>
                </c:pt>
              </c:numCache>
            </c:numRef>
          </c:val>
          <c:extLst>
            <c:ext xmlns:c16="http://schemas.microsoft.com/office/drawing/2014/chart" uri="{C3380CC4-5D6E-409C-BE32-E72D297353CC}">
              <c16:uniqueId val="{0000000E-41BF-4F15-8E43-6262CBE7564C}"/>
            </c:ext>
          </c:extLst>
        </c:ser>
        <c:ser>
          <c:idx val="14"/>
          <c:order val="15"/>
          <c:tx>
            <c:strRef>
              <c:f>'CO2 - Cenário RT 4'!$K$77</c:f>
              <c:strCache>
                <c:ptCount val="1"/>
                <c:pt idx="0">
                  <c:v>Aterro sanitário</c:v>
                </c:pt>
              </c:strCache>
            </c:strRef>
          </c:tx>
          <c:spPr>
            <a:pattFill prst="wdUpDiag">
              <a:fgClr>
                <a:srgbClr val="FFFF00"/>
              </a:fgClr>
              <a:bgClr>
                <a:srgbClr val="FFFFFF"/>
              </a:bgClr>
            </a:pattFill>
            <a:ln w="12700">
              <a:solidFill>
                <a:srgbClr val="000000"/>
              </a:solidFill>
              <a:prstDash val="solid"/>
            </a:ln>
          </c:spPr>
          <c:invertIfNegative val="0"/>
          <c:cat>
            <c:strRef>
              <c:f>'CO2 - Cenário RT 4'!$L$61:$M$61</c:f>
              <c:strCache>
                <c:ptCount val="2"/>
                <c:pt idx="0">
                  <c:v>Destinação de resíduos</c:v>
                </c:pt>
                <c:pt idx="1">
                  <c:v>Líquido</c:v>
                </c:pt>
              </c:strCache>
            </c:strRef>
          </c:cat>
          <c:val>
            <c:numRef>
              <c:f>'CO2 - Cenário RT 4'!$L$77:$M$77</c:f>
              <c:numCache>
                <c:formatCode>General</c:formatCode>
                <c:ptCount val="2"/>
                <c:pt idx="0" formatCode="#,##0">
                  <c:v>0</c:v>
                </c:pt>
              </c:numCache>
            </c:numRef>
          </c:val>
          <c:extLst>
            <c:ext xmlns:c16="http://schemas.microsoft.com/office/drawing/2014/chart" uri="{C3380CC4-5D6E-409C-BE32-E72D297353CC}">
              <c16:uniqueId val="{0000000F-41BF-4F15-8E43-6262CBE7564C}"/>
            </c:ext>
          </c:extLst>
        </c:ser>
        <c:ser>
          <c:idx val="15"/>
          <c:order val="16"/>
          <c:tx>
            <c:strRef>
              <c:f>'CO2 - Cenário RT 4'!$K$78</c:f>
              <c:strCache>
                <c:ptCount val="1"/>
                <c:pt idx="0">
                  <c:v>Trat. biol + cobertura at.</c:v>
                </c:pt>
              </c:strCache>
            </c:strRef>
          </c:tx>
          <c:spPr>
            <a:pattFill prst="wdDnDiag">
              <a:fgClr>
                <a:srgbClr val="FF00FF"/>
              </a:fgClr>
              <a:bgClr>
                <a:srgbClr val="FFFFFF"/>
              </a:bgClr>
            </a:pattFill>
            <a:ln w="12700">
              <a:solidFill>
                <a:srgbClr val="000000"/>
              </a:solidFill>
              <a:prstDash val="solid"/>
            </a:ln>
          </c:spPr>
          <c:invertIfNegative val="0"/>
          <c:cat>
            <c:strRef>
              <c:f>'CO2 - Cenário RT 4'!$L$61:$M$61</c:f>
              <c:strCache>
                <c:ptCount val="2"/>
                <c:pt idx="0">
                  <c:v>Destinação de resíduos</c:v>
                </c:pt>
                <c:pt idx="1">
                  <c:v>Líquido</c:v>
                </c:pt>
              </c:strCache>
            </c:strRef>
          </c:cat>
          <c:val>
            <c:numRef>
              <c:f>'CO2 - Cenário RT 4'!$L$78:$M$78</c:f>
              <c:numCache>
                <c:formatCode>General</c:formatCode>
                <c:ptCount val="2"/>
                <c:pt idx="0" formatCode="#,##0">
                  <c:v>0</c:v>
                </c:pt>
              </c:numCache>
            </c:numRef>
          </c:val>
          <c:extLst>
            <c:ext xmlns:c16="http://schemas.microsoft.com/office/drawing/2014/chart" uri="{C3380CC4-5D6E-409C-BE32-E72D297353CC}">
              <c16:uniqueId val="{00000010-41BF-4F15-8E43-6262CBE7564C}"/>
            </c:ext>
          </c:extLst>
        </c:ser>
        <c:ser>
          <c:idx val="16"/>
          <c:order val="17"/>
          <c:tx>
            <c:strRef>
              <c:f>'CO2 - Cenário RT 4'!$K$79</c:f>
              <c:strCache>
                <c:ptCount val="1"/>
                <c:pt idx="0">
                  <c:v>CDR seco + rejeito aterro</c:v>
                </c:pt>
              </c:strCache>
            </c:strRef>
          </c:tx>
          <c:spPr>
            <a:pattFill prst="wdUpDiag">
              <a:fgClr>
                <a:srgbClr val="008080"/>
              </a:fgClr>
              <a:bgClr>
                <a:srgbClr val="FFFFFF"/>
              </a:bgClr>
            </a:pattFill>
            <a:ln w="12700">
              <a:solidFill>
                <a:srgbClr val="000000"/>
              </a:solidFill>
              <a:prstDash val="solid"/>
            </a:ln>
          </c:spPr>
          <c:invertIfNegative val="0"/>
          <c:cat>
            <c:strRef>
              <c:f>'CO2 - Cenário RT 4'!$L$61:$M$61</c:f>
              <c:strCache>
                <c:ptCount val="2"/>
                <c:pt idx="0">
                  <c:v>Destinação de resíduos</c:v>
                </c:pt>
                <c:pt idx="1">
                  <c:v>Líquido</c:v>
                </c:pt>
              </c:strCache>
            </c:strRef>
          </c:cat>
          <c:val>
            <c:numRef>
              <c:f>'CO2 - Cenário RT 4'!$L$79:$M$79</c:f>
              <c:numCache>
                <c:formatCode>General</c:formatCode>
                <c:ptCount val="2"/>
                <c:pt idx="0" formatCode="#,##0">
                  <c:v>0</c:v>
                </c:pt>
              </c:numCache>
            </c:numRef>
          </c:val>
          <c:extLst>
            <c:ext xmlns:c16="http://schemas.microsoft.com/office/drawing/2014/chart" uri="{C3380CC4-5D6E-409C-BE32-E72D297353CC}">
              <c16:uniqueId val="{00000011-41BF-4F15-8E43-6262CBE7564C}"/>
            </c:ext>
          </c:extLst>
        </c:ser>
        <c:ser>
          <c:idx val="17"/>
          <c:order val="18"/>
          <c:tx>
            <c:strRef>
              <c:f>'CO2 - Cenário RT 4'!$K$80</c:f>
              <c:strCache>
                <c:ptCount val="1"/>
                <c:pt idx="0">
                  <c:v>CDR seco + trat. biol.</c:v>
                </c:pt>
              </c:strCache>
            </c:strRef>
          </c:tx>
          <c:spPr>
            <a:pattFill prst="wdDnDiag">
              <a:fgClr>
                <a:srgbClr val="FF9900"/>
              </a:fgClr>
              <a:bgClr>
                <a:srgbClr val="FFFFFF"/>
              </a:bgClr>
            </a:pattFill>
            <a:ln w="12700">
              <a:solidFill>
                <a:srgbClr val="000000"/>
              </a:solidFill>
              <a:prstDash val="solid"/>
            </a:ln>
          </c:spPr>
          <c:invertIfNegative val="0"/>
          <c:cat>
            <c:strRef>
              <c:f>'CO2 - Cenário RT 4'!$L$61:$M$61</c:f>
              <c:strCache>
                <c:ptCount val="2"/>
                <c:pt idx="0">
                  <c:v>Destinação de resíduos</c:v>
                </c:pt>
                <c:pt idx="1">
                  <c:v>Líquido</c:v>
                </c:pt>
              </c:strCache>
            </c:strRef>
          </c:cat>
          <c:val>
            <c:numRef>
              <c:f>'CO2 - Cenário RT 4'!$L$80:$M$80</c:f>
              <c:numCache>
                <c:formatCode>General</c:formatCode>
                <c:ptCount val="2"/>
                <c:pt idx="0" formatCode="#,##0">
                  <c:v>0</c:v>
                </c:pt>
              </c:numCache>
            </c:numRef>
          </c:val>
          <c:extLst>
            <c:ext xmlns:c16="http://schemas.microsoft.com/office/drawing/2014/chart" uri="{C3380CC4-5D6E-409C-BE32-E72D297353CC}">
              <c16:uniqueId val="{00000012-41BF-4F15-8E43-6262CBE7564C}"/>
            </c:ext>
          </c:extLst>
        </c:ser>
        <c:ser>
          <c:idx val="22"/>
          <c:order val="19"/>
          <c:tx>
            <c:strRef>
              <c:f>'CO2 - Cenário RT 4'!$K$81</c:f>
              <c:strCache>
                <c:ptCount val="1"/>
                <c:pt idx="0">
                  <c:v>CDR seco + CDR org.</c:v>
                </c:pt>
              </c:strCache>
            </c:strRef>
          </c:tx>
          <c:spPr>
            <a:pattFill prst="wdUpDiag">
              <a:fgClr>
                <a:srgbClr val="00B0F0"/>
              </a:fgClr>
              <a:bgClr>
                <a:schemeClr val="bg1"/>
              </a:bgClr>
            </a:pattFill>
            <a:ln w="12700">
              <a:solidFill>
                <a:srgbClr val="000000"/>
              </a:solidFill>
            </a:ln>
          </c:spPr>
          <c:invertIfNegative val="0"/>
          <c:cat>
            <c:strRef>
              <c:f>'CO2 - Cenário RT 4'!$L$61:$M$61</c:f>
              <c:strCache>
                <c:ptCount val="2"/>
                <c:pt idx="0">
                  <c:v>Destinação de resíduos</c:v>
                </c:pt>
                <c:pt idx="1">
                  <c:v>Líquido</c:v>
                </c:pt>
              </c:strCache>
            </c:strRef>
          </c:cat>
          <c:val>
            <c:numRef>
              <c:f>'CO2 - Cenário RT 4'!$L$81:$M$81</c:f>
              <c:numCache>
                <c:formatCode>General</c:formatCode>
                <c:ptCount val="2"/>
                <c:pt idx="0" formatCode="#,##0">
                  <c:v>0</c:v>
                </c:pt>
              </c:numCache>
            </c:numRef>
          </c:val>
          <c:extLst>
            <c:ext xmlns:c16="http://schemas.microsoft.com/office/drawing/2014/chart" uri="{C3380CC4-5D6E-409C-BE32-E72D297353CC}">
              <c16:uniqueId val="{00000013-41BF-4F15-8E43-6262CBE7564C}"/>
            </c:ext>
          </c:extLst>
        </c:ser>
        <c:ser>
          <c:idx val="18"/>
          <c:order val="20"/>
          <c:tx>
            <c:strRef>
              <c:f>'CO2 - Cenário RT 4'!$K$82</c:f>
              <c:strCache>
                <c:ptCount val="1"/>
                <c:pt idx="0">
                  <c:v>Incineração</c:v>
                </c:pt>
              </c:strCache>
            </c:strRef>
          </c:tx>
          <c:spPr>
            <a:pattFill prst="wdDnDiag">
              <a:fgClr>
                <a:srgbClr val="CCCCFF"/>
              </a:fgClr>
              <a:bgClr>
                <a:srgbClr val="FFFFFF"/>
              </a:bgClr>
            </a:pattFill>
            <a:ln w="12700">
              <a:solidFill>
                <a:srgbClr val="000000"/>
              </a:solidFill>
              <a:prstDash val="solid"/>
            </a:ln>
          </c:spPr>
          <c:invertIfNegative val="0"/>
          <c:cat>
            <c:strRef>
              <c:f>'CO2 - Cenário RT 4'!$L$61:$M$61</c:f>
              <c:strCache>
                <c:ptCount val="2"/>
                <c:pt idx="0">
                  <c:v>Destinação de resíduos</c:v>
                </c:pt>
                <c:pt idx="1">
                  <c:v>Líquido</c:v>
                </c:pt>
              </c:strCache>
            </c:strRef>
          </c:cat>
          <c:val>
            <c:numRef>
              <c:f>'CO2 - Cenário RT 4'!$L$82:$M$82</c:f>
              <c:numCache>
                <c:formatCode>General</c:formatCode>
                <c:ptCount val="2"/>
                <c:pt idx="0" formatCode="#,##0">
                  <c:v>-443.24404907404056</c:v>
                </c:pt>
              </c:numCache>
            </c:numRef>
          </c:val>
          <c:extLst>
            <c:ext xmlns:c16="http://schemas.microsoft.com/office/drawing/2014/chart" uri="{C3380CC4-5D6E-409C-BE32-E72D297353CC}">
              <c16:uniqueId val="{00000014-41BF-4F15-8E43-6262CBE7564C}"/>
            </c:ext>
          </c:extLst>
        </c:ser>
        <c:ser>
          <c:idx val="19"/>
          <c:order val="21"/>
          <c:tx>
            <c:strRef>
              <c:f>'CO2 - Cenário RT 4'!$K$83</c:f>
              <c:strCache>
                <c:ptCount val="1"/>
                <c:pt idx="0">
                  <c:v>Créditos</c:v>
                </c:pt>
              </c:strCache>
            </c:strRef>
          </c:tx>
          <c:spPr>
            <a:noFill/>
            <a:ln w="25400">
              <a:noFill/>
            </a:ln>
          </c:spPr>
          <c:invertIfNegative val="0"/>
          <c:cat>
            <c:strRef>
              <c:f>'CO2 - Cenário RT 4'!$L$61:$M$61</c:f>
              <c:strCache>
                <c:ptCount val="2"/>
                <c:pt idx="0">
                  <c:v>Destinação de resíduos</c:v>
                </c:pt>
                <c:pt idx="1">
                  <c:v>Líquido</c:v>
                </c:pt>
              </c:strCache>
            </c:strRef>
          </c:cat>
          <c:val>
            <c:numRef>
              <c:f>'CO2 - Cenário RT 4'!$L$83:$M$83</c:f>
              <c:numCache>
                <c:formatCode>General</c:formatCode>
                <c:ptCount val="2"/>
              </c:numCache>
            </c:numRef>
          </c:val>
          <c:extLst>
            <c:ext xmlns:c16="http://schemas.microsoft.com/office/drawing/2014/chart" uri="{C3380CC4-5D6E-409C-BE32-E72D297353CC}">
              <c16:uniqueId val="{00000015-41BF-4F15-8E43-6262CBE7564C}"/>
            </c:ext>
          </c:extLst>
        </c:ser>
        <c:ser>
          <c:idx val="20"/>
          <c:order val="22"/>
          <c:tx>
            <c:strRef>
              <c:f>'CO2 - Cenário RT 4'!$K$84</c:f>
              <c:strCache>
                <c:ptCount val="1"/>
                <c:pt idx="0">
                  <c:v>Líquido</c:v>
                </c:pt>
              </c:strCache>
            </c:strRef>
          </c:tx>
          <c:spPr>
            <a:solidFill>
              <a:srgbClr val="0000FF"/>
            </a:solidFill>
            <a:ln w="12700">
              <a:solidFill>
                <a:srgbClr val="000000"/>
              </a:solidFill>
              <a:prstDash val="solid"/>
            </a:ln>
          </c:spPr>
          <c:invertIfNegative val="0"/>
          <c:cat>
            <c:strRef>
              <c:f>'CO2 - Cenário RT 4'!$L$61:$M$61</c:f>
              <c:strCache>
                <c:ptCount val="2"/>
                <c:pt idx="0">
                  <c:v>Destinação de resíduos</c:v>
                </c:pt>
                <c:pt idx="1">
                  <c:v>Líquido</c:v>
                </c:pt>
              </c:strCache>
            </c:strRef>
          </c:cat>
          <c:val>
            <c:numRef>
              <c:f>'CO2 - Cenário RT 4'!$L$84:$M$84</c:f>
              <c:numCache>
                <c:formatCode>#,##0</c:formatCode>
                <c:ptCount val="2"/>
                <c:pt idx="1">
                  <c:v>9963.9357074826476</c:v>
                </c:pt>
              </c:numCache>
            </c:numRef>
          </c:val>
          <c:extLst>
            <c:ext xmlns:c16="http://schemas.microsoft.com/office/drawing/2014/chart" uri="{C3380CC4-5D6E-409C-BE32-E72D297353CC}">
              <c16:uniqueId val="{00000016-41BF-4F15-8E43-6262CBE7564C}"/>
            </c:ext>
          </c:extLst>
        </c:ser>
        <c:dLbls>
          <c:showLegendKey val="0"/>
          <c:showVal val="0"/>
          <c:showCatName val="0"/>
          <c:showSerName val="0"/>
          <c:showPercent val="0"/>
          <c:showBubbleSize val="0"/>
        </c:dLbls>
        <c:gapWidth val="100"/>
        <c:overlap val="100"/>
        <c:axId val="198032768"/>
        <c:axId val="198046848"/>
      </c:barChart>
      <c:catAx>
        <c:axId val="198032768"/>
        <c:scaling>
          <c:orientation val="minMax"/>
        </c:scaling>
        <c:delete val="0"/>
        <c:axPos val="b"/>
        <c:numFmt formatCode="General" sourceLinked="1"/>
        <c:majorTickMark val="out"/>
        <c:minorTickMark val="none"/>
        <c:tickLblPos val="low"/>
        <c:spPr>
          <a:ln w="3175">
            <a:solidFill>
              <a:srgbClr val="000000"/>
            </a:solidFill>
            <a:prstDash val="solid"/>
          </a:ln>
        </c:spPr>
        <c:txPr>
          <a:bodyPr rot="0" vert="horz"/>
          <a:lstStyle/>
          <a:p>
            <a:pPr>
              <a:defRPr sz="875" b="1" i="0" u="none" strike="noStrike" baseline="0">
                <a:solidFill>
                  <a:srgbClr val="000000"/>
                </a:solidFill>
                <a:latin typeface="Arial"/>
                <a:ea typeface="Arial"/>
                <a:cs typeface="Arial"/>
              </a:defRPr>
            </a:pPr>
            <a:endParaRPr lang="pt-BR"/>
          </a:p>
        </c:txPr>
        <c:crossAx val="198046848"/>
        <c:crosses val="autoZero"/>
        <c:auto val="1"/>
        <c:lblAlgn val="ctr"/>
        <c:lblOffset val="100"/>
        <c:tickLblSkip val="1"/>
        <c:tickMarkSkip val="1"/>
        <c:noMultiLvlLbl val="0"/>
      </c:catAx>
      <c:valAx>
        <c:axId val="198046848"/>
        <c:scaling>
          <c:orientation val="minMax"/>
        </c:scaling>
        <c:delete val="0"/>
        <c:axPos val="l"/>
        <c:majorGridlines>
          <c:spPr>
            <a:ln w="3175">
              <a:solidFill>
                <a:srgbClr val="000000"/>
              </a:solidFill>
              <a:prstDash val="solid"/>
            </a:ln>
          </c:spPr>
        </c:majorGridlines>
        <c:title>
          <c:tx>
            <c:rich>
              <a:bodyPr/>
              <a:lstStyle/>
              <a:p>
                <a:pPr>
                  <a:defRPr sz="875" b="1" i="0" u="none" strike="noStrike" baseline="0">
                    <a:solidFill>
                      <a:sysClr val="windowText" lastClr="000000"/>
                    </a:solidFill>
                    <a:latin typeface="Arial"/>
                    <a:ea typeface="Arial"/>
                    <a:cs typeface="Arial"/>
                  </a:defRPr>
                </a:pPr>
                <a:r>
                  <a:rPr lang="de-DE">
                    <a:solidFill>
                      <a:sysClr val="windowText" lastClr="000000"/>
                    </a:solidFill>
                  </a:rPr>
                  <a:t>tonelada CO2-eq / ano</a:t>
                </a:r>
              </a:p>
            </c:rich>
          </c:tx>
          <c:layout>
            <c:manualLayout>
              <c:xMode val="edge"/>
              <c:yMode val="edge"/>
              <c:x val="3.0684130583057021E-3"/>
              <c:y val="0.3751722955236233"/>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75" b="0" i="0" u="none" strike="noStrike" baseline="0">
                <a:solidFill>
                  <a:srgbClr val="000000"/>
                </a:solidFill>
                <a:latin typeface="Arial"/>
                <a:ea typeface="Arial"/>
                <a:cs typeface="Arial"/>
              </a:defRPr>
            </a:pPr>
            <a:endParaRPr lang="pt-BR"/>
          </a:p>
        </c:txPr>
        <c:crossAx val="198032768"/>
        <c:crosses val="autoZero"/>
        <c:crossBetween val="between"/>
      </c:valAx>
      <c:spPr>
        <a:noFill/>
        <a:ln w="12700">
          <a:solidFill>
            <a:srgbClr val="808080"/>
          </a:solidFill>
          <a:prstDash val="solid"/>
        </a:ln>
      </c:spPr>
    </c:plotArea>
    <c:legend>
      <c:legendPos val="r"/>
      <c:legendEntry>
        <c:idx val="0"/>
        <c:txPr>
          <a:bodyPr/>
          <a:lstStyle/>
          <a:p>
            <a:pPr>
              <a:defRPr sz="780" b="1" i="0" u="none" strike="noStrike" baseline="0">
                <a:solidFill>
                  <a:srgbClr val="000000"/>
                </a:solidFill>
                <a:latin typeface="Arial"/>
                <a:ea typeface="Arial"/>
                <a:cs typeface="Arial"/>
              </a:defRPr>
            </a:pPr>
            <a:endParaRPr lang="pt-BR"/>
          </a:p>
        </c:txPr>
      </c:legendEntry>
      <c:legendEntry>
        <c:idx val="1"/>
        <c:txPr>
          <a:bodyPr/>
          <a:lstStyle/>
          <a:p>
            <a:pPr>
              <a:defRPr sz="780" b="1" i="0" u="none" strike="noStrike" baseline="0">
                <a:solidFill>
                  <a:srgbClr val="000000"/>
                </a:solidFill>
                <a:latin typeface="Arial"/>
                <a:ea typeface="Arial"/>
                <a:cs typeface="Arial"/>
              </a:defRPr>
            </a:pPr>
            <a:endParaRPr lang="pt-BR"/>
          </a:p>
        </c:txPr>
      </c:legendEntry>
      <c:legendEntry>
        <c:idx val="5"/>
        <c:txPr>
          <a:bodyPr/>
          <a:lstStyle/>
          <a:p>
            <a:pPr>
              <a:defRPr sz="780" b="0" i="0" u="none" strike="noStrike" baseline="0">
                <a:solidFill>
                  <a:srgbClr val="000000"/>
                </a:solidFill>
                <a:latin typeface="Arial"/>
                <a:ea typeface="Arial"/>
                <a:cs typeface="Arial"/>
              </a:defRPr>
            </a:pPr>
            <a:endParaRPr lang="pt-BR"/>
          </a:p>
        </c:txPr>
      </c:legendEntry>
      <c:legendEntry>
        <c:idx val="6"/>
        <c:txPr>
          <a:bodyPr/>
          <a:lstStyle/>
          <a:p>
            <a:pPr>
              <a:defRPr sz="780" b="0" i="0" u="none" strike="noStrike" baseline="0">
                <a:solidFill>
                  <a:srgbClr val="000000"/>
                </a:solidFill>
                <a:latin typeface="Arial"/>
                <a:ea typeface="Arial"/>
                <a:cs typeface="Arial"/>
              </a:defRPr>
            </a:pPr>
            <a:endParaRPr lang="pt-BR"/>
          </a:p>
        </c:txPr>
      </c:legendEntry>
      <c:legendEntry>
        <c:idx val="9"/>
        <c:txPr>
          <a:bodyPr/>
          <a:lstStyle/>
          <a:p>
            <a:pPr>
              <a:defRPr sz="780" b="0" i="0" u="none" strike="noStrike" baseline="0">
                <a:solidFill>
                  <a:srgbClr val="000000"/>
                </a:solidFill>
                <a:latin typeface="Arial"/>
                <a:ea typeface="Arial"/>
                <a:cs typeface="Arial"/>
              </a:defRPr>
            </a:pPr>
            <a:endParaRPr lang="pt-BR"/>
          </a:p>
        </c:txPr>
      </c:legendEntry>
      <c:legendEntry>
        <c:idx val="10"/>
        <c:txPr>
          <a:bodyPr/>
          <a:lstStyle/>
          <a:p>
            <a:pPr>
              <a:defRPr sz="780" b="0" i="0" u="none" strike="noStrike" baseline="0">
                <a:solidFill>
                  <a:srgbClr val="000000"/>
                </a:solidFill>
                <a:latin typeface="Arial"/>
                <a:ea typeface="Arial"/>
                <a:cs typeface="Arial"/>
              </a:defRPr>
            </a:pPr>
            <a:endParaRPr lang="pt-BR"/>
          </a:p>
        </c:txPr>
      </c:legendEntry>
      <c:legendEntry>
        <c:idx val="12"/>
        <c:txPr>
          <a:bodyPr/>
          <a:lstStyle/>
          <a:p>
            <a:pPr>
              <a:defRPr sz="780" b="1" i="0" u="none" strike="noStrike" baseline="0">
                <a:solidFill>
                  <a:srgbClr val="000000"/>
                </a:solidFill>
                <a:latin typeface="Arial"/>
                <a:ea typeface="Arial"/>
                <a:cs typeface="Arial"/>
              </a:defRPr>
            </a:pPr>
            <a:endParaRPr lang="pt-BR"/>
          </a:p>
        </c:txPr>
      </c:legendEntry>
      <c:legendEntry>
        <c:idx val="15"/>
        <c:txPr>
          <a:bodyPr/>
          <a:lstStyle/>
          <a:p>
            <a:pPr>
              <a:defRPr sz="780" b="0" i="0" u="none" strike="noStrike" baseline="0">
                <a:solidFill>
                  <a:srgbClr val="000000"/>
                </a:solidFill>
                <a:latin typeface="Arial"/>
                <a:ea typeface="Arial"/>
                <a:cs typeface="Arial"/>
              </a:defRPr>
            </a:pPr>
            <a:endParaRPr lang="pt-BR"/>
          </a:p>
        </c:txPr>
      </c:legendEntry>
      <c:legendEntry>
        <c:idx val="17"/>
        <c:txPr>
          <a:bodyPr/>
          <a:lstStyle/>
          <a:p>
            <a:pPr>
              <a:defRPr sz="780" b="0" i="0" u="none" strike="noStrike" baseline="0">
                <a:solidFill>
                  <a:srgbClr val="000000"/>
                </a:solidFill>
                <a:latin typeface="Arial"/>
                <a:ea typeface="Arial"/>
                <a:cs typeface="Arial"/>
              </a:defRPr>
            </a:pPr>
            <a:endParaRPr lang="pt-BR"/>
          </a:p>
        </c:txPr>
      </c:legendEntry>
      <c:layout>
        <c:manualLayout>
          <c:xMode val="edge"/>
          <c:yMode val="edge"/>
          <c:x val="0.70957775489186381"/>
          <c:y val="1.5172413793103448E-2"/>
          <c:w val="0.28823678878313236"/>
          <c:h val="0.97158433452518422"/>
        </c:manualLayout>
      </c:layout>
      <c:overlay val="0"/>
      <c:spPr>
        <a:solidFill>
          <a:srgbClr val="FFFFFF"/>
        </a:solidFill>
        <a:ln w="3175">
          <a:solidFill>
            <a:srgbClr val="000000"/>
          </a:solidFill>
          <a:prstDash val="solid"/>
        </a:ln>
      </c:spPr>
      <c:txPr>
        <a:bodyPr/>
        <a:lstStyle/>
        <a:p>
          <a:pPr>
            <a:defRPr sz="780" b="0" i="0" u="none" strike="noStrike" baseline="0">
              <a:solidFill>
                <a:srgbClr val="000000"/>
              </a:solidFill>
              <a:latin typeface="Arial"/>
              <a:ea typeface="Arial"/>
              <a:cs typeface="Arial"/>
            </a:defRPr>
          </a:pPr>
          <a:endParaRPr lang="pt-BR"/>
        </a:p>
      </c:txPr>
    </c:legend>
    <c:plotVisOnly val="1"/>
    <c:dispBlanksAs val="gap"/>
    <c:showDLblsOverMax val="0"/>
  </c:chart>
  <c:spPr>
    <a:solidFill>
      <a:srgbClr val="FFFFFF"/>
    </a:solid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pt-BR"/>
    </a:p>
  </c:txPr>
  <c:printSettings>
    <c:headerFooter alignWithMargins="0"/>
    <c:pageMargins b="0.98425196899999978" l="0.78740157499999996" r="0.78740157499999996" t="0.98425196899999978" header="0.49212598450000011" footer="0.49212598450000011"/>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50" b="1" i="0" u="none" strike="noStrike" baseline="0">
                <a:solidFill>
                  <a:srgbClr val="000000"/>
                </a:solidFill>
                <a:latin typeface="Arial"/>
                <a:ea typeface="Arial"/>
                <a:cs typeface="Arial"/>
              </a:defRPr>
            </a:pPr>
            <a:r>
              <a:rPr lang="de-DE"/>
              <a:t>Emissões de GEE</a:t>
            </a:r>
          </a:p>
        </c:rich>
      </c:tx>
      <c:layout>
        <c:manualLayout>
          <c:xMode val="edge"/>
          <c:yMode val="edge"/>
          <c:x val="0.40831758034026489"/>
          <c:y val="1.5363128491620118E-2"/>
        </c:manualLayout>
      </c:layout>
      <c:overlay val="0"/>
      <c:spPr>
        <a:noFill/>
        <a:ln w="25400">
          <a:noFill/>
        </a:ln>
      </c:spPr>
    </c:title>
    <c:autoTitleDeleted val="0"/>
    <c:plotArea>
      <c:layout>
        <c:manualLayout>
          <c:layoutTarget val="inner"/>
          <c:xMode val="edge"/>
          <c:yMode val="edge"/>
          <c:x val="0.17958412098298676"/>
          <c:y val="0.11312849162011174"/>
          <c:w val="0.78827977315690001"/>
          <c:h val="0.77374301675977719"/>
        </c:manualLayout>
      </c:layout>
      <c:barChart>
        <c:barDir val="col"/>
        <c:grouping val="clustered"/>
        <c:varyColors val="0"/>
        <c:ser>
          <c:idx val="0"/>
          <c:order val="0"/>
          <c:tx>
            <c:strRef>
              <c:f>'CO2 - Cenário RT 4'!$G$53</c:f>
              <c:strCache>
                <c:ptCount val="1"/>
                <c:pt idx="0">
                  <c:v>Débitos</c:v>
                </c:pt>
              </c:strCache>
            </c:strRef>
          </c:tx>
          <c:spPr>
            <a:solidFill>
              <a:srgbClr val="FFCC99"/>
            </a:solidFill>
            <a:ln w="12700">
              <a:solidFill>
                <a:srgbClr val="000000"/>
              </a:solidFill>
              <a:prstDash val="solid"/>
            </a:ln>
          </c:spPr>
          <c:invertIfNegative val="0"/>
          <c:cat>
            <c:strRef>
              <c:f>'CO2 - Cenário RT 4'!$H$52:$J$52</c:f>
              <c:strCache>
                <c:ptCount val="3"/>
                <c:pt idx="0">
                  <c:v>Resíduo reciclado</c:v>
                </c:pt>
                <c:pt idx="1">
                  <c:v>Destinação de resíduo</c:v>
                </c:pt>
                <c:pt idx="2">
                  <c:v>RSU total</c:v>
                </c:pt>
              </c:strCache>
            </c:strRef>
          </c:cat>
          <c:val>
            <c:numRef>
              <c:f>'CO2 - Cenário RT 4'!$H$53:$J$53</c:f>
              <c:numCache>
                <c:formatCode>#,##0</c:formatCode>
                <c:ptCount val="3"/>
                <c:pt idx="0">
                  <c:v>1665.6439969728001</c:v>
                </c:pt>
                <c:pt idx="1">
                  <c:v>10407.179756556689</c:v>
                </c:pt>
                <c:pt idx="2">
                  <c:v>12072.823753529488</c:v>
                </c:pt>
              </c:numCache>
            </c:numRef>
          </c:val>
          <c:extLst>
            <c:ext xmlns:c16="http://schemas.microsoft.com/office/drawing/2014/chart" uri="{C3380CC4-5D6E-409C-BE32-E72D297353CC}">
              <c16:uniqueId val="{00000000-1A6C-4211-AF9C-864758AFB018}"/>
            </c:ext>
          </c:extLst>
        </c:ser>
        <c:ser>
          <c:idx val="1"/>
          <c:order val="1"/>
          <c:tx>
            <c:strRef>
              <c:f>'CO2 - Cenário RT 4'!$G$54</c:f>
              <c:strCache>
                <c:ptCount val="1"/>
                <c:pt idx="0">
                  <c:v>Créditos</c:v>
                </c:pt>
              </c:strCache>
            </c:strRef>
          </c:tx>
          <c:spPr>
            <a:pattFill prst="wdUpDiag">
              <a:fgClr>
                <a:srgbClr val="FF99CC"/>
              </a:fgClr>
              <a:bgClr>
                <a:srgbClr val="800080"/>
              </a:bgClr>
            </a:pattFill>
            <a:ln w="12700">
              <a:solidFill>
                <a:srgbClr val="000000"/>
              </a:solidFill>
              <a:prstDash val="solid"/>
            </a:ln>
          </c:spPr>
          <c:invertIfNegative val="0"/>
          <c:cat>
            <c:strRef>
              <c:f>'CO2 - Cenário RT 4'!$H$52:$J$52</c:f>
              <c:strCache>
                <c:ptCount val="3"/>
                <c:pt idx="0">
                  <c:v>Resíduo reciclado</c:v>
                </c:pt>
                <c:pt idx="1">
                  <c:v>Destinação de resíduo</c:v>
                </c:pt>
                <c:pt idx="2">
                  <c:v>RSU total</c:v>
                </c:pt>
              </c:strCache>
            </c:strRef>
          </c:cat>
          <c:val>
            <c:numRef>
              <c:f>'CO2 - Cenário RT 4'!$H$54:$J$54</c:f>
              <c:numCache>
                <c:formatCode>#,##0</c:formatCode>
                <c:ptCount val="3"/>
                <c:pt idx="0">
                  <c:v>-5018.9513721984003</c:v>
                </c:pt>
                <c:pt idx="1">
                  <c:v>-443.24404907404056</c:v>
                </c:pt>
                <c:pt idx="2">
                  <c:v>-5462.1954212724413</c:v>
                </c:pt>
              </c:numCache>
            </c:numRef>
          </c:val>
          <c:extLst>
            <c:ext xmlns:c16="http://schemas.microsoft.com/office/drawing/2014/chart" uri="{C3380CC4-5D6E-409C-BE32-E72D297353CC}">
              <c16:uniqueId val="{00000001-1A6C-4211-AF9C-864758AFB018}"/>
            </c:ext>
          </c:extLst>
        </c:ser>
        <c:ser>
          <c:idx val="2"/>
          <c:order val="2"/>
          <c:tx>
            <c:strRef>
              <c:f>'CO2 - Cenário RT 4'!$G$55</c:f>
              <c:strCache>
                <c:ptCount val="1"/>
                <c:pt idx="0">
                  <c:v>Líquido</c:v>
                </c:pt>
              </c:strCache>
            </c:strRef>
          </c:tx>
          <c:spPr>
            <a:solidFill>
              <a:srgbClr val="0000FF"/>
            </a:solidFill>
            <a:ln w="12700">
              <a:solidFill>
                <a:srgbClr val="000000"/>
              </a:solidFill>
              <a:prstDash val="solid"/>
            </a:ln>
          </c:spPr>
          <c:invertIfNegative val="0"/>
          <c:cat>
            <c:strRef>
              <c:f>'CO2 - Cenário RT 4'!$H$52:$J$52</c:f>
              <c:strCache>
                <c:ptCount val="3"/>
                <c:pt idx="0">
                  <c:v>Resíduo reciclado</c:v>
                </c:pt>
                <c:pt idx="1">
                  <c:v>Destinação de resíduo</c:v>
                </c:pt>
                <c:pt idx="2">
                  <c:v>RSU total</c:v>
                </c:pt>
              </c:strCache>
            </c:strRef>
          </c:cat>
          <c:val>
            <c:numRef>
              <c:f>'CO2 - Cenário RT 4'!$H$55:$J$55</c:f>
              <c:numCache>
                <c:formatCode>#,##0</c:formatCode>
                <c:ptCount val="3"/>
                <c:pt idx="0">
                  <c:v>-3353.3073752256005</c:v>
                </c:pt>
                <c:pt idx="1">
                  <c:v>9963.9357074826476</c:v>
                </c:pt>
                <c:pt idx="2">
                  <c:v>6610.6283322570471</c:v>
                </c:pt>
              </c:numCache>
            </c:numRef>
          </c:val>
          <c:extLst>
            <c:ext xmlns:c16="http://schemas.microsoft.com/office/drawing/2014/chart" uri="{C3380CC4-5D6E-409C-BE32-E72D297353CC}">
              <c16:uniqueId val="{00000002-1A6C-4211-AF9C-864758AFB018}"/>
            </c:ext>
          </c:extLst>
        </c:ser>
        <c:dLbls>
          <c:showLegendKey val="0"/>
          <c:showVal val="0"/>
          <c:showCatName val="0"/>
          <c:showSerName val="0"/>
          <c:showPercent val="0"/>
          <c:showBubbleSize val="0"/>
        </c:dLbls>
        <c:gapWidth val="100"/>
        <c:axId val="198103040"/>
        <c:axId val="198104576"/>
      </c:barChart>
      <c:catAx>
        <c:axId val="198103040"/>
        <c:scaling>
          <c:orientation val="minMax"/>
        </c:scaling>
        <c:delete val="0"/>
        <c:axPos val="b"/>
        <c:numFmt formatCode="General" sourceLinked="1"/>
        <c:majorTickMark val="out"/>
        <c:minorTickMark val="none"/>
        <c:tickLblPos val="low"/>
        <c:spPr>
          <a:ln w="3175">
            <a:solidFill>
              <a:srgbClr val="000000"/>
            </a:solidFill>
            <a:prstDash val="solid"/>
          </a:ln>
        </c:spPr>
        <c:txPr>
          <a:bodyPr rot="0" vert="horz"/>
          <a:lstStyle/>
          <a:p>
            <a:pPr>
              <a:defRPr sz="925" b="0" i="0" u="none" strike="noStrike" baseline="0">
                <a:solidFill>
                  <a:srgbClr val="000000"/>
                </a:solidFill>
                <a:latin typeface="Arial"/>
                <a:ea typeface="Arial"/>
                <a:cs typeface="Arial"/>
              </a:defRPr>
            </a:pPr>
            <a:endParaRPr lang="pt-BR"/>
          </a:p>
        </c:txPr>
        <c:crossAx val="198104576"/>
        <c:crosses val="autoZero"/>
        <c:auto val="1"/>
        <c:lblAlgn val="ctr"/>
        <c:lblOffset val="50"/>
        <c:tickLblSkip val="1"/>
        <c:tickMarkSkip val="1"/>
        <c:noMultiLvlLbl val="0"/>
      </c:catAx>
      <c:valAx>
        <c:axId val="198104576"/>
        <c:scaling>
          <c:orientation val="minMax"/>
        </c:scaling>
        <c:delete val="0"/>
        <c:axPos val="l"/>
        <c:majorGridlines>
          <c:spPr>
            <a:ln w="3175">
              <a:solidFill>
                <a:srgbClr val="000000"/>
              </a:solidFill>
              <a:prstDash val="solid"/>
            </a:ln>
          </c:spPr>
        </c:majorGridlines>
        <c:title>
          <c:tx>
            <c:rich>
              <a:bodyPr/>
              <a:lstStyle/>
              <a:p>
                <a:pPr>
                  <a:defRPr sz="925" b="1" i="0" u="none" strike="noStrike" baseline="0">
                    <a:solidFill>
                      <a:sysClr val="windowText" lastClr="000000"/>
                    </a:solidFill>
                    <a:latin typeface="Arial"/>
                    <a:ea typeface="Arial"/>
                    <a:cs typeface="Arial"/>
                  </a:defRPr>
                </a:pPr>
                <a:r>
                  <a:rPr lang="de-DE">
                    <a:solidFill>
                      <a:sysClr val="windowText" lastClr="000000"/>
                    </a:solidFill>
                  </a:rPr>
                  <a:t>tonelada CO2-eq / ano</a:t>
                </a:r>
              </a:p>
            </c:rich>
          </c:tx>
          <c:layout>
            <c:manualLayout>
              <c:xMode val="edge"/>
              <c:yMode val="edge"/>
              <c:x val="2.353659280961973E-3"/>
              <c:y val="0.35474860335195529"/>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925" b="0" i="0" u="none" strike="noStrike" baseline="0">
                <a:solidFill>
                  <a:srgbClr val="000000"/>
                </a:solidFill>
                <a:latin typeface="Arial"/>
                <a:ea typeface="Arial"/>
                <a:cs typeface="Arial"/>
              </a:defRPr>
            </a:pPr>
            <a:endParaRPr lang="pt-BR"/>
          </a:p>
        </c:txPr>
        <c:crossAx val="198103040"/>
        <c:crosses val="autoZero"/>
        <c:crossBetween val="between"/>
      </c:valAx>
      <c:spPr>
        <a:noFill/>
        <a:ln w="3175">
          <a:solidFill>
            <a:srgbClr val="000000"/>
          </a:solidFill>
          <a:prstDash val="solid"/>
        </a:ln>
      </c:spPr>
    </c:plotArea>
    <c:legend>
      <c:legendPos val="r"/>
      <c:layout>
        <c:manualLayout>
          <c:xMode val="edge"/>
          <c:yMode val="edge"/>
          <c:x val="0.18830567484476371"/>
          <c:y val="2.4787008843065887E-2"/>
          <c:w val="0.18431001890359169"/>
          <c:h val="0.19134078212290509"/>
        </c:manualLayout>
      </c:layout>
      <c:overlay val="0"/>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pt-BR"/>
        </a:p>
      </c:txPr>
    </c:legend>
    <c:plotVisOnly val="1"/>
    <c:dispBlanksAs val="gap"/>
    <c:showDLblsOverMax val="0"/>
  </c:chart>
  <c:spPr>
    <a:solidFill>
      <a:srgbClr val="FFFFFF"/>
    </a:solid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pt-BR"/>
    </a:p>
  </c:txPr>
  <c:printSettings>
    <c:headerFooter alignWithMargins="0"/>
    <c:pageMargins b="0.98425196899999978" l="0.78740157499999996" r="0.78740157499999996" t="0.98425196899999978" header="0.49212598450000011" footer="0.49212598450000011"/>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75" b="1" i="0" u="none" strike="noStrike" baseline="0">
                <a:solidFill>
                  <a:srgbClr val="000000"/>
                </a:solidFill>
                <a:latin typeface="Arial"/>
                <a:ea typeface="Arial"/>
                <a:cs typeface="Arial"/>
              </a:defRPr>
            </a:pPr>
            <a:r>
              <a:rPr lang="de-DE"/>
              <a:t>Resíduos tratados</a:t>
            </a:r>
          </a:p>
        </c:rich>
      </c:tx>
      <c:layout>
        <c:manualLayout>
          <c:xMode val="edge"/>
          <c:yMode val="edge"/>
          <c:x val="0.42234887542620636"/>
          <c:y val="1.3317222772640101E-2"/>
        </c:manualLayout>
      </c:layout>
      <c:overlay val="0"/>
      <c:spPr>
        <a:noFill/>
        <a:ln w="25400">
          <a:noFill/>
        </a:ln>
      </c:spPr>
    </c:title>
    <c:autoTitleDeleted val="0"/>
    <c:plotArea>
      <c:layout>
        <c:manualLayout>
          <c:layoutTarget val="inner"/>
          <c:xMode val="edge"/>
          <c:yMode val="edge"/>
          <c:x val="0.18750017339549072"/>
          <c:y val="0.10653778218112091"/>
          <c:w val="0.78598557534473334"/>
          <c:h val="0.58595780199616432"/>
        </c:manualLayout>
      </c:layout>
      <c:barChart>
        <c:barDir val="col"/>
        <c:grouping val="clustered"/>
        <c:varyColors val="0"/>
        <c:ser>
          <c:idx val="0"/>
          <c:order val="0"/>
          <c:spPr>
            <a:solidFill>
              <a:srgbClr val="008000"/>
            </a:solidFill>
            <a:ln w="12700">
              <a:solidFill>
                <a:srgbClr val="000000"/>
              </a:solidFill>
              <a:prstDash val="solid"/>
            </a:ln>
          </c:spPr>
          <c:invertIfNegative val="0"/>
          <c:cat>
            <c:strRef>
              <c:f>('CO2 - Cenário RT 5'!$B$7:$B$15,'CO2 - Cenário RT 5'!$B$18:$B$27)</c:f>
              <c:strCache>
                <c:ptCount val="19"/>
                <c:pt idx="0">
                  <c:v>Resíduos de alimentos</c:v>
                </c:pt>
                <c:pt idx="1">
                  <c:v>Resíduos de jardins e parques</c:v>
                </c:pt>
                <c:pt idx="2">
                  <c:v>Papel, papelão</c:v>
                </c:pt>
                <c:pt idx="3">
                  <c:v>Plásticos</c:v>
                </c:pt>
                <c:pt idx="4">
                  <c:v>Vidros</c:v>
                </c:pt>
                <c:pt idx="5">
                  <c:v>Metais ferrosos</c:v>
                </c:pt>
                <c:pt idx="6">
                  <c:v>Alumínio</c:v>
                </c:pt>
                <c:pt idx="7">
                  <c:v>Têxteis</c:v>
                </c:pt>
                <c:pt idx="9">
                  <c:v>Resíduos dispersos</c:v>
                </c:pt>
                <c:pt idx="10">
                  <c:v>Queima a céu aberto</c:v>
                </c:pt>
                <c:pt idx="11">
                  <c:v>Lixão não controlado</c:v>
                </c:pt>
                <c:pt idx="12">
                  <c:v>Aterro controlado</c:v>
                </c:pt>
                <c:pt idx="13">
                  <c:v>Aterro sanitário</c:v>
                </c:pt>
                <c:pt idx="14">
                  <c:v>Trat. biol + cobertura at.</c:v>
                </c:pt>
                <c:pt idx="15">
                  <c:v>CDR seco + rejeito aterro</c:v>
                </c:pt>
                <c:pt idx="16">
                  <c:v>CDR seco + trat. biol.</c:v>
                </c:pt>
                <c:pt idx="17">
                  <c:v>CDR seco + CDR org.</c:v>
                </c:pt>
                <c:pt idx="18">
                  <c:v>Incineração</c:v>
                </c:pt>
              </c:strCache>
            </c:strRef>
          </c:cat>
          <c:val>
            <c:numRef>
              <c:f>('CO2 - Cenário RT 5'!$C$7:$C$15,'CO2 - Cenário RT 5'!$C$18:$C$27)</c:f>
              <c:numCache>
                <c:formatCode>#,##0</c:formatCode>
                <c:ptCount val="19"/>
                <c:pt idx="0">
                  <c:v>0</c:v>
                </c:pt>
                <c:pt idx="1">
                  <c:v>0</c:v>
                </c:pt>
                <c:pt idx="2">
                  <c:v>1004.4457488</c:v>
                </c:pt>
                <c:pt idx="3">
                  <c:v>683.86032</c:v>
                </c:pt>
                <c:pt idx="4">
                  <c:v>0</c:v>
                </c:pt>
                <c:pt idx="5">
                  <c:v>503.10935999999998</c:v>
                </c:pt>
                <c:pt idx="6">
                  <c:v>131.24591999999998</c:v>
                </c:pt>
                <c:pt idx="7">
                  <c:v>0</c:v>
                </c:pt>
                <c:pt idx="9">
                  <c:v>0</c:v>
                </c:pt>
                <c:pt idx="10">
                  <c:v>0</c:v>
                </c:pt>
                <c:pt idx="11">
                  <c:v>0</c:v>
                </c:pt>
                <c:pt idx="12">
                  <c:v>3105.4407976799998</c:v>
                </c:pt>
                <c:pt idx="13">
                  <c:v>0</c:v>
                </c:pt>
                <c:pt idx="14">
                  <c:v>0</c:v>
                </c:pt>
                <c:pt idx="15">
                  <c:v>0</c:v>
                </c:pt>
                <c:pt idx="16">
                  <c:v>0</c:v>
                </c:pt>
                <c:pt idx="17">
                  <c:v>0</c:v>
                </c:pt>
                <c:pt idx="18">
                  <c:v>17597.497853519999</c:v>
                </c:pt>
              </c:numCache>
            </c:numRef>
          </c:val>
          <c:extLst>
            <c:ext xmlns:c16="http://schemas.microsoft.com/office/drawing/2014/chart" uri="{C3380CC4-5D6E-409C-BE32-E72D297353CC}">
              <c16:uniqueId val="{00000000-F45A-4FBB-B905-ADA5DDBF8B8E}"/>
            </c:ext>
          </c:extLst>
        </c:ser>
        <c:dLbls>
          <c:showLegendKey val="0"/>
          <c:showVal val="0"/>
          <c:showCatName val="0"/>
          <c:showSerName val="0"/>
          <c:showPercent val="0"/>
          <c:showBubbleSize val="0"/>
        </c:dLbls>
        <c:gapWidth val="100"/>
        <c:axId val="197835392"/>
        <c:axId val="197837184"/>
      </c:barChart>
      <c:catAx>
        <c:axId val="197835392"/>
        <c:scaling>
          <c:orientation val="minMax"/>
        </c:scaling>
        <c:delete val="0"/>
        <c:axPos val="b"/>
        <c:numFmt formatCode="General" sourceLinked="1"/>
        <c:majorTickMark val="out"/>
        <c:minorTickMark val="none"/>
        <c:tickLblPos val="nextTo"/>
        <c:spPr>
          <a:ln w="3175">
            <a:solidFill>
              <a:srgbClr val="000000"/>
            </a:solidFill>
            <a:prstDash val="solid"/>
          </a:ln>
        </c:spPr>
        <c:txPr>
          <a:bodyPr rot="-3660000" vert="horz"/>
          <a:lstStyle/>
          <a:p>
            <a:pPr>
              <a:defRPr sz="875" b="0" i="0" u="none" strike="noStrike" baseline="0">
                <a:solidFill>
                  <a:srgbClr val="000000"/>
                </a:solidFill>
                <a:latin typeface="Arial"/>
                <a:ea typeface="Arial"/>
                <a:cs typeface="Arial"/>
              </a:defRPr>
            </a:pPr>
            <a:endParaRPr lang="pt-BR"/>
          </a:p>
        </c:txPr>
        <c:crossAx val="197837184"/>
        <c:crosses val="autoZero"/>
        <c:auto val="1"/>
        <c:lblAlgn val="ctr"/>
        <c:lblOffset val="100"/>
        <c:tickLblSkip val="1"/>
        <c:tickMarkSkip val="1"/>
        <c:noMultiLvlLbl val="0"/>
      </c:catAx>
      <c:valAx>
        <c:axId val="197837184"/>
        <c:scaling>
          <c:orientation val="minMax"/>
        </c:scaling>
        <c:delete val="0"/>
        <c:axPos val="l"/>
        <c:majorGridlines>
          <c:spPr>
            <a:ln w="3175">
              <a:solidFill>
                <a:srgbClr val="000000"/>
              </a:solidFill>
              <a:prstDash val="solid"/>
            </a:ln>
          </c:spPr>
        </c:majorGridlines>
        <c:title>
          <c:tx>
            <c:rich>
              <a:bodyPr/>
              <a:lstStyle/>
              <a:p>
                <a:pPr>
                  <a:defRPr sz="950" b="1" i="0" u="none" strike="noStrike" baseline="0">
                    <a:solidFill>
                      <a:sysClr val="windowText" lastClr="000000"/>
                    </a:solidFill>
                    <a:latin typeface="Arial"/>
                    <a:ea typeface="Arial"/>
                    <a:cs typeface="Arial"/>
                  </a:defRPr>
                </a:pPr>
                <a:r>
                  <a:rPr lang="de-DE">
                    <a:solidFill>
                      <a:sysClr val="windowText" lastClr="000000"/>
                    </a:solidFill>
                  </a:rPr>
                  <a:t>tonelada</a:t>
                </a:r>
                <a:r>
                  <a:rPr lang="de-DE" baseline="0">
                    <a:solidFill>
                      <a:sysClr val="windowText" lastClr="000000"/>
                    </a:solidFill>
                  </a:rPr>
                  <a:t> </a:t>
                </a:r>
                <a:r>
                  <a:rPr lang="de-DE">
                    <a:solidFill>
                      <a:sysClr val="windowText" lastClr="000000"/>
                    </a:solidFill>
                  </a:rPr>
                  <a:t>/ ano</a:t>
                </a:r>
              </a:p>
            </c:rich>
          </c:tx>
          <c:layout>
            <c:manualLayout>
              <c:xMode val="edge"/>
              <c:yMode val="edge"/>
              <c:x val="1.2487080419295414E-2"/>
              <c:y val="0.36372088265352071"/>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950" b="0" i="0" u="none" strike="noStrike" baseline="0">
                <a:solidFill>
                  <a:srgbClr val="000000"/>
                </a:solidFill>
                <a:latin typeface="Arial"/>
                <a:ea typeface="Arial"/>
                <a:cs typeface="Arial"/>
              </a:defRPr>
            </a:pPr>
            <a:endParaRPr lang="pt-BR"/>
          </a:p>
        </c:txPr>
        <c:crossAx val="197835392"/>
        <c:crosses val="autoZero"/>
        <c:crossBetween val="between"/>
      </c:valAx>
      <c:spPr>
        <a:noFill/>
        <a:ln w="3175">
          <a:solidFill>
            <a:srgbClr val="000000"/>
          </a:solidFill>
          <a:prstDash val="solid"/>
        </a:ln>
      </c:spPr>
    </c:plotArea>
    <c:plotVisOnly val="1"/>
    <c:dispBlanksAs val="gap"/>
    <c:showDLblsOverMax val="0"/>
  </c:chart>
  <c:spPr>
    <a:no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pt-BR"/>
    </a:p>
  </c:txPr>
  <c:printSettings>
    <c:headerFooter alignWithMargins="0"/>
    <c:pageMargins b="0.98425196899999978" l="0.78740157499999996" r="0.78740157499999996" t="0.98425196899999978" header="0.49212598450000011" footer="0.49212598450000011"/>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75" b="1" i="0" u="none" strike="noStrike" baseline="0">
                <a:solidFill>
                  <a:srgbClr val="000000"/>
                </a:solidFill>
                <a:latin typeface="Arial"/>
                <a:ea typeface="Arial"/>
                <a:cs typeface="Arial"/>
              </a:defRPr>
            </a:pPr>
            <a:r>
              <a:rPr lang="de-DE"/>
              <a:t>Emissões</a:t>
            </a:r>
            <a:r>
              <a:rPr lang="de-DE" baseline="0"/>
              <a:t> de GEE</a:t>
            </a:r>
            <a:r>
              <a:rPr lang="de-DE"/>
              <a:t> </a:t>
            </a:r>
            <a:r>
              <a:rPr lang="pt-BR" sz="975" b="0" i="0" u="none" strike="noStrike" baseline="0">
                <a:solidFill>
                  <a:sysClr val="windowText" lastClr="000000"/>
                </a:solidFill>
                <a:effectLst/>
              </a:rPr>
              <a:t>—</a:t>
            </a:r>
            <a:r>
              <a:rPr lang="de-DE">
                <a:solidFill>
                  <a:sysClr val="windowText" lastClr="000000"/>
                </a:solidFill>
              </a:rPr>
              <a:t> Reciclagem</a:t>
            </a:r>
          </a:p>
        </c:rich>
      </c:tx>
      <c:layout>
        <c:manualLayout>
          <c:xMode val="edge"/>
          <c:yMode val="edge"/>
          <c:x val="0.25966850828729282"/>
          <c:y val="1.5988417481653919E-2"/>
        </c:manualLayout>
      </c:layout>
      <c:overlay val="0"/>
      <c:spPr>
        <a:noFill/>
        <a:ln w="25400">
          <a:noFill/>
        </a:ln>
      </c:spPr>
    </c:title>
    <c:autoTitleDeleted val="0"/>
    <c:plotArea>
      <c:layout>
        <c:manualLayout>
          <c:layoutTarget val="inner"/>
          <c:xMode val="edge"/>
          <c:yMode val="edge"/>
          <c:x val="0.21767955801104968"/>
          <c:y val="0.12354686235823484"/>
          <c:w val="0.50386740331491708"/>
          <c:h val="0.75872308412939515"/>
        </c:manualLayout>
      </c:layout>
      <c:barChart>
        <c:barDir val="col"/>
        <c:grouping val="stacked"/>
        <c:varyColors val="0"/>
        <c:ser>
          <c:idx val="0"/>
          <c:order val="0"/>
          <c:tx>
            <c:strRef>
              <c:f>'CO2 - Cenário RT 5'!$B$62</c:f>
              <c:strCache>
                <c:ptCount val="1"/>
                <c:pt idx="0">
                  <c:v>Resíduos de alimentos</c:v>
                </c:pt>
              </c:strCache>
            </c:strRef>
          </c:tx>
          <c:spPr>
            <a:solidFill>
              <a:srgbClr val="99CC00"/>
            </a:solidFill>
            <a:ln w="12700">
              <a:solidFill>
                <a:srgbClr val="000000"/>
              </a:solidFill>
              <a:prstDash val="solid"/>
            </a:ln>
          </c:spPr>
          <c:invertIfNegative val="0"/>
          <c:cat>
            <c:strRef>
              <c:f>'CO2 - Cenário RT 5'!$C$61:$D$61</c:f>
              <c:strCache>
                <c:ptCount val="2"/>
                <c:pt idx="0">
                  <c:v>Resíduos reciclados</c:v>
                </c:pt>
                <c:pt idx="1">
                  <c:v>Líquido</c:v>
                </c:pt>
              </c:strCache>
            </c:strRef>
          </c:cat>
          <c:val>
            <c:numRef>
              <c:f>'CO2 - Cenário RT 5'!$C$62:$D$62</c:f>
              <c:numCache>
                <c:formatCode>General</c:formatCode>
                <c:ptCount val="2"/>
                <c:pt idx="0" formatCode="#,##0">
                  <c:v>0</c:v>
                </c:pt>
              </c:numCache>
            </c:numRef>
          </c:val>
          <c:extLst>
            <c:ext xmlns:c16="http://schemas.microsoft.com/office/drawing/2014/chart" uri="{C3380CC4-5D6E-409C-BE32-E72D297353CC}">
              <c16:uniqueId val="{00000000-A74C-46FA-941C-22C4084D4134}"/>
            </c:ext>
          </c:extLst>
        </c:ser>
        <c:ser>
          <c:idx val="1"/>
          <c:order val="1"/>
          <c:tx>
            <c:strRef>
              <c:f>'CO2 - Cenário RT 5'!$B$63</c:f>
              <c:strCache>
                <c:ptCount val="1"/>
                <c:pt idx="0">
                  <c:v>Resíduos de jardins e parques</c:v>
                </c:pt>
              </c:strCache>
            </c:strRef>
          </c:tx>
          <c:spPr>
            <a:solidFill>
              <a:srgbClr val="000080"/>
            </a:solidFill>
            <a:ln w="12700">
              <a:solidFill>
                <a:srgbClr val="000000"/>
              </a:solidFill>
              <a:prstDash val="solid"/>
            </a:ln>
          </c:spPr>
          <c:invertIfNegative val="0"/>
          <c:cat>
            <c:strRef>
              <c:f>'CO2 - Cenário RT 5'!$C$61:$D$61</c:f>
              <c:strCache>
                <c:ptCount val="2"/>
                <c:pt idx="0">
                  <c:v>Resíduos reciclados</c:v>
                </c:pt>
                <c:pt idx="1">
                  <c:v>Líquido</c:v>
                </c:pt>
              </c:strCache>
            </c:strRef>
          </c:cat>
          <c:val>
            <c:numRef>
              <c:f>'CO2 - Cenário RT 5'!$C$63:$D$63</c:f>
              <c:numCache>
                <c:formatCode>General</c:formatCode>
                <c:ptCount val="2"/>
                <c:pt idx="0" formatCode="#,##0">
                  <c:v>0</c:v>
                </c:pt>
              </c:numCache>
            </c:numRef>
          </c:val>
          <c:extLst>
            <c:ext xmlns:c16="http://schemas.microsoft.com/office/drawing/2014/chart" uri="{C3380CC4-5D6E-409C-BE32-E72D297353CC}">
              <c16:uniqueId val="{00000001-A74C-46FA-941C-22C4084D4134}"/>
            </c:ext>
          </c:extLst>
        </c:ser>
        <c:ser>
          <c:idx val="2"/>
          <c:order val="2"/>
          <c:tx>
            <c:strRef>
              <c:f>'CO2 - Cenário RT 5'!$B$64</c:f>
              <c:strCache>
                <c:ptCount val="1"/>
                <c:pt idx="0">
                  <c:v>Papel, papelão</c:v>
                </c:pt>
              </c:strCache>
            </c:strRef>
          </c:tx>
          <c:spPr>
            <a:solidFill>
              <a:srgbClr val="CC99FF"/>
            </a:solidFill>
            <a:ln w="12700">
              <a:solidFill>
                <a:srgbClr val="000000"/>
              </a:solidFill>
              <a:prstDash val="solid"/>
            </a:ln>
          </c:spPr>
          <c:invertIfNegative val="0"/>
          <c:cat>
            <c:strRef>
              <c:f>'CO2 - Cenário RT 5'!$C$61:$D$61</c:f>
              <c:strCache>
                <c:ptCount val="2"/>
                <c:pt idx="0">
                  <c:v>Resíduos reciclados</c:v>
                </c:pt>
                <c:pt idx="1">
                  <c:v>Líquido</c:v>
                </c:pt>
              </c:strCache>
            </c:strRef>
          </c:cat>
          <c:val>
            <c:numRef>
              <c:f>'CO2 - Cenário RT 5'!$C$64:$D$64</c:f>
              <c:numCache>
                <c:formatCode>General</c:formatCode>
                <c:ptCount val="2"/>
                <c:pt idx="0" formatCode="#,##0">
                  <c:v>1261.5838604928001</c:v>
                </c:pt>
              </c:numCache>
            </c:numRef>
          </c:val>
          <c:extLst>
            <c:ext xmlns:c16="http://schemas.microsoft.com/office/drawing/2014/chart" uri="{C3380CC4-5D6E-409C-BE32-E72D297353CC}">
              <c16:uniqueId val="{00000002-A74C-46FA-941C-22C4084D4134}"/>
            </c:ext>
          </c:extLst>
        </c:ser>
        <c:ser>
          <c:idx val="3"/>
          <c:order val="3"/>
          <c:tx>
            <c:strRef>
              <c:f>'CO2 - Cenário RT 5'!$B$65</c:f>
              <c:strCache>
                <c:ptCount val="1"/>
                <c:pt idx="0">
                  <c:v>Plásticos</c:v>
                </c:pt>
              </c:strCache>
            </c:strRef>
          </c:tx>
          <c:spPr>
            <a:solidFill>
              <a:srgbClr val="FFFF00"/>
            </a:solidFill>
            <a:ln w="12700">
              <a:solidFill>
                <a:srgbClr val="000000"/>
              </a:solidFill>
              <a:prstDash val="solid"/>
            </a:ln>
          </c:spPr>
          <c:invertIfNegative val="0"/>
          <c:cat>
            <c:strRef>
              <c:f>'CO2 - Cenário RT 5'!$C$61:$D$61</c:f>
              <c:strCache>
                <c:ptCount val="2"/>
                <c:pt idx="0">
                  <c:v>Resíduos reciclados</c:v>
                </c:pt>
                <c:pt idx="1">
                  <c:v>Líquido</c:v>
                </c:pt>
              </c:strCache>
            </c:strRef>
          </c:cat>
          <c:val>
            <c:numRef>
              <c:f>'CO2 - Cenário RT 5'!$C$65:$D$65</c:f>
              <c:numCache>
                <c:formatCode>General</c:formatCode>
                <c:ptCount val="2"/>
                <c:pt idx="0" formatCode="#,##0">
                  <c:v>280.38273119999997</c:v>
                </c:pt>
              </c:numCache>
            </c:numRef>
          </c:val>
          <c:extLst>
            <c:ext xmlns:c16="http://schemas.microsoft.com/office/drawing/2014/chart" uri="{C3380CC4-5D6E-409C-BE32-E72D297353CC}">
              <c16:uniqueId val="{00000003-A74C-46FA-941C-22C4084D4134}"/>
            </c:ext>
          </c:extLst>
        </c:ser>
        <c:ser>
          <c:idx val="4"/>
          <c:order val="4"/>
          <c:tx>
            <c:strRef>
              <c:f>'CO2 - Cenário RT 5'!$B$66</c:f>
              <c:strCache>
                <c:ptCount val="1"/>
                <c:pt idx="0">
                  <c:v>Vidros</c:v>
                </c:pt>
              </c:strCache>
            </c:strRef>
          </c:tx>
          <c:spPr>
            <a:solidFill>
              <a:srgbClr val="FF99CC"/>
            </a:solidFill>
            <a:ln w="12700">
              <a:solidFill>
                <a:srgbClr val="000000"/>
              </a:solidFill>
              <a:prstDash val="solid"/>
            </a:ln>
          </c:spPr>
          <c:invertIfNegative val="0"/>
          <c:cat>
            <c:strRef>
              <c:f>'CO2 - Cenário RT 5'!$C$61:$D$61</c:f>
              <c:strCache>
                <c:ptCount val="2"/>
                <c:pt idx="0">
                  <c:v>Resíduos reciclados</c:v>
                </c:pt>
                <c:pt idx="1">
                  <c:v>Líquido</c:v>
                </c:pt>
              </c:strCache>
            </c:strRef>
          </c:cat>
          <c:val>
            <c:numRef>
              <c:f>'CO2 - Cenário RT 5'!$C$66:$D$66</c:f>
              <c:numCache>
                <c:formatCode>General</c:formatCode>
                <c:ptCount val="2"/>
                <c:pt idx="0" formatCode="#,##0">
                  <c:v>0</c:v>
                </c:pt>
              </c:numCache>
            </c:numRef>
          </c:val>
          <c:extLst>
            <c:ext xmlns:c16="http://schemas.microsoft.com/office/drawing/2014/chart" uri="{C3380CC4-5D6E-409C-BE32-E72D297353CC}">
              <c16:uniqueId val="{00000004-A74C-46FA-941C-22C4084D4134}"/>
            </c:ext>
          </c:extLst>
        </c:ser>
        <c:ser>
          <c:idx val="5"/>
          <c:order val="5"/>
          <c:tx>
            <c:strRef>
              <c:f>'CO2 - Cenário RT 5'!$B$67</c:f>
              <c:strCache>
                <c:ptCount val="1"/>
                <c:pt idx="0">
                  <c:v>Metais ferrosos</c:v>
                </c:pt>
              </c:strCache>
            </c:strRef>
          </c:tx>
          <c:spPr>
            <a:solidFill>
              <a:srgbClr val="C0C0C0"/>
            </a:solidFill>
            <a:ln w="12700">
              <a:solidFill>
                <a:srgbClr val="000000"/>
              </a:solidFill>
              <a:prstDash val="solid"/>
            </a:ln>
          </c:spPr>
          <c:invertIfNegative val="0"/>
          <c:cat>
            <c:strRef>
              <c:f>'CO2 - Cenário RT 5'!$C$61:$D$61</c:f>
              <c:strCache>
                <c:ptCount val="2"/>
                <c:pt idx="0">
                  <c:v>Resíduos reciclados</c:v>
                </c:pt>
                <c:pt idx="1">
                  <c:v>Líquido</c:v>
                </c:pt>
              </c:strCache>
            </c:strRef>
          </c:cat>
          <c:val>
            <c:numRef>
              <c:f>'CO2 - Cenário RT 5'!$C$67:$D$67</c:f>
              <c:numCache>
                <c:formatCode>General</c:formatCode>
                <c:ptCount val="2"/>
                <c:pt idx="0" formatCode="#,##0">
                  <c:v>32.198999039999997</c:v>
                </c:pt>
              </c:numCache>
            </c:numRef>
          </c:val>
          <c:extLst>
            <c:ext xmlns:c16="http://schemas.microsoft.com/office/drawing/2014/chart" uri="{C3380CC4-5D6E-409C-BE32-E72D297353CC}">
              <c16:uniqueId val="{00000005-A74C-46FA-941C-22C4084D4134}"/>
            </c:ext>
          </c:extLst>
        </c:ser>
        <c:ser>
          <c:idx val="6"/>
          <c:order val="6"/>
          <c:tx>
            <c:strRef>
              <c:f>'CO2 - Cenário RT 5'!$B$68</c:f>
              <c:strCache>
                <c:ptCount val="1"/>
                <c:pt idx="0">
                  <c:v>Alumínio</c:v>
                </c:pt>
              </c:strCache>
            </c:strRef>
          </c:tx>
          <c:spPr>
            <a:solidFill>
              <a:srgbClr val="993366"/>
            </a:solidFill>
            <a:ln w="12700">
              <a:solidFill>
                <a:srgbClr val="000000"/>
              </a:solidFill>
              <a:prstDash val="solid"/>
            </a:ln>
          </c:spPr>
          <c:invertIfNegative val="0"/>
          <c:cat>
            <c:strRef>
              <c:f>'CO2 - Cenário RT 5'!$C$61:$D$61</c:f>
              <c:strCache>
                <c:ptCount val="2"/>
                <c:pt idx="0">
                  <c:v>Resíduos reciclados</c:v>
                </c:pt>
                <c:pt idx="1">
                  <c:v>Líquido</c:v>
                </c:pt>
              </c:strCache>
            </c:strRef>
          </c:cat>
          <c:val>
            <c:numRef>
              <c:f>'CO2 - Cenário RT 5'!$C$68:$D$68</c:f>
              <c:numCache>
                <c:formatCode>General</c:formatCode>
                <c:ptCount val="2"/>
                <c:pt idx="0" formatCode="#,##0">
                  <c:v>91.478406239999984</c:v>
                </c:pt>
              </c:numCache>
            </c:numRef>
          </c:val>
          <c:extLst>
            <c:ext xmlns:c16="http://schemas.microsoft.com/office/drawing/2014/chart" uri="{C3380CC4-5D6E-409C-BE32-E72D297353CC}">
              <c16:uniqueId val="{00000006-A74C-46FA-941C-22C4084D4134}"/>
            </c:ext>
          </c:extLst>
        </c:ser>
        <c:ser>
          <c:idx val="7"/>
          <c:order val="7"/>
          <c:tx>
            <c:strRef>
              <c:f>'CO2 - Cenário RT 5'!$B$69</c:f>
              <c:strCache>
                <c:ptCount val="1"/>
                <c:pt idx="0">
                  <c:v>Têxteis</c:v>
                </c:pt>
              </c:strCache>
            </c:strRef>
          </c:tx>
          <c:spPr>
            <a:solidFill>
              <a:srgbClr val="9999FF"/>
            </a:solidFill>
            <a:ln w="12700">
              <a:solidFill>
                <a:srgbClr val="000000"/>
              </a:solidFill>
              <a:prstDash val="solid"/>
            </a:ln>
          </c:spPr>
          <c:invertIfNegative val="0"/>
          <c:cat>
            <c:strRef>
              <c:f>'CO2 - Cenário RT 5'!$C$61:$D$61</c:f>
              <c:strCache>
                <c:ptCount val="2"/>
                <c:pt idx="0">
                  <c:v>Resíduos reciclados</c:v>
                </c:pt>
                <c:pt idx="1">
                  <c:v>Líquido</c:v>
                </c:pt>
              </c:strCache>
            </c:strRef>
          </c:cat>
          <c:val>
            <c:numRef>
              <c:f>'CO2 - Cenário RT 5'!$C$69:$D$69</c:f>
              <c:numCache>
                <c:formatCode>General</c:formatCode>
                <c:ptCount val="2"/>
                <c:pt idx="0" formatCode="#,##0">
                  <c:v>0</c:v>
                </c:pt>
              </c:numCache>
            </c:numRef>
          </c:val>
          <c:extLst>
            <c:ext xmlns:c16="http://schemas.microsoft.com/office/drawing/2014/chart" uri="{C3380CC4-5D6E-409C-BE32-E72D297353CC}">
              <c16:uniqueId val="{00000007-A74C-46FA-941C-22C4084D4134}"/>
            </c:ext>
          </c:extLst>
        </c:ser>
        <c:ser>
          <c:idx val="8"/>
          <c:order val="8"/>
          <c:tx>
            <c:strRef>
              <c:f>'CO2 - Cenário RT 5'!$B$70</c:f>
              <c:strCache>
                <c:ptCount val="1"/>
                <c:pt idx="0">
                  <c:v>Débitos</c:v>
                </c:pt>
              </c:strCache>
            </c:strRef>
          </c:tx>
          <c:spPr>
            <a:noFill/>
            <a:ln w="25400">
              <a:noFill/>
            </a:ln>
          </c:spPr>
          <c:invertIfNegative val="0"/>
          <c:cat>
            <c:strRef>
              <c:f>'CO2 - Cenário RT 5'!$C$61:$D$61</c:f>
              <c:strCache>
                <c:ptCount val="2"/>
                <c:pt idx="0">
                  <c:v>Resíduos reciclados</c:v>
                </c:pt>
                <c:pt idx="1">
                  <c:v>Líquido</c:v>
                </c:pt>
              </c:strCache>
            </c:strRef>
          </c:cat>
          <c:val>
            <c:numRef>
              <c:f>'CO2 - Cenário RT 5'!$C$70:$D$70</c:f>
              <c:numCache>
                <c:formatCode>#,##0</c:formatCode>
                <c:ptCount val="2"/>
              </c:numCache>
            </c:numRef>
          </c:val>
          <c:extLst>
            <c:ext xmlns:c16="http://schemas.microsoft.com/office/drawing/2014/chart" uri="{C3380CC4-5D6E-409C-BE32-E72D297353CC}">
              <c16:uniqueId val="{00000008-A74C-46FA-941C-22C4084D4134}"/>
            </c:ext>
          </c:extLst>
        </c:ser>
        <c:ser>
          <c:idx val="9"/>
          <c:order val="9"/>
          <c:tx>
            <c:strRef>
              <c:f>'CO2 - Cenário RT 5'!$B$71</c:f>
              <c:strCache>
                <c:ptCount val="1"/>
                <c:pt idx="0">
                  <c:v>Resíduos de alimentos</c:v>
                </c:pt>
              </c:strCache>
            </c:strRef>
          </c:tx>
          <c:spPr>
            <a:pattFill prst="wdDnDiag">
              <a:fgClr>
                <a:srgbClr val="99CC00"/>
              </a:fgClr>
              <a:bgClr>
                <a:srgbClr val="FFFFFF"/>
              </a:bgClr>
            </a:pattFill>
            <a:ln w="12700">
              <a:solidFill>
                <a:srgbClr val="000000"/>
              </a:solidFill>
              <a:prstDash val="solid"/>
            </a:ln>
          </c:spPr>
          <c:invertIfNegative val="0"/>
          <c:cat>
            <c:strRef>
              <c:f>'CO2 - Cenário RT 5'!$C$61:$D$61</c:f>
              <c:strCache>
                <c:ptCount val="2"/>
                <c:pt idx="0">
                  <c:v>Resíduos reciclados</c:v>
                </c:pt>
                <c:pt idx="1">
                  <c:v>Líquido</c:v>
                </c:pt>
              </c:strCache>
            </c:strRef>
          </c:cat>
          <c:val>
            <c:numRef>
              <c:f>'CO2 - Cenário RT 5'!$C$71:$D$71</c:f>
              <c:numCache>
                <c:formatCode>General</c:formatCode>
                <c:ptCount val="2"/>
                <c:pt idx="0" formatCode="#,##0">
                  <c:v>0</c:v>
                </c:pt>
              </c:numCache>
            </c:numRef>
          </c:val>
          <c:extLst>
            <c:ext xmlns:c16="http://schemas.microsoft.com/office/drawing/2014/chart" uri="{C3380CC4-5D6E-409C-BE32-E72D297353CC}">
              <c16:uniqueId val="{00000009-A74C-46FA-941C-22C4084D4134}"/>
            </c:ext>
          </c:extLst>
        </c:ser>
        <c:ser>
          <c:idx val="10"/>
          <c:order val="10"/>
          <c:tx>
            <c:strRef>
              <c:f>'CO2 - Cenário RT 5'!$B$72</c:f>
              <c:strCache>
                <c:ptCount val="1"/>
                <c:pt idx="0">
                  <c:v>Resíduos de jardins e parques</c:v>
                </c:pt>
              </c:strCache>
            </c:strRef>
          </c:tx>
          <c:spPr>
            <a:pattFill prst="wdUpDiag">
              <a:fgClr>
                <a:srgbClr val="000080"/>
              </a:fgClr>
              <a:bgClr>
                <a:srgbClr val="FFFFFF"/>
              </a:bgClr>
            </a:pattFill>
            <a:ln w="12700">
              <a:solidFill>
                <a:srgbClr val="000000"/>
              </a:solidFill>
              <a:prstDash val="solid"/>
            </a:ln>
          </c:spPr>
          <c:invertIfNegative val="0"/>
          <c:cat>
            <c:strRef>
              <c:f>'CO2 - Cenário RT 5'!$C$61:$D$61</c:f>
              <c:strCache>
                <c:ptCount val="2"/>
                <c:pt idx="0">
                  <c:v>Resíduos reciclados</c:v>
                </c:pt>
                <c:pt idx="1">
                  <c:v>Líquido</c:v>
                </c:pt>
              </c:strCache>
            </c:strRef>
          </c:cat>
          <c:val>
            <c:numRef>
              <c:f>'CO2 - Cenário RT 5'!$C$72:$D$72</c:f>
              <c:numCache>
                <c:formatCode>General</c:formatCode>
                <c:ptCount val="2"/>
                <c:pt idx="0" formatCode="#,##0">
                  <c:v>0</c:v>
                </c:pt>
              </c:numCache>
            </c:numRef>
          </c:val>
          <c:extLst>
            <c:ext xmlns:c16="http://schemas.microsoft.com/office/drawing/2014/chart" uri="{C3380CC4-5D6E-409C-BE32-E72D297353CC}">
              <c16:uniqueId val="{0000000A-A74C-46FA-941C-22C4084D4134}"/>
            </c:ext>
          </c:extLst>
        </c:ser>
        <c:ser>
          <c:idx val="11"/>
          <c:order val="11"/>
          <c:tx>
            <c:strRef>
              <c:f>'CO2 - Cenário RT 5'!$B$73</c:f>
              <c:strCache>
                <c:ptCount val="1"/>
                <c:pt idx="0">
                  <c:v>Papel, papelão</c:v>
                </c:pt>
              </c:strCache>
            </c:strRef>
          </c:tx>
          <c:spPr>
            <a:pattFill prst="wdDnDiag">
              <a:fgClr>
                <a:srgbClr val="CC99FF"/>
              </a:fgClr>
              <a:bgClr>
                <a:srgbClr val="FFFFFF"/>
              </a:bgClr>
            </a:pattFill>
            <a:ln w="12700">
              <a:solidFill>
                <a:srgbClr val="000000"/>
              </a:solidFill>
              <a:prstDash val="solid"/>
            </a:ln>
          </c:spPr>
          <c:invertIfNegative val="0"/>
          <c:cat>
            <c:strRef>
              <c:f>'CO2 - Cenário RT 5'!$C$61:$D$61</c:f>
              <c:strCache>
                <c:ptCount val="2"/>
                <c:pt idx="0">
                  <c:v>Resíduos reciclados</c:v>
                </c:pt>
                <c:pt idx="1">
                  <c:v>Líquido</c:v>
                </c:pt>
              </c:strCache>
            </c:strRef>
          </c:cat>
          <c:val>
            <c:numRef>
              <c:f>'CO2 - Cenário RT 5'!$C$73:$D$73</c:f>
              <c:numCache>
                <c:formatCode>General</c:formatCode>
                <c:ptCount val="2"/>
                <c:pt idx="0" formatCode="#,##0">
                  <c:v>-1554.8820191423999</c:v>
                </c:pt>
              </c:numCache>
            </c:numRef>
          </c:val>
          <c:extLst>
            <c:ext xmlns:c16="http://schemas.microsoft.com/office/drawing/2014/chart" uri="{C3380CC4-5D6E-409C-BE32-E72D297353CC}">
              <c16:uniqueId val="{0000000B-A74C-46FA-941C-22C4084D4134}"/>
            </c:ext>
          </c:extLst>
        </c:ser>
        <c:ser>
          <c:idx val="12"/>
          <c:order val="12"/>
          <c:tx>
            <c:strRef>
              <c:f>'CO2 - Cenário RT 5'!$B$74</c:f>
              <c:strCache>
                <c:ptCount val="1"/>
                <c:pt idx="0">
                  <c:v>Plásticos</c:v>
                </c:pt>
              </c:strCache>
            </c:strRef>
          </c:tx>
          <c:spPr>
            <a:pattFill prst="wdUpDiag">
              <a:fgClr>
                <a:srgbClr val="FFFF00"/>
              </a:fgClr>
              <a:bgClr>
                <a:srgbClr val="FFFFFF"/>
              </a:bgClr>
            </a:pattFill>
            <a:ln w="12700">
              <a:solidFill>
                <a:srgbClr val="000000"/>
              </a:solidFill>
              <a:prstDash val="solid"/>
            </a:ln>
          </c:spPr>
          <c:invertIfNegative val="0"/>
          <c:cat>
            <c:strRef>
              <c:f>'CO2 - Cenário RT 5'!$C$61:$D$61</c:f>
              <c:strCache>
                <c:ptCount val="2"/>
                <c:pt idx="0">
                  <c:v>Resíduos reciclados</c:v>
                </c:pt>
                <c:pt idx="1">
                  <c:v>Líquido</c:v>
                </c:pt>
              </c:strCache>
            </c:strRef>
          </c:cat>
          <c:val>
            <c:numRef>
              <c:f>'CO2 - Cenário RT 5'!$C$74:$D$74</c:f>
              <c:numCache>
                <c:formatCode>General</c:formatCode>
                <c:ptCount val="2"/>
                <c:pt idx="0" formatCode="#,##0">
                  <c:v>-1306.0364391359999</c:v>
                </c:pt>
              </c:numCache>
            </c:numRef>
          </c:val>
          <c:extLst>
            <c:ext xmlns:c16="http://schemas.microsoft.com/office/drawing/2014/chart" uri="{C3380CC4-5D6E-409C-BE32-E72D297353CC}">
              <c16:uniqueId val="{0000000C-A74C-46FA-941C-22C4084D4134}"/>
            </c:ext>
          </c:extLst>
        </c:ser>
        <c:ser>
          <c:idx val="13"/>
          <c:order val="13"/>
          <c:tx>
            <c:strRef>
              <c:f>'CO2 - Cenário RT 5'!$B$75</c:f>
              <c:strCache>
                <c:ptCount val="1"/>
                <c:pt idx="0">
                  <c:v>Vidros</c:v>
                </c:pt>
              </c:strCache>
            </c:strRef>
          </c:tx>
          <c:spPr>
            <a:pattFill prst="wdDnDiag">
              <a:fgClr>
                <a:srgbClr val="FF99CC"/>
              </a:fgClr>
              <a:bgClr>
                <a:srgbClr val="FFFFFF"/>
              </a:bgClr>
            </a:pattFill>
            <a:ln w="12700">
              <a:solidFill>
                <a:srgbClr val="000000"/>
              </a:solidFill>
              <a:prstDash val="solid"/>
            </a:ln>
          </c:spPr>
          <c:invertIfNegative val="0"/>
          <c:cat>
            <c:strRef>
              <c:f>'CO2 - Cenário RT 5'!$C$61:$D$61</c:f>
              <c:strCache>
                <c:ptCount val="2"/>
                <c:pt idx="0">
                  <c:v>Resíduos reciclados</c:v>
                </c:pt>
                <c:pt idx="1">
                  <c:v>Líquido</c:v>
                </c:pt>
              </c:strCache>
            </c:strRef>
          </c:cat>
          <c:val>
            <c:numRef>
              <c:f>'CO2 - Cenário RT 5'!$C$75:$D$75</c:f>
              <c:numCache>
                <c:formatCode>General</c:formatCode>
                <c:ptCount val="2"/>
                <c:pt idx="0" formatCode="#,##0">
                  <c:v>0</c:v>
                </c:pt>
              </c:numCache>
            </c:numRef>
          </c:val>
          <c:extLst>
            <c:ext xmlns:c16="http://schemas.microsoft.com/office/drawing/2014/chart" uri="{C3380CC4-5D6E-409C-BE32-E72D297353CC}">
              <c16:uniqueId val="{0000000D-A74C-46FA-941C-22C4084D4134}"/>
            </c:ext>
          </c:extLst>
        </c:ser>
        <c:ser>
          <c:idx val="14"/>
          <c:order val="14"/>
          <c:tx>
            <c:strRef>
              <c:f>'CO2 - Cenário RT 5'!$B$76</c:f>
              <c:strCache>
                <c:ptCount val="1"/>
                <c:pt idx="0">
                  <c:v>Metais ferrosos</c:v>
                </c:pt>
              </c:strCache>
            </c:strRef>
          </c:tx>
          <c:spPr>
            <a:pattFill prst="wdUpDiag">
              <a:fgClr>
                <a:srgbClr val="C0C0C0"/>
              </a:fgClr>
              <a:bgClr>
                <a:srgbClr val="FFFFFF"/>
              </a:bgClr>
            </a:pattFill>
            <a:ln w="12700">
              <a:solidFill>
                <a:srgbClr val="000000"/>
              </a:solidFill>
              <a:prstDash val="solid"/>
            </a:ln>
          </c:spPr>
          <c:invertIfNegative val="0"/>
          <c:cat>
            <c:strRef>
              <c:f>'CO2 - Cenário RT 5'!$C$61:$D$61</c:f>
              <c:strCache>
                <c:ptCount val="2"/>
                <c:pt idx="0">
                  <c:v>Resíduos reciclados</c:v>
                </c:pt>
                <c:pt idx="1">
                  <c:v>Líquido</c:v>
                </c:pt>
              </c:strCache>
            </c:strRef>
          </c:cat>
          <c:val>
            <c:numRef>
              <c:f>'CO2 - Cenário RT 5'!$C$76:$D$76</c:f>
              <c:numCache>
                <c:formatCode>General</c:formatCode>
                <c:ptCount val="2"/>
                <c:pt idx="0" formatCode="#,##0">
                  <c:v>-861.32322431999989</c:v>
                </c:pt>
              </c:numCache>
            </c:numRef>
          </c:val>
          <c:extLst>
            <c:ext xmlns:c16="http://schemas.microsoft.com/office/drawing/2014/chart" uri="{C3380CC4-5D6E-409C-BE32-E72D297353CC}">
              <c16:uniqueId val="{0000000E-A74C-46FA-941C-22C4084D4134}"/>
            </c:ext>
          </c:extLst>
        </c:ser>
        <c:ser>
          <c:idx val="15"/>
          <c:order val="15"/>
          <c:tx>
            <c:strRef>
              <c:f>'CO2 - Cenário RT 5'!$B$77</c:f>
              <c:strCache>
                <c:ptCount val="1"/>
                <c:pt idx="0">
                  <c:v>Alumínio</c:v>
                </c:pt>
              </c:strCache>
            </c:strRef>
          </c:tx>
          <c:spPr>
            <a:pattFill prst="wdDnDiag">
              <a:fgClr>
                <a:srgbClr val="993366"/>
              </a:fgClr>
              <a:bgClr>
                <a:srgbClr val="FFFFFF"/>
              </a:bgClr>
            </a:pattFill>
            <a:ln w="12700">
              <a:solidFill>
                <a:srgbClr val="000000"/>
              </a:solidFill>
              <a:prstDash val="solid"/>
            </a:ln>
          </c:spPr>
          <c:invertIfNegative val="0"/>
          <c:cat>
            <c:strRef>
              <c:f>'CO2 - Cenário RT 5'!$C$61:$D$61</c:f>
              <c:strCache>
                <c:ptCount val="2"/>
                <c:pt idx="0">
                  <c:v>Resíduos reciclados</c:v>
                </c:pt>
                <c:pt idx="1">
                  <c:v>Líquido</c:v>
                </c:pt>
              </c:strCache>
            </c:strRef>
          </c:cat>
          <c:val>
            <c:numRef>
              <c:f>'CO2 - Cenário RT 5'!$C$77:$D$77</c:f>
              <c:numCache>
                <c:formatCode>General</c:formatCode>
                <c:ptCount val="2"/>
                <c:pt idx="0" formatCode="#,##0">
                  <c:v>-1296.7096895999998</c:v>
                </c:pt>
              </c:numCache>
            </c:numRef>
          </c:val>
          <c:extLst>
            <c:ext xmlns:c16="http://schemas.microsoft.com/office/drawing/2014/chart" uri="{C3380CC4-5D6E-409C-BE32-E72D297353CC}">
              <c16:uniqueId val="{0000000F-A74C-46FA-941C-22C4084D4134}"/>
            </c:ext>
          </c:extLst>
        </c:ser>
        <c:ser>
          <c:idx val="16"/>
          <c:order val="16"/>
          <c:tx>
            <c:strRef>
              <c:f>'CO2 - Cenário RT 5'!$B$78</c:f>
              <c:strCache>
                <c:ptCount val="1"/>
                <c:pt idx="0">
                  <c:v>Têxteis</c:v>
                </c:pt>
              </c:strCache>
            </c:strRef>
          </c:tx>
          <c:spPr>
            <a:pattFill prst="wdUpDiag">
              <a:fgClr>
                <a:srgbClr val="9999FF"/>
              </a:fgClr>
              <a:bgClr>
                <a:srgbClr val="FFFFFF"/>
              </a:bgClr>
            </a:pattFill>
            <a:ln w="12700">
              <a:solidFill>
                <a:srgbClr val="000000"/>
              </a:solidFill>
              <a:prstDash val="solid"/>
            </a:ln>
          </c:spPr>
          <c:invertIfNegative val="0"/>
          <c:cat>
            <c:strRef>
              <c:f>'CO2 - Cenário RT 5'!$C$61:$D$61</c:f>
              <c:strCache>
                <c:ptCount val="2"/>
                <c:pt idx="0">
                  <c:v>Resíduos reciclados</c:v>
                </c:pt>
                <c:pt idx="1">
                  <c:v>Líquido</c:v>
                </c:pt>
              </c:strCache>
            </c:strRef>
          </c:cat>
          <c:val>
            <c:numRef>
              <c:f>'CO2 - Cenário RT 5'!$C$78:$D$78</c:f>
              <c:numCache>
                <c:formatCode>General</c:formatCode>
                <c:ptCount val="2"/>
                <c:pt idx="0" formatCode="#,##0">
                  <c:v>0</c:v>
                </c:pt>
              </c:numCache>
            </c:numRef>
          </c:val>
          <c:extLst>
            <c:ext xmlns:c16="http://schemas.microsoft.com/office/drawing/2014/chart" uri="{C3380CC4-5D6E-409C-BE32-E72D297353CC}">
              <c16:uniqueId val="{00000010-A74C-46FA-941C-22C4084D4134}"/>
            </c:ext>
          </c:extLst>
        </c:ser>
        <c:ser>
          <c:idx val="17"/>
          <c:order val="17"/>
          <c:tx>
            <c:strRef>
              <c:f>'CO2 - Cenário RT 5'!$B$79</c:f>
              <c:strCache>
                <c:ptCount val="1"/>
                <c:pt idx="0">
                  <c:v>Créditos</c:v>
                </c:pt>
              </c:strCache>
            </c:strRef>
          </c:tx>
          <c:spPr>
            <a:noFill/>
            <a:ln w="25400">
              <a:noFill/>
            </a:ln>
          </c:spPr>
          <c:invertIfNegative val="0"/>
          <c:cat>
            <c:strRef>
              <c:f>'CO2 - Cenário RT 5'!$C$61:$D$61</c:f>
              <c:strCache>
                <c:ptCount val="2"/>
                <c:pt idx="0">
                  <c:v>Resíduos reciclados</c:v>
                </c:pt>
                <c:pt idx="1">
                  <c:v>Líquido</c:v>
                </c:pt>
              </c:strCache>
            </c:strRef>
          </c:cat>
          <c:val>
            <c:numRef>
              <c:f>'CO2 - Cenário RT 5'!$C$79:$D$79</c:f>
              <c:numCache>
                <c:formatCode>#,##0</c:formatCode>
                <c:ptCount val="2"/>
              </c:numCache>
            </c:numRef>
          </c:val>
          <c:extLst>
            <c:ext xmlns:c16="http://schemas.microsoft.com/office/drawing/2014/chart" uri="{C3380CC4-5D6E-409C-BE32-E72D297353CC}">
              <c16:uniqueId val="{00000011-A74C-46FA-941C-22C4084D4134}"/>
            </c:ext>
          </c:extLst>
        </c:ser>
        <c:ser>
          <c:idx val="18"/>
          <c:order val="18"/>
          <c:tx>
            <c:strRef>
              <c:f>'CO2 - Cenário RT 5'!$B$80</c:f>
              <c:strCache>
                <c:ptCount val="1"/>
                <c:pt idx="0">
                  <c:v>Líquido</c:v>
                </c:pt>
              </c:strCache>
            </c:strRef>
          </c:tx>
          <c:spPr>
            <a:solidFill>
              <a:srgbClr val="0000FF"/>
            </a:solidFill>
            <a:ln w="12700">
              <a:solidFill>
                <a:srgbClr val="000000"/>
              </a:solidFill>
              <a:prstDash val="solid"/>
            </a:ln>
          </c:spPr>
          <c:invertIfNegative val="0"/>
          <c:cat>
            <c:strRef>
              <c:f>'CO2 - Cenário RT 5'!$C$61:$D$61</c:f>
              <c:strCache>
                <c:ptCount val="2"/>
                <c:pt idx="0">
                  <c:v>Resíduos reciclados</c:v>
                </c:pt>
                <c:pt idx="1">
                  <c:v>Líquido</c:v>
                </c:pt>
              </c:strCache>
            </c:strRef>
          </c:cat>
          <c:val>
            <c:numRef>
              <c:f>'CO2 - Cenário RT 5'!$C$80:$D$80</c:f>
              <c:numCache>
                <c:formatCode>#,##0</c:formatCode>
                <c:ptCount val="2"/>
                <c:pt idx="1">
                  <c:v>-3353.3073752255996</c:v>
                </c:pt>
              </c:numCache>
            </c:numRef>
          </c:val>
          <c:extLst>
            <c:ext xmlns:c16="http://schemas.microsoft.com/office/drawing/2014/chart" uri="{C3380CC4-5D6E-409C-BE32-E72D297353CC}">
              <c16:uniqueId val="{00000012-A74C-46FA-941C-22C4084D4134}"/>
            </c:ext>
          </c:extLst>
        </c:ser>
        <c:dLbls>
          <c:showLegendKey val="0"/>
          <c:showVal val="0"/>
          <c:showCatName val="0"/>
          <c:showSerName val="0"/>
          <c:showPercent val="0"/>
          <c:showBubbleSize val="0"/>
        </c:dLbls>
        <c:gapWidth val="100"/>
        <c:overlap val="100"/>
        <c:axId val="198289664"/>
        <c:axId val="198299648"/>
      </c:barChart>
      <c:catAx>
        <c:axId val="198289664"/>
        <c:scaling>
          <c:orientation val="minMax"/>
        </c:scaling>
        <c:delete val="0"/>
        <c:axPos val="b"/>
        <c:numFmt formatCode="General" sourceLinked="1"/>
        <c:majorTickMark val="out"/>
        <c:minorTickMark val="none"/>
        <c:tickLblPos val="low"/>
        <c:spPr>
          <a:ln w="3175">
            <a:solidFill>
              <a:srgbClr val="000000"/>
            </a:solidFill>
            <a:prstDash val="solid"/>
          </a:ln>
        </c:spPr>
        <c:txPr>
          <a:bodyPr rot="0" vert="horz"/>
          <a:lstStyle/>
          <a:p>
            <a:pPr>
              <a:defRPr sz="875" b="1" i="0" u="none" strike="noStrike" baseline="0">
                <a:solidFill>
                  <a:srgbClr val="000000"/>
                </a:solidFill>
                <a:latin typeface="Arial"/>
                <a:ea typeface="Arial"/>
                <a:cs typeface="Arial"/>
              </a:defRPr>
            </a:pPr>
            <a:endParaRPr lang="pt-BR"/>
          </a:p>
        </c:txPr>
        <c:crossAx val="198299648"/>
        <c:crosses val="autoZero"/>
        <c:auto val="1"/>
        <c:lblAlgn val="ctr"/>
        <c:lblOffset val="100"/>
        <c:tickLblSkip val="1"/>
        <c:tickMarkSkip val="1"/>
        <c:noMultiLvlLbl val="0"/>
      </c:catAx>
      <c:valAx>
        <c:axId val="198299648"/>
        <c:scaling>
          <c:orientation val="minMax"/>
        </c:scaling>
        <c:delete val="0"/>
        <c:axPos val="l"/>
        <c:majorGridlines>
          <c:spPr>
            <a:ln w="3175">
              <a:solidFill>
                <a:srgbClr val="000000"/>
              </a:solidFill>
              <a:prstDash val="solid"/>
            </a:ln>
          </c:spPr>
        </c:majorGridlines>
        <c:title>
          <c:tx>
            <c:rich>
              <a:bodyPr/>
              <a:lstStyle/>
              <a:p>
                <a:pPr>
                  <a:defRPr sz="875" b="1" i="0" u="none" strike="noStrike" baseline="0">
                    <a:solidFill>
                      <a:sysClr val="windowText" lastClr="000000"/>
                    </a:solidFill>
                    <a:latin typeface="Arial"/>
                    <a:ea typeface="Arial"/>
                    <a:cs typeface="Arial"/>
                  </a:defRPr>
                </a:pPr>
                <a:r>
                  <a:rPr lang="de-DE">
                    <a:solidFill>
                      <a:sysClr val="windowText" lastClr="000000"/>
                    </a:solidFill>
                  </a:rPr>
                  <a:t>tonelada CO2-eq / ano</a:t>
                </a:r>
              </a:p>
            </c:rich>
          </c:tx>
          <c:layout>
            <c:manualLayout>
              <c:xMode val="edge"/>
              <c:yMode val="edge"/>
              <c:x val="1.1369026467846592E-2"/>
              <c:y val="0.35946155547219227"/>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75" b="0" i="0" u="none" strike="noStrike" baseline="0">
                <a:solidFill>
                  <a:srgbClr val="000000"/>
                </a:solidFill>
                <a:latin typeface="Arial"/>
                <a:ea typeface="Arial"/>
                <a:cs typeface="Arial"/>
              </a:defRPr>
            </a:pPr>
            <a:endParaRPr lang="pt-BR"/>
          </a:p>
        </c:txPr>
        <c:crossAx val="198289664"/>
        <c:crosses val="autoZero"/>
        <c:crossBetween val="between"/>
      </c:valAx>
      <c:spPr>
        <a:noFill/>
        <a:ln w="12700">
          <a:solidFill>
            <a:srgbClr val="808080"/>
          </a:solidFill>
          <a:prstDash val="solid"/>
        </a:ln>
      </c:spPr>
    </c:plotArea>
    <c:legend>
      <c:legendPos val="r"/>
      <c:legendEntry>
        <c:idx val="0"/>
        <c:txPr>
          <a:bodyPr/>
          <a:lstStyle/>
          <a:p>
            <a:pPr>
              <a:defRPr sz="755" b="1" i="0" u="none" strike="noStrike" baseline="0">
                <a:solidFill>
                  <a:srgbClr val="000000"/>
                </a:solidFill>
                <a:latin typeface="Arial"/>
                <a:ea typeface="Arial"/>
                <a:cs typeface="Arial"/>
              </a:defRPr>
            </a:pPr>
            <a:endParaRPr lang="pt-BR"/>
          </a:p>
        </c:txPr>
      </c:legendEntry>
      <c:legendEntry>
        <c:idx val="1"/>
        <c:txPr>
          <a:bodyPr/>
          <a:lstStyle/>
          <a:p>
            <a:pPr>
              <a:defRPr sz="755" b="1" i="0" u="none" strike="noStrike" baseline="0">
                <a:solidFill>
                  <a:srgbClr val="000000"/>
                </a:solidFill>
                <a:latin typeface="Arial"/>
                <a:ea typeface="Arial"/>
                <a:cs typeface="Arial"/>
              </a:defRPr>
            </a:pPr>
            <a:endParaRPr lang="pt-BR"/>
          </a:p>
        </c:txPr>
      </c:legendEntry>
      <c:legendEntry>
        <c:idx val="4"/>
        <c:txPr>
          <a:bodyPr/>
          <a:lstStyle/>
          <a:p>
            <a:pPr>
              <a:defRPr sz="755" b="0" i="0" u="none" strike="noStrike" baseline="0">
                <a:solidFill>
                  <a:srgbClr val="000000"/>
                </a:solidFill>
                <a:latin typeface="Arial"/>
                <a:ea typeface="Arial"/>
                <a:cs typeface="Arial"/>
              </a:defRPr>
            </a:pPr>
            <a:endParaRPr lang="pt-BR"/>
          </a:p>
        </c:txPr>
      </c:legendEntry>
      <c:legendEntry>
        <c:idx val="5"/>
        <c:txPr>
          <a:bodyPr/>
          <a:lstStyle/>
          <a:p>
            <a:pPr>
              <a:defRPr sz="755" b="0" i="0" u="none" strike="noStrike" baseline="0">
                <a:solidFill>
                  <a:srgbClr val="000000"/>
                </a:solidFill>
                <a:latin typeface="Arial"/>
                <a:ea typeface="Arial"/>
                <a:cs typeface="Arial"/>
              </a:defRPr>
            </a:pPr>
            <a:endParaRPr lang="pt-BR"/>
          </a:p>
        </c:txPr>
      </c:legendEntry>
      <c:legendEntry>
        <c:idx val="6"/>
        <c:txPr>
          <a:bodyPr/>
          <a:lstStyle/>
          <a:p>
            <a:pPr>
              <a:defRPr sz="755" b="0" i="0" u="none" strike="noStrike" baseline="0">
                <a:solidFill>
                  <a:srgbClr val="000000"/>
                </a:solidFill>
                <a:latin typeface="Arial"/>
                <a:ea typeface="Arial"/>
                <a:cs typeface="Arial"/>
              </a:defRPr>
            </a:pPr>
            <a:endParaRPr lang="pt-BR"/>
          </a:p>
        </c:txPr>
      </c:legendEntry>
      <c:legendEntry>
        <c:idx val="7"/>
        <c:txPr>
          <a:bodyPr/>
          <a:lstStyle/>
          <a:p>
            <a:pPr>
              <a:defRPr sz="755" b="0" i="0" u="none" strike="noStrike" baseline="0">
                <a:solidFill>
                  <a:srgbClr val="000000"/>
                </a:solidFill>
                <a:latin typeface="Arial"/>
                <a:ea typeface="Arial"/>
                <a:cs typeface="Arial"/>
              </a:defRPr>
            </a:pPr>
            <a:endParaRPr lang="pt-BR"/>
          </a:p>
        </c:txPr>
      </c:legendEntry>
      <c:legendEntry>
        <c:idx val="9"/>
        <c:txPr>
          <a:bodyPr/>
          <a:lstStyle/>
          <a:p>
            <a:pPr>
              <a:defRPr sz="755" b="0" i="0" u="none" strike="noStrike" baseline="0">
                <a:solidFill>
                  <a:srgbClr val="000000"/>
                </a:solidFill>
                <a:latin typeface="Arial"/>
                <a:ea typeface="Arial"/>
                <a:cs typeface="Arial"/>
              </a:defRPr>
            </a:pPr>
            <a:endParaRPr lang="pt-BR"/>
          </a:p>
        </c:txPr>
      </c:legendEntry>
      <c:legendEntry>
        <c:idx val="10"/>
        <c:txPr>
          <a:bodyPr/>
          <a:lstStyle/>
          <a:p>
            <a:pPr>
              <a:defRPr sz="755" b="1" i="0" u="none" strike="noStrike" baseline="0">
                <a:solidFill>
                  <a:srgbClr val="000000"/>
                </a:solidFill>
                <a:latin typeface="Arial"/>
                <a:ea typeface="Arial"/>
                <a:cs typeface="Arial"/>
              </a:defRPr>
            </a:pPr>
            <a:endParaRPr lang="pt-BR"/>
          </a:p>
        </c:txPr>
      </c:legendEntry>
      <c:legendEntry>
        <c:idx val="12"/>
        <c:txPr>
          <a:bodyPr/>
          <a:lstStyle/>
          <a:p>
            <a:pPr>
              <a:defRPr sz="755" b="0" i="0" u="none" strike="noStrike" baseline="0">
                <a:solidFill>
                  <a:srgbClr val="000000"/>
                </a:solidFill>
                <a:latin typeface="Arial"/>
                <a:ea typeface="Arial"/>
                <a:cs typeface="Arial"/>
              </a:defRPr>
            </a:pPr>
            <a:endParaRPr lang="pt-BR"/>
          </a:p>
        </c:txPr>
      </c:legendEntry>
      <c:legendEntry>
        <c:idx val="13"/>
        <c:txPr>
          <a:bodyPr/>
          <a:lstStyle/>
          <a:p>
            <a:pPr>
              <a:defRPr sz="755" b="0" i="0" u="none" strike="noStrike" baseline="0">
                <a:solidFill>
                  <a:srgbClr val="000000"/>
                </a:solidFill>
                <a:latin typeface="Arial"/>
                <a:ea typeface="Arial"/>
                <a:cs typeface="Arial"/>
              </a:defRPr>
            </a:pPr>
            <a:endParaRPr lang="pt-BR"/>
          </a:p>
        </c:txPr>
      </c:legendEntry>
      <c:layout>
        <c:manualLayout>
          <c:xMode val="edge"/>
          <c:yMode val="edge"/>
          <c:x val="0.69944751381215453"/>
          <c:y val="1.5988417481653919E-2"/>
          <c:w val="0.28839779005524885"/>
          <c:h val="0.91279328895260536"/>
        </c:manualLayout>
      </c:layout>
      <c:overlay val="0"/>
      <c:spPr>
        <a:solidFill>
          <a:srgbClr val="FFFFFF"/>
        </a:solidFill>
        <a:ln w="3175">
          <a:solidFill>
            <a:srgbClr val="000000"/>
          </a:solidFill>
          <a:prstDash val="solid"/>
        </a:ln>
      </c:spPr>
      <c:txPr>
        <a:bodyPr/>
        <a:lstStyle/>
        <a:p>
          <a:pPr>
            <a:defRPr sz="755" b="0" i="0" u="none" strike="noStrike" baseline="0">
              <a:solidFill>
                <a:srgbClr val="000000"/>
              </a:solidFill>
              <a:latin typeface="Arial"/>
              <a:ea typeface="Arial"/>
              <a:cs typeface="Arial"/>
            </a:defRPr>
          </a:pPr>
          <a:endParaRPr lang="pt-BR"/>
        </a:p>
      </c:txPr>
    </c:legend>
    <c:plotVisOnly val="1"/>
    <c:dispBlanksAs val="gap"/>
    <c:showDLblsOverMax val="0"/>
  </c:chart>
  <c:spPr>
    <a:solidFill>
      <a:srgbClr val="FFFFFF"/>
    </a:solid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pt-BR"/>
    </a:p>
  </c:txPr>
  <c:printSettings>
    <c:headerFooter alignWithMargins="0"/>
    <c:pageMargins b="0.98425196899999978" l="0.78740157499999996" r="0.78740157499999996" t="0.98425196899999978" header="0.49212598450000011" footer="0.49212598450000011"/>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75" b="1" i="0" u="none" strike="noStrike" baseline="0">
                <a:solidFill>
                  <a:srgbClr val="000000"/>
                </a:solidFill>
                <a:latin typeface="Arial"/>
                <a:ea typeface="Arial"/>
                <a:cs typeface="Arial"/>
              </a:defRPr>
            </a:pPr>
            <a:r>
              <a:rPr lang="de-DE"/>
              <a:t>Emissões de </a:t>
            </a:r>
            <a:r>
              <a:rPr lang="de-DE">
                <a:solidFill>
                  <a:sysClr val="windowText" lastClr="000000"/>
                </a:solidFill>
              </a:rPr>
              <a:t>GEE </a:t>
            </a:r>
            <a:r>
              <a:rPr lang="pt-BR" sz="975" b="0" i="0" u="none" strike="noStrike" baseline="0">
                <a:solidFill>
                  <a:sysClr val="windowText" lastClr="000000"/>
                </a:solidFill>
                <a:effectLst/>
              </a:rPr>
              <a:t>—</a:t>
            </a:r>
            <a:r>
              <a:rPr lang="de-DE">
                <a:solidFill>
                  <a:sysClr val="windowText" lastClr="000000"/>
                </a:solidFill>
              </a:rPr>
              <a:t> Destinação</a:t>
            </a:r>
          </a:p>
        </c:rich>
      </c:tx>
      <c:layout>
        <c:manualLayout>
          <c:xMode val="edge"/>
          <c:yMode val="edge"/>
          <c:x val="0.29557157569515985"/>
          <c:y val="1.5172413793103448E-2"/>
        </c:manualLayout>
      </c:layout>
      <c:overlay val="0"/>
      <c:spPr>
        <a:noFill/>
        <a:ln w="25400">
          <a:noFill/>
        </a:ln>
      </c:spPr>
    </c:title>
    <c:autoTitleDeleted val="0"/>
    <c:plotArea>
      <c:layout>
        <c:manualLayout>
          <c:layoutTarget val="inner"/>
          <c:xMode val="edge"/>
          <c:yMode val="edge"/>
          <c:x val="0.19670442842430488"/>
          <c:y val="0.12689655172413788"/>
          <c:w val="0.51802265705458328"/>
          <c:h val="0.76137931034482786"/>
        </c:manualLayout>
      </c:layout>
      <c:barChart>
        <c:barDir val="col"/>
        <c:grouping val="stacked"/>
        <c:varyColors val="0"/>
        <c:ser>
          <c:idx val="0"/>
          <c:order val="0"/>
          <c:tx>
            <c:strRef>
              <c:f>'CO2 - Cenário RT 5'!$K$62</c:f>
              <c:strCache>
                <c:ptCount val="1"/>
                <c:pt idx="0">
                  <c:v>Resíduos dispersos</c:v>
                </c:pt>
              </c:strCache>
            </c:strRef>
          </c:tx>
          <c:spPr>
            <a:solidFill>
              <a:srgbClr val="FFFFFF"/>
            </a:solidFill>
            <a:ln w="12700">
              <a:solidFill>
                <a:srgbClr val="000000"/>
              </a:solidFill>
              <a:prstDash val="solid"/>
            </a:ln>
          </c:spPr>
          <c:invertIfNegative val="0"/>
          <c:cat>
            <c:strRef>
              <c:f>'CO2 - Cenário RT 5'!$L$61:$M$61</c:f>
              <c:strCache>
                <c:ptCount val="2"/>
                <c:pt idx="0">
                  <c:v>Destinação de resíduos</c:v>
                </c:pt>
                <c:pt idx="1">
                  <c:v>Líquido</c:v>
                </c:pt>
              </c:strCache>
            </c:strRef>
          </c:cat>
          <c:val>
            <c:numRef>
              <c:f>'CO2 - Cenário RT 5'!$L$62:$M$62</c:f>
              <c:numCache>
                <c:formatCode>General</c:formatCode>
                <c:ptCount val="2"/>
                <c:pt idx="0" formatCode="#,##0">
                  <c:v>0</c:v>
                </c:pt>
              </c:numCache>
            </c:numRef>
          </c:val>
          <c:extLst>
            <c:ext xmlns:c16="http://schemas.microsoft.com/office/drawing/2014/chart" uri="{C3380CC4-5D6E-409C-BE32-E72D297353CC}">
              <c16:uniqueId val="{00000000-6A8C-4B2F-8573-A42C72A8B7F2}"/>
            </c:ext>
          </c:extLst>
        </c:ser>
        <c:ser>
          <c:idx val="1"/>
          <c:order val="1"/>
          <c:tx>
            <c:strRef>
              <c:f>'CO2 - Cenário RT 5'!$K$63</c:f>
              <c:strCache>
                <c:ptCount val="1"/>
                <c:pt idx="0">
                  <c:v>Queima a céu aberto</c:v>
                </c:pt>
              </c:strCache>
            </c:strRef>
          </c:tx>
          <c:spPr>
            <a:solidFill>
              <a:srgbClr val="FF8080"/>
            </a:solidFill>
            <a:ln w="12700">
              <a:solidFill>
                <a:srgbClr val="000000"/>
              </a:solidFill>
              <a:prstDash val="solid"/>
            </a:ln>
          </c:spPr>
          <c:invertIfNegative val="0"/>
          <c:cat>
            <c:strRef>
              <c:f>'CO2 - Cenário RT 5'!$L$61:$M$61</c:f>
              <c:strCache>
                <c:ptCount val="2"/>
                <c:pt idx="0">
                  <c:v>Destinação de resíduos</c:v>
                </c:pt>
                <c:pt idx="1">
                  <c:v>Líquido</c:v>
                </c:pt>
              </c:strCache>
            </c:strRef>
          </c:cat>
          <c:val>
            <c:numRef>
              <c:f>'CO2 - Cenário RT 5'!$L$63:$M$63</c:f>
              <c:numCache>
                <c:formatCode>General</c:formatCode>
                <c:ptCount val="2"/>
                <c:pt idx="0" formatCode="#,##0">
                  <c:v>0</c:v>
                </c:pt>
              </c:numCache>
            </c:numRef>
          </c:val>
          <c:extLst>
            <c:ext xmlns:c16="http://schemas.microsoft.com/office/drawing/2014/chart" uri="{C3380CC4-5D6E-409C-BE32-E72D297353CC}">
              <c16:uniqueId val="{00000001-6A8C-4B2F-8573-A42C72A8B7F2}"/>
            </c:ext>
          </c:extLst>
        </c:ser>
        <c:ser>
          <c:idx val="2"/>
          <c:order val="2"/>
          <c:tx>
            <c:strRef>
              <c:f>'CO2 - Cenário RT 5'!$K$64</c:f>
              <c:strCache>
                <c:ptCount val="1"/>
                <c:pt idx="0">
                  <c:v>Lixão não controlado</c:v>
                </c:pt>
              </c:strCache>
            </c:strRef>
          </c:tx>
          <c:spPr>
            <a:solidFill>
              <a:srgbClr val="993300"/>
            </a:solidFill>
            <a:ln w="12700">
              <a:solidFill>
                <a:srgbClr val="000000"/>
              </a:solidFill>
              <a:prstDash val="solid"/>
            </a:ln>
          </c:spPr>
          <c:invertIfNegative val="0"/>
          <c:cat>
            <c:strRef>
              <c:f>'CO2 - Cenário RT 5'!$L$61:$M$61</c:f>
              <c:strCache>
                <c:ptCount val="2"/>
                <c:pt idx="0">
                  <c:v>Destinação de resíduos</c:v>
                </c:pt>
                <c:pt idx="1">
                  <c:v>Líquido</c:v>
                </c:pt>
              </c:strCache>
            </c:strRef>
          </c:cat>
          <c:val>
            <c:numRef>
              <c:f>'CO2 - Cenário RT 5'!$L$64:$M$64</c:f>
              <c:numCache>
                <c:formatCode>General</c:formatCode>
                <c:ptCount val="2"/>
                <c:pt idx="0" formatCode="#,##0">
                  <c:v>0</c:v>
                </c:pt>
              </c:numCache>
            </c:numRef>
          </c:val>
          <c:extLst>
            <c:ext xmlns:c16="http://schemas.microsoft.com/office/drawing/2014/chart" uri="{C3380CC4-5D6E-409C-BE32-E72D297353CC}">
              <c16:uniqueId val="{00000002-6A8C-4B2F-8573-A42C72A8B7F2}"/>
            </c:ext>
          </c:extLst>
        </c:ser>
        <c:ser>
          <c:idx val="3"/>
          <c:order val="3"/>
          <c:tx>
            <c:strRef>
              <c:f>'CO2 - Cenário RT 5'!$K$65</c:f>
              <c:strCache>
                <c:ptCount val="1"/>
                <c:pt idx="0">
                  <c:v>Aterro controlado</c:v>
                </c:pt>
              </c:strCache>
            </c:strRef>
          </c:tx>
          <c:spPr>
            <a:solidFill>
              <a:srgbClr val="99CC00"/>
            </a:solidFill>
            <a:ln w="12700">
              <a:solidFill>
                <a:srgbClr val="000000"/>
              </a:solidFill>
              <a:prstDash val="solid"/>
            </a:ln>
          </c:spPr>
          <c:invertIfNegative val="0"/>
          <c:cat>
            <c:strRef>
              <c:f>'CO2 - Cenário RT 5'!$L$61:$M$61</c:f>
              <c:strCache>
                <c:ptCount val="2"/>
                <c:pt idx="0">
                  <c:v>Destinação de resíduos</c:v>
                </c:pt>
                <c:pt idx="1">
                  <c:v>Líquido</c:v>
                </c:pt>
              </c:strCache>
            </c:strRef>
          </c:cat>
          <c:val>
            <c:numRef>
              <c:f>'CO2 - Cenário RT 5'!$L$65:$M$65</c:f>
              <c:numCache>
                <c:formatCode>General</c:formatCode>
                <c:ptCount val="2"/>
                <c:pt idx="0" formatCode="#,##0">
                  <c:v>4173.196405613453</c:v>
                </c:pt>
              </c:numCache>
            </c:numRef>
          </c:val>
          <c:extLst>
            <c:ext xmlns:c16="http://schemas.microsoft.com/office/drawing/2014/chart" uri="{C3380CC4-5D6E-409C-BE32-E72D297353CC}">
              <c16:uniqueId val="{00000003-6A8C-4B2F-8573-A42C72A8B7F2}"/>
            </c:ext>
          </c:extLst>
        </c:ser>
        <c:ser>
          <c:idx val="4"/>
          <c:order val="4"/>
          <c:tx>
            <c:strRef>
              <c:f>'CO2 - Cenário RT 5'!$K$66</c:f>
              <c:strCache>
                <c:ptCount val="1"/>
                <c:pt idx="0">
                  <c:v>Aterro sanitário</c:v>
                </c:pt>
              </c:strCache>
            </c:strRef>
          </c:tx>
          <c:spPr>
            <a:solidFill>
              <a:srgbClr val="FFFF00"/>
            </a:solidFill>
            <a:ln w="12700">
              <a:solidFill>
                <a:srgbClr val="000000"/>
              </a:solidFill>
              <a:prstDash val="solid"/>
            </a:ln>
          </c:spPr>
          <c:invertIfNegative val="0"/>
          <c:cat>
            <c:strRef>
              <c:f>'CO2 - Cenário RT 5'!$L$61:$M$61</c:f>
              <c:strCache>
                <c:ptCount val="2"/>
                <c:pt idx="0">
                  <c:v>Destinação de resíduos</c:v>
                </c:pt>
                <c:pt idx="1">
                  <c:v>Líquido</c:v>
                </c:pt>
              </c:strCache>
            </c:strRef>
          </c:cat>
          <c:val>
            <c:numRef>
              <c:f>'CO2 - Cenário RT 5'!$L$66:$M$66</c:f>
              <c:numCache>
                <c:formatCode>General</c:formatCode>
                <c:ptCount val="2"/>
                <c:pt idx="0" formatCode="#,##0">
                  <c:v>0</c:v>
                </c:pt>
              </c:numCache>
            </c:numRef>
          </c:val>
          <c:extLst>
            <c:ext xmlns:c16="http://schemas.microsoft.com/office/drawing/2014/chart" uri="{C3380CC4-5D6E-409C-BE32-E72D297353CC}">
              <c16:uniqueId val="{00000004-6A8C-4B2F-8573-A42C72A8B7F2}"/>
            </c:ext>
          </c:extLst>
        </c:ser>
        <c:ser>
          <c:idx val="5"/>
          <c:order val="5"/>
          <c:tx>
            <c:strRef>
              <c:f>'CO2 - Cenário RT 5'!$K$67</c:f>
              <c:strCache>
                <c:ptCount val="1"/>
                <c:pt idx="0">
                  <c:v>Trat. biol + cobertura at.</c:v>
                </c:pt>
              </c:strCache>
            </c:strRef>
          </c:tx>
          <c:spPr>
            <a:solidFill>
              <a:srgbClr val="FF00FF"/>
            </a:solidFill>
            <a:ln w="12700">
              <a:solidFill>
                <a:srgbClr val="000000"/>
              </a:solidFill>
              <a:prstDash val="solid"/>
            </a:ln>
          </c:spPr>
          <c:invertIfNegative val="0"/>
          <c:cat>
            <c:strRef>
              <c:f>'CO2 - Cenário RT 5'!$L$61:$M$61</c:f>
              <c:strCache>
                <c:ptCount val="2"/>
                <c:pt idx="0">
                  <c:v>Destinação de resíduos</c:v>
                </c:pt>
                <c:pt idx="1">
                  <c:v>Líquido</c:v>
                </c:pt>
              </c:strCache>
            </c:strRef>
          </c:cat>
          <c:val>
            <c:numRef>
              <c:f>'CO2 - Cenário RT 5'!$L$67:$M$67</c:f>
              <c:numCache>
                <c:formatCode>General</c:formatCode>
                <c:ptCount val="2"/>
                <c:pt idx="0" formatCode="#,##0">
                  <c:v>0</c:v>
                </c:pt>
              </c:numCache>
            </c:numRef>
          </c:val>
          <c:extLst>
            <c:ext xmlns:c16="http://schemas.microsoft.com/office/drawing/2014/chart" uri="{C3380CC4-5D6E-409C-BE32-E72D297353CC}">
              <c16:uniqueId val="{00000005-6A8C-4B2F-8573-A42C72A8B7F2}"/>
            </c:ext>
          </c:extLst>
        </c:ser>
        <c:ser>
          <c:idx val="6"/>
          <c:order val="6"/>
          <c:tx>
            <c:strRef>
              <c:f>'CO2 - Cenário RT 5'!$K$68</c:f>
              <c:strCache>
                <c:ptCount val="1"/>
                <c:pt idx="0">
                  <c:v>CDR seco + rejeito aterro</c:v>
                </c:pt>
              </c:strCache>
            </c:strRef>
          </c:tx>
          <c:spPr>
            <a:solidFill>
              <a:srgbClr val="008080"/>
            </a:solidFill>
            <a:ln w="12700">
              <a:solidFill>
                <a:srgbClr val="000000"/>
              </a:solidFill>
              <a:prstDash val="solid"/>
            </a:ln>
          </c:spPr>
          <c:invertIfNegative val="0"/>
          <c:cat>
            <c:strRef>
              <c:f>'CO2 - Cenário RT 5'!$L$61:$M$61</c:f>
              <c:strCache>
                <c:ptCount val="2"/>
                <c:pt idx="0">
                  <c:v>Destinação de resíduos</c:v>
                </c:pt>
                <c:pt idx="1">
                  <c:v>Líquido</c:v>
                </c:pt>
              </c:strCache>
            </c:strRef>
          </c:cat>
          <c:val>
            <c:numRef>
              <c:f>'CO2 - Cenário RT 5'!$L$68:$M$68</c:f>
              <c:numCache>
                <c:formatCode>General</c:formatCode>
                <c:ptCount val="2"/>
                <c:pt idx="0" formatCode="#,##0">
                  <c:v>0</c:v>
                </c:pt>
              </c:numCache>
            </c:numRef>
          </c:val>
          <c:extLst>
            <c:ext xmlns:c16="http://schemas.microsoft.com/office/drawing/2014/chart" uri="{C3380CC4-5D6E-409C-BE32-E72D297353CC}">
              <c16:uniqueId val="{00000006-6A8C-4B2F-8573-A42C72A8B7F2}"/>
            </c:ext>
          </c:extLst>
        </c:ser>
        <c:ser>
          <c:idx val="7"/>
          <c:order val="7"/>
          <c:tx>
            <c:strRef>
              <c:f>'CO2 - Cenário RT 5'!$K$69</c:f>
              <c:strCache>
                <c:ptCount val="1"/>
                <c:pt idx="0">
                  <c:v>CDR seco + trat. biol.</c:v>
                </c:pt>
              </c:strCache>
            </c:strRef>
          </c:tx>
          <c:spPr>
            <a:solidFill>
              <a:srgbClr val="FF9900"/>
            </a:solidFill>
            <a:ln w="12700">
              <a:solidFill>
                <a:srgbClr val="000000"/>
              </a:solidFill>
              <a:prstDash val="solid"/>
            </a:ln>
          </c:spPr>
          <c:invertIfNegative val="0"/>
          <c:cat>
            <c:strRef>
              <c:f>'CO2 - Cenário RT 5'!$L$61:$M$61</c:f>
              <c:strCache>
                <c:ptCount val="2"/>
                <c:pt idx="0">
                  <c:v>Destinação de resíduos</c:v>
                </c:pt>
                <c:pt idx="1">
                  <c:v>Líquido</c:v>
                </c:pt>
              </c:strCache>
            </c:strRef>
          </c:cat>
          <c:val>
            <c:numRef>
              <c:f>'CO2 - Cenário RT 5'!$L$69:$M$69</c:f>
              <c:numCache>
                <c:formatCode>General</c:formatCode>
                <c:ptCount val="2"/>
                <c:pt idx="0" formatCode="#,##0">
                  <c:v>0</c:v>
                </c:pt>
              </c:numCache>
            </c:numRef>
          </c:val>
          <c:extLst>
            <c:ext xmlns:c16="http://schemas.microsoft.com/office/drawing/2014/chart" uri="{C3380CC4-5D6E-409C-BE32-E72D297353CC}">
              <c16:uniqueId val="{00000007-6A8C-4B2F-8573-A42C72A8B7F2}"/>
            </c:ext>
          </c:extLst>
        </c:ser>
        <c:ser>
          <c:idx val="21"/>
          <c:order val="8"/>
          <c:tx>
            <c:strRef>
              <c:f>'CO2 - Cenário RT 5'!$K$70</c:f>
              <c:strCache>
                <c:ptCount val="1"/>
                <c:pt idx="0">
                  <c:v>CDR seco + CDR org.</c:v>
                </c:pt>
              </c:strCache>
            </c:strRef>
          </c:tx>
          <c:spPr>
            <a:solidFill>
              <a:srgbClr val="00B0F0"/>
            </a:solidFill>
            <a:ln w="12700">
              <a:solidFill>
                <a:srgbClr val="000000"/>
              </a:solidFill>
            </a:ln>
          </c:spPr>
          <c:invertIfNegative val="0"/>
          <c:cat>
            <c:strRef>
              <c:f>'CO2 - Cenário RT 5'!$L$61:$M$61</c:f>
              <c:strCache>
                <c:ptCount val="2"/>
                <c:pt idx="0">
                  <c:v>Destinação de resíduos</c:v>
                </c:pt>
                <c:pt idx="1">
                  <c:v>Líquido</c:v>
                </c:pt>
              </c:strCache>
            </c:strRef>
          </c:cat>
          <c:val>
            <c:numRef>
              <c:f>'CO2 - Cenário RT 5'!$L$70:$M$70</c:f>
              <c:numCache>
                <c:formatCode>General</c:formatCode>
                <c:ptCount val="2"/>
                <c:pt idx="0" formatCode="#,##0">
                  <c:v>0</c:v>
                </c:pt>
              </c:numCache>
            </c:numRef>
          </c:val>
          <c:extLst>
            <c:ext xmlns:c16="http://schemas.microsoft.com/office/drawing/2014/chart" uri="{C3380CC4-5D6E-409C-BE32-E72D297353CC}">
              <c16:uniqueId val="{00000008-6A8C-4B2F-8573-A42C72A8B7F2}"/>
            </c:ext>
          </c:extLst>
        </c:ser>
        <c:ser>
          <c:idx val="8"/>
          <c:order val="9"/>
          <c:tx>
            <c:strRef>
              <c:f>'CO2 - Cenário RT 5'!$K$71</c:f>
              <c:strCache>
                <c:ptCount val="1"/>
                <c:pt idx="0">
                  <c:v>Incineração</c:v>
                </c:pt>
              </c:strCache>
            </c:strRef>
          </c:tx>
          <c:spPr>
            <a:solidFill>
              <a:srgbClr val="CCCCFF"/>
            </a:solidFill>
            <a:ln w="12700">
              <a:solidFill>
                <a:srgbClr val="000000"/>
              </a:solidFill>
              <a:prstDash val="solid"/>
            </a:ln>
          </c:spPr>
          <c:invertIfNegative val="0"/>
          <c:cat>
            <c:strRef>
              <c:f>'CO2 - Cenário RT 5'!$L$61:$M$61</c:f>
              <c:strCache>
                <c:ptCount val="2"/>
                <c:pt idx="0">
                  <c:v>Destinação de resíduos</c:v>
                </c:pt>
                <c:pt idx="1">
                  <c:v>Líquido</c:v>
                </c:pt>
              </c:strCache>
            </c:strRef>
          </c:cat>
          <c:val>
            <c:numRef>
              <c:f>'CO2 - Cenário RT 5'!$L$71:$M$71</c:f>
              <c:numCache>
                <c:formatCode>General</c:formatCode>
                <c:ptCount val="2"/>
                <c:pt idx="0" formatCode="#,##0">
                  <c:v>6233.9833509432347</c:v>
                </c:pt>
              </c:numCache>
            </c:numRef>
          </c:val>
          <c:extLst>
            <c:ext xmlns:c16="http://schemas.microsoft.com/office/drawing/2014/chart" uri="{C3380CC4-5D6E-409C-BE32-E72D297353CC}">
              <c16:uniqueId val="{00000009-6A8C-4B2F-8573-A42C72A8B7F2}"/>
            </c:ext>
          </c:extLst>
        </c:ser>
        <c:ser>
          <c:idx val="9"/>
          <c:order val="10"/>
          <c:tx>
            <c:strRef>
              <c:f>'CO2 - Cenário RT 5'!$K$72</c:f>
              <c:strCache>
                <c:ptCount val="1"/>
                <c:pt idx="0">
                  <c:v>Débitos</c:v>
                </c:pt>
              </c:strCache>
            </c:strRef>
          </c:tx>
          <c:spPr>
            <a:noFill/>
            <a:ln w="25400">
              <a:noFill/>
            </a:ln>
          </c:spPr>
          <c:invertIfNegative val="0"/>
          <c:cat>
            <c:strRef>
              <c:f>'CO2 - Cenário RT 5'!$L$61:$M$61</c:f>
              <c:strCache>
                <c:ptCount val="2"/>
                <c:pt idx="0">
                  <c:v>Destinação de resíduos</c:v>
                </c:pt>
                <c:pt idx="1">
                  <c:v>Líquido</c:v>
                </c:pt>
              </c:strCache>
            </c:strRef>
          </c:cat>
          <c:val>
            <c:numRef>
              <c:f>'CO2 - Cenário RT 5'!$L$72:$M$72</c:f>
              <c:numCache>
                <c:formatCode>General</c:formatCode>
                <c:ptCount val="2"/>
              </c:numCache>
            </c:numRef>
          </c:val>
          <c:extLst>
            <c:ext xmlns:c16="http://schemas.microsoft.com/office/drawing/2014/chart" uri="{C3380CC4-5D6E-409C-BE32-E72D297353CC}">
              <c16:uniqueId val="{0000000A-6A8C-4B2F-8573-A42C72A8B7F2}"/>
            </c:ext>
          </c:extLst>
        </c:ser>
        <c:ser>
          <c:idx val="10"/>
          <c:order val="11"/>
          <c:tx>
            <c:strRef>
              <c:f>'CO2 - Cenário RT 5'!$K$73</c:f>
              <c:strCache>
                <c:ptCount val="1"/>
                <c:pt idx="0">
                  <c:v>Resíduos dispersos</c:v>
                </c:pt>
              </c:strCache>
            </c:strRef>
          </c:tx>
          <c:spPr>
            <a:pattFill prst="wdUpDiag">
              <a:fgClr>
                <a:srgbClr val="FFFFFF"/>
              </a:fgClr>
              <a:bgClr>
                <a:srgbClr val="000000"/>
              </a:bgClr>
            </a:pattFill>
            <a:ln w="12700">
              <a:solidFill>
                <a:srgbClr val="000000"/>
              </a:solidFill>
              <a:prstDash val="solid"/>
            </a:ln>
          </c:spPr>
          <c:invertIfNegative val="0"/>
          <c:cat>
            <c:strRef>
              <c:f>'CO2 - Cenário RT 5'!$L$61:$M$61</c:f>
              <c:strCache>
                <c:ptCount val="2"/>
                <c:pt idx="0">
                  <c:v>Destinação de resíduos</c:v>
                </c:pt>
                <c:pt idx="1">
                  <c:v>Líquido</c:v>
                </c:pt>
              </c:strCache>
            </c:strRef>
          </c:cat>
          <c:val>
            <c:numRef>
              <c:f>'CO2 - Cenário RT 5'!$L$73:$M$73</c:f>
              <c:numCache>
                <c:formatCode>General</c:formatCode>
                <c:ptCount val="2"/>
                <c:pt idx="0" formatCode="#,##0">
                  <c:v>0</c:v>
                </c:pt>
              </c:numCache>
            </c:numRef>
          </c:val>
          <c:extLst>
            <c:ext xmlns:c16="http://schemas.microsoft.com/office/drawing/2014/chart" uri="{C3380CC4-5D6E-409C-BE32-E72D297353CC}">
              <c16:uniqueId val="{0000000B-6A8C-4B2F-8573-A42C72A8B7F2}"/>
            </c:ext>
          </c:extLst>
        </c:ser>
        <c:ser>
          <c:idx val="11"/>
          <c:order val="12"/>
          <c:tx>
            <c:strRef>
              <c:f>'CO2 - Cenário RT 5'!$K$74</c:f>
              <c:strCache>
                <c:ptCount val="1"/>
                <c:pt idx="0">
                  <c:v>Queima a céu aberto</c:v>
                </c:pt>
              </c:strCache>
            </c:strRef>
          </c:tx>
          <c:spPr>
            <a:pattFill prst="wdDnDiag">
              <a:fgClr>
                <a:srgbClr val="FF8080"/>
              </a:fgClr>
              <a:bgClr>
                <a:srgbClr val="FFFFFF"/>
              </a:bgClr>
            </a:pattFill>
            <a:ln w="12700">
              <a:solidFill>
                <a:srgbClr val="000000"/>
              </a:solidFill>
              <a:prstDash val="solid"/>
            </a:ln>
          </c:spPr>
          <c:invertIfNegative val="0"/>
          <c:cat>
            <c:strRef>
              <c:f>'CO2 - Cenário RT 5'!$L$61:$M$61</c:f>
              <c:strCache>
                <c:ptCount val="2"/>
                <c:pt idx="0">
                  <c:v>Destinação de resíduos</c:v>
                </c:pt>
                <c:pt idx="1">
                  <c:v>Líquido</c:v>
                </c:pt>
              </c:strCache>
            </c:strRef>
          </c:cat>
          <c:val>
            <c:numRef>
              <c:f>'CO2 - Cenário RT 5'!$L$74:$M$74</c:f>
              <c:numCache>
                <c:formatCode>General</c:formatCode>
                <c:ptCount val="2"/>
                <c:pt idx="0" formatCode="#,##0">
                  <c:v>0</c:v>
                </c:pt>
              </c:numCache>
            </c:numRef>
          </c:val>
          <c:extLst>
            <c:ext xmlns:c16="http://schemas.microsoft.com/office/drawing/2014/chart" uri="{C3380CC4-5D6E-409C-BE32-E72D297353CC}">
              <c16:uniqueId val="{0000000C-6A8C-4B2F-8573-A42C72A8B7F2}"/>
            </c:ext>
          </c:extLst>
        </c:ser>
        <c:ser>
          <c:idx val="12"/>
          <c:order val="13"/>
          <c:tx>
            <c:strRef>
              <c:f>'CO2 - Cenário RT 5'!$K$75</c:f>
              <c:strCache>
                <c:ptCount val="1"/>
                <c:pt idx="0">
                  <c:v>Lixão não controlado</c:v>
                </c:pt>
              </c:strCache>
            </c:strRef>
          </c:tx>
          <c:spPr>
            <a:pattFill prst="wdUpDiag">
              <a:fgClr>
                <a:srgbClr val="993300"/>
              </a:fgClr>
              <a:bgClr>
                <a:srgbClr val="FFFFFF"/>
              </a:bgClr>
            </a:pattFill>
            <a:ln w="12700">
              <a:solidFill>
                <a:srgbClr val="000000"/>
              </a:solidFill>
              <a:prstDash val="solid"/>
            </a:ln>
          </c:spPr>
          <c:invertIfNegative val="0"/>
          <c:cat>
            <c:strRef>
              <c:f>'CO2 - Cenário RT 5'!$L$61:$M$61</c:f>
              <c:strCache>
                <c:ptCount val="2"/>
                <c:pt idx="0">
                  <c:v>Destinação de resíduos</c:v>
                </c:pt>
                <c:pt idx="1">
                  <c:v>Líquido</c:v>
                </c:pt>
              </c:strCache>
            </c:strRef>
          </c:cat>
          <c:val>
            <c:numRef>
              <c:f>'CO2 - Cenário RT 5'!$L$75:$M$75</c:f>
              <c:numCache>
                <c:formatCode>General</c:formatCode>
                <c:ptCount val="2"/>
                <c:pt idx="0" formatCode="#,##0">
                  <c:v>0</c:v>
                </c:pt>
              </c:numCache>
            </c:numRef>
          </c:val>
          <c:extLst>
            <c:ext xmlns:c16="http://schemas.microsoft.com/office/drawing/2014/chart" uri="{C3380CC4-5D6E-409C-BE32-E72D297353CC}">
              <c16:uniqueId val="{0000000D-6A8C-4B2F-8573-A42C72A8B7F2}"/>
            </c:ext>
          </c:extLst>
        </c:ser>
        <c:ser>
          <c:idx val="13"/>
          <c:order val="14"/>
          <c:tx>
            <c:strRef>
              <c:f>'CO2 - Cenário RT 5'!$K$76</c:f>
              <c:strCache>
                <c:ptCount val="1"/>
                <c:pt idx="0">
                  <c:v>Aterro controlado</c:v>
                </c:pt>
              </c:strCache>
            </c:strRef>
          </c:tx>
          <c:spPr>
            <a:pattFill prst="wdDnDiag">
              <a:fgClr>
                <a:srgbClr val="99CC00"/>
              </a:fgClr>
              <a:bgClr>
                <a:srgbClr val="FFFFFF"/>
              </a:bgClr>
            </a:pattFill>
            <a:ln w="12700">
              <a:solidFill>
                <a:srgbClr val="000000"/>
              </a:solidFill>
              <a:prstDash val="solid"/>
            </a:ln>
          </c:spPr>
          <c:invertIfNegative val="0"/>
          <c:cat>
            <c:strRef>
              <c:f>'CO2 - Cenário RT 5'!$L$61:$M$61</c:f>
              <c:strCache>
                <c:ptCount val="2"/>
                <c:pt idx="0">
                  <c:v>Destinação de resíduos</c:v>
                </c:pt>
                <c:pt idx="1">
                  <c:v>Líquido</c:v>
                </c:pt>
              </c:strCache>
            </c:strRef>
          </c:cat>
          <c:val>
            <c:numRef>
              <c:f>'CO2 - Cenário RT 5'!$L$76:$M$76</c:f>
              <c:numCache>
                <c:formatCode>General</c:formatCode>
                <c:ptCount val="2"/>
                <c:pt idx="0" formatCode="#,##0">
                  <c:v>0</c:v>
                </c:pt>
              </c:numCache>
            </c:numRef>
          </c:val>
          <c:extLst>
            <c:ext xmlns:c16="http://schemas.microsoft.com/office/drawing/2014/chart" uri="{C3380CC4-5D6E-409C-BE32-E72D297353CC}">
              <c16:uniqueId val="{0000000E-6A8C-4B2F-8573-A42C72A8B7F2}"/>
            </c:ext>
          </c:extLst>
        </c:ser>
        <c:ser>
          <c:idx val="14"/>
          <c:order val="15"/>
          <c:tx>
            <c:strRef>
              <c:f>'CO2 - Cenário RT 5'!$K$77</c:f>
              <c:strCache>
                <c:ptCount val="1"/>
                <c:pt idx="0">
                  <c:v>Aterro sanitário</c:v>
                </c:pt>
              </c:strCache>
            </c:strRef>
          </c:tx>
          <c:spPr>
            <a:pattFill prst="wdUpDiag">
              <a:fgClr>
                <a:srgbClr val="FFFF00"/>
              </a:fgClr>
              <a:bgClr>
                <a:srgbClr val="FFFFFF"/>
              </a:bgClr>
            </a:pattFill>
            <a:ln w="12700">
              <a:solidFill>
                <a:srgbClr val="000000"/>
              </a:solidFill>
              <a:prstDash val="solid"/>
            </a:ln>
          </c:spPr>
          <c:invertIfNegative val="0"/>
          <c:cat>
            <c:strRef>
              <c:f>'CO2 - Cenário RT 5'!$L$61:$M$61</c:f>
              <c:strCache>
                <c:ptCount val="2"/>
                <c:pt idx="0">
                  <c:v>Destinação de resíduos</c:v>
                </c:pt>
                <c:pt idx="1">
                  <c:v>Líquido</c:v>
                </c:pt>
              </c:strCache>
            </c:strRef>
          </c:cat>
          <c:val>
            <c:numRef>
              <c:f>'CO2 - Cenário RT 5'!$L$77:$M$77</c:f>
              <c:numCache>
                <c:formatCode>General</c:formatCode>
                <c:ptCount val="2"/>
                <c:pt idx="0" formatCode="#,##0">
                  <c:v>0</c:v>
                </c:pt>
              </c:numCache>
            </c:numRef>
          </c:val>
          <c:extLst>
            <c:ext xmlns:c16="http://schemas.microsoft.com/office/drawing/2014/chart" uri="{C3380CC4-5D6E-409C-BE32-E72D297353CC}">
              <c16:uniqueId val="{0000000F-6A8C-4B2F-8573-A42C72A8B7F2}"/>
            </c:ext>
          </c:extLst>
        </c:ser>
        <c:ser>
          <c:idx val="15"/>
          <c:order val="16"/>
          <c:tx>
            <c:strRef>
              <c:f>'CO2 - Cenário RT 5'!$K$78</c:f>
              <c:strCache>
                <c:ptCount val="1"/>
                <c:pt idx="0">
                  <c:v>Trat. biol + cobertura at.</c:v>
                </c:pt>
              </c:strCache>
            </c:strRef>
          </c:tx>
          <c:spPr>
            <a:pattFill prst="wdDnDiag">
              <a:fgClr>
                <a:srgbClr val="FF00FF"/>
              </a:fgClr>
              <a:bgClr>
                <a:srgbClr val="FFFFFF"/>
              </a:bgClr>
            </a:pattFill>
            <a:ln w="12700">
              <a:solidFill>
                <a:srgbClr val="000000"/>
              </a:solidFill>
              <a:prstDash val="solid"/>
            </a:ln>
          </c:spPr>
          <c:invertIfNegative val="0"/>
          <c:cat>
            <c:strRef>
              <c:f>'CO2 - Cenário RT 5'!$L$61:$M$61</c:f>
              <c:strCache>
                <c:ptCount val="2"/>
                <c:pt idx="0">
                  <c:v>Destinação de resíduos</c:v>
                </c:pt>
                <c:pt idx="1">
                  <c:v>Líquido</c:v>
                </c:pt>
              </c:strCache>
            </c:strRef>
          </c:cat>
          <c:val>
            <c:numRef>
              <c:f>'CO2 - Cenário RT 5'!$L$78:$M$78</c:f>
              <c:numCache>
                <c:formatCode>General</c:formatCode>
                <c:ptCount val="2"/>
                <c:pt idx="0" formatCode="#,##0">
                  <c:v>0</c:v>
                </c:pt>
              </c:numCache>
            </c:numRef>
          </c:val>
          <c:extLst>
            <c:ext xmlns:c16="http://schemas.microsoft.com/office/drawing/2014/chart" uri="{C3380CC4-5D6E-409C-BE32-E72D297353CC}">
              <c16:uniqueId val="{00000010-6A8C-4B2F-8573-A42C72A8B7F2}"/>
            </c:ext>
          </c:extLst>
        </c:ser>
        <c:ser>
          <c:idx val="16"/>
          <c:order val="17"/>
          <c:tx>
            <c:strRef>
              <c:f>'CO2 - Cenário RT 5'!$K$79</c:f>
              <c:strCache>
                <c:ptCount val="1"/>
                <c:pt idx="0">
                  <c:v>CDR seco + rejeito aterro</c:v>
                </c:pt>
              </c:strCache>
            </c:strRef>
          </c:tx>
          <c:spPr>
            <a:pattFill prst="wdUpDiag">
              <a:fgClr>
                <a:srgbClr val="008080"/>
              </a:fgClr>
              <a:bgClr>
                <a:srgbClr val="FFFFFF"/>
              </a:bgClr>
            </a:pattFill>
            <a:ln w="12700">
              <a:solidFill>
                <a:srgbClr val="000000"/>
              </a:solidFill>
              <a:prstDash val="solid"/>
            </a:ln>
          </c:spPr>
          <c:invertIfNegative val="0"/>
          <c:cat>
            <c:strRef>
              <c:f>'CO2 - Cenário RT 5'!$L$61:$M$61</c:f>
              <c:strCache>
                <c:ptCount val="2"/>
                <c:pt idx="0">
                  <c:v>Destinação de resíduos</c:v>
                </c:pt>
                <c:pt idx="1">
                  <c:v>Líquido</c:v>
                </c:pt>
              </c:strCache>
            </c:strRef>
          </c:cat>
          <c:val>
            <c:numRef>
              <c:f>'CO2 - Cenário RT 5'!$L$79:$M$79</c:f>
              <c:numCache>
                <c:formatCode>General</c:formatCode>
                <c:ptCount val="2"/>
                <c:pt idx="0" formatCode="#,##0">
                  <c:v>0</c:v>
                </c:pt>
              </c:numCache>
            </c:numRef>
          </c:val>
          <c:extLst>
            <c:ext xmlns:c16="http://schemas.microsoft.com/office/drawing/2014/chart" uri="{C3380CC4-5D6E-409C-BE32-E72D297353CC}">
              <c16:uniqueId val="{00000011-6A8C-4B2F-8573-A42C72A8B7F2}"/>
            </c:ext>
          </c:extLst>
        </c:ser>
        <c:ser>
          <c:idx val="17"/>
          <c:order val="18"/>
          <c:tx>
            <c:strRef>
              <c:f>'CO2 - Cenário RT 5'!$K$80</c:f>
              <c:strCache>
                <c:ptCount val="1"/>
                <c:pt idx="0">
                  <c:v>CDR seco + trat. biol.</c:v>
                </c:pt>
              </c:strCache>
            </c:strRef>
          </c:tx>
          <c:spPr>
            <a:pattFill prst="wdDnDiag">
              <a:fgClr>
                <a:srgbClr val="FF9900"/>
              </a:fgClr>
              <a:bgClr>
                <a:srgbClr val="FFFFFF"/>
              </a:bgClr>
            </a:pattFill>
            <a:ln w="12700">
              <a:solidFill>
                <a:srgbClr val="000000"/>
              </a:solidFill>
              <a:prstDash val="solid"/>
            </a:ln>
          </c:spPr>
          <c:invertIfNegative val="0"/>
          <c:cat>
            <c:strRef>
              <c:f>'CO2 - Cenário RT 5'!$L$61:$M$61</c:f>
              <c:strCache>
                <c:ptCount val="2"/>
                <c:pt idx="0">
                  <c:v>Destinação de resíduos</c:v>
                </c:pt>
                <c:pt idx="1">
                  <c:v>Líquido</c:v>
                </c:pt>
              </c:strCache>
            </c:strRef>
          </c:cat>
          <c:val>
            <c:numRef>
              <c:f>'CO2 - Cenário RT 5'!$L$80:$M$80</c:f>
              <c:numCache>
                <c:formatCode>General</c:formatCode>
                <c:ptCount val="2"/>
                <c:pt idx="0" formatCode="#,##0">
                  <c:v>0</c:v>
                </c:pt>
              </c:numCache>
            </c:numRef>
          </c:val>
          <c:extLst>
            <c:ext xmlns:c16="http://schemas.microsoft.com/office/drawing/2014/chart" uri="{C3380CC4-5D6E-409C-BE32-E72D297353CC}">
              <c16:uniqueId val="{00000012-6A8C-4B2F-8573-A42C72A8B7F2}"/>
            </c:ext>
          </c:extLst>
        </c:ser>
        <c:ser>
          <c:idx val="22"/>
          <c:order val="19"/>
          <c:tx>
            <c:strRef>
              <c:f>'CO2 - Cenário RT 5'!$K$81</c:f>
              <c:strCache>
                <c:ptCount val="1"/>
                <c:pt idx="0">
                  <c:v>CDR seco + CDR org.</c:v>
                </c:pt>
              </c:strCache>
            </c:strRef>
          </c:tx>
          <c:spPr>
            <a:pattFill prst="wdUpDiag">
              <a:fgClr>
                <a:srgbClr val="00B0F0"/>
              </a:fgClr>
              <a:bgClr>
                <a:schemeClr val="bg1"/>
              </a:bgClr>
            </a:pattFill>
            <a:ln w="12700">
              <a:solidFill>
                <a:srgbClr val="000000"/>
              </a:solidFill>
            </a:ln>
          </c:spPr>
          <c:invertIfNegative val="0"/>
          <c:cat>
            <c:strRef>
              <c:f>'CO2 - Cenário RT 5'!$L$61:$M$61</c:f>
              <c:strCache>
                <c:ptCount val="2"/>
                <c:pt idx="0">
                  <c:v>Destinação de resíduos</c:v>
                </c:pt>
                <c:pt idx="1">
                  <c:v>Líquido</c:v>
                </c:pt>
              </c:strCache>
            </c:strRef>
          </c:cat>
          <c:val>
            <c:numRef>
              <c:f>'CO2 - Cenário RT 5'!$L$81:$M$81</c:f>
              <c:numCache>
                <c:formatCode>General</c:formatCode>
                <c:ptCount val="2"/>
                <c:pt idx="0" formatCode="#,##0">
                  <c:v>0</c:v>
                </c:pt>
              </c:numCache>
            </c:numRef>
          </c:val>
          <c:extLst>
            <c:ext xmlns:c16="http://schemas.microsoft.com/office/drawing/2014/chart" uri="{C3380CC4-5D6E-409C-BE32-E72D297353CC}">
              <c16:uniqueId val="{00000013-6A8C-4B2F-8573-A42C72A8B7F2}"/>
            </c:ext>
          </c:extLst>
        </c:ser>
        <c:ser>
          <c:idx val="18"/>
          <c:order val="20"/>
          <c:tx>
            <c:strRef>
              <c:f>'CO2 - Cenário RT 5'!$K$82</c:f>
              <c:strCache>
                <c:ptCount val="1"/>
                <c:pt idx="0">
                  <c:v>Incineração</c:v>
                </c:pt>
              </c:strCache>
            </c:strRef>
          </c:tx>
          <c:spPr>
            <a:pattFill prst="wdDnDiag">
              <a:fgClr>
                <a:srgbClr val="CCCCFF"/>
              </a:fgClr>
              <a:bgClr>
                <a:srgbClr val="FFFFFF"/>
              </a:bgClr>
            </a:pattFill>
            <a:ln w="12700">
              <a:solidFill>
                <a:srgbClr val="000000"/>
              </a:solidFill>
              <a:prstDash val="solid"/>
            </a:ln>
          </c:spPr>
          <c:invertIfNegative val="0"/>
          <c:cat>
            <c:strRef>
              <c:f>'CO2 - Cenário RT 5'!$L$61:$M$61</c:f>
              <c:strCache>
                <c:ptCount val="2"/>
                <c:pt idx="0">
                  <c:v>Destinação de resíduos</c:v>
                </c:pt>
                <c:pt idx="1">
                  <c:v>Líquido</c:v>
                </c:pt>
              </c:strCache>
            </c:strRef>
          </c:cat>
          <c:val>
            <c:numRef>
              <c:f>'CO2 - Cenário RT 5'!$L$82:$M$82</c:f>
              <c:numCache>
                <c:formatCode>General</c:formatCode>
                <c:ptCount val="2"/>
                <c:pt idx="0" formatCode="#,##0">
                  <c:v>-443.24404907404056</c:v>
                </c:pt>
              </c:numCache>
            </c:numRef>
          </c:val>
          <c:extLst>
            <c:ext xmlns:c16="http://schemas.microsoft.com/office/drawing/2014/chart" uri="{C3380CC4-5D6E-409C-BE32-E72D297353CC}">
              <c16:uniqueId val="{00000014-6A8C-4B2F-8573-A42C72A8B7F2}"/>
            </c:ext>
          </c:extLst>
        </c:ser>
        <c:ser>
          <c:idx val="19"/>
          <c:order val="21"/>
          <c:tx>
            <c:strRef>
              <c:f>'CO2 - Cenário RT 5'!$K$83</c:f>
              <c:strCache>
                <c:ptCount val="1"/>
                <c:pt idx="0">
                  <c:v>Créditos</c:v>
                </c:pt>
              </c:strCache>
            </c:strRef>
          </c:tx>
          <c:spPr>
            <a:noFill/>
            <a:ln w="25400">
              <a:noFill/>
            </a:ln>
          </c:spPr>
          <c:invertIfNegative val="0"/>
          <c:cat>
            <c:strRef>
              <c:f>'CO2 - Cenário RT 5'!$L$61:$M$61</c:f>
              <c:strCache>
                <c:ptCount val="2"/>
                <c:pt idx="0">
                  <c:v>Destinação de resíduos</c:v>
                </c:pt>
                <c:pt idx="1">
                  <c:v>Líquido</c:v>
                </c:pt>
              </c:strCache>
            </c:strRef>
          </c:cat>
          <c:val>
            <c:numRef>
              <c:f>'CO2 - Cenário RT 5'!$L$83:$M$83</c:f>
              <c:numCache>
                <c:formatCode>General</c:formatCode>
                <c:ptCount val="2"/>
              </c:numCache>
            </c:numRef>
          </c:val>
          <c:extLst>
            <c:ext xmlns:c16="http://schemas.microsoft.com/office/drawing/2014/chart" uri="{C3380CC4-5D6E-409C-BE32-E72D297353CC}">
              <c16:uniqueId val="{00000015-6A8C-4B2F-8573-A42C72A8B7F2}"/>
            </c:ext>
          </c:extLst>
        </c:ser>
        <c:ser>
          <c:idx val="20"/>
          <c:order val="22"/>
          <c:tx>
            <c:strRef>
              <c:f>'CO2 - Cenário RT 5'!$K$84</c:f>
              <c:strCache>
                <c:ptCount val="1"/>
                <c:pt idx="0">
                  <c:v>Líquido</c:v>
                </c:pt>
              </c:strCache>
            </c:strRef>
          </c:tx>
          <c:spPr>
            <a:solidFill>
              <a:srgbClr val="0000FF"/>
            </a:solidFill>
            <a:ln w="12700">
              <a:solidFill>
                <a:srgbClr val="000000"/>
              </a:solidFill>
              <a:prstDash val="solid"/>
            </a:ln>
          </c:spPr>
          <c:invertIfNegative val="0"/>
          <c:cat>
            <c:strRef>
              <c:f>'CO2 - Cenário RT 5'!$L$61:$M$61</c:f>
              <c:strCache>
                <c:ptCount val="2"/>
                <c:pt idx="0">
                  <c:v>Destinação de resíduos</c:v>
                </c:pt>
                <c:pt idx="1">
                  <c:v>Líquido</c:v>
                </c:pt>
              </c:strCache>
            </c:strRef>
          </c:cat>
          <c:val>
            <c:numRef>
              <c:f>'CO2 - Cenário RT 5'!$L$84:$M$84</c:f>
              <c:numCache>
                <c:formatCode>#,##0</c:formatCode>
                <c:ptCount val="2"/>
                <c:pt idx="1">
                  <c:v>9963.9357074826476</c:v>
                </c:pt>
              </c:numCache>
            </c:numRef>
          </c:val>
          <c:extLst>
            <c:ext xmlns:c16="http://schemas.microsoft.com/office/drawing/2014/chart" uri="{C3380CC4-5D6E-409C-BE32-E72D297353CC}">
              <c16:uniqueId val="{00000016-6A8C-4B2F-8573-A42C72A8B7F2}"/>
            </c:ext>
          </c:extLst>
        </c:ser>
        <c:dLbls>
          <c:showLegendKey val="0"/>
          <c:showVal val="0"/>
          <c:showCatName val="0"/>
          <c:showSerName val="0"/>
          <c:showPercent val="0"/>
          <c:showBubbleSize val="0"/>
        </c:dLbls>
        <c:gapWidth val="100"/>
        <c:overlap val="100"/>
        <c:axId val="198032768"/>
        <c:axId val="198046848"/>
      </c:barChart>
      <c:catAx>
        <c:axId val="198032768"/>
        <c:scaling>
          <c:orientation val="minMax"/>
        </c:scaling>
        <c:delete val="0"/>
        <c:axPos val="b"/>
        <c:numFmt formatCode="General" sourceLinked="1"/>
        <c:majorTickMark val="out"/>
        <c:minorTickMark val="none"/>
        <c:tickLblPos val="low"/>
        <c:spPr>
          <a:ln w="3175">
            <a:solidFill>
              <a:srgbClr val="000000"/>
            </a:solidFill>
            <a:prstDash val="solid"/>
          </a:ln>
        </c:spPr>
        <c:txPr>
          <a:bodyPr rot="0" vert="horz"/>
          <a:lstStyle/>
          <a:p>
            <a:pPr>
              <a:defRPr sz="875" b="1" i="0" u="none" strike="noStrike" baseline="0">
                <a:solidFill>
                  <a:srgbClr val="000000"/>
                </a:solidFill>
                <a:latin typeface="Arial"/>
                <a:ea typeface="Arial"/>
                <a:cs typeface="Arial"/>
              </a:defRPr>
            </a:pPr>
            <a:endParaRPr lang="pt-BR"/>
          </a:p>
        </c:txPr>
        <c:crossAx val="198046848"/>
        <c:crosses val="autoZero"/>
        <c:auto val="1"/>
        <c:lblAlgn val="ctr"/>
        <c:lblOffset val="100"/>
        <c:tickLblSkip val="1"/>
        <c:tickMarkSkip val="1"/>
        <c:noMultiLvlLbl val="0"/>
      </c:catAx>
      <c:valAx>
        <c:axId val="198046848"/>
        <c:scaling>
          <c:orientation val="minMax"/>
        </c:scaling>
        <c:delete val="0"/>
        <c:axPos val="l"/>
        <c:majorGridlines>
          <c:spPr>
            <a:ln w="3175">
              <a:solidFill>
                <a:srgbClr val="000000"/>
              </a:solidFill>
              <a:prstDash val="solid"/>
            </a:ln>
          </c:spPr>
        </c:majorGridlines>
        <c:title>
          <c:tx>
            <c:rich>
              <a:bodyPr/>
              <a:lstStyle/>
              <a:p>
                <a:pPr>
                  <a:defRPr sz="875" b="1" i="0" u="none" strike="noStrike" baseline="0">
                    <a:solidFill>
                      <a:sysClr val="windowText" lastClr="000000"/>
                    </a:solidFill>
                    <a:latin typeface="Arial"/>
                    <a:ea typeface="Arial"/>
                    <a:cs typeface="Arial"/>
                  </a:defRPr>
                </a:pPr>
                <a:r>
                  <a:rPr lang="de-DE">
                    <a:solidFill>
                      <a:sysClr val="windowText" lastClr="000000"/>
                    </a:solidFill>
                  </a:rPr>
                  <a:t>tonelada CO2-eq / ano</a:t>
                </a:r>
              </a:p>
            </c:rich>
          </c:tx>
          <c:layout>
            <c:manualLayout>
              <c:xMode val="edge"/>
              <c:yMode val="edge"/>
              <c:x val="3.0684130583057021E-3"/>
              <c:y val="0.3751722955236233"/>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75" b="0" i="0" u="none" strike="noStrike" baseline="0">
                <a:solidFill>
                  <a:srgbClr val="000000"/>
                </a:solidFill>
                <a:latin typeface="Arial"/>
                <a:ea typeface="Arial"/>
                <a:cs typeface="Arial"/>
              </a:defRPr>
            </a:pPr>
            <a:endParaRPr lang="pt-BR"/>
          </a:p>
        </c:txPr>
        <c:crossAx val="198032768"/>
        <c:crosses val="autoZero"/>
        <c:crossBetween val="between"/>
      </c:valAx>
      <c:spPr>
        <a:noFill/>
        <a:ln w="12700">
          <a:solidFill>
            <a:srgbClr val="808080"/>
          </a:solidFill>
          <a:prstDash val="solid"/>
        </a:ln>
      </c:spPr>
    </c:plotArea>
    <c:legend>
      <c:legendPos val="r"/>
      <c:legendEntry>
        <c:idx val="0"/>
        <c:txPr>
          <a:bodyPr/>
          <a:lstStyle/>
          <a:p>
            <a:pPr>
              <a:defRPr sz="780" b="1" i="0" u="none" strike="noStrike" baseline="0">
                <a:solidFill>
                  <a:srgbClr val="000000"/>
                </a:solidFill>
                <a:latin typeface="Arial"/>
                <a:ea typeface="Arial"/>
                <a:cs typeface="Arial"/>
              </a:defRPr>
            </a:pPr>
            <a:endParaRPr lang="pt-BR"/>
          </a:p>
        </c:txPr>
      </c:legendEntry>
      <c:legendEntry>
        <c:idx val="1"/>
        <c:txPr>
          <a:bodyPr/>
          <a:lstStyle/>
          <a:p>
            <a:pPr>
              <a:defRPr sz="780" b="1" i="0" u="none" strike="noStrike" baseline="0">
                <a:solidFill>
                  <a:srgbClr val="000000"/>
                </a:solidFill>
                <a:latin typeface="Arial"/>
                <a:ea typeface="Arial"/>
                <a:cs typeface="Arial"/>
              </a:defRPr>
            </a:pPr>
            <a:endParaRPr lang="pt-BR"/>
          </a:p>
        </c:txPr>
      </c:legendEntry>
      <c:legendEntry>
        <c:idx val="5"/>
        <c:txPr>
          <a:bodyPr/>
          <a:lstStyle/>
          <a:p>
            <a:pPr>
              <a:defRPr sz="780" b="0" i="0" u="none" strike="noStrike" baseline="0">
                <a:solidFill>
                  <a:srgbClr val="000000"/>
                </a:solidFill>
                <a:latin typeface="Arial"/>
                <a:ea typeface="Arial"/>
                <a:cs typeface="Arial"/>
              </a:defRPr>
            </a:pPr>
            <a:endParaRPr lang="pt-BR"/>
          </a:p>
        </c:txPr>
      </c:legendEntry>
      <c:legendEntry>
        <c:idx val="6"/>
        <c:txPr>
          <a:bodyPr/>
          <a:lstStyle/>
          <a:p>
            <a:pPr>
              <a:defRPr sz="780" b="0" i="0" u="none" strike="noStrike" baseline="0">
                <a:solidFill>
                  <a:srgbClr val="000000"/>
                </a:solidFill>
                <a:latin typeface="Arial"/>
                <a:ea typeface="Arial"/>
                <a:cs typeface="Arial"/>
              </a:defRPr>
            </a:pPr>
            <a:endParaRPr lang="pt-BR"/>
          </a:p>
        </c:txPr>
      </c:legendEntry>
      <c:legendEntry>
        <c:idx val="9"/>
        <c:txPr>
          <a:bodyPr/>
          <a:lstStyle/>
          <a:p>
            <a:pPr>
              <a:defRPr sz="780" b="0" i="0" u="none" strike="noStrike" baseline="0">
                <a:solidFill>
                  <a:srgbClr val="000000"/>
                </a:solidFill>
                <a:latin typeface="Arial"/>
                <a:ea typeface="Arial"/>
                <a:cs typeface="Arial"/>
              </a:defRPr>
            </a:pPr>
            <a:endParaRPr lang="pt-BR"/>
          </a:p>
        </c:txPr>
      </c:legendEntry>
      <c:legendEntry>
        <c:idx val="10"/>
        <c:txPr>
          <a:bodyPr/>
          <a:lstStyle/>
          <a:p>
            <a:pPr>
              <a:defRPr sz="780" b="0" i="0" u="none" strike="noStrike" baseline="0">
                <a:solidFill>
                  <a:srgbClr val="000000"/>
                </a:solidFill>
                <a:latin typeface="Arial"/>
                <a:ea typeface="Arial"/>
                <a:cs typeface="Arial"/>
              </a:defRPr>
            </a:pPr>
            <a:endParaRPr lang="pt-BR"/>
          </a:p>
        </c:txPr>
      </c:legendEntry>
      <c:legendEntry>
        <c:idx val="12"/>
        <c:txPr>
          <a:bodyPr/>
          <a:lstStyle/>
          <a:p>
            <a:pPr>
              <a:defRPr sz="780" b="1" i="0" u="none" strike="noStrike" baseline="0">
                <a:solidFill>
                  <a:srgbClr val="000000"/>
                </a:solidFill>
                <a:latin typeface="Arial"/>
                <a:ea typeface="Arial"/>
                <a:cs typeface="Arial"/>
              </a:defRPr>
            </a:pPr>
            <a:endParaRPr lang="pt-BR"/>
          </a:p>
        </c:txPr>
      </c:legendEntry>
      <c:legendEntry>
        <c:idx val="15"/>
        <c:txPr>
          <a:bodyPr/>
          <a:lstStyle/>
          <a:p>
            <a:pPr>
              <a:defRPr sz="780" b="0" i="0" u="none" strike="noStrike" baseline="0">
                <a:solidFill>
                  <a:srgbClr val="000000"/>
                </a:solidFill>
                <a:latin typeface="Arial"/>
                <a:ea typeface="Arial"/>
                <a:cs typeface="Arial"/>
              </a:defRPr>
            </a:pPr>
            <a:endParaRPr lang="pt-BR"/>
          </a:p>
        </c:txPr>
      </c:legendEntry>
      <c:legendEntry>
        <c:idx val="17"/>
        <c:txPr>
          <a:bodyPr/>
          <a:lstStyle/>
          <a:p>
            <a:pPr>
              <a:defRPr sz="780" b="0" i="0" u="none" strike="noStrike" baseline="0">
                <a:solidFill>
                  <a:srgbClr val="000000"/>
                </a:solidFill>
                <a:latin typeface="Arial"/>
                <a:ea typeface="Arial"/>
                <a:cs typeface="Arial"/>
              </a:defRPr>
            </a:pPr>
            <a:endParaRPr lang="pt-BR"/>
          </a:p>
        </c:txPr>
      </c:legendEntry>
      <c:layout>
        <c:manualLayout>
          <c:xMode val="edge"/>
          <c:yMode val="edge"/>
          <c:x val="0.70957775489186381"/>
          <c:y val="1.5172413793103448E-2"/>
          <c:w val="0.28823678878313236"/>
          <c:h val="0.97158433452518422"/>
        </c:manualLayout>
      </c:layout>
      <c:overlay val="0"/>
      <c:spPr>
        <a:solidFill>
          <a:srgbClr val="FFFFFF"/>
        </a:solidFill>
        <a:ln w="3175">
          <a:solidFill>
            <a:srgbClr val="000000"/>
          </a:solidFill>
          <a:prstDash val="solid"/>
        </a:ln>
      </c:spPr>
      <c:txPr>
        <a:bodyPr/>
        <a:lstStyle/>
        <a:p>
          <a:pPr>
            <a:defRPr sz="780" b="0" i="0" u="none" strike="noStrike" baseline="0">
              <a:solidFill>
                <a:srgbClr val="000000"/>
              </a:solidFill>
              <a:latin typeface="Arial"/>
              <a:ea typeface="Arial"/>
              <a:cs typeface="Arial"/>
            </a:defRPr>
          </a:pPr>
          <a:endParaRPr lang="pt-BR"/>
        </a:p>
      </c:txPr>
    </c:legend>
    <c:plotVisOnly val="1"/>
    <c:dispBlanksAs val="gap"/>
    <c:showDLblsOverMax val="0"/>
  </c:chart>
  <c:spPr>
    <a:solidFill>
      <a:srgbClr val="FFFFFF"/>
    </a:solid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pt-BR"/>
    </a:p>
  </c:txPr>
  <c:printSettings>
    <c:headerFooter alignWithMargins="0"/>
    <c:pageMargins b="0.98425196899999978" l="0.78740157499999996" r="0.78740157499999996" t="0.98425196899999978" header="0.49212598450000011" footer="0.49212598450000011"/>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50" b="1" i="0" u="none" strike="noStrike" baseline="0">
                <a:solidFill>
                  <a:srgbClr val="000000"/>
                </a:solidFill>
                <a:latin typeface="Arial"/>
                <a:ea typeface="Arial"/>
                <a:cs typeface="Arial"/>
              </a:defRPr>
            </a:pPr>
            <a:r>
              <a:rPr lang="de-DE"/>
              <a:t>Emissões de GEE</a:t>
            </a:r>
          </a:p>
        </c:rich>
      </c:tx>
      <c:layout>
        <c:manualLayout>
          <c:xMode val="edge"/>
          <c:yMode val="edge"/>
          <c:x val="0.40831758034026489"/>
          <c:y val="1.5363128491620118E-2"/>
        </c:manualLayout>
      </c:layout>
      <c:overlay val="0"/>
      <c:spPr>
        <a:noFill/>
        <a:ln w="25400">
          <a:noFill/>
        </a:ln>
      </c:spPr>
    </c:title>
    <c:autoTitleDeleted val="0"/>
    <c:plotArea>
      <c:layout>
        <c:manualLayout>
          <c:layoutTarget val="inner"/>
          <c:xMode val="edge"/>
          <c:yMode val="edge"/>
          <c:x val="0.17958412098298676"/>
          <c:y val="0.11312849162011174"/>
          <c:w val="0.78827977315690001"/>
          <c:h val="0.77374301675977719"/>
        </c:manualLayout>
      </c:layout>
      <c:barChart>
        <c:barDir val="col"/>
        <c:grouping val="clustered"/>
        <c:varyColors val="0"/>
        <c:ser>
          <c:idx val="0"/>
          <c:order val="0"/>
          <c:tx>
            <c:strRef>
              <c:f>'CO2 - Cenário RT 5'!$G$53</c:f>
              <c:strCache>
                <c:ptCount val="1"/>
                <c:pt idx="0">
                  <c:v>Débitos</c:v>
                </c:pt>
              </c:strCache>
            </c:strRef>
          </c:tx>
          <c:spPr>
            <a:solidFill>
              <a:srgbClr val="FFCC99"/>
            </a:solidFill>
            <a:ln w="12700">
              <a:solidFill>
                <a:srgbClr val="000000"/>
              </a:solidFill>
              <a:prstDash val="solid"/>
            </a:ln>
          </c:spPr>
          <c:invertIfNegative val="0"/>
          <c:cat>
            <c:strRef>
              <c:f>'CO2 - Cenário RT 5'!$H$52:$J$52</c:f>
              <c:strCache>
                <c:ptCount val="3"/>
                <c:pt idx="0">
                  <c:v>Resíduo reciclado</c:v>
                </c:pt>
                <c:pt idx="1">
                  <c:v>Destinação de resíduo</c:v>
                </c:pt>
                <c:pt idx="2">
                  <c:v>RSU total</c:v>
                </c:pt>
              </c:strCache>
            </c:strRef>
          </c:cat>
          <c:val>
            <c:numRef>
              <c:f>'CO2 - Cenário RT 5'!$H$53:$J$53</c:f>
              <c:numCache>
                <c:formatCode>#,##0</c:formatCode>
                <c:ptCount val="3"/>
                <c:pt idx="0">
                  <c:v>1665.6439969728001</c:v>
                </c:pt>
                <c:pt idx="1">
                  <c:v>10407.179756556689</c:v>
                </c:pt>
                <c:pt idx="2">
                  <c:v>12072.823753529488</c:v>
                </c:pt>
              </c:numCache>
            </c:numRef>
          </c:val>
          <c:extLst>
            <c:ext xmlns:c16="http://schemas.microsoft.com/office/drawing/2014/chart" uri="{C3380CC4-5D6E-409C-BE32-E72D297353CC}">
              <c16:uniqueId val="{00000000-3706-4249-A8BB-504DC86C429C}"/>
            </c:ext>
          </c:extLst>
        </c:ser>
        <c:ser>
          <c:idx val="1"/>
          <c:order val="1"/>
          <c:tx>
            <c:strRef>
              <c:f>'CO2 - Cenário RT 5'!$G$54</c:f>
              <c:strCache>
                <c:ptCount val="1"/>
                <c:pt idx="0">
                  <c:v>Créditos</c:v>
                </c:pt>
              </c:strCache>
            </c:strRef>
          </c:tx>
          <c:spPr>
            <a:pattFill prst="wdUpDiag">
              <a:fgClr>
                <a:srgbClr val="FF99CC"/>
              </a:fgClr>
              <a:bgClr>
                <a:srgbClr val="800080"/>
              </a:bgClr>
            </a:pattFill>
            <a:ln w="12700">
              <a:solidFill>
                <a:srgbClr val="000000"/>
              </a:solidFill>
              <a:prstDash val="solid"/>
            </a:ln>
          </c:spPr>
          <c:invertIfNegative val="0"/>
          <c:cat>
            <c:strRef>
              <c:f>'CO2 - Cenário RT 5'!$H$52:$J$52</c:f>
              <c:strCache>
                <c:ptCount val="3"/>
                <c:pt idx="0">
                  <c:v>Resíduo reciclado</c:v>
                </c:pt>
                <c:pt idx="1">
                  <c:v>Destinação de resíduo</c:v>
                </c:pt>
                <c:pt idx="2">
                  <c:v>RSU total</c:v>
                </c:pt>
              </c:strCache>
            </c:strRef>
          </c:cat>
          <c:val>
            <c:numRef>
              <c:f>'CO2 - Cenário RT 5'!$H$54:$J$54</c:f>
              <c:numCache>
                <c:formatCode>#,##0</c:formatCode>
                <c:ptCount val="3"/>
                <c:pt idx="0">
                  <c:v>-5018.9513721984003</c:v>
                </c:pt>
                <c:pt idx="1">
                  <c:v>-443.24404907404056</c:v>
                </c:pt>
                <c:pt idx="2">
                  <c:v>-5462.1954212724413</c:v>
                </c:pt>
              </c:numCache>
            </c:numRef>
          </c:val>
          <c:extLst>
            <c:ext xmlns:c16="http://schemas.microsoft.com/office/drawing/2014/chart" uri="{C3380CC4-5D6E-409C-BE32-E72D297353CC}">
              <c16:uniqueId val="{00000001-3706-4249-A8BB-504DC86C429C}"/>
            </c:ext>
          </c:extLst>
        </c:ser>
        <c:ser>
          <c:idx val="2"/>
          <c:order val="2"/>
          <c:tx>
            <c:strRef>
              <c:f>'CO2 - Cenário RT 5'!$G$55</c:f>
              <c:strCache>
                <c:ptCount val="1"/>
                <c:pt idx="0">
                  <c:v>Líquido</c:v>
                </c:pt>
              </c:strCache>
            </c:strRef>
          </c:tx>
          <c:spPr>
            <a:solidFill>
              <a:srgbClr val="0000FF"/>
            </a:solidFill>
            <a:ln w="12700">
              <a:solidFill>
                <a:srgbClr val="000000"/>
              </a:solidFill>
              <a:prstDash val="solid"/>
            </a:ln>
          </c:spPr>
          <c:invertIfNegative val="0"/>
          <c:cat>
            <c:strRef>
              <c:f>'CO2 - Cenário RT 5'!$H$52:$J$52</c:f>
              <c:strCache>
                <c:ptCount val="3"/>
                <c:pt idx="0">
                  <c:v>Resíduo reciclado</c:v>
                </c:pt>
                <c:pt idx="1">
                  <c:v>Destinação de resíduo</c:v>
                </c:pt>
                <c:pt idx="2">
                  <c:v>RSU total</c:v>
                </c:pt>
              </c:strCache>
            </c:strRef>
          </c:cat>
          <c:val>
            <c:numRef>
              <c:f>'CO2 - Cenário RT 5'!$H$55:$J$55</c:f>
              <c:numCache>
                <c:formatCode>#,##0</c:formatCode>
                <c:ptCount val="3"/>
                <c:pt idx="0">
                  <c:v>-3353.3073752256005</c:v>
                </c:pt>
                <c:pt idx="1">
                  <c:v>9963.9357074826476</c:v>
                </c:pt>
                <c:pt idx="2">
                  <c:v>6610.6283322570471</c:v>
                </c:pt>
              </c:numCache>
            </c:numRef>
          </c:val>
          <c:extLst>
            <c:ext xmlns:c16="http://schemas.microsoft.com/office/drawing/2014/chart" uri="{C3380CC4-5D6E-409C-BE32-E72D297353CC}">
              <c16:uniqueId val="{00000002-3706-4249-A8BB-504DC86C429C}"/>
            </c:ext>
          </c:extLst>
        </c:ser>
        <c:dLbls>
          <c:showLegendKey val="0"/>
          <c:showVal val="0"/>
          <c:showCatName val="0"/>
          <c:showSerName val="0"/>
          <c:showPercent val="0"/>
          <c:showBubbleSize val="0"/>
        </c:dLbls>
        <c:gapWidth val="100"/>
        <c:axId val="198103040"/>
        <c:axId val="198104576"/>
      </c:barChart>
      <c:catAx>
        <c:axId val="198103040"/>
        <c:scaling>
          <c:orientation val="minMax"/>
        </c:scaling>
        <c:delete val="0"/>
        <c:axPos val="b"/>
        <c:numFmt formatCode="General" sourceLinked="1"/>
        <c:majorTickMark val="out"/>
        <c:minorTickMark val="none"/>
        <c:tickLblPos val="low"/>
        <c:spPr>
          <a:ln w="3175">
            <a:solidFill>
              <a:srgbClr val="000000"/>
            </a:solidFill>
            <a:prstDash val="solid"/>
          </a:ln>
        </c:spPr>
        <c:txPr>
          <a:bodyPr rot="0" vert="horz"/>
          <a:lstStyle/>
          <a:p>
            <a:pPr>
              <a:defRPr sz="925" b="0" i="0" u="none" strike="noStrike" baseline="0">
                <a:solidFill>
                  <a:srgbClr val="000000"/>
                </a:solidFill>
                <a:latin typeface="Arial"/>
                <a:ea typeface="Arial"/>
                <a:cs typeface="Arial"/>
              </a:defRPr>
            </a:pPr>
            <a:endParaRPr lang="pt-BR"/>
          </a:p>
        </c:txPr>
        <c:crossAx val="198104576"/>
        <c:crosses val="autoZero"/>
        <c:auto val="1"/>
        <c:lblAlgn val="ctr"/>
        <c:lblOffset val="50"/>
        <c:tickLblSkip val="1"/>
        <c:tickMarkSkip val="1"/>
        <c:noMultiLvlLbl val="0"/>
      </c:catAx>
      <c:valAx>
        <c:axId val="198104576"/>
        <c:scaling>
          <c:orientation val="minMax"/>
        </c:scaling>
        <c:delete val="0"/>
        <c:axPos val="l"/>
        <c:majorGridlines>
          <c:spPr>
            <a:ln w="3175">
              <a:solidFill>
                <a:srgbClr val="000000"/>
              </a:solidFill>
              <a:prstDash val="solid"/>
            </a:ln>
          </c:spPr>
        </c:majorGridlines>
        <c:title>
          <c:tx>
            <c:rich>
              <a:bodyPr/>
              <a:lstStyle/>
              <a:p>
                <a:pPr>
                  <a:defRPr sz="925" b="1" i="0" u="none" strike="noStrike" baseline="0">
                    <a:solidFill>
                      <a:sysClr val="windowText" lastClr="000000"/>
                    </a:solidFill>
                    <a:latin typeface="Arial"/>
                    <a:ea typeface="Arial"/>
                    <a:cs typeface="Arial"/>
                  </a:defRPr>
                </a:pPr>
                <a:r>
                  <a:rPr lang="de-DE">
                    <a:solidFill>
                      <a:sysClr val="windowText" lastClr="000000"/>
                    </a:solidFill>
                  </a:rPr>
                  <a:t>tonelada CO2-eq / ano</a:t>
                </a:r>
              </a:p>
            </c:rich>
          </c:tx>
          <c:layout>
            <c:manualLayout>
              <c:xMode val="edge"/>
              <c:yMode val="edge"/>
              <c:x val="2.353659280961973E-3"/>
              <c:y val="0.35474860335195529"/>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925" b="0" i="0" u="none" strike="noStrike" baseline="0">
                <a:solidFill>
                  <a:srgbClr val="000000"/>
                </a:solidFill>
                <a:latin typeface="Arial"/>
                <a:ea typeface="Arial"/>
                <a:cs typeface="Arial"/>
              </a:defRPr>
            </a:pPr>
            <a:endParaRPr lang="pt-BR"/>
          </a:p>
        </c:txPr>
        <c:crossAx val="198103040"/>
        <c:crosses val="autoZero"/>
        <c:crossBetween val="between"/>
      </c:valAx>
      <c:spPr>
        <a:noFill/>
        <a:ln w="3175">
          <a:solidFill>
            <a:srgbClr val="000000"/>
          </a:solidFill>
          <a:prstDash val="solid"/>
        </a:ln>
      </c:spPr>
    </c:plotArea>
    <c:legend>
      <c:legendPos val="r"/>
      <c:layout>
        <c:manualLayout>
          <c:xMode val="edge"/>
          <c:yMode val="edge"/>
          <c:x val="0.18830567484476371"/>
          <c:y val="2.4787008843065887E-2"/>
          <c:w val="0.18431001890359169"/>
          <c:h val="0.19134078212290509"/>
        </c:manualLayout>
      </c:layout>
      <c:overlay val="0"/>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pt-BR"/>
        </a:p>
      </c:txPr>
    </c:legend>
    <c:plotVisOnly val="1"/>
    <c:dispBlanksAs val="gap"/>
    <c:showDLblsOverMax val="0"/>
  </c:chart>
  <c:spPr>
    <a:solidFill>
      <a:srgbClr val="FFFFFF"/>
    </a:solid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pt-BR"/>
    </a:p>
  </c:txPr>
  <c:printSettings>
    <c:headerFooter alignWithMargins="0"/>
    <c:pageMargins b="0.98425196899999978" l="0.78740157499999996" r="0.78740157499999996" t="0.98425196899999978" header="0.49212598450000011" footer="0.49212598450000011"/>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50" b="1" i="0" u="none" strike="noStrike" baseline="0">
                <a:solidFill>
                  <a:srgbClr val="000000"/>
                </a:solidFill>
                <a:latin typeface="Arial"/>
                <a:ea typeface="Arial"/>
                <a:cs typeface="Arial"/>
              </a:defRPr>
            </a:pPr>
            <a:r>
              <a:rPr lang="de-DE"/>
              <a:t>Resíduos tratados</a:t>
            </a:r>
          </a:p>
        </c:rich>
      </c:tx>
      <c:layout>
        <c:manualLayout>
          <c:xMode val="edge"/>
          <c:yMode val="edge"/>
          <c:x val="0.43950499883979677"/>
          <c:y val="1.3513545938138102E-2"/>
        </c:manualLayout>
      </c:layout>
      <c:overlay val="0"/>
      <c:spPr>
        <a:noFill/>
        <a:ln w="25400">
          <a:noFill/>
        </a:ln>
      </c:spPr>
    </c:title>
    <c:autoTitleDeleted val="0"/>
    <c:plotArea>
      <c:layout>
        <c:manualLayout>
          <c:layoutTarget val="inner"/>
          <c:xMode val="edge"/>
          <c:yMode val="edge"/>
          <c:x val="0.14212848221187449"/>
          <c:y val="0.1068798633289104"/>
          <c:w val="0.83527815699901653"/>
          <c:h val="0.60688106304002021"/>
        </c:manualLayout>
      </c:layout>
      <c:barChart>
        <c:barDir val="col"/>
        <c:grouping val="clustered"/>
        <c:varyColors val="0"/>
        <c:ser>
          <c:idx val="0"/>
          <c:order val="0"/>
          <c:tx>
            <c:strRef>
              <c:f>'CO2 - Todos Resultados'!$C$2</c:f>
              <c:strCache>
                <c:ptCount val="1"/>
                <c:pt idx="0">
                  <c:v>Cenário-Base</c:v>
                </c:pt>
              </c:strCache>
            </c:strRef>
          </c:tx>
          <c:spPr>
            <a:solidFill>
              <a:srgbClr val="00CCFF"/>
            </a:solidFill>
            <a:ln w="12700">
              <a:solidFill>
                <a:srgbClr val="000000"/>
              </a:solidFill>
              <a:prstDash val="solid"/>
            </a:ln>
          </c:spPr>
          <c:invertIfNegative val="0"/>
          <c:cat>
            <c:strRef>
              <c:f>('CO2 - Todos Resultados'!$B$7:$B$14,'CO2 - Todos Resultados'!$B$18:$B$27)</c:f>
              <c:strCache>
                <c:ptCount val="18"/>
                <c:pt idx="0">
                  <c:v>Resíduos de alimentos</c:v>
                </c:pt>
                <c:pt idx="1">
                  <c:v>Resíduos de jardins e parques</c:v>
                </c:pt>
                <c:pt idx="2">
                  <c:v>Papel, papelão</c:v>
                </c:pt>
                <c:pt idx="3">
                  <c:v>Plásticos</c:v>
                </c:pt>
                <c:pt idx="4">
                  <c:v>Vidros</c:v>
                </c:pt>
                <c:pt idx="5">
                  <c:v>Metais ferrosos</c:v>
                </c:pt>
                <c:pt idx="6">
                  <c:v>Alumínio</c:v>
                </c:pt>
                <c:pt idx="7">
                  <c:v>Têxteis</c:v>
                </c:pt>
                <c:pt idx="8">
                  <c:v>Resíduos dispersos</c:v>
                </c:pt>
                <c:pt idx="9">
                  <c:v>Queima a céu aberto</c:v>
                </c:pt>
                <c:pt idx="10">
                  <c:v>Lixão não controlado</c:v>
                </c:pt>
                <c:pt idx="11">
                  <c:v>Aterro controlado</c:v>
                </c:pt>
                <c:pt idx="12">
                  <c:v>Aterro sanitário</c:v>
                </c:pt>
                <c:pt idx="13">
                  <c:v>Trat. biol + cobertura at.</c:v>
                </c:pt>
                <c:pt idx="14">
                  <c:v>CDR seco + rejeito aterro</c:v>
                </c:pt>
                <c:pt idx="15">
                  <c:v>CDR seco + trat. biol.</c:v>
                </c:pt>
                <c:pt idx="16">
                  <c:v>CDR seco + CDR org.</c:v>
                </c:pt>
                <c:pt idx="17">
                  <c:v>Incineração</c:v>
                </c:pt>
              </c:strCache>
            </c:strRef>
          </c:cat>
          <c:val>
            <c:numRef>
              <c:f>('CO2 - Todos Resultados'!$C$7:$C$15,'CO2 - Todos Resultados'!$C$18:$C$27)</c:f>
              <c:numCache>
                <c:formatCode>#,##0</c:formatCode>
                <c:ptCount val="19"/>
                <c:pt idx="0">
                  <c:v>0</c:v>
                </c:pt>
                <c:pt idx="1">
                  <c:v>0</c:v>
                </c:pt>
                <c:pt idx="2">
                  <c:v>301.63535999999999</c:v>
                </c:pt>
                <c:pt idx="3">
                  <c:v>310.84560000000005</c:v>
                </c:pt>
                <c:pt idx="4">
                  <c:v>0</c:v>
                </c:pt>
                <c:pt idx="5">
                  <c:v>105.91776</c:v>
                </c:pt>
                <c:pt idx="6">
                  <c:v>27.630719999999997</c:v>
                </c:pt>
                <c:pt idx="7">
                  <c:v>0</c:v>
                </c:pt>
                <c:pt idx="8" formatCode="0.0%">
                  <c:v>3.2400000000000005E-2</c:v>
                </c:pt>
                <c:pt idx="9">
                  <c:v>0</c:v>
                </c:pt>
                <c:pt idx="10">
                  <c:v>0</c:v>
                </c:pt>
                <c:pt idx="11">
                  <c:v>0</c:v>
                </c:pt>
                <c:pt idx="12">
                  <c:v>0</c:v>
                </c:pt>
                <c:pt idx="13">
                  <c:v>22279.57056</c:v>
                </c:pt>
                <c:pt idx="14">
                  <c:v>0</c:v>
                </c:pt>
                <c:pt idx="15">
                  <c:v>0</c:v>
                </c:pt>
                <c:pt idx="16">
                  <c:v>0</c:v>
                </c:pt>
                <c:pt idx="17">
                  <c:v>0</c:v>
                </c:pt>
                <c:pt idx="18">
                  <c:v>0</c:v>
                </c:pt>
              </c:numCache>
            </c:numRef>
          </c:val>
          <c:extLst>
            <c:ext xmlns:c16="http://schemas.microsoft.com/office/drawing/2014/chart" uri="{C3380CC4-5D6E-409C-BE32-E72D297353CC}">
              <c16:uniqueId val="{00000000-3713-4F10-8218-D61F7CF545C4}"/>
            </c:ext>
          </c:extLst>
        </c:ser>
        <c:ser>
          <c:idx val="1"/>
          <c:order val="1"/>
          <c:tx>
            <c:strRef>
              <c:f>'CO2 - Todos Resultados'!$D$2</c:f>
              <c:strCache>
                <c:ptCount val="1"/>
                <c:pt idx="0">
                  <c:v>Biodigestão RT1A + CDR TM</c:v>
                </c:pt>
              </c:strCache>
            </c:strRef>
          </c:tx>
          <c:spPr>
            <a:solidFill>
              <a:srgbClr val="993366"/>
            </a:solidFill>
            <a:ln w="12700">
              <a:solidFill>
                <a:srgbClr val="000000"/>
              </a:solidFill>
              <a:prstDash val="solid"/>
            </a:ln>
          </c:spPr>
          <c:invertIfNegative val="0"/>
          <c:cat>
            <c:strRef>
              <c:f>('CO2 - Todos Resultados'!$B$7:$B$14,'CO2 - Todos Resultados'!$B$18:$B$27)</c:f>
              <c:strCache>
                <c:ptCount val="18"/>
                <c:pt idx="0">
                  <c:v>Resíduos de alimentos</c:v>
                </c:pt>
                <c:pt idx="1">
                  <c:v>Resíduos de jardins e parques</c:v>
                </c:pt>
                <c:pt idx="2">
                  <c:v>Papel, papelão</c:v>
                </c:pt>
                <c:pt idx="3">
                  <c:v>Plásticos</c:v>
                </c:pt>
                <c:pt idx="4">
                  <c:v>Vidros</c:v>
                </c:pt>
                <c:pt idx="5">
                  <c:v>Metais ferrosos</c:v>
                </c:pt>
                <c:pt idx="6">
                  <c:v>Alumínio</c:v>
                </c:pt>
                <c:pt idx="7">
                  <c:v>Têxteis</c:v>
                </c:pt>
                <c:pt idx="8">
                  <c:v>Resíduos dispersos</c:v>
                </c:pt>
                <c:pt idx="9">
                  <c:v>Queima a céu aberto</c:v>
                </c:pt>
                <c:pt idx="10">
                  <c:v>Lixão não controlado</c:v>
                </c:pt>
                <c:pt idx="11">
                  <c:v>Aterro controlado</c:v>
                </c:pt>
                <c:pt idx="12">
                  <c:v>Aterro sanitário</c:v>
                </c:pt>
                <c:pt idx="13">
                  <c:v>Trat. biol + cobertura at.</c:v>
                </c:pt>
                <c:pt idx="14">
                  <c:v>CDR seco + rejeito aterro</c:v>
                </c:pt>
                <c:pt idx="15">
                  <c:v>CDR seco + trat. biol.</c:v>
                </c:pt>
                <c:pt idx="16">
                  <c:v>CDR seco + CDR org.</c:v>
                </c:pt>
                <c:pt idx="17">
                  <c:v>Incineração</c:v>
                </c:pt>
              </c:strCache>
            </c:strRef>
          </c:cat>
          <c:val>
            <c:numRef>
              <c:f>('CO2 - Todos Resultados'!$D$7:$D$15,'CO2 - Todos Resultados'!$D$18:$D$27)</c:f>
              <c:numCache>
                <c:formatCode>#,##0</c:formatCode>
                <c:ptCount val="19"/>
                <c:pt idx="0">
                  <c:v>0</c:v>
                </c:pt>
                <c:pt idx="1">
                  <c:v>0</c:v>
                </c:pt>
                <c:pt idx="2">
                  <c:v>1004.4457488</c:v>
                </c:pt>
                <c:pt idx="3">
                  <c:v>683.86032</c:v>
                </c:pt>
                <c:pt idx="4">
                  <c:v>0</c:v>
                </c:pt>
                <c:pt idx="5">
                  <c:v>503.10935999999998</c:v>
                </c:pt>
                <c:pt idx="6">
                  <c:v>131.24591999999998</c:v>
                </c:pt>
                <c:pt idx="7">
                  <c:v>0</c:v>
                </c:pt>
                <c:pt idx="8" formatCode="0.0%">
                  <c:v>0.100873</c:v>
                </c:pt>
                <c:pt idx="9">
                  <c:v>0</c:v>
                </c:pt>
                <c:pt idx="10">
                  <c:v>0</c:v>
                </c:pt>
                <c:pt idx="11">
                  <c:v>0</c:v>
                </c:pt>
                <c:pt idx="12">
                  <c:v>0</c:v>
                </c:pt>
                <c:pt idx="13">
                  <c:v>7246.0285279199989</c:v>
                </c:pt>
                <c:pt idx="14">
                  <c:v>0</c:v>
                </c:pt>
                <c:pt idx="15">
                  <c:v>2587.8673313999998</c:v>
                </c:pt>
                <c:pt idx="16">
                  <c:v>10869.04279188</c:v>
                </c:pt>
                <c:pt idx="17">
                  <c:v>0</c:v>
                </c:pt>
                <c:pt idx="18">
                  <c:v>0</c:v>
                </c:pt>
              </c:numCache>
            </c:numRef>
          </c:val>
          <c:extLst>
            <c:ext xmlns:c16="http://schemas.microsoft.com/office/drawing/2014/chart" uri="{C3380CC4-5D6E-409C-BE32-E72D297353CC}">
              <c16:uniqueId val="{00000001-3713-4F10-8218-D61F7CF545C4}"/>
            </c:ext>
          </c:extLst>
        </c:ser>
        <c:ser>
          <c:idx val="2"/>
          <c:order val="2"/>
          <c:tx>
            <c:strRef>
              <c:f>'CO2 - Todos Resultados'!$G$2</c:f>
              <c:strCache>
                <c:ptCount val="1"/>
                <c:pt idx="0">
                  <c:v>Compostagem + CDR TM</c:v>
                </c:pt>
              </c:strCache>
            </c:strRef>
          </c:tx>
          <c:spPr>
            <a:solidFill>
              <a:srgbClr val="FFCC00"/>
            </a:solidFill>
            <a:ln w="12700">
              <a:solidFill>
                <a:srgbClr val="000000"/>
              </a:solidFill>
              <a:prstDash val="solid"/>
            </a:ln>
          </c:spPr>
          <c:invertIfNegative val="0"/>
          <c:cat>
            <c:strRef>
              <c:f>('CO2 - Todos Resultados'!$B$7:$B$14,'CO2 - Todos Resultados'!$B$18:$B$27)</c:f>
              <c:strCache>
                <c:ptCount val="18"/>
                <c:pt idx="0">
                  <c:v>Resíduos de alimentos</c:v>
                </c:pt>
                <c:pt idx="1">
                  <c:v>Resíduos de jardins e parques</c:v>
                </c:pt>
                <c:pt idx="2">
                  <c:v>Papel, papelão</c:v>
                </c:pt>
                <c:pt idx="3">
                  <c:v>Plásticos</c:v>
                </c:pt>
                <c:pt idx="4">
                  <c:v>Vidros</c:v>
                </c:pt>
                <c:pt idx="5">
                  <c:v>Metais ferrosos</c:v>
                </c:pt>
                <c:pt idx="6">
                  <c:v>Alumínio</c:v>
                </c:pt>
                <c:pt idx="7">
                  <c:v>Têxteis</c:v>
                </c:pt>
                <c:pt idx="8">
                  <c:v>Resíduos dispersos</c:v>
                </c:pt>
                <c:pt idx="9">
                  <c:v>Queima a céu aberto</c:v>
                </c:pt>
                <c:pt idx="10">
                  <c:v>Lixão não controlado</c:v>
                </c:pt>
                <c:pt idx="11">
                  <c:v>Aterro controlado</c:v>
                </c:pt>
                <c:pt idx="12">
                  <c:v>Aterro sanitário</c:v>
                </c:pt>
                <c:pt idx="13">
                  <c:v>Trat. biol + cobertura at.</c:v>
                </c:pt>
                <c:pt idx="14">
                  <c:v>CDR seco + rejeito aterro</c:v>
                </c:pt>
                <c:pt idx="15">
                  <c:v>CDR seco + trat. biol.</c:v>
                </c:pt>
                <c:pt idx="16">
                  <c:v>CDR seco + CDR org.</c:v>
                </c:pt>
                <c:pt idx="17">
                  <c:v>Incineração</c:v>
                </c:pt>
              </c:strCache>
            </c:strRef>
          </c:cat>
          <c:val>
            <c:numRef>
              <c:f>('CO2 - Todos Resultados'!$G$7:$G$15,'CO2 - Todos Resultados'!$G$18:$G$27)</c:f>
              <c:numCache>
                <c:formatCode>#,##0</c:formatCode>
                <c:ptCount val="19"/>
                <c:pt idx="0">
                  <c:v>0</c:v>
                </c:pt>
                <c:pt idx="1">
                  <c:v>0</c:v>
                </c:pt>
                <c:pt idx="2">
                  <c:v>1004.4457488</c:v>
                </c:pt>
                <c:pt idx="3">
                  <c:v>683.86032</c:v>
                </c:pt>
                <c:pt idx="4">
                  <c:v>0</c:v>
                </c:pt>
                <c:pt idx="5">
                  <c:v>503.10935999999998</c:v>
                </c:pt>
                <c:pt idx="6">
                  <c:v>131.24591999999998</c:v>
                </c:pt>
                <c:pt idx="7">
                  <c:v>0</c:v>
                </c:pt>
                <c:pt idx="8" formatCode="0.0%">
                  <c:v>0.100873</c:v>
                </c:pt>
                <c:pt idx="9">
                  <c:v>0</c:v>
                </c:pt>
                <c:pt idx="10">
                  <c:v>0</c:v>
                </c:pt>
                <c:pt idx="11">
                  <c:v>0</c:v>
                </c:pt>
                <c:pt idx="12">
                  <c:v>0</c:v>
                </c:pt>
                <c:pt idx="13">
                  <c:v>7763.6019941999994</c:v>
                </c:pt>
                <c:pt idx="14">
                  <c:v>12939.336657</c:v>
                </c:pt>
                <c:pt idx="15">
                  <c:v>0</c:v>
                </c:pt>
                <c:pt idx="16">
                  <c:v>0</c:v>
                </c:pt>
                <c:pt idx="17">
                  <c:v>0</c:v>
                </c:pt>
                <c:pt idx="18">
                  <c:v>0</c:v>
                </c:pt>
              </c:numCache>
            </c:numRef>
          </c:val>
          <c:extLst>
            <c:ext xmlns:c16="http://schemas.microsoft.com/office/drawing/2014/chart" uri="{C3380CC4-5D6E-409C-BE32-E72D297353CC}">
              <c16:uniqueId val="{00000002-3713-4F10-8218-D61F7CF545C4}"/>
            </c:ext>
          </c:extLst>
        </c:ser>
        <c:ser>
          <c:idx val="3"/>
          <c:order val="3"/>
          <c:tx>
            <c:strRef>
              <c:f>'CO2 - Todos Resultados'!$H$2</c:f>
              <c:strCache>
                <c:ptCount val="1"/>
                <c:pt idx="0">
                  <c:v>Biosecagem + CDR TMB </c:v>
                </c:pt>
              </c:strCache>
            </c:strRef>
          </c:tx>
          <c:spPr>
            <a:solidFill>
              <a:srgbClr val="CC99FF"/>
            </a:solidFill>
            <a:ln w="12700">
              <a:solidFill>
                <a:srgbClr val="000000"/>
              </a:solidFill>
              <a:prstDash val="solid"/>
            </a:ln>
          </c:spPr>
          <c:invertIfNegative val="0"/>
          <c:cat>
            <c:strRef>
              <c:f>('CO2 - Todos Resultados'!$B$7:$B$14,'CO2 - Todos Resultados'!$B$18:$B$27)</c:f>
              <c:strCache>
                <c:ptCount val="18"/>
                <c:pt idx="0">
                  <c:v>Resíduos de alimentos</c:v>
                </c:pt>
                <c:pt idx="1">
                  <c:v>Resíduos de jardins e parques</c:v>
                </c:pt>
                <c:pt idx="2">
                  <c:v>Papel, papelão</c:v>
                </c:pt>
                <c:pt idx="3">
                  <c:v>Plásticos</c:v>
                </c:pt>
                <c:pt idx="4">
                  <c:v>Vidros</c:v>
                </c:pt>
                <c:pt idx="5">
                  <c:v>Metais ferrosos</c:v>
                </c:pt>
                <c:pt idx="6">
                  <c:v>Alumínio</c:v>
                </c:pt>
                <c:pt idx="7">
                  <c:v>Têxteis</c:v>
                </c:pt>
                <c:pt idx="8">
                  <c:v>Resíduos dispersos</c:v>
                </c:pt>
                <c:pt idx="9">
                  <c:v>Queima a céu aberto</c:v>
                </c:pt>
                <c:pt idx="10">
                  <c:v>Lixão não controlado</c:v>
                </c:pt>
                <c:pt idx="11">
                  <c:v>Aterro controlado</c:v>
                </c:pt>
                <c:pt idx="12">
                  <c:v>Aterro sanitário</c:v>
                </c:pt>
                <c:pt idx="13">
                  <c:v>Trat. biol + cobertura at.</c:v>
                </c:pt>
                <c:pt idx="14">
                  <c:v>CDR seco + rejeito aterro</c:v>
                </c:pt>
                <c:pt idx="15">
                  <c:v>CDR seco + trat. biol.</c:v>
                </c:pt>
                <c:pt idx="16">
                  <c:v>CDR seco + CDR org.</c:v>
                </c:pt>
                <c:pt idx="17">
                  <c:v>Incineração</c:v>
                </c:pt>
              </c:strCache>
            </c:strRef>
          </c:cat>
          <c:val>
            <c:numRef>
              <c:f>('CO2 - Todos Resultados'!$H$7:$H$15,'CO2 - Todos Resultados'!$H$18:$H$27)</c:f>
              <c:numCache>
                <c:formatCode>#,##0</c:formatCode>
                <c:ptCount val="19"/>
                <c:pt idx="0">
                  <c:v>0</c:v>
                </c:pt>
                <c:pt idx="1">
                  <c:v>0</c:v>
                </c:pt>
                <c:pt idx="2">
                  <c:v>1004.4457488</c:v>
                </c:pt>
                <c:pt idx="3">
                  <c:v>683.86032</c:v>
                </c:pt>
                <c:pt idx="4">
                  <c:v>0</c:v>
                </c:pt>
                <c:pt idx="5">
                  <c:v>503.10935999999998</c:v>
                </c:pt>
                <c:pt idx="6">
                  <c:v>131.24591999999998</c:v>
                </c:pt>
                <c:pt idx="7">
                  <c:v>0</c:v>
                </c:pt>
                <c:pt idx="8" formatCode="0.0%">
                  <c:v>0.100873</c:v>
                </c:pt>
                <c:pt idx="9">
                  <c:v>0</c:v>
                </c:pt>
                <c:pt idx="10">
                  <c:v>0</c:v>
                </c:pt>
                <c:pt idx="11">
                  <c:v>0</c:v>
                </c:pt>
                <c:pt idx="12">
                  <c:v>6210.8815953599997</c:v>
                </c:pt>
                <c:pt idx="13">
                  <c:v>0</c:v>
                </c:pt>
                <c:pt idx="14">
                  <c:v>0</c:v>
                </c:pt>
                <c:pt idx="15">
                  <c:v>0</c:v>
                </c:pt>
                <c:pt idx="16">
                  <c:v>0</c:v>
                </c:pt>
                <c:pt idx="17">
                  <c:v>14492.057055839998</c:v>
                </c:pt>
                <c:pt idx="18">
                  <c:v>0</c:v>
                </c:pt>
              </c:numCache>
            </c:numRef>
          </c:val>
          <c:extLst>
            <c:ext xmlns:c16="http://schemas.microsoft.com/office/drawing/2014/chart" uri="{C3380CC4-5D6E-409C-BE32-E72D297353CC}">
              <c16:uniqueId val="{00000003-3713-4F10-8218-D61F7CF545C4}"/>
            </c:ext>
          </c:extLst>
        </c:ser>
        <c:ser>
          <c:idx val="4"/>
          <c:order val="4"/>
          <c:tx>
            <c:strRef>
              <c:f>'CO2 - Todos Resultados'!$I$2</c:f>
              <c:strCache>
                <c:ptCount val="1"/>
                <c:pt idx="0">
                  <c:v>Incineração Mass Burning</c:v>
                </c:pt>
              </c:strCache>
            </c:strRef>
          </c:tx>
          <c:invertIfNegative val="0"/>
          <c:cat>
            <c:strRef>
              <c:f>('CO2 - Todos Resultados'!$B$7:$B$14,'CO2 - Todos Resultados'!$B$18:$B$27)</c:f>
              <c:strCache>
                <c:ptCount val="18"/>
                <c:pt idx="0">
                  <c:v>Resíduos de alimentos</c:v>
                </c:pt>
                <c:pt idx="1">
                  <c:v>Resíduos de jardins e parques</c:v>
                </c:pt>
                <c:pt idx="2">
                  <c:v>Papel, papelão</c:v>
                </c:pt>
                <c:pt idx="3">
                  <c:v>Plásticos</c:v>
                </c:pt>
                <c:pt idx="4">
                  <c:v>Vidros</c:v>
                </c:pt>
                <c:pt idx="5">
                  <c:v>Metais ferrosos</c:v>
                </c:pt>
                <c:pt idx="6">
                  <c:v>Alumínio</c:v>
                </c:pt>
                <c:pt idx="7">
                  <c:v>Têxteis</c:v>
                </c:pt>
                <c:pt idx="8">
                  <c:v>Resíduos dispersos</c:v>
                </c:pt>
                <c:pt idx="9">
                  <c:v>Queima a céu aberto</c:v>
                </c:pt>
                <c:pt idx="10">
                  <c:v>Lixão não controlado</c:v>
                </c:pt>
                <c:pt idx="11">
                  <c:v>Aterro controlado</c:v>
                </c:pt>
                <c:pt idx="12">
                  <c:v>Aterro sanitário</c:v>
                </c:pt>
                <c:pt idx="13">
                  <c:v>Trat. biol + cobertura at.</c:v>
                </c:pt>
                <c:pt idx="14">
                  <c:v>CDR seco + rejeito aterro</c:v>
                </c:pt>
                <c:pt idx="15">
                  <c:v>CDR seco + trat. biol.</c:v>
                </c:pt>
                <c:pt idx="16">
                  <c:v>CDR seco + CDR org.</c:v>
                </c:pt>
                <c:pt idx="17">
                  <c:v>Incineração</c:v>
                </c:pt>
              </c:strCache>
            </c:strRef>
          </c:cat>
          <c:val>
            <c:numRef>
              <c:f>('CO2 - Todos Resultados'!$I$7:$I$13,'CO2 - Todos Resultados'!$I$18:$I$27)</c:f>
              <c:numCache>
                <c:formatCode>#,##0</c:formatCode>
                <c:ptCount val="17"/>
                <c:pt idx="0">
                  <c:v>0</c:v>
                </c:pt>
                <c:pt idx="1">
                  <c:v>0</c:v>
                </c:pt>
                <c:pt idx="2">
                  <c:v>1004.4457488</c:v>
                </c:pt>
                <c:pt idx="3">
                  <c:v>683.86032</c:v>
                </c:pt>
                <c:pt idx="4">
                  <c:v>0</c:v>
                </c:pt>
                <c:pt idx="5">
                  <c:v>503.10935999999998</c:v>
                </c:pt>
                <c:pt idx="6">
                  <c:v>131.24591999999998</c:v>
                </c:pt>
                <c:pt idx="7">
                  <c:v>0</c:v>
                </c:pt>
                <c:pt idx="8">
                  <c:v>0</c:v>
                </c:pt>
                <c:pt idx="9">
                  <c:v>0</c:v>
                </c:pt>
                <c:pt idx="10">
                  <c:v>3105.4407976799998</c:v>
                </c:pt>
                <c:pt idx="11">
                  <c:v>0</c:v>
                </c:pt>
                <c:pt idx="12">
                  <c:v>0</c:v>
                </c:pt>
                <c:pt idx="13">
                  <c:v>0</c:v>
                </c:pt>
                <c:pt idx="14">
                  <c:v>0</c:v>
                </c:pt>
                <c:pt idx="15">
                  <c:v>0</c:v>
                </c:pt>
                <c:pt idx="16">
                  <c:v>17597.497853519999</c:v>
                </c:pt>
              </c:numCache>
            </c:numRef>
          </c:val>
          <c:extLst>
            <c:ext xmlns:c16="http://schemas.microsoft.com/office/drawing/2014/chart" uri="{C3380CC4-5D6E-409C-BE32-E72D297353CC}">
              <c16:uniqueId val="{00000004-3713-4F10-8218-D61F7CF545C4}"/>
            </c:ext>
          </c:extLst>
        </c:ser>
        <c:ser>
          <c:idx val="5"/>
          <c:order val="5"/>
          <c:tx>
            <c:strRef>
              <c:f>'CO2 - Todos Resultados'!$F$2</c:f>
              <c:strCache>
                <c:ptCount val="1"/>
                <c:pt idx="0">
                  <c:v>Biodigestão RT1C + CDR TM</c:v>
                </c:pt>
              </c:strCache>
            </c:strRef>
          </c:tx>
          <c:invertIfNegative val="0"/>
          <c:cat>
            <c:strRef>
              <c:f>('CO2 - Todos Resultados'!$B$7:$B$14,'CO2 - Todos Resultados'!$B$18:$B$27)</c:f>
              <c:strCache>
                <c:ptCount val="18"/>
                <c:pt idx="0">
                  <c:v>Resíduos de alimentos</c:v>
                </c:pt>
                <c:pt idx="1">
                  <c:v>Resíduos de jardins e parques</c:v>
                </c:pt>
                <c:pt idx="2">
                  <c:v>Papel, papelão</c:v>
                </c:pt>
                <c:pt idx="3">
                  <c:v>Plásticos</c:v>
                </c:pt>
                <c:pt idx="4">
                  <c:v>Vidros</c:v>
                </c:pt>
                <c:pt idx="5">
                  <c:v>Metais ferrosos</c:v>
                </c:pt>
                <c:pt idx="6">
                  <c:v>Alumínio</c:v>
                </c:pt>
                <c:pt idx="7">
                  <c:v>Têxteis</c:v>
                </c:pt>
                <c:pt idx="8">
                  <c:v>Resíduos dispersos</c:v>
                </c:pt>
                <c:pt idx="9">
                  <c:v>Queima a céu aberto</c:v>
                </c:pt>
                <c:pt idx="10">
                  <c:v>Lixão não controlado</c:v>
                </c:pt>
                <c:pt idx="11">
                  <c:v>Aterro controlado</c:v>
                </c:pt>
                <c:pt idx="12">
                  <c:v>Aterro sanitário</c:v>
                </c:pt>
                <c:pt idx="13">
                  <c:v>Trat. biol + cobertura at.</c:v>
                </c:pt>
                <c:pt idx="14">
                  <c:v>CDR seco + rejeito aterro</c:v>
                </c:pt>
                <c:pt idx="15">
                  <c:v>CDR seco + trat. biol.</c:v>
                </c:pt>
                <c:pt idx="16">
                  <c:v>CDR seco + CDR org.</c:v>
                </c:pt>
                <c:pt idx="17">
                  <c:v>Incineração</c:v>
                </c:pt>
              </c:strCache>
            </c:strRef>
          </c:cat>
          <c:val>
            <c:numRef>
              <c:f>('CO2 - Todos Resultados'!$F$7:$F$14,'CO2 - Todos Resultados'!$F$18:$F$27)</c:f>
              <c:numCache>
                <c:formatCode>#,##0</c:formatCode>
                <c:ptCount val="18"/>
                <c:pt idx="0">
                  <c:v>0</c:v>
                </c:pt>
                <c:pt idx="1">
                  <c:v>0</c:v>
                </c:pt>
                <c:pt idx="2">
                  <c:v>1004.4457488</c:v>
                </c:pt>
                <c:pt idx="3">
                  <c:v>683.86032</c:v>
                </c:pt>
                <c:pt idx="4">
                  <c:v>0</c:v>
                </c:pt>
                <c:pt idx="5">
                  <c:v>503.10935999999998</c:v>
                </c:pt>
                <c:pt idx="6">
                  <c:v>131.24591999999998</c:v>
                </c:pt>
                <c:pt idx="7">
                  <c:v>0</c:v>
                </c:pt>
                <c:pt idx="8">
                  <c:v>0</c:v>
                </c:pt>
                <c:pt idx="9">
                  <c:v>0</c:v>
                </c:pt>
                <c:pt idx="10">
                  <c:v>0</c:v>
                </c:pt>
                <c:pt idx="11">
                  <c:v>0</c:v>
                </c:pt>
                <c:pt idx="12">
                  <c:v>7246.0285279199989</c:v>
                </c:pt>
                <c:pt idx="13">
                  <c:v>0</c:v>
                </c:pt>
                <c:pt idx="14">
                  <c:v>2587.8673313999998</c:v>
                </c:pt>
                <c:pt idx="15">
                  <c:v>10869.04279188</c:v>
                </c:pt>
                <c:pt idx="16">
                  <c:v>0</c:v>
                </c:pt>
                <c:pt idx="17">
                  <c:v>0</c:v>
                </c:pt>
              </c:numCache>
            </c:numRef>
          </c:val>
          <c:extLst>
            <c:ext xmlns:c16="http://schemas.microsoft.com/office/drawing/2014/chart" uri="{C3380CC4-5D6E-409C-BE32-E72D297353CC}">
              <c16:uniqueId val="{00000005-3713-4F10-8218-D61F7CF545C4}"/>
            </c:ext>
          </c:extLst>
        </c:ser>
        <c:dLbls>
          <c:showLegendKey val="0"/>
          <c:showVal val="0"/>
          <c:showCatName val="0"/>
          <c:showSerName val="0"/>
          <c:showPercent val="0"/>
          <c:showBubbleSize val="0"/>
        </c:dLbls>
        <c:gapWidth val="100"/>
        <c:axId val="198372736"/>
        <c:axId val="198378624"/>
      </c:barChart>
      <c:catAx>
        <c:axId val="198372736"/>
        <c:scaling>
          <c:orientation val="minMax"/>
        </c:scaling>
        <c:delete val="0"/>
        <c:axPos val="b"/>
        <c:numFmt formatCode="General" sourceLinked="1"/>
        <c:majorTickMark val="out"/>
        <c:minorTickMark val="none"/>
        <c:tickLblPos val="nextTo"/>
        <c:spPr>
          <a:ln w="3175">
            <a:solidFill>
              <a:srgbClr val="000000"/>
            </a:solidFill>
            <a:prstDash val="solid"/>
          </a:ln>
        </c:spPr>
        <c:txPr>
          <a:bodyPr rot="-3660000" vert="horz"/>
          <a:lstStyle/>
          <a:p>
            <a:pPr>
              <a:defRPr sz="1200" b="0" i="0" u="none" strike="noStrike" baseline="0">
                <a:solidFill>
                  <a:srgbClr val="000000"/>
                </a:solidFill>
                <a:latin typeface="Arial"/>
                <a:ea typeface="Arial"/>
                <a:cs typeface="Arial"/>
              </a:defRPr>
            </a:pPr>
            <a:endParaRPr lang="pt-BR"/>
          </a:p>
        </c:txPr>
        <c:crossAx val="198378624"/>
        <c:crosses val="autoZero"/>
        <c:auto val="1"/>
        <c:lblAlgn val="ctr"/>
        <c:lblOffset val="100"/>
        <c:tickLblSkip val="1"/>
        <c:tickMarkSkip val="1"/>
        <c:noMultiLvlLbl val="0"/>
      </c:catAx>
      <c:valAx>
        <c:axId val="198378624"/>
        <c:scaling>
          <c:orientation val="minMax"/>
        </c:scaling>
        <c:delete val="0"/>
        <c:axPos val="l"/>
        <c:majorGridlines>
          <c:spPr>
            <a:ln w="3175">
              <a:solidFill>
                <a:srgbClr val="000000"/>
              </a:solidFill>
              <a:prstDash val="solid"/>
            </a:ln>
          </c:spPr>
        </c:majorGridlines>
        <c:title>
          <c:tx>
            <c:rich>
              <a:bodyPr/>
              <a:lstStyle/>
              <a:p>
                <a:pPr>
                  <a:defRPr sz="975" b="1" i="0" u="none" strike="noStrike" baseline="0">
                    <a:solidFill>
                      <a:sysClr val="windowText" lastClr="000000"/>
                    </a:solidFill>
                    <a:latin typeface="Arial"/>
                    <a:ea typeface="Arial"/>
                    <a:cs typeface="Arial"/>
                  </a:defRPr>
                </a:pPr>
                <a:r>
                  <a:rPr lang="de-DE">
                    <a:solidFill>
                      <a:sysClr val="windowText" lastClr="000000"/>
                    </a:solidFill>
                  </a:rPr>
                  <a:t>tonelada</a:t>
                </a:r>
                <a:r>
                  <a:rPr lang="de-DE" baseline="0">
                    <a:solidFill>
                      <a:sysClr val="windowText" lastClr="000000"/>
                    </a:solidFill>
                  </a:rPr>
                  <a:t> </a:t>
                </a:r>
                <a:r>
                  <a:rPr lang="de-DE">
                    <a:solidFill>
                      <a:sysClr val="windowText" lastClr="000000"/>
                    </a:solidFill>
                  </a:rPr>
                  <a:t>/ ano</a:t>
                </a:r>
              </a:p>
            </c:rich>
          </c:tx>
          <c:layout>
            <c:manualLayout>
              <c:xMode val="edge"/>
              <c:yMode val="edge"/>
              <c:x val="8.0175041247724076E-3"/>
              <c:y val="0.37960779044406118"/>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975" b="0" i="0" u="none" strike="noStrike" baseline="0">
                <a:solidFill>
                  <a:srgbClr val="000000"/>
                </a:solidFill>
                <a:latin typeface="Arial"/>
                <a:ea typeface="Arial"/>
                <a:cs typeface="Arial"/>
              </a:defRPr>
            </a:pPr>
            <a:endParaRPr lang="pt-BR"/>
          </a:p>
        </c:txPr>
        <c:crossAx val="198372736"/>
        <c:crosses val="autoZero"/>
        <c:crossBetween val="between"/>
      </c:valAx>
      <c:spPr>
        <a:noFill/>
        <a:ln w="3175">
          <a:solidFill>
            <a:srgbClr val="000000"/>
          </a:solidFill>
          <a:prstDash val="solid"/>
        </a:ln>
      </c:spPr>
    </c:plotArea>
    <c:legend>
      <c:legendPos val="r"/>
      <c:layout>
        <c:manualLayout>
          <c:xMode val="edge"/>
          <c:yMode val="edge"/>
          <c:x val="0.15970128618373478"/>
          <c:y val="0.15096559925759637"/>
          <c:w val="0.13547586657023258"/>
          <c:h val="0.267393199206863"/>
        </c:manualLayout>
      </c:layout>
      <c:overlay val="0"/>
      <c:spPr>
        <a:solidFill>
          <a:srgbClr val="FFFFFF"/>
        </a:solidFill>
        <a:ln w="3175">
          <a:solidFill>
            <a:srgbClr val="000000"/>
          </a:solidFill>
          <a:prstDash val="solid"/>
        </a:ln>
      </c:spPr>
      <c:txPr>
        <a:bodyPr/>
        <a:lstStyle/>
        <a:p>
          <a:pPr>
            <a:defRPr sz="1200" b="0" i="0" u="none" strike="noStrike" baseline="0">
              <a:solidFill>
                <a:srgbClr val="000000"/>
              </a:solidFill>
              <a:latin typeface="Arial"/>
              <a:ea typeface="Arial"/>
              <a:cs typeface="Arial"/>
            </a:defRPr>
          </a:pPr>
          <a:endParaRPr lang="pt-BR"/>
        </a:p>
      </c:txPr>
    </c:legend>
    <c:plotVisOnly val="1"/>
    <c:dispBlanksAs val="gap"/>
    <c:showDLblsOverMax val="0"/>
  </c:chart>
  <c:spPr>
    <a:solidFill>
      <a:srgbClr val="FFFFFF"/>
    </a:solidFill>
    <a:ln w="25400">
      <a:solidFill>
        <a:srgbClr val="000000"/>
      </a:solidFill>
      <a:prstDash val="solid"/>
    </a:ln>
  </c:spPr>
  <c:txPr>
    <a:bodyPr/>
    <a:lstStyle/>
    <a:p>
      <a:pPr>
        <a:defRPr sz="1050" b="0" i="0" u="none" strike="noStrike" baseline="0">
          <a:solidFill>
            <a:srgbClr val="000000"/>
          </a:solidFill>
          <a:latin typeface="Arial"/>
          <a:ea typeface="Arial"/>
          <a:cs typeface="Arial"/>
        </a:defRPr>
      </a:pPr>
      <a:endParaRPr lang="pt-BR"/>
    </a:p>
  </c:txPr>
  <c:printSettings>
    <c:headerFooter alignWithMargins="0"/>
    <c:pageMargins b="0.98425196899999978" l="0.78740157499999996" r="0.78740157499999996" t="0.98425196899999978" header="0.49212598450000011" footer="0.49212598450000011"/>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75" b="1" i="0" u="none" strike="noStrike" baseline="0">
                <a:solidFill>
                  <a:srgbClr val="000000"/>
                </a:solidFill>
                <a:latin typeface="Arial"/>
                <a:ea typeface="Arial"/>
                <a:cs typeface="Arial"/>
              </a:defRPr>
            </a:pPr>
            <a:r>
              <a:rPr lang="de-DE"/>
              <a:t>Emissões de GEE</a:t>
            </a:r>
          </a:p>
        </c:rich>
      </c:tx>
      <c:layout>
        <c:manualLayout>
          <c:xMode val="edge"/>
          <c:yMode val="edge"/>
          <c:x val="0.42439797582344552"/>
          <c:y val="1.3580263286389961E-2"/>
        </c:manualLayout>
      </c:layout>
      <c:overlay val="0"/>
      <c:spPr>
        <a:noFill/>
        <a:ln w="25400">
          <a:noFill/>
        </a:ln>
      </c:spPr>
    </c:title>
    <c:autoTitleDeleted val="0"/>
    <c:plotArea>
      <c:layout>
        <c:manualLayout>
          <c:layoutTarget val="inner"/>
          <c:xMode val="edge"/>
          <c:yMode val="edge"/>
          <c:x val="0.14463132394671627"/>
          <c:y val="0.13456806347422781"/>
          <c:w val="0.82980395961348374"/>
          <c:h val="0.70246998272326211"/>
        </c:manualLayout>
      </c:layout>
      <c:barChart>
        <c:barDir val="col"/>
        <c:grouping val="clustered"/>
        <c:varyColors val="0"/>
        <c:ser>
          <c:idx val="0"/>
          <c:order val="0"/>
          <c:tx>
            <c:strRef>
              <c:f>'CO2 - Todos Resultados'!$C$31</c:f>
              <c:strCache>
                <c:ptCount val="1"/>
                <c:pt idx="0">
                  <c:v>Cenário-Base</c:v>
                </c:pt>
              </c:strCache>
            </c:strRef>
          </c:tx>
          <c:spPr>
            <a:solidFill>
              <a:srgbClr val="33CCCC"/>
            </a:solidFill>
            <a:ln w="12700">
              <a:solidFill>
                <a:srgbClr val="000000"/>
              </a:solidFill>
              <a:prstDash val="solid"/>
            </a:ln>
          </c:spPr>
          <c:invertIfNegative val="0"/>
          <c:cat>
            <c:strRef>
              <c:f>'CO2 - Todos Resultados'!$B$32:$B$38</c:f>
              <c:strCache>
                <c:ptCount val="7"/>
                <c:pt idx="0">
                  <c:v>Débitos</c:v>
                </c:pt>
                <c:pt idx="1">
                  <c:v>Créditos</c:v>
                </c:pt>
                <c:pt idx="2">
                  <c:v>Débitos</c:v>
                </c:pt>
                <c:pt idx="3">
                  <c:v>Créditos</c:v>
                </c:pt>
                <c:pt idx="4">
                  <c:v>Débitos</c:v>
                </c:pt>
                <c:pt idx="5">
                  <c:v>Créditos</c:v>
                </c:pt>
                <c:pt idx="6">
                  <c:v>Líquido</c:v>
                </c:pt>
              </c:strCache>
            </c:strRef>
          </c:cat>
          <c:val>
            <c:numRef>
              <c:f>'CO2 - Todos Resultados'!$C$32:$C$38</c:f>
              <c:numCache>
                <c:formatCode>#,##0</c:formatCode>
                <c:ptCount val="7"/>
                <c:pt idx="0">
                  <c:v>532.33805663999999</c:v>
                </c:pt>
                <c:pt idx="1">
                  <c:v>-1514.9071828799999</c:v>
                </c:pt>
                <c:pt idx="2">
                  <c:v>26393.084303869578</c:v>
                </c:pt>
                <c:pt idx="3">
                  <c:v>0</c:v>
                </c:pt>
                <c:pt idx="4">
                  <c:v>26925.422360509579</c:v>
                </c:pt>
                <c:pt idx="5">
                  <c:v>-1514.9071828799999</c:v>
                </c:pt>
                <c:pt idx="6">
                  <c:v>25410.515177629579</c:v>
                </c:pt>
              </c:numCache>
            </c:numRef>
          </c:val>
          <c:extLst>
            <c:ext xmlns:c16="http://schemas.microsoft.com/office/drawing/2014/chart" uri="{C3380CC4-5D6E-409C-BE32-E72D297353CC}">
              <c16:uniqueId val="{00000000-EFF3-45B1-926C-AD76AB48B24B}"/>
            </c:ext>
          </c:extLst>
        </c:ser>
        <c:ser>
          <c:idx val="1"/>
          <c:order val="1"/>
          <c:tx>
            <c:strRef>
              <c:f>'CO2 - Todos Resultados'!$D$31</c:f>
              <c:strCache>
                <c:ptCount val="1"/>
                <c:pt idx="0">
                  <c:v>Biodigestão RT1A + CDR TM</c:v>
                </c:pt>
              </c:strCache>
            </c:strRef>
          </c:tx>
          <c:spPr>
            <a:solidFill>
              <a:srgbClr val="993366"/>
            </a:solidFill>
            <a:ln w="12700">
              <a:solidFill>
                <a:srgbClr val="000000"/>
              </a:solidFill>
              <a:prstDash val="solid"/>
            </a:ln>
          </c:spPr>
          <c:invertIfNegative val="0"/>
          <c:cat>
            <c:strRef>
              <c:f>'CO2 - Todos Resultados'!$B$32:$B$38</c:f>
              <c:strCache>
                <c:ptCount val="7"/>
                <c:pt idx="0">
                  <c:v>Débitos</c:v>
                </c:pt>
                <c:pt idx="1">
                  <c:v>Créditos</c:v>
                </c:pt>
                <c:pt idx="2">
                  <c:v>Débitos</c:v>
                </c:pt>
                <c:pt idx="3">
                  <c:v>Créditos</c:v>
                </c:pt>
                <c:pt idx="4">
                  <c:v>Débitos</c:v>
                </c:pt>
                <c:pt idx="5">
                  <c:v>Créditos</c:v>
                </c:pt>
                <c:pt idx="6">
                  <c:v>Líquido</c:v>
                </c:pt>
              </c:strCache>
            </c:strRef>
          </c:cat>
          <c:val>
            <c:numRef>
              <c:f>'CO2 - Todos Resultados'!$D$32:$D$38</c:f>
              <c:numCache>
                <c:formatCode>#,##0</c:formatCode>
                <c:ptCount val="7"/>
                <c:pt idx="0">
                  <c:v>1665.6439969728001</c:v>
                </c:pt>
                <c:pt idx="1">
                  <c:v>-5018.9513721984003</c:v>
                </c:pt>
                <c:pt idx="2">
                  <c:v>11220.932663984766</c:v>
                </c:pt>
                <c:pt idx="3">
                  <c:v>-6806.6895659518668</c:v>
                </c:pt>
                <c:pt idx="4">
                  <c:v>12886.576660957566</c:v>
                </c:pt>
                <c:pt idx="5">
                  <c:v>-11825.640938150267</c:v>
                </c:pt>
                <c:pt idx="6">
                  <c:v>1060.9357228072986</c:v>
                </c:pt>
              </c:numCache>
            </c:numRef>
          </c:val>
          <c:extLst>
            <c:ext xmlns:c16="http://schemas.microsoft.com/office/drawing/2014/chart" uri="{C3380CC4-5D6E-409C-BE32-E72D297353CC}">
              <c16:uniqueId val="{00000001-EFF3-45B1-926C-AD76AB48B24B}"/>
            </c:ext>
          </c:extLst>
        </c:ser>
        <c:ser>
          <c:idx val="2"/>
          <c:order val="2"/>
          <c:tx>
            <c:strRef>
              <c:f>'CO2 - Todos Resultados'!$G$31</c:f>
              <c:strCache>
                <c:ptCount val="1"/>
                <c:pt idx="0">
                  <c:v>Compostagem + CDR TM</c:v>
                </c:pt>
              </c:strCache>
            </c:strRef>
          </c:tx>
          <c:spPr>
            <a:solidFill>
              <a:srgbClr val="FFCC00"/>
            </a:solidFill>
            <a:ln w="12700">
              <a:solidFill>
                <a:srgbClr val="000000"/>
              </a:solidFill>
              <a:prstDash val="solid"/>
            </a:ln>
          </c:spPr>
          <c:invertIfNegative val="0"/>
          <c:cat>
            <c:strRef>
              <c:f>'CO2 - Todos Resultados'!$B$32:$B$38</c:f>
              <c:strCache>
                <c:ptCount val="7"/>
                <c:pt idx="0">
                  <c:v>Débitos</c:v>
                </c:pt>
                <c:pt idx="1">
                  <c:v>Créditos</c:v>
                </c:pt>
                <c:pt idx="2">
                  <c:v>Débitos</c:v>
                </c:pt>
                <c:pt idx="3">
                  <c:v>Créditos</c:v>
                </c:pt>
                <c:pt idx="4">
                  <c:v>Débitos</c:v>
                </c:pt>
                <c:pt idx="5">
                  <c:v>Créditos</c:v>
                </c:pt>
                <c:pt idx="6">
                  <c:v>Líquido</c:v>
                </c:pt>
              </c:strCache>
            </c:strRef>
          </c:cat>
          <c:val>
            <c:numRef>
              <c:f>'CO2 - Todos Resultados'!$G$32:$G$38</c:f>
              <c:numCache>
                <c:formatCode>#,##0</c:formatCode>
                <c:ptCount val="7"/>
                <c:pt idx="0">
                  <c:v>1665.6439969728001</c:v>
                </c:pt>
                <c:pt idx="1">
                  <c:v>-5018.9513721984003</c:v>
                </c:pt>
                <c:pt idx="2">
                  <c:v>9577.7059389960687</c:v>
                </c:pt>
                <c:pt idx="3">
                  <c:v>0</c:v>
                </c:pt>
                <c:pt idx="4">
                  <c:v>11243.349935968869</c:v>
                </c:pt>
                <c:pt idx="5">
                  <c:v>-5018.9513721984003</c:v>
                </c:pt>
                <c:pt idx="6">
                  <c:v>6224.3985637704682</c:v>
                </c:pt>
              </c:numCache>
            </c:numRef>
          </c:val>
          <c:extLst>
            <c:ext xmlns:c16="http://schemas.microsoft.com/office/drawing/2014/chart" uri="{C3380CC4-5D6E-409C-BE32-E72D297353CC}">
              <c16:uniqueId val="{00000002-EFF3-45B1-926C-AD76AB48B24B}"/>
            </c:ext>
          </c:extLst>
        </c:ser>
        <c:ser>
          <c:idx val="3"/>
          <c:order val="3"/>
          <c:tx>
            <c:strRef>
              <c:f>'CO2 - Todos Resultados'!$H$31</c:f>
              <c:strCache>
                <c:ptCount val="1"/>
                <c:pt idx="0">
                  <c:v>Biosecagem + CDR TMB </c:v>
                </c:pt>
              </c:strCache>
            </c:strRef>
          </c:tx>
          <c:spPr>
            <a:solidFill>
              <a:srgbClr val="CCCCFF"/>
            </a:solidFill>
            <a:ln w="12700">
              <a:solidFill>
                <a:srgbClr val="000000"/>
              </a:solidFill>
              <a:prstDash val="solid"/>
            </a:ln>
          </c:spPr>
          <c:invertIfNegative val="0"/>
          <c:cat>
            <c:strRef>
              <c:f>'CO2 - Todos Resultados'!$B$32:$B$38</c:f>
              <c:strCache>
                <c:ptCount val="7"/>
                <c:pt idx="0">
                  <c:v>Débitos</c:v>
                </c:pt>
                <c:pt idx="1">
                  <c:v>Créditos</c:v>
                </c:pt>
                <c:pt idx="2">
                  <c:v>Débitos</c:v>
                </c:pt>
                <c:pt idx="3">
                  <c:v>Créditos</c:v>
                </c:pt>
                <c:pt idx="4">
                  <c:v>Débitos</c:v>
                </c:pt>
                <c:pt idx="5">
                  <c:v>Créditos</c:v>
                </c:pt>
                <c:pt idx="6">
                  <c:v>Líquido</c:v>
                </c:pt>
              </c:strCache>
            </c:strRef>
          </c:cat>
          <c:val>
            <c:numRef>
              <c:f>'CO2 - Todos Resultados'!$H$32:$H$38</c:f>
              <c:numCache>
                <c:formatCode>#,##0</c:formatCode>
                <c:ptCount val="7"/>
                <c:pt idx="0">
                  <c:v>1665.6439969728001</c:v>
                </c:pt>
                <c:pt idx="1">
                  <c:v>-5018.9513721984003</c:v>
                </c:pt>
                <c:pt idx="2">
                  <c:v>10601.279089928397</c:v>
                </c:pt>
                <c:pt idx="3">
                  <c:v>-12742.065710846115</c:v>
                </c:pt>
                <c:pt idx="4">
                  <c:v>12266.923086901197</c:v>
                </c:pt>
                <c:pt idx="5">
                  <c:v>-17761.017083044513</c:v>
                </c:pt>
                <c:pt idx="6">
                  <c:v>-5494.093996143316</c:v>
                </c:pt>
              </c:numCache>
            </c:numRef>
          </c:val>
          <c:extLst>
            <c:ext xmlns:c16="http://schemas.microsoft.com/office/drawing/2014/chart" uri="{C3380CC4-5D6E-409C-BE32-E72D297353CC}">
              <c16:uniqueId val="{00000003-EFF3-45B1-926C-AD76AB48B24B}"/>
            </c:ext>
          </c:extLst>
        </c:ser>
        <c:ser>
          <c:idx val="4"/>
          <c:order val="4"/>
          <c:tx>
            <c:strRef>
              <c:f>'CO2 - Todos Resultados'!$I$31</c:f>
              <c:strCache>
                <c:ptCount val="1"/>
                <c:pt idx="0">
                  <c:v>Incineração Mass Burning</c:v>
                </c:pt>
              </c:strCache>
            </c:strRef>
          </c:tx>
          <c:invertIfNegative val="0"/>
          <c:cat>
            <c:strRef>
              <c:f>'CO2 - Todos Resultados'!$B$32:$B$38</c:f>
              <c:strCache>
                <c:ptCount val="7"/>
                <c:pt idx="0">
                  <c:v>Débitos</c:v>
                </c:pt>
                <c:pt idx="1">
                  <c:v>Créditos</c:v>
                </c:pt>
                <c:pt idx="2">
                  <c:v>Débitos</c:v>
                </c:pt>
                <c:pt idx="3">
                  <c:v>Créditos</c:v>
                </c:pt>
                <c:pt idx="4">
                  <c:v>Débitos</c:v>
                </c:pt>
                <c:pt idx="5">
                  <c:v>Créditos</c:v>
                </c:pt>
                <c:pt idx="6">
                  <c:v>Líquido</c:v>
                </c:pt>
              </c:strCache>
            </c:strRef>
          </c:cat>
          <c:val>
            <c:numRef>
              <c:f>'CO2 - Todos Resultados'!$I$32:$I$38</c:f>
              <c:numCache>
                <c:formatCode>#,##0</c:formatCode>
                <c:ptCount val="7"/>
                <c:pt idx="0">
                  <c:v>1665.6439969728001</c:v>
                </c:pt>
                <c:pt idx="1">
                  <c:v>-5018.9513721984003</c:v>
                </c:pt>
                <c:pt idx="2">
                  <c:v>10407.179756556689</c:v>
                </c:pt>
                <c:pt idx="3">
                  <c:v>-443.24404907404056</c:v>
                </c:pt>
                <c:pt idx="4">
                  <c:v>12072.823753529488</c:v>
                </c:pt>
                <c:pt idx="5">
                  <c:v>-5462.1954212724413</c:v>
                </c:pt>
                <c:pt idx="6">
                  <c:v>6610.6283322570471</c:v>
                </c:pt>
              </c:numCache>
            </c:numRef>
          </c:val>
          <c:extLst>
            <c:ext xmlns:c16="http://schemas.microsoft.com/office/drawing/2014/chart" uri="{C3380CC4-5D6E-409C-BE32-E72D297353CC}">
              <c16:uniqueId val="{00000004-EFF3-45B1-926C-AD76AB48B24B}"/>
            </c:ext>
          </c:extLst>
        </c:ser>
        <c:ser>
          <c:idx val="5"/>
          <c:order val="5"/>
          <c:tx>
            <c:strRef>
              <c:f>'CO2 - Todos Resultados'!$F$31</c:f>
              <c:strCache>
                <c:ptCount val="1"/>
                <c:pt idx="0">
                  <c:v>Biodigestão RT1C + CDR TM</c:v>
                </c:pt>
              </c:strCache>
            </c:strRef>
          </c:tx>
          <c:invertIfNegative val="0"/>
          <c:cat>
            <c:strRef>
              <c:f>'CO2 - Todos Resultados'!$B$32:$B$38</c:f>
              <c:strCache>
                <c:ptCount val="7"/>
                <c:pt idx="0">
                  <c:v>Débitos</c:v>
                </c:pt>
                <c:pt idx="1">
                  <c:v>Créditos</c:v>
                </c:pt>
                <c:pt idx="2">
                  <c:v>Débitos</c:v>
                </c:pt>
                <c:pt idx="3">
                  <c:v>Créditos</c:v>
                </c:pt>
                <c:pt idx="4">
                  <c:v>Débitos</c:v>
                </c:pt>
                <c:pt idx="5">
                  <c:v>Créditos</c:v>
                </c:pt>
                <c:pt idx="6">
                  <c:v>Líquido</c:v>
                </c:pt>
              </c:strCache>
            </c:strRef>
          </c:cat>
          <c:val>
            <c:numRef>
              <c:f>'CO2 - Todos Resultados'!$F$32:$F$38</c:f>
              <c:numCache>
                <c:formatCode>#,##0</c:formatCode>
                <c:ptCount val="7"/>
                <c:pt idx="0">
                  <c:v>1665.6439969728001</c:v>
                </c:pt>
                <c:pt idx="1">
                  <c:v>-5018.9513721984003</c:v>
                </c:pt>
                <c:pt idx="2">
                  <c:v>11165.396044475874</c:v>
                </c:pt>
                <c:pt idx="3">
                  <c:v>-6735.6898259584868</c:v>
                </c:pt>
                <c:pt idx="4">
                  <c:v>12831.040041448674</c:v>
                </c:pt>
                <c:pt idx="5">
                  <c:v>-11754.641198156887</c:v>
                </c:pt>
                <c:pt idx="6">
                  <c:v>1076.3988432917868</c:v>
                </c:pt>
              </c:numCache>
            </c:numRef>
          </c:val>
          <c:extLst>
            <c:ext xmlns:c16="http://schemas.microsoft.com/office/drawing/2014/chart" uri="{C3380CC4-5D6E-409C-BE32-E72D297353CC}">
              <c16:uniqueId val="{00000005-EFF3-45B1-926C-AD76AB48B24B}"/>
            </c:ext>
          </c:extLst>
        </c:ser>
        <c:dLbls>
          <c:showLegendKey val="0"/>
          <c:showVal val="0"/>
          <c:showCatName val="0"/>
          <c:showSerName val="0"/>
          <c:showPercent val="0"/>
          <c:showBubbleSize val="0"/>
        </c:dLbls>
        <c:gapWidth val="100"/>
        <c:axId val="198419968"/>
        <c:axId val="198421504"/>
      </c:barChart>
      <c:catAx>
        <c:axId val="198419968"/>
        <c:scaling>
          <c:orientation val="minMax"/>
        </c:scaling>
        <c:delete val="0"/>
        <c:axPos val="b"/>
        <c:numFmt formatCode="General" sourceLinked="1"/>
        <c:majorTickMark val="out"/>
        <c:minorTickMark val="none"/>
        <c:tickLblPos val="low"/>
        <c:spPr>
          <a:ln w="3175">
            <a:solidFill>
              <a:srgbClr val="000000"/>
            </a:solidFill>
            <a:prstDash val="solid"/>
          </a:ln>
        </c:spPr>
        <c:txPr>
          <a:bodyPr rot="0" vert="horz"/>
          <a:lstStyle/>
          <a:p>
            <a:pPr>
              <a:defRPr sz="1100" b="0" i="0" u="none" strike="noStrike" baseline="0">
                <a:solidFill>
                  <a:srgbClr val="000000"/>
                </a:solidFill>
                <a:latin typeface="Arial"/>
                <a:ea typeface="Arial"/>
                <a:cs typeface="Arial"/>
              </a:defRPr>
            </a:pPr>
            <a:endParaRPr lang="pt-BR"/>
          </a:p>
        </c:txPr>
        <c:crossAx val="198421504"/>
        <c:crosses val="autoZero"/>
        <c:auto val="1"/>
        <c:lblAlgn val="ctr"/>
        <c:lblOffset val="50"/>
        <c:tickLblSkip val="1"/>
        <c:tickMarkSkip val="1"/>
        <c:noMultiLvlLbl val="0"/>
      </c:catAx>
      <c:valAx>
        <c:axId val="198421504"/>
        <c:scaling>
          <c:orientation val="minMax"/>
        </c:scaling>
        <c:delete val="0"/>
        <c:axPos val="l"/>
        <c:majorGridlines>
          <c:spPr>
            <a:ln w="3175">
              <a:solidFill>
                <a:srgbClr val="000000"/>
              </a:solidFill>
              <a:prstDash val="solid"/>
            </a:ln>
          </c:spPr>
        </c:majorGridlines>
        <c:title>
          <c:tx>
            <c:rich>
              <a:bodyPr/>
              <a:lstStyle/>
              <a:p>
                <a:pPr>
                  <a:defRPr sz="975" b="1" i="0" u="none" strike="noStrike" baseline="0">
                    <a:solidFill>
                      <a:sysClr val="windowText" lastClr="000000"/>
                    </a:solidFill>
                    <a:latin typeface="Arial"/>
                    <a:ea typeface="Arial"/>
                    <a:cs typeface="Arial"/>
                  </a:defRPr>
                </a:pPr>
                <a:r>
                  <a:rPr lang="de-DE">
                    <a:solidFill>
                      <a:sysClr val="windowText" lastClr="000000"/>
                    </a:solidFill>
                  </a:rPr>
                  <a:t>tonelada CO2-eq / ano</a:t>
                </a:r>
              </a:p>
            </c:rich>
          </c:tx>
          <c:layout>
            <c:manualLayout>
              <c:xMode val="edge"/>
              <c:yMode val="edge"/>
              <c:x val="8.0350735525953534E-3"/>
              <c:y val="0.34938313727712356"/>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975" b="0" i="0" u="none" strike="noStrike" baseline="0">
                <a:solidFill>
                  <a:srgbClr val="000000"/>
                </a:solidFill>
                <a:latin typeface="Arial"/>
                <a:ea typeface="Arial"/>
                <a:cs typeface="Arial"/>
              </a:defRPr>
            </a:pPr>
            <a:endParaRPr lang="pt-BR"/>
          </a:p>
        </c:txPr>
        <c:crossAx val="198419968"/>
        <c:crosses val="autoZero"/>
        <c:crossBetween val="between"/>
      </c:valAx>
      <c:spPr>
        <a:noFill/>
        <a:ln w="3175">
          <a:solidFill>
            <a:srgbClr val="000000"/>
          </a:solidFill>
          <a:prstDash val="solid"/>
        </a:ln>
      </c:spPr>
    </c:plotArea>
    <c:legend>
      <c:legendPos val="r"/>
      <c:layout>
        <c:manualLayout>
          <c:xMode val="edge"/>
          <c:yMode val="edge"/>
          <c:x val="0.16710891181798773"/>
          <c:y val="0.51562028995302622"/>
          <c:w val="0.25666241998968564"/>
          <c:h val="0.31171503497505237"/>
        </c:manualLayout>
      </c:layout>
      <c:overlay val="0"/>
      <c:spPr>
        <a:solidFill>
          <a:srgbClr val="FFFFFF"/>
        </a:solidFill>
        <a:ln w="3175">
          <a:solidFill>
            <a:srgbClr val="000000"/>
          </a:solidFill>
          <a:prstDash val="solid"/>
        </a:ln>
      </c:spPr>
      <c:txPr>
        <a:bodyPr/>
        <a:lstStyle/>
        <a:p>
          <a:pPr>
            <a:defRPr sz="1200" b="0" i="0" u="none" strike="noStrike" baseline="0">
              <a:solidFill>
                <a:srgbClr val="000000"/>
              </a:solidFill>
              <a:latin typeface="Arial"/>
              <a:ea typeface="Arial"/>
              <a:cs typeface="Arial"/>
            </a:defRPr>
          </a:pPr>
          <a:endParaRPr lang="pt-BR"/>
        </a:p>
      </c:txPr>
    </c:legend>
    <c:plotVisOnly val="1"/>
    <c:dispBlanksAs val="gap"/>
    <c:showDLblsOverMax val="0"/>
  </c:chart>
  <c:spPr>
    <a:solidFill>
      <a:srgbClr val="FFFFFF"/>
    </a:solidFill>
    <a:ln w="25400">
      <a:solidFill>
        <a:srgbClr val="000000"/>
      </a:solidFill>
      <a:prstDash val="solid"/>
    </a:ln>
  </c:spPr>
  <c:txPr>
    <a:bodyPr/>
    <a:lstStyle/>
    <a:p>
      <a:pPr>
        <a:defRPr sz="1050" b="0" i="0" u="none" strike="noStrike" baseline="0">
          <a:solidFill>
            <a:srgbClr val="000000"/>
          </a:solidFill>
          <a:latin typeface="Arial"/>
          <a:ea typeface="Arial"/>
          <a:cs typeface="Arial"/>
        </a:defRPr>
      </a:pPr>
      <a:endParaRPr lang="pt-BR"/>
    </a:p>
  </c:txPr>
  <c:printSettings>
    <c:headerFooter alignWithMargins="0"/>
    <c:pageMargins b="0.98425196899999978" l="0.78740157499999996" r="0.78740157499999996" t="0.98425196899999978" header="0.49212598450000011" footer="0.49212598450000011"/>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75" b="1" i="0" u="none" strike="noStrike" baseline="0">
                <a:solidFill>
                  <a:srgbClr val="000000"/>
                </a:solidFill>
                <a:latin typeface="Arial"/>
                <a:ea typeface="Arial"/>
                <a:cs typeface="Arial"/>
              </a:defRPr>
            </a:pPr>
            <a:r>
              <a:rPr lang="de-DE"/>
              <a:t>Emissões de GEE</a:t>
            </a:r>
          </a:p>
        </c:rich>
      </c:tx>
      <c:layout>
        <c:manualLayout>
          <c:xMode val="edge"/>
          <c:yMode val="edge"/>
          <c:x val="0.41492841926731072"/>
          <c:y val="1.3513545938138102E-2"/>
        </c:manualLayout>
      </c:layout>
      <c:overlay val="0"/>
      <c:spPr>
        <a:noFill/>
        <a:ln w="25400">
          <a:noFill/>
        </a:ln>
      </c:spPr>
    </c:title>
    <c:autoTitleDeleted val="0"/>
    <c:plotArea>
      <c:layout>
        <c:manualLayout>
          <c:layoutTarget val="inner"/>
          <c:xMode val="edge"/>
          <c:yMode val="edge"/>
          <c:x val="0.15810618683880118"/>
          <c:y val="0.13144994685279796"/>
          <c:w val="0.81701572691319591"/>
          <c:h val="0.7604440850643166"/>
        </c:manualLayout>
      </c:layout>
      <c:barChart>
        <c:barDir val="col"/>
        <c:grouping val="clustered"/>
        <c:varyColors val="0"/>
        <c:ser>
          <c:idx val="0"/>
          <c:order val="0"/>
          <c:tx>
            <c:strRef>
              <c:f>'CO2 - Todos Resultados'!$B$36</c:f>
              <c:strCache>
                <c:ptCount val="1"/>
                <c:pt idx="0">
                  <c:v>Débitos</c:v>
                </c:pt>
              </c:strCache>
            </c:strRef>
          </c:tx>
          <c:spPr>
            <a:solidFill>
              <a:srgbClr val="FFCC99"/>
            </a:solidFill>
            <a:ln w="12700">
              <a:solidFill>
                <a:srgbClr val="000000"/>
              </a:solidFill>
              <a:prstDash val="solid"/>
            </a:ln>
          </c:spPr>
          <c:invertIfNegative val="0"/>
          <c:cat>
            <c:strRef>
              <c:f>'CO2 - Todos Resultados'!$C$31:$I$31</c:f>
              <c:strCache>
                <c:ptCount val="7"/>
                <c:pt idx="0">
                  <c:v>Cenário-Base</c:v>
                </c:pt>
                <c:pt idx="1">
                  <c:v>Biodigestão RT1A + CDR TM</c:v>
                </c:pt>
                <c:pt idx="2">
                  <c:v>Biodigestão RT1B + CDR TM</c:v>
                </c:pt>
                <c:pt idx="3">
                  <c:v>Biodigestão RT1C + CDR TM</c:v>
                </c:pt>
                <c:pt idx="4">
                  <c:v>Compostagem + CDR TM</c:v>
                </c:pt>
                <c:pt idx="5">
                  <c:v>Biosecagem + CDR TMB </c:v>
                </c:pt>
                <c:pt idx="6">
                  <c:v>Incineração Mass Burning</c:v>
                </c:pt>
              </c:strCache>
            </c:strRef>
          </c:cat>
          <c:val>
            <c:numRef>
              <c:f>'CO2 - Todos Resultados'!$C$36:$I$36</c:f>
              <c:numCache>
                <c:formatCode>#,##0</c:formatCode>
                <c:ptCount val="7"/>
                <c:pt idx="0">
                  <c:v>26925.422360509579</c:v>
                </c:pt>
                <c:pt idx="1">
                  <c:v>12886.576660957566</c:v>
                </c:pt>
                <c:pt idx="2">
                  <c:v>12886.576660957566</c:v>
                </c:pt>
                <c:pt idx="3">
                  <c:v>12831.040041448674</c:v>
                </c:pt>
                <c:pt idx="4">
                  <c:v>11243.349935968869</c:v>
                </c:pt>
                <c:pt idx="5">
                  <c:v>12266.923086901197</c:v>
                </c:pt>
                <c:pt idx="6">
                  <c:v>12072.823753529488</c:v>
                </c:pt>
              </c:numCache>
            </c:numRef>
          </c:val>
          <c:extLst>
            <c:ext xmlns:c16="http://schemas.microsoft.com/office/drawing/2014/chart" uri="{C3380CC4-5D6E-409C-BE32-E72D297353CC}">
              <c16:uniqueId val="{00000000-BE15-4A4B-BCEC-16AD575209B0}"/>
            </c:ext>
          </c:extLst>
        </c:ser>
        <c:ser>
          <c:idx val="1"/>
          <c:order val="1"/>
          <c:tx>
            <c:strRef>
              <c:f>'CO2 - Todos Resultados'!$B$37</c:f>
              <c:strCache>
                <c:ptCount val="1"/>
                <c:pt idx="0">
                  <c:v>Créditos</c:v>
                </c:pt>
              </c:strCache>
            </c:strRef>
          </c:tx>
          <c:spPr>
            <a:pattFill prst="wdUpDiag">
              <a:fgClr>
                <a:srgbClr val="FF99CC"/>
              </a:fgClr>
              <a:bgClr>
                <a:srgbClr val="800080"/>
              </a:bgClr>
            </a:pattFill>
            <a:ln w="12700">
              <a:solidFill>
                <a:srgbClr val="000000"/>
              </a:solidFill>
              <a:prstDash val="solid"/>
            </a:ln>
          </c:spPr>
          <c:invertIfNegative val="0"/>
          <c:cat>
            <c:strRef>
              <c:f>'CO2 - Todos Resultados'!$C$31:$I$31</c:f>
              <c:strCache>
                <c:ptCount val="7"/>
                <c:pt idx="0">
                  <c:v>Cenário-Base</c:v>
                </c:pt>
                <c:pt idx="1">
                  <c:v>Biodigestão RT1A + CDR TM</c:v>
                </c:pt>
                <c:pt idx="2">
                  <c:v>Biodigestão RT1B + CDR TM</c:v>
                </c:pt>
                <c:pt idx="3">
                  <c:v>Biodigestão RT1C + CDR TM</c:v>
                </c:pt>
                <c:pt idx="4">
                  <c:v>Compostagem + CDR TM</c:v>
                </c:pt>
                <c:pt idx="5">
                  <c:v>Biosecagem + CDR TMB </c:v>
                </c:pt>
                <c:pt idx="6">
                  <c:v>Incineração Mass Burning</c:v>
                </c:pt>
              </c:strCache>
            </c:strRef>
          </c:cat>
          <c:val>
            <c:numRef>
              <c:f>'CO2 - Todos Resultados'!$C$37:$I$37</c:f>
              <c:numCache>
                <c:formatCode>#,##0</c:formatCode>
                <c:ptCount val="7"/>
                <c:pt idx="0">
                  <c:v>-1514.9071828799999</c:v>
                </c:pt>
                <c:pt idx="1">
                  <c:v>-11825.640938150267</c:v>
                </c:pt>
                <c:pt idx="2">
                  <c:v>-12809.815199639535</c:v>
                </c:pt>
                <c:pt idx="3">
                  <c:v>-11754.641198156887</c:v>
                </c:pt>
                <c:pt idx="4">
                  <c:v>-5018.9513721984003</c:v>
                </c:pt>
                <c:pt idx="5">
                  <c:v>-17761.017083044513</c:v>
                </c:pt>
                <c:pt idx="6">
                  <c:v>-5462.1954212724413</c:v>
                </c:pt>
              </c:numCache>
            </c:numRef>
          </c:val>
          <c:extLst>
            <c:ext xmlns:c16="http://schemas.microsoft.com/office/drawing/2014/chart" uri="{C3380CC4-5D6E-409C-BE32-E72D297353CC}">
              <c16:uniqueId val="{00000001-BE15-4A4B-BCEC-16AD575209B0}"/>
            </c:ext>
          </c:extLst>
        </c:ser>
        <c:ser>
          <c:idx val="2"/>
          <c:order val="2"/>
          <c:tx>
            <c:strRef>
              <c:f>'CO2 - Todos Resultados'!$B$38</c:f>
              <c:strCache>
                <c:ptCount val="1"/>
                <c:pt idx="0">
                  <c:v>Líquido</c:v>
                </c:pt>
              </c:strCache>
            </c:strRef>
          </c:tx>
          <c:spPr>
            <a:solidFill>
              <a:srgbClr val="0000FF"/>
            </a:solidFill>
            <a:ln w="12700">
              <a:solidFill>
                <a:srgbClr val="000000"/>
              </a:solidFill>
              <a:prstDash val="solid"/>
            </a:ln>
          </c:spPr>
          <c:invertIfNegative val="0"/>
          <c:cat>
            <c:strRef>
              <c:f>'CO2 - Todos Resultados'!$C$31:$I$31</c:f>
              <c:strCache>
                <c:ptCount val="7"/>
                <c:pt idx="0">
                  <c:v>Cenário-Base</c:v>
                </c:pt>
                <c:pt idx="1">
                  <c:v>Biodigestão RT1A + CDR TM</c:v>
                </c:pt>
                <c:pt idx="2">
                  <c:v>Biodigestão RT1B + CDR TM</c:v>
                </c:pt>
                <c:pt idx="3">
                  <c:v>Biodigestão RT1C + CDR TM</c:v>
                </c:pt>
                <c:pt idx="4">
                  <c:v>Compostagem + CDR TM</c:v>
                </c:pt>
                <c:pt idx="5">
                  <c:v>Biosecagem + CDR TMB </c:v>
                </c:pt>
                <c:pt idx="6">
                  <c:v>Incineração Mass Burning</c:v>
                </c:pt>
              </c:strCache>
            </c:strRef>
          </c:cat>
          <c:val>
            <c:numRef>
              <c:f>'CO2 - Todos Resultados'!$C$38:$I$38</c:f>
              <c:numCache>
                <c:formatCode>#,##0</c:formatCode>
                <c:ptCount val="7"/>
                <c:pt idx="0">
                  <c:v>25410.515177629579</c:v>
                </c:pt>
                <c:pt idx="1">
                  <c:v>1060.9357228072986</c:v>
                </c:pt>
                <c:pt idx="2">
                  <c:v>76.761461318030342</c:v>
                </c:pt>
                <c:pt idx="3">
                  <c:v>1076.3988432917868</c:v>
                </c:pt>
                <c:pt idx="4">
                  <c:v>6224.3985637704682</c:v>
                </c:pt>
                <c:pt idx="5">
                  <c:v>-5494.093996143316</c:v>
                </c:pt>
                <c:pt idx="6">
                  <c:v>6610.6283322570471</c:v>
                </c:pt>
              </c:numCache>
            </c:numRef>
          </c:val>
          <c:extLst>
            <c:ext xmlns:c16="http://schemas.microsoft.com/office/drawing/2014/chart" uri="{C3380CC4-5D6E-409C-BE32-E72D297353CC}">
              <c16:uniqueId val="{00000002-BE15-4A4B-BCEC-16AD575209B0}"/>
            </c:ext>
          </c:extLst>
        </c:ser>
        <c:dLbls>
          <c:showLegendKey val="0"/>
          <c:showVal val="0"/>
          <c:showCatName val="0"/>
          <c:showSerName val="0"/>
          <c:showPercent val="0"/>
          <c:showBubbleSize val="0"/>
        </c:dLbls>
        <c:gapWidth val="100"/>
        <c:axId val="198473984"/>
        <c:axId val="198492160"/>
      </c:barChart>
      <c:catAx>
        <c:axId val="198473984"/>
        <c:scaling>
          <c:orientation val="minMax"/>
        </c:scaling>
        <c:delete val="0"/>
        <c:axPos val="b"/>
        <c:numFmt formatCode="General" sourceLinked="1"/>
        <c:majorTickMark val="out"/>
        <c:minorTickMark val="none"/>
        <c:tickLblPos val="low"/>
        <c:spPr>
          <a:ln w="3175">
            <a:solidFill>
              <a:srgbClr val="000000"/>
            </a:solidFill>
            <a:prstDash val="solid"/>
          </a:ln>
        </c:spPr>
        <c:txPr>
          <a:bodyPr rot="0" vert="horz"/>
          <a:lstStyle/>
          <a:p>
            <a:pPr>
              <a:defRPr sz="1100" b="0" i="0" u="none" strike="noStrike" baseline="0">
                <a:solidFill>
                  <a:srgbClr val="000000"/>
                </a:solidFill>
                <a:latin typeface="Arial"/>
                <a:ea typeface="Arial"/>
                <a:cs typeface="Arial"/>
              </a:defRPr>
            </a:pPr>
            <a:endParaRPr lang="pt-BR"/>
          </a:p>
        </c:txPr>
        <c:crossAx val="198492160"/>
        <c:crosses val="autoZero"/>
        <c:auto val="1"/>
        <c:lblAlgn val="ctr"/>
        <c:lblOffset val="50"/>
        <c:tickLblSkip val="1"/>
        <c:tickMarkSkip val="1"/>
        <c:noMultiLvlLbl val="0"/>
      </c:catAx>
      <c:valAx>
        <c:axId val="198492160"/>
        <c:scaling>
          <c:orientation val="minMax"/>
        </c:scaling>
        <c:delete val="0"/>
        <c:axPos val="l"/>
        <c:majorGridlines>
          <c:spPr>
            <a:ln w="3175">
              <a:solidFill>
                <a:srgbClr val="000000"/>
              </a:solidFill>
              <a:prstDash val="solid"/>
            </a:ln>
          </c:spPr>
        </c:majorGridlines>
        <c:title>
          <c:tx>
            <c:rich>
              <a:bodyPr/>
              <a:lstStyle/>
              <a:p>
                <a:pPr>
                  <a:defRPr sz="975" b="1" i="0" u="none" strike="noStrike" baseline="0">
                    <a:solidFill>
                      <a:sysClr val="windowText" lastClr="000000"/>
                    </a:solidFill>
                    <a:latin typeface="Arial"/>
                    <a:ea typeface="Arial"/>
                    <a:cs typeface="Arial"/>
                  </a:defRPr>
                </a:pPr>
                <a:r>
                  <a:rPr lang="de-DE">
                    <a:solidFill>
                      <a:sysClr val="windowText" lastClr="000000"/>
                    </a:solidFill>
                  </a:rPr>
                  <a:t>tonelada CO2-eq / ano</a:t>
                </a:r>
              </a:p>
            </c:rich>
          </c:tx>
          <c:layout>
            <c:manualLayout>
              <c:xMode val="edge"/>
              <c:yMode val="edge"/>
              <c:x val="8.8282642397300142E-3"/>
              <c:y val="0.37592227791547828"/>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975" b="0" i="0" u="none" strike="noStrike" baseline="0">
                <a:solidFill>
                  <a:srgbClr val="000000"/>
                </a:solidFill>
                <a:latin typeface="Arial"/>
                <a:ea typeface="Arial"/>
                <a:cs typeface="Arial"/>
              </a:defRPr>
            </a:pPr>
            <a:endParaRPr lang="pt-BR"/>
          </a:p>
        </c:txPr>
        <c:crossAx val="198473984"/>
        <c:crosses val="autoZero"/>
        <c:crossBetween val="between"/>
      </c:valAx>
      <c:spPr>
        <a:noFill/>
        <a:ln w="3175">
          <a:solidFill>
            <a:srgbClr val="000000"/>
          </a:solidFill>
          <a:prstDash val="solid"/>
        </a:ln>
      </c:spPr>
    </c:plotArea>
    <c:legend>
      <c:legendPos val="r"/>
      <c:layout>
        <c:manualLayout>
          <c:xMode val="edge"/>
          <c:yMode val="edge"/>
          <c:x val="0.65273857200968755"/>
          <c:y val="6.0196947126081014E-2"/>
          <c:w val="0.2603178083898145"/>
          <c:h val="0.18181861807676716"/>
        </c:manualLayout>
      </c:layout>
      <c:overlay val="0"/>
      <c:spPr>
        <a:solidFill>
          <a:srgbClr val="FFFFFF"/>
        </a:solidFill>
        <a:ln w="3175">
          <a:solidFill>
            <a:srgbClr val="000000"/>
          </a:solidFill>
          <a:prstDash val="solid"/>
        </a:ln>
      </c:spPr>
      <c:txPr>
        <a:bodyPr/>
        <a:lstStyle/>
        <a:p>
          <a:pPr>
            <a:defRPr sz="1400" b="0" i="0" u="none" strike="noStrike" baseline="0">
              <a:solidFill>
                <a:srgbClr val="000000"/>
              </a:solidFill>
              <a:latin typeface="Arial"/>
              <a:ea typeface="Arial"/>
              <a:cs typeface="Arial"/>
            </a:defRPr>
          </a:pPr>
          <a:endParaRPr lang="pt-BR"/>
        </a:p>
      </c:txPr>
    </c:legend>
    <c:plotVisOnly val="1"/>
    <c:dispBlanksAs val="gap"/>
    <c:showDLblsOverMax val="0"/>
  </c:chart>
  <c:spPr>
    <a:solidFill>
      <a:srgbClr val="FFFFFF"/>
    </a:solidFill>
    <a:ln w="25400">
      <a:solidFill>
        <a:srgbClr val="000000"/>
      </a:solidFill>
      <a:prstDash val="solid"/>
    </a:ln>
  </c:spPr>
  <c:txPr>
    <a:bodyPr/>
    <a:lstStyle/>
    <a:p>
      <a:pPr>
        <a:defRPr sz="950" b="0" i="0" u="none" strike="noStrike" baseline="0">
          <a:solidFill>
            <a:srgbClr val="000000"/>
          </a:solidFill>
          <a:latin typeface="Arial"/>
          <a:ea typeface="Arial"/>
          <a:cs typeface="Arial"/>
        </a:defRPr>
      </a:pPr>
      <a:endParaRPr lang="pt-BR"/>
    </a:p>
  </c:txPr>
  <c:printSettings>
    <c:headerFooter alignWithMargins="0"/>
    <c:pageMargins b="0.98425196899999978" l="0.78740157499999996" r="0.78740157499999996" t="0.98425196899999978" header="0.49212598450000011" footer="0.49212598450000011"/>
    <c:pageSetup/>
  </c:printSettings>
</c:chartSpace>
</file>

<file path=xl/drawings/_rels/drawing1.xml.rels><?xml version="1.0" encoding="UTF-8" standalone="yes"?>
<Relationships xmlns="http://schemas.openxmlformats.org/package/2006/relationships"><Relationship Id="rId2" Type="http://schemas.openxmlformats.org/officeDocument/2006/relationships/image" Target="../media/image2.jp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1.xml"/></Relationships>
</file>

<file path=xl/drawings/_rels/drawing8.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2.xml"/></Relationships>
</file>

<file path=xl/drawings/_rels/drawing10.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4.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5.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6.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7.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1.png"/><Relationship Id="rId1" Type="http://schemas.openxmlformats.org/officeDocument/2006/relationships/image" Target="../media/image4.png"/></Relationships>
</file>

<file path=xl/drawings/_rels/drawing18.xml.rels><?xml version="1.0" encoding="UTF-8" standalone="yes"?>
<Relationships xmlns="http://schemas.openxmlformats.org/package/2006/relationships"><Relationship Id="rId2" Type="http://schemas.openxmlformats.org/officeDocument/2006/relationships/image" Target="../media/image6.png"/><Relationship Id="rId1" Type="http://schemas.openxmlformats.org/officeDocument/2006/relationships/image" Target="../media/image5.jpg"/></Relationships>
</file>

<file path=xl/drawings/_rels/drawing19.xml.rels><?xml version="1.0" encoding="UTF-8" standalone="yes"?>
<Relationships xmlns="http://schemas.openxmlformats.org/package/2006/relationships"><Relationship Id="rId1" Type="http://schemas.openxmlformats.org/officeDocument/2006/relationships/image" Target="../media/image7.png"/></Relationships>
</file>

<file path=xl/drawings/_rels/drawing20.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chart" Target="../charts/chart4.xml"/><Relationship Id="rId1" Type="http://schemas.openxmlformats.org/officeDocument/2006/relationships/chart" Target="../charts/chart3.xml"/><Relationship Id="rId4" Type="http://schemas.openxmlformats.org/officeDocument/2006/relationships/chart" Target="../charts/chart6.xml"/></Relationships>
</file>

<file path=xl/drawings/_rels/drawing21.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 Id="rId4" Type="http://schemas.openxmlformats.org/officeDocument/2006/relationships/chart" Target="../charts/chart10.xml"/></Relationships>
</file>

<file path=xl/drawings/_rels/drawing22.xml.rels><?xml version="1.0" encoding="UTF-8" standalone="yes"?>
<Relationships xmlns="http://schemas.openxmlformats.org/package/2006/relationships"><Relationship Id="rId3" Type="http://schemas.openxmlformats.org/officeDocument/2006/relationships/chart" Target="../charts/chart13.xml"/><Relationship Id="rId2" Type="http://schemas.openxmlformats.org/officeDocument/2006/relationships/chart" Target="../charts/chart12.xml"/><Relationship Id="rId1" Type="http://schemas.openxmlformats.org/officeDocument/2006/relationships/chart" Target="../charts/chart11.xml"/><Relationship Id="rId4" Type="http://schemas.openxmlformats.org/officeDocument/2006/relationships/chart" Target="../charts/chart14.xml"/></Relationships>
</file>

<file path=xl/drawings/_rels/drawing23.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4" Type="http://schemas.openxmlformats.org/officeDocument/2006/relationships/chart" Target="../charts/chart18.xml"/></Relationships>
</file>

<file path=xl/drawings/_rels/drawing24.xml.rels><?xml version="1.0" encoding="UTF-8" standalone="yes"?>
<Relationships xmlns="http://schemas.openxmlformats.org/package/2006/relationships"><Relationship Id="rId3" Type="http://schemas.openxmlformats.org/officeDocument/2006/relationships/chart" Target="../charts/chart21.xml"/><Relationship Id="rId2" Type="http://schemas.openxmlformats.org/officeDocument/2006/relationships/chart" Target="../charts/chart20.xml"/><Relationship Id="rId1" Type="http://schemas.openxmlformats.org/officeDocument/2006/relationships/chart" Target="../charts/chart19.xml"/><Relationship Id="rId4" Type="http://schemas.openxmlformats.org/officeDocument/2006/relationships/chart" Target="../charts/chart22.xml"/></Relationships>
</file>

<file path=xl/drawings/_rels/drawing25.xml.rels><?xml version="1.0" encoding="UTF-8" standalone="yes"?>
<Relationships xmlns="http://schemas.openxmlformats.org/package/2006/relationships"><Relationship Id="rId3" Type="http://schemas.openxmlformats.org/officeDocument/2006/relationships/chart" Target="../charts/chart25.xml"/><Relationship Id="rId2" Type="http://schemas.openxmlformats.org/officeDocument/2006/relationships/chart" Target="../charts/chart24.xml"/><Relationship Id="rId1" Type="http://schemas.openxmlformats.org/officeDocument/2006/relationships/chart" Target="../charts/chart23.xml"/><Relationship Id="rId4" Type="http://schemas.openxmlformats.org/officeDocument/2006/relationships/chart" Target="../charts/chart26.xml"/></Relationships>
</file>

<file path=xl/drawings/_rels/drawing26.xml.rels><?xml version="1.0" encoding="UTF-8" standalone="yes"?>
<Relationships xmlns="http://schemas.openxmlformats.org/package/2006/relationships"><Relationship Id="rId3" Type="http://schemas.openxmlformats.org/officeDocument/2006/relationships/chart" Target="../charts/chart29.xml"/><Relationship Id="rId2" Type="http://schemas.openxmlformats.org/officeDocument/2006/relationships/chart" Target="../charts/chart28.xml"/><Relationship Id="rId1" Type="http://schemas.openxmlformats.org/officeDocument/2006/relationships/chart" Target="../charts/chart27.xml"/><Relationship Id="rId4" Type="http://schemas.openxmlformats.org/officeDocument/2006/relationships/chart" Target="../charts/chart30.xml"/></Relationships>
</file>

<file path=xl/drawings/_rels/drawing27.xml.rels><?xml version="1.0" encoding="UTF-8" standalone="yes"?>
<Relationships xmlns="http://schemas.openxmlformats.org/package/2006/relationships"><Relationship Id="rId3" Type="http://schemas.openxmlformats.org/officeDocument/2006/relationships/chart" Target="../charts/chart33.xml"/><Relationship Id="rId2" Type="http://schemas.openxmlformats.org/officeDocument/2006/relationships/chart" Target="../charts/chart32.xml"/><Relationship Id="rId1" Type="http://schemas.openxmlformats.org/officeDocument/2006/relationships/chart" Target="../charts/chart31.xml"/><Relationship Id="rId4" Type="http://schemas.openxmlformats.org/officeDocument/2006/relationships/chart" Target="../charts/chart34.xml"/></Relationships>
</file>

<file path=xl/drawings/_rels/drawing28.xml.rels><?xml version="1.0" encoding="UTF-8" standalone="yes"?>
<Relationships xmlns="http://schemas.openxmlformats.org/package/2006/relationships"><Relationship Id="rId3" Type="http://schemas.openxmlformats.org/officeDocument/2006/relationships/chart" Target="../charts/chart37.xml"/><Relationship Id="rId2" Type="http://schemas.openxmlformats.org/officeDocument/2006/relationships/chart" Target="../charts/chart36.xml"/><Relationship Id="rId1" Type="http://schemas.openxmlformats.org/officeDocument/2006/relationships/chart" Target="../charts/chart35.xml"/></Relationships>
</file>

<file path=xl/drawings/drawing1.xml><?xml version="1.0" encoding="utf-8"?>
<xdr:wsDr xmlns:xdr="http://schemas.openxmlformats.org/drawingml/2006/spreadsheetDrawing" xmlns:a="http://schemas.openxmlformats.org/drawingml/2006/main">
  <xdr:oneCellAnchor>
    <xdr:from>
      <xdr:col>13</xdr:col>
      <xdr:colOff>321530</xdr:colOff>
      <xdr:row>0</xdr:row>
      <xdr:rowOff>95250</xdr:rowOff>
    </xdr:from>
    <xdr:ext cx="3161933" cy="869950"/>
    <xdr:pic>
      <xdr:nvPicPr>
        <xdr:cNvPr id="2" name="image1.png">
          <a:extLst>
            <a:ext uri="{FF2B5EF4-FFF2-40B4-BE49-F238E27FC236}">
              <a16:creationId xmlns:a16="http://schemas.microsoft.com/office/drawing/2014/main" id="{00000000-0008-0000-0000-000002000000}"/>
            </a:ext>
          </a:extLst>
        </xdr:cNvPr>
        <xdr:cNvPicPr preferRelativeResize="0"/>
      </xdr:nvPicPr>
      <xdr:blipFill>
        <a:blip xmlns:r="http://schemas.openxmlformats.org/officeDocument/2006/relationships" r:embed="rId1" cstate="print"/>
        <a:stretch>
          <a:fillRect/>
        </a:stretch>
      </xdr:blipFill>
      <xdr:spPr>
        <a:xfrm>
          <a:off x="11307030" y="95250"/>
          <a:ext cx="3161933" cy="869950"/>
        </a:xfrm>
        <a:prstGeom prst="rect">
          <a:avLst/>
        </a:prstGeom>
        <a:noFill/>
      </xdr:spPr>
    </xdr:pic>
    <xdr:clientData fLocksWithSheet="0"/>
  </xdr:oneCellAnchor>
  <xdr:twoCellAnchor editAs="oneCell">
    <xdr:from>
      <xdr:col>0</xdr:col>
      <xdr:colOff>241299</xdr:colOff>
      <xdr:row>4</xdr:row>
      <xdr:rowOff>152400</xdr:rowOff>
    </xdr:from>
    <xdr:to>
      <xdr:col>7</xdr:col>
      <xdr:colOff>93978</xdr:colOff>
      <xdr:row>21</xdr:row>
      <xdr:rowOff>165100</xdr:rowOff>
    </xdr:to>
    <xdr:pic>
      <xdr:nvPicPr>
        <xdr:cNvPr id="5" name="Imagem 4">
          <a:extLst>
            <a:ext uri="{FF2B5EF4-FFF2-40B4-BE49-F238E27FC236}">
              <a16:creationId xmlns:a16="http://schemas.microsoft.com/office/drawing/2014/main" id="{615AECBE-423E-0640-84BB-EF388F2B4D61}"/>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41299" y="1727200"/>
          <a:ext cx="6990079" cy="43688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oneCellAnchor>
    <xdr:from>
      <xdr:col>10</xdr:col>
      <xdr:colOff>1778000</xdr:colOff>
      <xdr:row>0</xdr:row>
      <xdr:rowOff>19050</xdr:rowOff>
    </xdr:from>
    <xdr:ext cx="2225999" cy="565150"/>
    <xdr:pic>
      <xdr:nvPicPr>
        <xdr:cNvPr id="3" name="image4.png">
          <a:extLst>
            <a:ext uri="{FF2B5EF4-FFF2-40B4-BE49-F238E27FC236}">
              <a16:creationId xmlns:a16="http://schemas.microsoft.com/office/drawing/2014/main" id="{00000000-0008-0000-0100-000003000000}"/>
            </a:ext>
          </a:extLst>
        </xdr:cNvPr>
        <xdr:cNvPicPr preferRelativeResize="0"/>
      </xdr:nvPicPr>
      <xdr:blipFill>
        <a:blip xmlns:r="http://schemas.openxmlformats.org/officeDocument/2006/relationships" r:embed="rId1" cstate="print"/>
        <a:stretch>
          <a:fillRect/>
        </a:stretch>
      </xdr:blipFill>
      <xdr:spPr>
        <a:xfrm>
          <a:off x="11950700" y="19050"/>
          <a:ext cx="2225999" cy="565150"/>
        </a:xfrm>
        <a:prstGeom prst="rect">
          <a:avLst/>
        </a:prstGeom>
        <a:noFill/>
      </xdr:spPr>
    </xdr:pic>
    <xdr:clientData fLocksWithSheet="0"/>
  </xdr:oneCellAnchor>
</xdr:wsDr>
</file>

<file path=xl/drawings/drawing3.xml><?xml version="1.0" encoding="utf-8"?>
<xdr:wsDr xmlns:xdr="http://schemas.openxmlformats.org/drawingml/2006/spreadsheetDrawing" xmlns:a="http://schemas.openxmlformats.org/drawingml/2006/main">
  <xdr:oneCellAnchor>
    <xdr:from>
      <xdr:col>13</xdr:col>
      <xdr:colOff>14968</xdr:colOff>
      <xdr:row>1</xdr:row>
      <xdr:rowOff>34018</xdr:rowOff>
    </xdr:from>
    <xdr:ext cx="1809750" cy="476250"/>
    <xdr:pic>
      <xdr:nvPicPr>
        <xdr:cNvPr id="3" name="image6.png">
          <a:extLst>
            <a:ext uri="{FF2B5EF4-FFF2-40B4-BE49-F238E27FC236}">
              <a16:creationId xmlns:a16="http://schemas.microsoft.com/office/drawing/2014/main" id="{00000000-0008-0000-0200-000003000000}"/>
            </a:ext>
          </a:extLst>
        </xdr:cNvPr>
        <xdr:cNvPicPr preferRelativeResize="0"/>
      </xdr:nvPicPr>
      <xdr:blipFill>
        <a:blip xmlns:r="http://schemas.openxmlformats.org/officeDocument/2006/relationships" r:embed="rId1" cstate="print"/>
        <a:stretch>
          <a:fillRect/>
        </a:stretch>
      </xdr:blipFill>
      <xdr:spPr>
        <a:xfrm>
          <a:off x="12783911" y="197304"/>
          <a:ext cx="1809750" cy="476250"/>
        </a:xfrm>
        <a:prstGeom prst="rect">
          <a:avLst/>
        </a:prstGeom>
        <a:noFill/>
      </xdr:spPr>
    </xdr:pic>
    <xdr:clientData fLocksWithSheet="0"/>
  </xdr:oneCellAnchor>
</xdr:wsDr>
</file>

<file path=xl/drawings/drawing4.xml><?xml version="1.0" encoding="utf-8"?>
<xdr:wsDr xmlns:xdr="http://schemas.openxmlformats.org/drawingml/2006/spreadsheetDrawing" xmlns:a="http://schemas.openxmlformats.org/drawingml/2006/main">
  <xdr:oneCellAnchor>
    <xdr:from>
      <xdr:col>13</xdr:col>
      <xdr:colOff>29936</xdr:colOff>
      <xdr:row>0</xdr:row>
      <xdr:rowOff>113846</xdr:rowOff>
    </xdr:from>
    <xdr:ext cx="1838325" cy="514350"/>
    <xdr:pic>
      <xdr:nvPicPr>
        <xdr:cNvPr id="2" name="image7.png">
          <a:extLst>
            <a:ext uri="{FF2B5EF4-FFF2-40B4-BE49-F238E27FC236}">
              <a16:creationId xmlns:a16="http://schemas.microsoft.com/office/drawing/2014/main" id="{00000000-0008-0000-0300-000002000000}"/>
            </a:ext>
          </a:extLst>
        </xdr:cNvPr>
        <xdr:cNvPicPr preferRelativeResize="0"/>
      </xdr:nvPicPr>
      <xdr:blipFill>
        <a:blip xmlns:r="http://schemas.openxmlformats.org/officeDocument/2006/relationships" r:embed="rId1" cstate="print"/>
        <a:stretch>
          <a:fillRect/>
        </a:stretch>
      </xdr:blipFill>
      <xdr:spPr>
        <a:xfrm>
          <a:off x="12475936" y="113846"/>
          <a:ext cx="1838325" cy="514350"/>
        </a:xfrm>
        <a:prstGeom prst="rect">
          <a:avLst/>
        </a:prstGeom>
        <a:noFill/>
      </xdr:spPr>
    </xdr:pic>
    <xdr:clientData fLocksWithSheet="0"/>
  </xdr:oneCellAnchor>
</xdr:wsDr>
</file>

<file path=xl/drawings/drawing5.xml><?xml version="1.0" encoding="utf-8"?>
<xdr:wsDr xmlns:xdr="http://schemas.openxmlformats.org/drawingml/2006/spreadsheetDrawing" xmlns:a="http://schemas.openxmlformats.org/drawingml/2006/main">
  <xdr:oneCellAnchor>
    <xdr:from>
      <xdr:col>12</xdr:col>
      <xdr:colOff>186459</xdr:colOff>
      <xdr:row>42</xdr:row>
      <xdr:rowOff>104775</xdr:rowOff>
    </xdr:from>
    <xdr:ext cx="1489941" cy="17110"/>
    <xdr:cxnSp macro="">
      <xdr:nvCxnSpPr>
        <xdr:cNvPr id="14" name="Conector reto 13">
          <a:extLst>
            <a:ext uri="{FF2B5EF4-FFF2-40B4-BE49-F238E27FC236}">
              <a16:creationId xmlns:a16="http://schemas.microsoft.com/office/drawing/2014/main" id="{00000000-0008-0000-0400-00000E000000}"/>
            </a:ext>
          </a:extLst>
        </xdr:cNvPr>
        <xdr:cNvCxnSpPr/>
      </xdr:nvCxnSpPr>
      <xdr:spPr>
        <a:xfrm flipV="1">
          <a:off x="3043959" y="5686425"/>
          <a:ext cx="1489941" cy="1711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19</xdr:col>
      <xdr:colOff>281448</xdr:colOff>
      <xdr:row>29</xdr:row>
      <xdr:rowOff>21208</xdr:rowOff>
    </xdr:from>
    <xdr:ext cx="0" cy="311727"/>
    <xdr:cxnSp macro="">
      <xdr:nvCxnSpPr>
        <xdr:cNvPr id="52" name="Conector reto 51">
          <a:extLst>
            <a:ext uri="{FF2B5EF4-FFF2-40B4-BE49-F238E27FC236}">
              <a16:creationId xmlns:a16="http://schemas.microsoft.com/office/drawing/2014/main" id="{00000000-0008-0000-0400-000034000000}"/>
            </a:ext>
          </a:extLst>
        </xdr:cNvPr>
        <xdr:cNvCxnSpPr/>
      </xdr:nvCxnSpPr>
      <xdr:spPr>
        <a:xfrm>
          <a:off x="4737031" y="3859430"/>
          <a:ext cx="0" cy="311727"/>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9</xdr:col>
      <xdr:colOff>106716</xdr:colOff>
      <xdr:row>15</xdr:row>
      <xdr:rowOff>9137</xdr:rowOff>
    </xdr:from>
    <xdr:ext cx="440" cy="1141801"/>
    <xdr:cxnSp macro="">
      <xdr:nvCxnSpPr>
        <xdr:cNvPr id="2" name="Conector reto 1">
          <a:extLst>
            <a:ext uri="{FF2B5EF4-FFF2-40B4-BE49-F238E27FC236}">
              <a16:creationId xmlns:a16="http://schemas.microsoft.com/office/drawing/2014/main" id="{00000000-0008-0000-0400-000002000000}"/>
            </a:ext>
          </a:extLst>
        </xdr:cNvPr>
        <xdr:cNvCxnSpPr/>
      </xdr:nvCxnSpPr>
      <xdr:spPr>
        <a:xfrm>
          <a:off x="2507810" y="1945887"/>
          <a:ext cx="440" cy="1141801"/>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295279</xdr:colOff>
      <xdr:row>11</xdr:row>
      <xdr:rowOff>0</xdr:rowOff>
    </xdr:from>
    <xdr:ext cx="14284" cy="5024438"/>
    <xdr:cxnSp macro="">
      <xdr:nvCxnSpPr>
        <xdr:cNvPr id="3" name="Conector reto 2">
          <a:extLst>
            <a:ext uri="{FF2B5EF4-FFF2-40B4-BE49-F238E27FC236}">
              <a16:creationId xmlns:a16="http://schemas.microsoft.com/office/drawing/2014/main" id="{00000000-0008-0000-0400-000003000000}"/>
            </a:ext>
          </a:extLst>
        </xdr:cNvPr>
        <xdr:cNvCxnSpPr/>
      </xdr:nvCxnSpPr>
      <xdr:spPr>
        <a:xfrm>
          <a:off x="454029" y="1428750"/>
          <a:ext cx="14284" cy="5024438"/>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13</xdr:col>
      <xdr:colOff>0</xdr:colOff>
      <xdr:row>24</xdr:row>
      <xdr:rowOff>98136</xdr:rowOff>
    </xdr:from>
    <xdr:ext cx="1152991" cy="4441"/>
    <xdr:cxnSp macro="">
      <xdr:nvCxnSpPr>
        <xdr:cNvPr id="4" name="Conector reto 3">
          <a:extLst>
            <a:ext uri="{FF2B5EF4-FFF2-40B4-BE49-F238E27FC236}">
              <a16:creationId xmlns:a16="http://schemas.microsoft.com/office/drawing/2014/main" id="{00000000-0008-0000-0400-000004000000}"/>
            </a:ext>
          </a:extLst>
        </xdr:cNvPr>
        <xdr:cNvCxnSpPr/>
      </xdr:nvCxnSpPr>
      <xdr:spPr>
        <a:xfrm flipV="1">
          <a:off x="2974731" y="3138809"/>
          <a:ext cx="1152991" cy="4441"/>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8</xdr:col>
      <xdr:colOff>152400</xdr:colOff>
      <xdr:row>21</xdr:row>
      <xdr:rowOff>123825</xdr:rowOff>
    </xdr:from>
    <xdr:ext cx="0" cy="0"/>
    <xdr:cxnSp macro="">
      <xdr:nvCxnSpPr>
        <xdr:cNvPr id="5" name="Conector reto 4">
          <a:extLst>
            <a:ext uri="{FF2B5EF4-FFF2-40B4-BE49-F238E27FC236}">
              <a16:creationId xmlns:a16="http://schemas.microsoft.com/office/drawing/2014/main" id="{00000000-0008-0000-0400-000005000000}"/>
            </a:ext>
          </a:extLst>
        </xdr:cNvPr>
        <xdr:cNvCxnSpPr/>
      </xdr:nvCxnSpPr>
      <xdr:spPr>
        <a:xfrm>
          <a:off x="2174521" y="2000251"/>
          <a:ext cx="0"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6</xdr:col>
      <xdr:colOff>3981</xdr:colOff>
      <xdr:row>14</xdr:row>
      <xdr:rowOff>123789</xdr:rowOff>
    </xdr:from>
    <xdr:ext cx="614795" cy="1"/>
    <xdr:cxnSp macro="">
      <xdr:nvCxnSpPr>
        <xdr:cNvPr id="7" name="Conector reto 6">
          <a:extLst>
            <a:ext uri="{FF2B5EF4-FFF2-40B4-BE49-F238E27FC236}">
              <a16:creationId xmlns:a16="http://schemas.microsoft.com/office/drawing/2014/main" id="{00000000-0008-0000-0400-000007000000}"/>
            </a:ext>
          </a:extLst>
        </xdr:cNvPr>
        <xdr:cNvCxnSpPr/>
      </xdr:nvCxnSpPr>
      <xdr:spPr>
        <a:xfrm flipV="1">
          <a:off x="1506814" y="1933539"/>
          <a:ext cx="614795" cy="1"/>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14</xdr:col>
      <xdr:colOff>9114</xdr:colOff>
      <xdr:row>26</xdr:row>
      <xdr:rowOff>103611</xdr:rowOff>
    </xdr:from>
    <xdr:ext cx="1488427" cy="2223"/>
    <xdr:cxnSp macro="">
      <xdr:nvCxnSpPr>
        <xdr:cNvPr id="8" name="Conector reto 7">
          <a:extLst>
            <a:ext uri="{FF2B5EF4-FFF2-40B4-BE49-F238E27FC236}">
              <a16:creationId xmlns:a16="http://schemas.microsoft.com/office/drawing/2014/main" id="{00000000-0008-0000-0400-000008000000}"/>
            </a:ext>
          </a:extLst>
        </xdr:cNvPr>
        <xdr:cNvCxnSpPr/>
      </xdr:nvCxnSpPr>
      <xdr:spPr>
        <a:xfrm>
          <a:off x="3618031" y="3638444"/>
          <a:ext cx="1488427" cy="2223"/>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6</xdr:col>
      <xdr:colOff>378</xdr:colOff>
      <xdr:row>18</xdr:row>
      <xdr:rowOff>122483</xdr:rowOff>
    </xdr:from>
    <xdr:ext cx="1271323" cy="5651"/>
    <xdr:cxnSp macro="">
      <xdr:nvCxnSpPr>
        <xdr:cNvPr id="9" name="Conector reto 8">
          <a:extLst>
            <a:ext uri="{FF2B5EF4-FFF2-40B4-BE49-F238E27FC236}">
              <a16:creationId xmlns:a16="http://schemas.microsoft.com/office/drawing/2014/main" id="{00000000-0008-0000-0400-000009000000}"/>
            </a:ext>
          </a:extLst>
        </xdr:cNvPr>
        <xdr:cNvCxnSpPr/>
      </xdr:nvCxnSpPr>
      <xdr:spPr>
        <a:xfrm>
          <a:off x="1492628" y="2376733"/>
          <a:ext cx="1271323" cy="5651"/>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6</xdr:col>
      <xdr:colOff>4536</xdr:colOff>
      <xdr:row>22</xdr:row>
      <xdr:rowOff>113392</xdr:rowOff>
    </xdr:from>
    <xdr:ext cx="2245178" cy="0"/>
    <xdr:cxnSp macro="">
      <xdr:nvCxnSpPr>
        <xdr:cNvPr id="10" name="Conector reto 9">
          <a:extLst>
            <a:ext uri="{FF2B5EF4-FFF2-40B4-BE49-F238E27FC236}">
              <a16:creationId xmlns:a16="http://schemas.microsoft.com/office/drawing/2014/main" id="{00000000-0008-0000-0400-00000A000000}"/>
            </a:ext>
          </a:extLst>
        </xdr:cNvPr>
        <xdr:cNvCxnSpPr/>
      </xdr:nvCxnSpPr>
      <xdr:spPr>
        <a:xfrm>
          <a:off x="1483179" y="2930071"/>
          <a:ext cx="2245178"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20</xdr:col>
      <xdr:colOff>4233</xdr:colOff>
      <xdr:row>36</xdr:row>
      <xdr:rowOff>109904</xdr:rowOff>
    </xdr:from>
    <xdr:ext cx="2054632" cy="2456"/>
    <xdr:cxnSp macro="">
      <xdr:nvCxnSpPr>
        <xdr:cNvPr id="12" name="Conector reto 11">
          <a:extLst>
            <a:ext uri="{FF2B5EF4-FFF2-40B4-BE49-F238E27FC236}">
              <a16:creationId xmlns:a16="http://schemas.microsoft.com/office/drawing/2014/main" id="{00000000-0008-0000-0400-00000C000000}"/>
            </a:ext>
          </a:extLst>
        </xdr:cNvPr>
        <xdr:cNvCxnSpPr/>
      </xdr:nvCxnSpPr>
      <xdr:spPr>
        <a:xfrm flipV="1">
          <a:off x="4993868" y="4777154"/>
          <a:ext cx="2054632" cy="2456"/>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6</xdr:col>
      <xdr:colOff>5772</xdr:colOff>
      <xdr:row>32</xdr:row>
      <xdr:rowOff>109682</xdr:rowOff>
    </xdr:from>
    <xdr:ext cx="2924997" cy="222"/>
    <xdr:cxnSp macro="">
      <xdr:nvCxnSpPr>
        <xdr:cNvPr id="13" name="Conector reto 12">
          <a:extLst>
            <a:ext uri="{FF2B5EF4-FFF2-40B4-BE49-F238E27FC236}">
              <a16:creationId xmlns:a16="http://schemas.microsoft.com/office/drawing/2014/main" id="{00000000-0008-0000-0400-00000D000000}"/>
            </a:ext>
          </a:extLst>
        </xdr:cNvPr>
        <xdr:cNvCxnSpPr/>
      </xdr:nvCxnSpPr>
      <xdr:spPr>
        <a:xfrm>
          <a:off x="1449176" y="4220086"/>
          <a:ext cx="2924997" cy="22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271318</xdr:colOff>
      <xdr:row>44</xdr:row>
      <xdr:rowOff>103909</xdr:rowOff>
    </xdr:from>
    <xdr:ext cx="1460500" cy="5773"/>
    <xdr:cxnSp macro="">
      <xdr:nvCxnSpPr>
        <xdr:cNvPr id="15" name="Conector reto 14">
          <a:extLst>
            <a:ext uri="{FF2B5EF4-FFF2-40B4-BE49-F238E27FC236}">
              <a16:creationId xmlns:a16="http://schemas.microsoft.com/office/drawing/2014/main" id="{00000000-0008-0000-0400-00000F000000}"/>
            </a:ext>
          </a:extLst>
        </xdr:cNvPr>
        <xdr:cNvCxnSpPr/>
      </xdr:nvCxnSpPr>
      <xdr:spPr>
        <a:xfrm>
          <a:off x="9548091" y="6384636"/>
          <a:ext cx="1460500" cy="5773"/>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6413</xdr:colOff>
      <xdr:row>42</xdr:row>
      <xdr:rowOff>121883</xdr:rowOff>
    </xdr:from>
    <xdr:ext cx="692727" cy="0"/>
    <xdr:cxnSp macro="">
      <xdr:nvCxnSpPr>
        <xdr:cNvPr id="16" name="Conector reto 15">
          <a:extLst>
            <a:ext uri="{FF2B5EF4-FFF2-40B4-BE49-F238E27FC236}">
              <a16:creationId xmlns:a16="http://schemas.microsoft.com/office/drawing/2014/main" id="{00000000-0008-0000-0400-000010000000}"/>
            </a:ext>
          </a:extLst>
        </xdr:cNvPr>
        <xdr:cNvCxnSpPr/>
      </xdr:nvCxnSpPr>
      <xdr:spPr>
        <a:xfrm>
          <a:off x="9228024" y="6203772"/>
          <a:ext cx="692727"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267581</xdr:colOff>
      <xdr:row>46</xdr:row>
      <xdr:rowOff>134252</xdr:rowOff>
    </xdr:from>
    <xdr:ext cx="2439106" cy="685"/>
    <xdr:cxnSp macro="">
      <xdr:nvCxnSpPr>
        <xdr:cNvPr id="17" name="Conector reto 16">
          <a:extLst>
            <a:ext uri="{FF2B5EF4-FFF2-40B4-BE49-F238E27FC236}">
              <a16:creationId xmlns:a16="http://schemas.microsoft.com/office/drawing/2014/main" id="{00000000-0008-0000-0400-000011000000}"/>
            </a:ext>
          </a:extLst>
        </xdr:cNvPr>
        <xdr:cNvCxnSpPr/>
      </xdr:nvCxnSpPr>
      <xdr:spPr>
        <a:xfrm>
          <a:off x="9514769" y="6365190"/>
          <a:ext cx="2439106" cy="685"/>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304800</xdr:colOff>
      <xdr:row>14</xdr:row>
      <xdr:rowOff>106894</xdr:rowOff>
    </xdr:from>
    <xdr:ext cx="420914" cy="454"/>
    <xdr:cxnSp macro="">
      <xdr:nvCxnSpPr>
        <xdr:cNvPr id="18" name="Conector reto 17">
          <a:extLst>
            <a:ext uri="{FF2B5EF4-FFF2-40B4-BE49-F238E27FC236}">
              <a16:creationId xmlns:a16="http://schemas.microsoft.com/office/drawing/2014/main" id="{00000000-0008-0000-0400-000012000000}"/>
            </a:ext>
          </a:extLst>
        </xdr:cNvPr>
        <xdr:cNvCxnSpPr/>
      </xdr:nvCxnSpPr>
      <xdr:spPr>
        <a:xfrm>
          <a:off x="484717" y="1916644"/>
          <a:ext cx="420914" cy="454"/>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305657</xdr:colOff>
      <xdr:row>18</xdr:row>
      <xdr:rowOff>121318</xdr:rowOff>
    </xdr:from>
    <xdr:ext cx="422855" cy="0"/>
    <xdr:cxnSp macro="">
      <xdr:nvCxnSpPr>
        <xdr:cNvPr id="19" name="Conector reto 18">
          <a:extLst>
            <a:ext uri="{FF2B5EF4-FFF2-40B4-BE49-F238E27FC236}">
              <a16:creationId xmlns:a16="http://schemas.microsoft.com/office/drawing/2014/main" id="{00000000-0008-0000-0400-000013000000}"/>
            </a:ext>
          </a:extLst>
        </xdr:cNvPr>
        <xdr:cNvCxnSpPr/>
      </xdr:nvCxnSpPr>
      <xdr:spPr>
        <a:xfrm>
          <a:off x="480282" y="2375568"/>
          <a:ext cx="422855"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301224</xdr:colOff>
      <xdr:row>32</xdr:row>
      <xdr:rowOff>110892</xdr:rowOff>
    </xdr:from>
    <xdr:ext cx="428625" cy="0"/>
    <xdr:cxnSp macro="">
      <xdr:nvCxnSpPr>
        <xdr:cNvPr id="20" name="Conector reto 19">
          <a:extLst>
            <a:ext uri="{FF2B5EF4-FFF2-40B4-BE49-F238E27FC236}">
              <a16:creationId xmlns:a16="http://schemas.microsoft.com/office/drawing/2014/main" id="{00000000-0008-0000-0400-000014000000}"/>
            </a:ext>
          </a:extLst>
        </xdr:cNvPr>
        <xdr:cNvCxnSpPr/>
      </xdr:nvCxnSpPr>
      <xdr:spPr>
        <a:xfrm>
          <a:off x="474085" y="4291309"/>
          <a:ext cx="428625"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307981</xdr:colOff>
      <xdr:row>48</xdr:row>
      <xdr:rowOff>103185</xdr:rowOff>
    </xdr:from>
    <xdr:ext cx="11209331" cy="529"/>
    <xdr:cxnSp macro="">
      <xdr:nvCxnSpPr>
        <xdr:cNvPr id="21" name="Conector reto 20">
          <a:extLst>
            <a:ext uri="{FF2B5EF4-FFF2-40B4-BE49-F238E27FC236}">
              <a16:creationId xmlns:a16="http://schemas.microsoft.com/office/drawing/2014/main" id="{00000000-0008-0000-0400-000015000000}"/>
            </a:ext>
          </a:extLst>
        </xdr:cNvPr>
        <xdr:cNvCxnSpPr/>
      </xdr:nvCxnSpPr>
      <xdr:spPr>
        <a:xfrm flipV="1">
          <a:off x="466731" y="6445248"/>
          <a:ext cx="11209331" cy="529"/>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17</xdr:col>
      <xdr:colOff>36935</xdr:colOff>
      <xdr:row>23</xdr:row>
      <xdr:rowOff>0</xdr:rowOff>
    </xdr:from>
    <xdr:ext cx="2753" cy="182563"/>
    <xdr:cxnSp macro="">
      <xdr:nvCxnSpPr>
        <xdr:cNvPr id="22" name="Conector reto 21">
          <a:extLst>
            <a:ext uri="{FF2B5EF4-FFF2-40B4-BE49-F238E27FC236}">
              <a16:creationId xmlns:a16="http://schemas.microsoft.com/office/drawing/2014/main" id="{00000000-0008-0000-0400-000016000000}"/>
            </a:ext>
          </a:extLst>
        </xdr:cNvPr>
        <xdr:cNvCxnSpPr/>
      </xdr:nvCxnSpPr>
      <xdr:spPr>
        <a:xfrm>
          <a:off x="4212060" y="3000375"/>
          <a:ext cx="2753" cy="182563"/>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12</xdr:col>
      <xdr:colOff>79375</xdr:colOff>
      <xdr:row>19</xdr:row>
      <xdr:rowOff>17371</xdr:rowOff>
    </xdr:from>
    <xdr:ext cx="3243" cy="601754"/>
    <xdr:cxnSp macro="">
      <xdr:nvCxnSpPr>
        <xdr:cNvPr id="23" name="Conector reto 22">
          <a:extLst>
            <a:ext uri="{FF2B5EF4-FFF2-40B4-BE49-F238E27FC236}">
              <a16:creationId xmlns:a16="http://schemas.microsoft.com/office/drawing/2014/main" id="{00000000-0008-0000-0400-000017000000}"/>
            </a:ext>
          </a:extLst>
        </xdr:cNvPr>
        <xdr:cNvCxnSpPr/>
      </xdr:nvCxnSpPr>
      <xdr:spPr>
        <a:xfrm flipH="1">
          <a:off x="2952750" y="2485934"/>
          <a:ext cx="3243" cy="601754"/>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29</xdr:col>
      <xdr:colOff>198438</xdr:colOff>
      <xdr:row>32</xdr:row>
      <xdr:rowOff>149930</xdr:rowOff>
    </xdr:from>
    <xdr:ext cx="4409" cy="79375"/>
    <xdr:cxnSp macro="">
      <xdr:nvCxnSpPr>
        <xdr:cNvPr id="24" name="Conector reto 23">
          <a:extLst>
            <a:ext uri="{FF2B5EF4-FFF2-40B4-BE49-F238E27FC236}">
              <a16:creationId xmlns:a16="http://schemas.microsoft.com/office/drawing/2014/main" id="{00000000-0008-0000-0400-000018000000}"/>
            </a:ext>
          </a:extLst>
        </xdr:cNvPr>
        <xdr:cNvCxnSpPr/>
      </xdr:nvCxnSpPr>
      <xdr:spPr>
        <a:xfrm>
          <a:off x="6244167" y="3073576"/>
          <a:ext cx="4409" cy="79375"/>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19</xdr:col>
      <xdr:colOff>142875</xdr:colOff>
      <xdr:row>22</xdr:row>
      <xdr:rowOff>142875</xdr:rowOff>
    </xdr:from>
    <xdr:ext cx="0" cy="47625"/>
    <xdr:cxnSp macro="">
      <xdr:nvCxnSpPr>
        <xdr:cNvPr id="25" name="Conector reto 24">
          <a:extLst>
            <a:ext uri="{FF2B5EF4-FFF2-40B4-BE49-F238E27FC236}">
              <a16:creationId xmlns:a16="http://schemas.microsoft.com/office/drawing/2014/main" id="{00000000-0008-0000-0400-000019000000}"/>
            </a:ext>
          </a:extLst>
        </xdr:cNvPr>
        <xdr:cNvCxnSpPr/>
      </xdr:nvCxnSpPr>
      <xdr:spPr>
        <a:xfrm flipH="1">
          <a:off x="3885221" y="2149662"/>
          <a:ext cx="864" cy="41088"/>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10</xdr:col>
      <xdr:colOff>2698</xdr:colOff>
      <xdr:row>31</xdr:row>
      <xdr:rowOff>17317</xdr:rowOff>
    </xdr:from>
    <xdr:ext cx="4358" cy="1478461"/>
    <xdr:cxnSp macro="">
      <xdr:nvCxnSpPr>
        <xdr:cNvPr id="27" name="Conector reto 26">
          <a:extLst>
            <a:ext uri="{FF2B5EF4-FFF2-40B4-BE49-F238E27FC236}">
              <a16:creationId xmlns:a16="http://schemas.microsoft.com/office/drawing/2014/main" id="{00000000-0008-0000-0400-00001B000000}"/>
            </a:ext>
          </a:extLst>
        </xdr:cNvPr>
        <xdr:cNvCxnSpPr/>
      </xdr:nvCxnSpPr>
      <xdr:spPr>
        <a:xfrm>
          <a:off x="2729670" y="4148345"/>
          <a:ext cx="4358" cy="1478461"/>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5</xdr:col>
      <xdr:colOff>588152</xdr:colOff>
      <xdr:row>42</xdr:row>
      <xdr:rowOff>112358</xdr:rowOff>
    </xdr:from>
    <xdr:ext cx="907625" cy="531"/>
    <xdr:cxnSp macro="">
      <xdr:nvCxnSpPr>
        <xdr:cNvPr id="28" name="Conector reto 27">
          <a:extLst>
            <a:ext uri="{FF2B5EF4-FFF2-40B4-BE49-F238E27FC236}">
              <a16:creationId xmlns:a16="http://schemas.microsoft.com/office/drawing/2014/main" id="{00000000-0008-0000-0400-00001C000000}"/>
            </a:ext>
          </a:extLst>
        </xdr:cNvPr>
        <xdr:cNvCxnSpPr/>
      </xdr:nvCxnSpPr>
      <xdr:spPr>
        <a:xfrm>
          <a:off x="1484208" y="6194247"/>
          <a:ext cx="907625" cy="531"/>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269875</xdr:colOff>
      <xdr:row>38</xdr:row>
      <xdr:rowOff>116416</xdr:rowOff>
    </xdr:from>
    <xdr:ext cx="1460500" cy="5292"/>
    <xdr:cxnSp macro="">
      <xdr:nvCxnSpPr>
        <xdr:cNvPr id="29" name="Conector reto 28">
          <a:extLst>
            <a:ext uri="{FF2B5EF4-FFF2-40B4-BE49-F238E27FC236}">
              <a16:creationId xmlns:a16="http://schemas.microsoft.com/office/drawing/2014/main" id="{00000000-0008-0000-0400-00001D000000}"/>
            </a:ext>
          </a:extLst>
        </xdr:cNvPr>
        <xdr:cNvCxnSpPr/>
      </xdr:nvCxnSpPr>
      <xdr:spPr>
        <a:xfrm>
          <a:off x="9503833" y="5471583"/>
          <a:ext cx="1460500" cy="529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33</xdr:col>
      <xdr:colOff>0</xdr:colOff>
      <xdr:row>36</xdr:row>
      <xdr:rowOff>102577</xdr:rowOff>
    </xdr:from>
    <xdr:ext cx="1502020" cy="1033"/>
    <xdr:cxnSp macro="">
      <xdr:nvCxnSpPr>
        <xdr:cNvPr id="30" name="Conector reto 29">
          <a:extLst>
            <a:ext uri="{FF2B5EF4-FFF2-40B4-BE49-F238E27FC236}">
              <a16:creationId xmlns:a16="http://schemas.microsoft.com/office/drawing/2014/main" id="{00000000-0008-0000-0400-00001E000000}"/>
            </a:ext>
          </a:extLst>
        </xdr:cNvPr>
        <xdr:cNvCxnSpPr/>
      </xdr:nvCxnSpPr>
      <xdr:spPr>
        <a:xfrm flipV="1">
          <a:off x="8162192" y="4769827"/>
          <a:ext cx="1502020" cy="1033"/>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258762</xdr:colOff>
      <xdr:row>40</xdr:row>
      <xdr:rowOff>112358</xdr:rowOff>
    </xdr:from>
    <xdr:ext cx="2446897" cy="0"/>
    <xdr:cxnSp macro="">
      <xdr:nvCxnSpPr>
        <xdr:cNvPr id="31" name="Conector reto 30">
          <a:extLst>
            <a:ext uri="{FF2B5EF4-FFF2-40B4-BE49-F238E27FC236}">
              <a16:creationId xmlns:a16="http://schemas.microsoft.com/office/drawing/2014/main" id="{00000000-0008-0000-0400-00001F000000}"/>
            </a:ext>
          </a:extLst>
        </xdr:cNvPr>
        <xdr:cNvCxnSpPr/>
      </xdr:nvCxnSpPr>
      <xdr:spPr>
        <a:xfrm>
          <a:off x="9505950" y="5474139"/>
          <a:ext cx="2446897"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32</xdr:col>
      <xdr:colOff>0</xdr:colOff>
      <xdr:row>32</xdr:row>
      <xdr:rowOff>122286</xdr:rowOff>
    </xdr:from>
    <xdr:ext cx="2696308" cy="2272"/>
    <xdr:cxnSp macro="">
      <xdr:nvCxnSpPr>
        <xdr:cNvPr id="33" name="Conector reto 32">
          <a:extLst>
            <a:ext uri="{FF2B5EF4-FFF2-40B4-BE49-F238E27FC236}">
              <a16:creationId xmlns:a16="http://schemas.microsoft.com/office/drawing/2014/main" id="{00000000-0008-0000-0400-000021000000}"/>
            </a:ext>
          </a:extLst>
        </xdr:cNvPr>
        <xdr:cNvCxnSpPr/>
      </xdr:nvCxnSpPr>
      <xdr:spPr>
        <a:xfrm>
          <a:off x="8001000" y="4232690"/>
          <a:ext cx="2696308" cy="227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38</xdr:col>
      <xdr:colOff>660</xdr:colOff>
      <xdr:row>28</xdr:row>
      <xdr:rowOff>124557</xdr:rowOff>
    </xdr:from>
    <xdr:ext cx="1457398" cy="1172"/>
    <xdr:cxnSp macro="">
      <xdr:nvCxnSpPr>
        <xdr:cNvPr id="35" name="Conector reto 34">
          <a:extLst>
            <a:ext uri="{FF2B5EF4-FFF2-40B4-BE49-F238E27FC236}">
              <a16:creationId xmlns:a16="http://schemas.microsoft.com/office/drawing/2014/main" id="{00000000-0008-0000-0400-000023000000}"/>
            </a:ext>
          </a:extLst>
        </xdr:cNvPr>
        <xdr:cNvCxnSpPr/>
      </xdr:nvCxnSpPr>
      <xdr:spPr>
        <a:xfrm flipV="1">
          <a:off x="9225256" y="3685442"/>
          <a:ext cx="1457398" cy="117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28</xdr:col>
      <xdr:colOff>2025</xdr:colOff>
      <xdr:row>26</xdr:row>
      <xdr:rowOff>103007</xdr:rowOff>
    </xdr:from>
    <xdr:ext cx="2789532" cy="6897"/>
    <xdr:cxnSp macro="">
      <xdr:nvCxnSpPr>
        <xdr:cNvPr id="36" name="Conector reto 35">
          <a:extLst>
            <a:ext uri="{FF2B5EF4-FFF2-40B4-BE49-F238E27FC236}">
              <a16:creationId xmlns:a16="http://schemas.microsoft.com/office/drawing/2014/main" id="{00000000-0008-0000-0400-000024000000}"/>
            </a:ext>
          </a:extLst>
        </xdr:cNvPr>
        <xdr:cNvCxnSpPr/>
      </xdr:nvCxnSpPr>
      <xdr:spPr>
        <a:xfrm>
          <a:off x="6882006" y="3414776"/>
          <a:ext cx="2789532" cy="6897"/>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38</xdr:col>
      <xdr:colOff>7493</xdr:colOff>
      <xdr:row>30</xdr:row>
      <xdr:rowOff>123927</xdr:rowOff>
    </xdr:from>
    <xdr:ext cx="2445310" cy="0"/>
    <xdr:cxnSp macro="">
      <xdr:nvCxnSpPr>
        <xdr:cNvPr id="37" name="Conector reto 36">
          <a:extLst>
            <a:ext uri="{FF2B5EF4-FFF2-40B4-BE49-F238E27FC236}">
              <a16:creationId xmlns:a16="http://schemas.microsoft.com/office/drawing/2014/main" id="{00000000-0008-0000-0400-000025000000}"/>
            </a:ext>
          </a:extLst>
        </xdr:cNvPr>
        <xdr:cNvCxnSpPr/>
      </xdr:nvCxnSpPr>
      <xdr:spPr>
        <a:xfrm>
          <a:off x="9238084" y="3899291"/>
          <a:ext cx="2445310"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266391</xdr:colOff>
      <xdr:row>26</xdr:row>
      <xdr:rowOff>113136</xdr:rowOff>
    </xdr:from>
    <xdr:ext cx="309" cy="549742"/>
    <xdr:cxnSp macro="">
      <xdr:nvCxnSpPr>
        <xdr:cNvPr id="38" name="Conector reto 37">
          <a:extLst>
            <a:ext uri="{FF2B5EF4-FFF2-40B4-BE49-F238E27FC236}">
              <a16:creationId xmlns:a16="http://schemas.microsoft.com/office/drawing/2014/main" id="{00000000-0008-0000-0400-000026000000}"/>
            </a:ext>
          </a:extLst>
        </xdr:cNvPr>
        <xdr:cNvCxnSpPr/>
      </xdr:nvCxnSpPr>
      <xdr:spPr>
        <a:xfrm flipH="1">
          <a:off x="9500220" y="3504965"/>
          <a:ext cx="309" cy="54974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245154</xdr:colOff>
      <xdr:row>24</xdr:row>
      <xdr:rowOff>121883</xdr:rowOff>
    </xdr:from>
    <xdr:ext cx="2463971" cy="0"/>
    <xdr:cxnSp macro="">
      <xdr:nvCxnSpPr>
        <xdr:cNvPr id="39" name="Conector reto 38">
          <a:extLst>
            <a:ext uri="{FF2B5EF4-FFF2-40B4-BE49-F238E27FC236}">
              <a16:creationId xmlns:a16="http://schemas.microsoft.com/office/drawing/2014/main" id="{00000000-0008-0000-0400-000027000000}"/>
            </a:ext>
          </a:extLst>
        </xdr:cNvPr>
        <xdr:cNvCxnSpPr/>
      </xdr:nvCxnSpPr>
      <xdr:spPr>
        <a:xfrm>
          <a:off x="9461725" y="3246990"/>
          <a:ext cx="2463971"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22</xdr:col>
      <xdr:colOff>309996</xdr:colOff>
      <xdr:row>22</xdr:row>
      <xdr:rowOff>98136</xdr:rowOff>
    </xdr:from>
    <xdr:ext cx="4086158" cy="11768"/>
    <xdr:cxnSp macro="">
      <xdr:nvCxnSpPr>
        <xdr:cNvPr id="40" name="Conector reto 39">
          <a:extLst>
            <a:ext uri="{FF2B5EF4-FFF2-40B4-BE49-F238E27FC236}">
              <a16:creationId xmlns:a16="http://schemas.microsoft.com/office/drawing/2014/main" id="{00000000-0008-0000-0400-000028000000}"/>
            </a:ext>
          </a:extLst>
        </xdr:cNvPr>
        <xdr:cNvCxnSpPr/>
      </xdr:nvCxnSpPr>
      <xdr:spPr>
        <a:xfrm>
          <a:off x="5578054" y="2838405"/>
          <a:ext cx="4086158" cy="11768"/>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264620</xdr:colOff>
      <xdr:row>36</xdr:row>
      <xdr:rowOff>103609</xdr:rowOff>
    </xdr:from>
    <xdr:ext cx="3492" cy="626641"/>
    <xdr:cxnSp macro="">
      <xdr:nvCxnSpPr>
        <xdr:cNvPr id="42" name="Conector reto 41">
          <a:extLst>
            <a:ext uri="{FF2B5EF4-FFF2-40B4-BE49-F238E27FC236}">
              <a16:creationId xmlns:a16="http://schemas.microsoft.com/office/drawing/2014/main" id="{00000000-0008-0000-0400-00002A000000}"/>
            </a:ext>
          </a:extLst>
        </xdr:cNvPr>
        <xdr:cNvCxnSpPr/>
      </xdr:nvCxnSpPr>
      <xdr:spPr>
        <a:xfrm>
          <a:off x="9496814" y="4851998"/>
          <a:ext cx="3492" cy="626641"/>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265545</xdr:colOff>
      <xdr:row>42</xdr:row>
      <xdr:rowOff>111476</xdr:rowOff>
    </xdr:from>
    <xdr:ext cx="1155" cy="627434"/>
    <xdr:cxnSp macro="">
      <xdr:nvCxnSpPr>
        <xdr:cNvPr id="43" name="Conector reto 42">
          <a:extLst>
            <a:ext uri="{FF2B5EF4-FFF2-40B4-BE49-F238E27FC236}">
              <a16:creationId xmlns:a16="http://schemas.microsoft.com/office/drawing/2014/main" id="{00000000-0008-0000-0400-00002B000000}"/>
            </a:ext>
          </a:extLst>
        </xdr:cNvPr>
        <xdr:cNvCxnSpPr/>
      </xdr:nvCxnSpPr>
      <xdr:spPr>
        <a:xfrm flipH="1">
          <a:off x="9542318" y="6092021"/>
          <a:ext cx="1155" cy="627434"/>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257098</xdr:colOff>
      <xdr:row>20</xdr:row>
      <xdr:rowOff>123269</xdr:rowOff>
    </xdr:from>
    <xdr:ext cx="2456499" cy="7273"/>
    <xdr:cxnSp macro="">
      <xdr:nvCxnSpPr>
        <xdr:cNvPr id="44" name="Conector reto 43">
          <a:extLst>
            <a:ext uri="{FF2B5EF4-FFF2-40B4-BE49-F238E27FC236}">
              <a16:creationId xmlns:a16="http://schemas.microsoft.com/office/drawing/2014/main" id="{00000000-0008-0000-0400-00002C000000}"/>
            </a:ext>
          </a:extLst>
        </xdr:cNvPr>
        <xdr:cNvCxnSpPr/>
      </xdr:nvCxnSpPr>
      <xdr:spPr>
        <a:xfrm>
          <a:off x="9219257" y="2547814"/>
          <a:ext cx="2456499" cy="7273"/>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17</xdr:col>
      <xdr:colOff>271096</xdr:colOff>
      <xdr:row>18</xdr:row>
      <xdr:rowOff>117231</xdr:rowOff>
    </xdr:from>
    <xdr:ext cx="5334000" cy="0"/>
    <xdr:cxnSp macro="">
      <xdr:nvCxnSpPr>
        <xdr:cNvPr id="45" name="Conector reto 44">
          <a:extLst>
            <a:ext uri="{FF2B5EF4-FFF2-40B4-BE49-F238E27FC236}">
              <a16:creationId xmlns:a16="http://schemas.microsoft.com/office/drawing/2014/main" id="{00000000-0008-0000-0400-00002D000000}"/>
            </a:ext>
          </a:extLst>
        </xdr:cNvPr>
        <xdr:cNvCxnSpPr/>
      </xdr:nvCxnSpPr>
      <xdr:spPr>
        <a:xfrm>
          <a:off x="4337538" y="2329962"/>
          <a:ext cx="5334000"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247805</xdr:colOff>
      <xdr:row>16</xdr:row>
      <xdr:rowOff>116417</xdr:rowOff>
    </xdr:from>
    <xdr:ext cx="2466820" cy="4388"/>
    <xdr:cxnSp macro="">
      <xdr:nvCxnSpPr>
        <xdr:cNvPr id="47" name="Conector reto 46">
          <a:extLst>
            <a:ext uri="{FF2B5EF4-FFF2-40B4-BE49-F238E27FC236}">
              <a16:creationId xmlns:a16="http://schemas.microsoft.com/office/drawing/2014/main" id="{00000000-0008-0000-0400-00002F000000}"/>
            </a:ext>
          </a:extLst>
        </xdr:cNvPr>
        <xdr:cNvCxnSpPr/>
      </xdr:nvCxnSpPr>
      <xdr:spPr>
        <a:xfrm flipV="1">
          <a:off x="9481634" y="2132929"/>
          <a:ext cx="2466820" cy="4388"/>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15</xdr:col>
      <xdr:colOff>19050</xdr:colOff>
      <xdr:row>14</xdr:row>
      <xdr:rowOff>114300</xdr:rowOff>
    </xdr:from>
    <xdr:ext cx="6025662" cy="10258"/>
    <xdr:cxnSp macro="">
      <xdr:nvCxnSpPr>
        <xdr:cNvPr id="48" name="Conector reto 47">
          <a:extLst>
            <a:ext uri="{FF2B5EF4-FFF2-40B4-BE49-F238E27FC236}">
              <a16:creationId xmlns:a16="http://schemas.microsoft.com/office/drawing/2014/main" id="{00000000-0008-0000-0400-000030000000}"/>
            </a:ext>
          </a:extLst>
        </xdr:cNvPr>
        <xdr:cNvCxnSpPr/>
      </xdr:nvCxnSpPr>
      <xdr:spPr>
        <a:xfrm>
          <a:off x="3638550" y="1806819"/>
          <a:ext cx="6025662" cy="10258"/>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254668</xdr:colOff>
      <xdr:row>14</xdr:row>
      <xdr:rowOff>134157</xdr:rowOff>
    </xdr:from>
    <xdr:ext cx="758" cy="274057"/>
    <xdr:cxnSp macro="">
      <xdr:nvCxnSpPr>
        <xdr:cNvPr id="49" name="Conector reto 48">
          <a:extLst>
            <a:ext uri="{FF2B5EF4-FFF2-40B4-BE49-F238E27FC236}">
              <a16:creationId xmlns:a16="http://schemas.microsoft.com/office/drawing/2014/main" id="{00000000-0008-0000-0400-000031000000}"/>
            </a:ext>
          </a:extLst>
        </xdr:cNvPr>
        <xdr:cNvCxnSpPr/>
      </xdr:nvCxnSpPr>
      <xdr:spPr>
        <a:xfrm flipH="1">
          <a:off x="9488497" y="1868791"/>
          <a:ext cx="758" cy="274057"/>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30</xdr:col>
      <xdr:colOff>88900</xdr:colOff>
      <xdr:row>33</xdr:row>
      <xdr:rowOff>6350</xdr:rowOff>
    </xdr:from>
    <xdr:ext cx="6350" cy="93662"/>
    <xdr:cxnSp macro="">
      <xdr:nvCxnSpPr>
        <xdr:cNvPr id="50" name="Conector reto 49">
          <a:extLst>
            <a:ext uri="{FF2B5EF4-FFF2-40B4-BE49-F238E27FC236}">
              <a16:creationId xmlns:a16="http://schemas.microsoft.com/office/drawing/2014/main" id="{00000000-0008-0000-0400-000032000000}"/>
            </a:ext>
          </a:extLst>
        </xdr:cNvPr>
        <xdr:cNvCxnSpPr/>
      </xdr:nvCxnSpPr>
      <xdr:spPr>
        <a:xfrm>
          <a:off x="7410450" y="4286250"/>
          <a:ext cx="6350" cy="93662"/>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9</xdr:col>
      <xdr:colOff>317500</xdr:colOff>
      <xdr:row>26</xdr:row>
      <xdr:rowOff>109681</xdr:rowOff>
    </xdr:from>
    <xdr:ext cx="331452" cy="657"/>
    <xdr:cxnSp macro="">
      <xdr:nvCxnSpPr>
        <xdr:cNvPr id="51" name="Conector reto 50">
          <a:extLst>
            <a:ext uri="{FF2B5EF4-FFF2-40B4-BE49-F238E27FC236}">
              <a16:creationId xmlns:a16="http://schemas.microsoft.com/office/drawing/2014/main" id="{00000000-0008-0000-0400-000033000000}"/>
            </a:ext>
          </a:extLst>
        </xdr:cNvPr>
        <xdr:cNvCxnSpPr/>
      </xdr:nvCxnSpPr>
      <xdr:spPr>
        <a:xfrm>
          <a:off x="2718955" y="3590636"/>
          <a:ext cx="331452" cy="657"/>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25</xdr:col>
      <xdr:colOff>321814</xdr:colOff>
      <xdr:row>32</xdr:row>
      <xdr:rowOff>108858</xdr:rowOff>
    </xdr:from>
    <xdr:ext cx="319784" cy="1"/>
    <xdr:cxnSp macro="">
      <xdr:nvCxnSpPr>
        <xdr:cNvPr id="53" name="Conector reto 52">
          <a:extLst>
            <a:ext uri="{FF2B5EF4-FFF2-40B4-BE49-F238E27FC236}">
              <a16:creationId xmlns:a16="http://schemas.microsoft.com/office/drawing/2014/main" id="{00000000-0008-0000-0400-000035000000}"/>
            </a:ext>
          </a:extLst>
        </xdr:cNvPr>
        <xdr:cNvCxnSpPr/>
      </xdr:nvCxnSpPr>
      <xdr:spPr>
        <a:xfrm flipV="1">
          <a:off x="6315237" y="4219262"/>
          <a:ext cx="319784" cy="1"/>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19</xdr:col>
      <xdr:colOff>290138</xdr:colOff>
      <xdr:row>33</xdr:row>
      <xdr:rowOff>7056</xdr:rowOff>
    </xdr:from>
    <xdr:ext cx="0" cy="345722"/>
    <xdr:cxnSp macro="">
      <xdr:nvCxnSpPr>
        <xdr:cNvPr id="54" name="Conector reto 53">
          <a:extLst>
            <a:ext uri="{FF2B5EF4-FFF2-40B4-BE49-F238E27FC236}">
              <a16:creationId xmlns:a16="http://schemas.microsoft.com/office/drawing/2014/main" id="{00000000-0008-0000-0400-000036000000}"/>
            </a:ext>
          </a:extLst>
        </xdr:cNvPr>
        <xdr:cNvCxnSpPr/>
      </xdr:nvCxnSpPr>
      <xdr:spPr>
        <a:xfrm>
          <a:off x="4750626" y="4430373"/>
          <a:ext cx="0" cy="34572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20</xdr:col>
      <xdr:colOff>0</xdr:colOff>
      <xdr:row>32</xdr:row>
      <xdr:rowOff>117858</xdr:rowOff>
    </xdr:from>
    <xdr:ext cx="721798" cy="0"/>
    <xdr:cxnSp macro="">
      <xdr:nvCxnSpPr>
        <xdr:cNvPr id="55" name="Conector reto 54">
          <a:extLst>
            <a:ext uri="{FF2B5EF4-FFF2-40B4-BE49-F238E27FC236}">
              <a16:creationId xmlns:a16="http://schemas.microsoft.com/office/drawing/2014/main" id="{00000000-0008-0000-0400-000037000000}"/>
            </a:ext>
          </a:extLst>
        </xdr:cNvPr>
        <xdr:cNvCxnSpPr/>
      </xdr:nvCxnSpPr>
      <xdr:spPr>
        <a:xfrm>
          <a:off x="5064125" y="4467608"/>
          <a:ext cx="721798"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23</xdr:col>
      <xdr:colOff>10440</xdr:colOff>
      <xdr:row>26</xdr:row>
      <xdr:rowOff>103223</xdr:rowOff>
    </xdr:from>
    <xdr:ext cx="104775" cy="0"/>
    <xdr:cxnSp macro="">
      <xdr:nvCxnSpPr>
        <xdr:cNvPr id="56" name="Conector reto 55">
          <a:extLst>
            <a:ext uri="{FF2B5EF4-FFF2-40B4-BE49-F238E27FC236}">
              <a16:creationId xmlns:a16="http://schemas.microsoft.com/office/drawing/2014/main" id="{00000000-0008-0000-0400-000038000000}"/>
            </a:ext>
          </a:extLst>
        </xdr:cNvPr>
        <xdr:cNvCxnSpPr/>
      </xdr:nvCxnSpPr>
      <xdr:spPr>
        <a:xfrm>
          <a:off x="5593555" y="3414992"/>
          <a:ext cx="104775"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19</xdr:col>
      <xdr:colOff>283185</xdr:colOff>
      <xdr:row>24</xdr:row>
      <xdr:rowOff>211668</xdr:rowOff>
    </xdr:from>
    <xdr:ext cx="4329" cy="300181"/>
    <xdr:cxnSp macro="">
      <xdr:nvCxnSpPr>
        <xdr:cNvPr id="57" name="Conector reto 56">
          <a:extLst>
            <a:ext uri="{FF2B5EF4-FFF2-40B4-BE49-F238E27FC236}">
              <a16:creationId xmlns:a16="http://schemas.microsoft.com/office/drawing/2014/main" id="{00000000-0008-0000-0400-000039000000}"/>
            </a:ext>
          </a:extLst>
        </xdr:cNvPr>
        <xdr:cNvCxnSpPr/>
      </xdr:nvCxnSpPr>
      <xdr:spPr>
        <a:xfrm flipH="1">
          <a:off x="4738768" y="3302001"/>
          <a:ext cx="4329" cy="300181"/>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8</xdr:col>
      <xdr:colOff>152400</xdr:colOff>
      <xdr:row>21</xdr:row>
      <xdr:rowOff>123825</xdr:rowOff>
    </xdr:from>
    <xdr:ext cx="0" cy="0"/>
    <xdr:cxnSp macro="">
      <xdr:nvCxnSpPr>
        <xdr:cNvPr id="62" name="Conector reto 61">
          <a:extLst>
            <a:ext uri="{FF2B5EF4-FFF2-40B4-BE49-F238E27FC236}">
              <a16:creationId xmlns:a16="http://schemas.microsoft.com/office/drawing/2014/main" id="{00000000-0008-0000-0400-00003E000000}"/>
            </a:ext>
          </a:extLst>
        </xdr:cNvPr>
        <xdr:cNvCxnSpPr/>
      </xdr:nvCxnSpPr>
      <xdr:spPr>
        <a:xfrm>
          <a:off x="2174521" y="2000251"/>
          <a:ext cx="0"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302767</xdr:colOff>
      <xdr:row>22</xdr:row>
      <xdr:rowOff>98671</xdr:rowOff>
    </xdr:from>
    <xdr:ext cx="412585" cy="0"/>
    <xdr:cxnSp macro="">
      <xdr:nvCxnSpPr>
        <xdr:cNvPr id="68" name="Conector reto 67">
          <a:extLst>
            <a:ext uri="{FF2B5EF4-FFF2-40B4-BE49-F238E27FC236}">
              <a16:creationId xmlns:a16="http://schemas.microsoft.com/office/drawing/2014/main" id="{00000000-0008-0000-0400-000044000000}"/>
            </a:ext>
          </a:extLst>
        </xdr:cNvPr>
        <xdr:cNvCxnSpPr/>
      </xdr:nvCxnSpPr>
      <xdr:spPr>
        <a:xfrm>
          <a:off x="482684" y="3051421"/>
          <a:ext cx="412585"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304800</xdr:colOff>
      <xdr:row>42</xdr:row>
      <xdr:rowOff>121884</xdr:rowOff>
    </xdr:from>
    <xdr:ext cx="428625" cy="0"/>
    <xdr:cxnSp macro="">
      <xdr:nvCxnSpPr>
        <xdr:cNvPr id="83" name="Conector reto 82">
          <a:extLst>
            <a:ext uri="{FF2B5EF4-FFF2-40B4-BE49-F238E27FC236}">
              <a16:creationId xmlns:a16="http://schemas.microsoft.com/office/drawing/2014/main" id="{00000000-0008-0000-0400-000053000000}"/>
            </a:ext>
          </a:extLst>
        </xdr:cNvPr>
        <xdr:cNvCxnSpPr/>
      </xdr:nvCxnSpPr>
      <xdr:spPr>
        <a:xfrm>
          <a:off x="496671" y="10035193"/>
          <a:ext cx="428625"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8</xdr:col>
      <xdr:colOff>152400</xdr:colOff>
      <xdr:row>21</xdr:row>
      <xdr:rowOff>123825</xdr:rowOff>
    </xdr:from>
    <xdr:ext cx="0" cy="0"/>
    <xdr:cxnSp macro="">
      <xdr:nvCxnSpPr>
        <xdr:cNvPr id="119" name="Conector reto 118">
          <a:extLst>
            <a:ext uri="{FF2B5EF4-FFF2-40B4-BE49-F238E27FC236}">
              <a16:creationId xmlns:a16="http://schemas.microsoft.com/office/drawing/2014/main" id="{00000000-0008-0000-0400-000077000000}"/>
            </a:ext>
          </a:extLst>
        </xdr:cNvPr>
        <xdr:cNvCxnSpPr/>
      </xdr:nvCxnSpPr>
      <xdr:spPr>
        <a:xfrm>
          <a:off x="2174521" y="2000251"/>
          <a:ext cx="0"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314782</xdr:colOff>
      <xdr:row>42</xdr:row>
      <xdr:rowOff>121883</xdr:rowOff>
    </xdr:from>
    <xdr:ext cx="354235" cy="0"/>
    <xdr:cxnSp macro="">
      <xdr:nvCxnSpPr>
        <xdr:cNvPr id="140" name="Conector reto 139">
          <a:extLst>
            <a:ext uri="{FF2B5EF4-FFF2-40B4-BE49-F238E27FC236}">
              <a16:creationId xmlns:a16="http://schemas.microsoft.com/office/drawing/2014/main" id="{00000000-0008-0000-0400-00008C000000}"/>
            </a:ext>
          </a:extLst>
        </xdr:cNvPr>
        <xdr:cNvCxnSpPr/>
      </xdr:nvCxnSpPr>
      <xdr:spPr>
        <a:xfrm>
          <a:off x="487139" y="7669312"/>
          <a:ext cx="354235"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16</xdr:col>
      <xdr:colOff>158749</xdr:colOff>
      <xdr:row>49</xdr:row>
      <xdr:rowOff>6652</xdr:rowOff>
    </xdr:from>
    <xdr:ext cx="3161393" cy="658586"/>
    <xdr:sp macro="" textlink="">
      <xdr:nvSpPr>
        <xdr:cNvPr id="59" name="CaixaDeTexto 58">
          <a:extLst>
            <a:ext uri="{FF2B5EF4-FFF2-40B4-BE49-F238E27FC236}">
              <a16:creationId xmlns:a16="http://schemas.microsoft.com/office/drawing/2014/main" id="{00000000-0008-0000-0400-00003B000000}"/>
            </a:ext>
          </a:extLst>
        </xdr:cNvPr>
        <xdr:cNvSpPr txBox="1"/>
      </xdr:nvSpPr>
      <xdr:spPr>
        <a:xfrm>
          <a:off x="3926416" y="7647819"/>
          <a:ext cx="3161393" cy="658586"/>
        </a:xfrm>
        <a:prstGeom prst="rect">
          <a:avLst/>
        </a:prstGeom>
        <a:solidFill>
          <a:schemeClr val="bg1">
            <a:lumMod val="85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0" rIns="36000" bIns="0" rtlCol="0" anchor="ctr"/>
        <a:lstStyle/>
        <a:p>
          <a:pPr lvl="0" algn="ctr"/>
          <a:r>
            <a:rPr lang="pt-BR" sz="1000">
              <a:latin typeface="+mn-lt"/>
            </a:rPr>
            <a:t>Obs.: "evaporação" inclui a massa emitida à atmosfera por combustão na incineração, secagem do CDR, biodegradação e perda de umidade na compostagem e digestão anaeróbia.</a:t>
          </a:r>
        </a:p>
      </xdr:txBody>
    </xdr:sp>
    <xdr:clientData fLocksWithSheet="0"/>
  </xdr:oneCellAnchor>
  <xdr:oneCellAnchor>
    <xdr:from>
      <xdr:col>12</xdr:col>
      <xdr:colOff>73932</xdr:colOff>
      <xdr:row>2</xdr:row>
      <xdr:rowOff>122918</xdr:rowOff>
    </xdr:from>
    <xdr:ext cx="2724150" cy="504825"/>
    <xdr:sp macro="" textlink="">
      <xdr:nvSpPr>
        <xdr:cNvPr id="69" name="CaixaDeTexto 68">
          <a:extLst>
            <a:ext uri="{FF2B5EF4-FFF2-40B4-BE49-F238E27FC236}">
              <a16:creationId xmlns:a16="http://schemas.microsoft.com/office/drawing/2014/main" id="{00000000-0008-0000-0400-000045000000}"/>
            </a:ext>
          </a:extLst>
        </xdr:cNvPr>
        <xdr:cNvSpPr txBox="1"/>
      </xdr:nvSpPr>
      <xdr:spPr>
        <a:xfrm>
          <a:off x="2613932" y="467632"/>
          <a:ext cx="2724150" cy="504825"/>
        </a:xfrm>
        <a:prstGeom prst="rect">
          <a:avLst/>
        </a:prstGeom>
        <a:solidFill>
          <a:schemeClr val="bg1">
            <a:lumMod val="85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0" rIns="36000" bIns="0" rtlCol="0" anchor="ctr"/>
        <a:lstStyle/>
        <a:p>
          <a:pPr lvl="0" algn="ctr"/>
          <a:r>
            <a:rPr lang="pt-BR" sz="1000">
              <a:latin typeface="+mn-lt"/>
            </a:rPr>
            <a:t>Fluxo de massa para manejo de RSU.</a:t>
          </a:r>
        </a:p>
        <a:p>
          <a:pPr lvl="0" algn="ctr"/>
          <a:r>
            <a:rPr lang="pt-BR" sz="1000">
              <a:latin typeface="+mn-lt"/>
            </a:rPr>
            <a:t>Dados em toneladas por dia (t/d</a:t>
          </a:r>
          <a:r>
            <a:rPr lang="pt-BR" sz="1000">
              <a:solidFill>
                <a:sysClr val="windowText" lastClr="000000"/>
              </a:solidFill>
              <a:latin typeface="+mn-lt"/>
            </a:rPr>
            <a:t>). A direção do fluxo é para baixo e para a direita.</a:t>
          </a:r>
        </a:p>
      </xdr:txBody>
    </xdr:sp>
    <xdr:clientData fLocksWithSheet="0"/>
  </xdr:oneCellAnchor>
  <xdr:oneCellAnchor>
    <xdr:from>
      <xdr:col>40</xdr:col>
      <xdr:colOff>66675</xdr:colOff>
      <xdr:row>2</xdr:row>
      <xdr:rowOff>84364</xdr:rowOff>
    </xdr:from>
    <xdr:ext cx="2337594" cy="590550"/>
    <xdr:pic>
      <xdr:nvPicPr>
        <xdr:cNvPr id="6" name="image8.png">
          <a:extLst>
            <a:ext uri="{FF2B5EF4-FFF2-40B4-BE49-F238E27FC236}">
              <a16:creationId xmlns:a16="http://schemas.microsoft.com/office/drawing/2014/main" id="{00000000-0008-0000-0400-000006000000}"/>
            </a:ext>
          </a:extLst>
        </xdr:cNvPr>
        <xdr:cNvPicPr preferRelativeResize="0"/>
      </xdr:nvPicPr>
      <xdr:blipFill>
        <a:blip xmlns:r="http://schemas.openxmlformats.org/officeDocument/2006/relationships" r:embed="rId1" cstate="print"/>
        <a:stretch>
          <a:fillRect/>
        </a:stretch>
      </xdr:blipFill>
      <xdr:spPr>
        <a:xfrm>
          <a:off x="8348889" y="429078"/>
          <a:ext cx="2337594" cy="590550"/>
        </a:xfrm>
        <a:prstGeom prst="rect">
          <a:avLst/>
        </a:prstGeom>
        <a:noFill/>
      </xdr:spPr>
    </xdr:pic>
    <xdr:clientData fLocksWithSheet="0"/>
  </xdr:oneCellAnchor>
  <xdr:oneCellAnchor>
    <xdr:from>
      <xdr:col>19</xdr:col>
      <xdr:colOff>291171</xdr:colOff>
      <xdr:row>23</xdr:row>
      <xdr:rowOff>0</xdr:rowOff>
    </xdr:from>
    <xdr:ext cx="0" cy="92927"/>
    <xdr:cxnSp macro="">
      <xdr:nvCxnSpPr>
        <xdr:cNvPr id="109" name="Conector reto 37">
          <a:extLst>
            <a:ext uri="{FF2B5EF4-FFF2-40B4-BE49-F238E27FC236}">
              <a16:creationId xmlns:a16="http://schemas.microsoft.com/office/drawing/2014/main" id="{F4E5451D-7415-664D-9550-E7FE3A11C043}"/>
            </a:ext>
          </a:extLst>
        </xdr:cNvPr>
        <xdr:cNvCxnSpPr/>
      </xdr:nvCxnSpPr>
      <xdr:spPr>
        <a:xfrm>
          <a:off x="4751659" y="3020122"/>
          <a:ext cx="0" cy="92927"/>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30</xdr:col>
      <xdr:colOff>91443</xdr:colOff>
      <xdr:row>34</xdr:row>
      <xdr:rowOff>174694</xdr:rowOff>
    </xdr:from>
    <xdr:ext cx="0" cy="155506"/>
    <xdr:cxnSp macro="">
      <xdr:nvCxnSpPr>
        <xdr:cNvPr id="122" name="Conector reto 49">
          <a:extLst>
            <a:ext uri="{FF2B5EF4-FFF2-40B4-BE49-F238E27FC236}">
              <a16:creationId xmlns:a16="http://schemas.microsoft.com/office/drawing/2014/main" id="{3E46D18C-DDF0-6A49-AE88-B917C89B9E5C}"/>
            </a:ext>
          </a:extLst>
        </xdr:cNvPr>
        <xdr:cNvCxnSpPr/>
      </xdr:nvCxnSpPr>
      <xdr:spPr>
        <a:xfrm>
          <a:off x="7542110" y="4894861"/>
          <a:ext cx="0" cy="155506"/>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9</xdr:col>
      <xdr:colOff>307731</xdr:colOff>
      <xdr:row>24</xdr:row>
      <xdr:rowOff>211624</xdr:rowOff>
    </xdr:from>
    <xdr:ext cx="2037" cy="616318"/>
    <xdr:cxnSp macro="">
      <xdr:nvCxnSpPr>
        <xdr:cNvPr id="124" name="Conector reto 57">
          <a:extLst>
            <a:ext uri="{FF2B5EF4-FFF2-40B4-BE49-F238E27FC236}">
              <a16:creationId xmlns:a16="http://schemas.microsoft.com/office/drawing/2014/main" id="{C9F895EB-7AF2-E54E-83AD-D44ED9D8844D}"/>
            </a:ext>
          </a:extLst>
        </xdr:cNvPr>
        <xdr:cNvCxnSpPr/>
      </xdr:nvCxnSpPr>
      <xdr:spPr>
        <a:xfrm flipH="1">
          <a:off x="2645019" y="3252297"/>
          <a:ext cx="2037" cy="616318"/>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260554</xdr:colOff>
      <xdr:row>18</xdr:row>
      <xdr:rowOff>117929</xdr:rowOff>
    </xdr:from>
    <xdr:ext cx="758" cy="274057"/>
    <xdr:cxnSp macro="">
      <xdr:nvCxnSpPr>
        <xdr:cNvPr id="141" name="Conector reto 140">
          <a:extLst>
            <a:ext uri="{FF2B5EF4-FFF2-40B4-BE49-F238E27FC236}">
              <a16:creationId xmlns:a16="http://schemas.microsoft.com/office/drawing/2014/main" id="{C23B57F7-7C0A-4106-BC70-7F67EF9435AE}"/>
            </a:ext>
          </a:extLst>
        </xdr:cNvPr>
        <xdr:cNvCxnSpPr/>
      </xdr:nvCxnSpPr>
      <xdr:spPr>
        <a:xfrm flipH="1">
          <a:off x="9492748" y="2375707"/>
          <a:ext cx="758" cy="274057"/>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254000</xdr:colOff>
      <xdr:row>22</xdr:row>
      <xdr:rowOff>104321</xdr:rowOff>
    </xdr:from>
    <xdr:ext cx="758" cy="324304"/>
    <xdr:cxnSp macro="">
      <xdr:nvCxnSpPr>
        <xdr:cNvPr id="142" name="Conector reto 141">
          <a:extLst>
            <a:ext uri="{FF2B5EF4-FFF2-40B4-BE49-F238E27FC236}">
              <a16:creationId xmlns:a16="http://schemas.microsoft.com/office/drawing/2014/main" id="{0C62CB78-54AB-404E-965B-CCDB88E6BE37}"/>
            </a:ext>
          </a:extLst>
        </xdr:cNvPr>
        <xdr:cNvCxnSpPr/>
      </xdr:nvCxnSpPr>
      <xdr:spPr>
        <a:xfrm flipH="1">
          <a:off x="9501188" y="2890384"/>
          <a:ext cx="758" cy="324304"/>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19</xdr:col>
      <xdr:colOff>283401</xdr:colOff>
      <xdr:row>36</xdr:row>
      <xdr:rowOff>220323</xdr:rowOff>
    </xdr:from>
    <xdr:ext cx="0" cy="345722"/>
    <xdr:cxnSp macro="">
      <xdr:nvCxnSpPr>
        <xdr:cNvPr id="65" name="Conector reto 64">
          <a:extLst>
            <a:ext uri="{FF2B5EF4-FFF2-40B4-BE49-F238E27FC236}">
              <a16:creationId xmlns:a16="http://schemas.microsoft.com/office/drawing/2014/main" id="{1EEC5CC7-2146-464C-B375-A081A83B032D}"/>
            </a:ext>
          </a:extLst>
        </xdr:cNvPr>
        <xdr:cNvCxnSpPr/>
      </xdr:nvCxnSpPr>
      <xdr:spPr>
        <a:xfrm>
          <a:off x="4836351" y="4906623"/>
          <a:ext cx="0" cy="34572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20</xdr:col>
      <xdr:colOff>34059</xdr:colOff>
      <xdr:row>42</xdr:row>
      <xdr:rowOff>112360</xdr:rowOff>
    </xdr:from>
    <xdr:ext cx="3213966" cy="1940"/>
    <xdr:cxnSp macro="">
      <xdr:nvCxnSpPr>
        <xdr:cNvPr id="67" name="Conector reto 66">
          <a:extLst>
            <a:ext uri="{FF2B5EF4-FFF2-40B4-BE49-F238E27FC236}">
              <a16:creationId xmlns:a16="http://schemas.microsoft.com/office/drawing/2014/main" id="{8CCE780F-CA17-4754-A2E1-85A309CD9D08}"/>
            </a:ext>
          </a:extLst>
        </xdr:cNvPr>
        <xdr:cNvCxnSpPr/>
      </xdr:nvCxnSpPr>
      <xdr:spPr>
        <a:xfrm>
          <a:off x="5177559" y="5694010"/>
          <a:ext cx="3213966" cy="194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wsDr>
</file>

<file path=xl/drawings/drawing6.xml><?xml version="1.0" encoding="utf-8"?>
<xdr:wsDr xmlns:xdr="http://schemas.openxmlformats.org/drawingml/2006/spreadsheetDrawing" xmlns:a="http://schemas.openxmlformats.org/drawingml/2006/main">
  <xdr:oneCellAnchor>
    <xdr:from>
      <xdr:col>8</xdr:col>
      <xdr:colOff>887730</xdr:colOff>
      <xdr:row>1</xdr:row>
      <xdr:rowOff>0</xdr:rowOff>
    </xdr:from>
    <xdr:ext cx="1800225" cy="485775"/>
    <xdr:pic>
      <xdr:nvPicPr>
        <xdr:cNvPr id="2" name="image9.png">
          <a:extLst>
            <a:ext uri="{FF2B5EF4-FFF2-40B4-BE49-F238E27FC236}">
              <a16:creationId xmlns:a16="http://schemas.microsoft.com/office/drawing/2014/main" id="{00000000-0008-0000-0500-000002000000}"/>
            </a:ext>
          </a:extLst>
        </xdr:cNvPr>
        <xdr:cNvPicPr preferRelativeResize="0"/>
      </xdr:nvPicPr>
      <xdr:blipFill>
        <a:blip xmlns:r="http://schemas.openxmlformats.org/officeDocument/2006/relationships" r:embed="rId1" cstate="print"/>
        <a:stretch>
          <a:fillRect/>
        </a:stretch>
      </xdr:blipFill>
      <xdr:spPr>
        <a:xfrm>
          <a:off x="9307830" y="160020"/>
          <a:ext cx="1800225" cy="485775"/>
        </a:xfrm>
        <a:prstGeom prst="rect">
          <a:avLst/>
        </a:prstGeom>
        <a:noFill/>
      </xdr:spPr>
    </xdr:pic>
    <xdr:clientData fLocksWithSheet="0"/>
  </xdr:oneCellAnchor>
</xdr:wsDr>
</file>

<file path=xl/drawings/drawing7.xml><?xml version="1.0" encoding="utf-8"?>
<xdr:wsDr xmlns:xdr="http://schemas.openxmlformats.org/drawingml/2006/spreadsheetDrawing" xmlns:a="http://schemas.openxmlformats.org/drawingml/2006/main">
  <xdr:oneCellAnchor>
    <xdr:from>
      <xdr:col>9</xdr:col>
      <xdr:colOff>1359</xdr:colOff>
      <xdr:row>0</xdr:row>
      <xdr:rowOff>19049</xdr:rowOff>
    </xdr:from>
    <xdr:ext cx="8695601" cy="7056665"/>
    <xdr:graphicFrame macro="">
      <xdr:nvGraphicFramePr>
        <xdr:cNvPr id="2" name="Chart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oneCellAnchor>
    <xdr:from>
      <xdr:col>1</xdr:col>
      <xdr:colOff>685800</xdr:colOff>
      <xdr:row>0</xdr:row>
      <xdr:rowOff>40640</xdr:rowOff>
    </xdr:from>
    <xdr:ext cx="2340000" cy="540000"/>
    <xdr:pic>
      <xdr:nvPicPr>
        <xdr:cNvPr id="3" name="image11.png">
          <a:extLst>
            <a:ext uri="{FF2B5EF4-FFF2-40B4-BE49-F238E27FC236}">
              <a16:creationId xmlns:a16="http://schemas.microsoft.com/office/drawing/2014/main" id="{00000000-0008-0000-0700-000003000000}"/>
            </a:ext>
          </a:extLst>
        </xdr:cNvPr>
        <xdr:cNvPicPr preferRelativeResize="0"/>
      </xdr:nvPicPr>
      <xdr:blipFill>
        <a:blip xmlns:r="http://schemas.openxmlformats.org/officeDocument/2006/relationships" r:embed="rId2" cstate="print"/>
        <a:stretch>
          <a:fillRect/>
        </a:stretch>
      </xdr:blipFill>
      <xdr:spPr>
        <a:xfrm>
          <a:off x="756920" y="40640"/>
          <a:ext cx="2340000" cy="540000"/>
        </a:xfrm>
        <a:prstGeom prst="rect">
          <a:avLst/>
        </a:prstGeom>
        <a:noFill/>
      </xdr:spPr>
    </xdr:pic>
    <xdr:clientData fLocksWithSheet="0"/>
  </xdr:oneCellAnchor>
  <xdr:twoCellAnchor>
    <xdr:from>
      <xdr:col>6</xdr:col>
      <xdr:colOff>25036</xdr:colOff>
      <xdr:row>33</xdr:row>
      <xdr:rowOff>40641</xdr:rowOff>
    </xdr:from>
    <xdr:to>
      <xdr:col>7</xdr:col>
      <xdr:colOff>1051947</xdr:colOff>
      <xdr:row>33</xdr:row>
      <xdr:rowOff>256641</xdr:rowOff>
    </xdr:to>
    <xdr:sp macro="[0]!Abrir_Frm" textlink="">
      <xdr:nvSpPr>
        <xdr:cNvPr id="4" name="Rectangle 3">
          <a:extLst>
            <a:ext uri="{FF2B5EF4-FFF2-40B4-BE49-F238E27FC236}">
              <a16:creationId xmlns:a16="http://schemas.microsoft.com/office/drawing/2014/main" id="{00000000-0008-0000-0700-000004000000}"/>
            </a:ext>
          </a:extLst>
        </xdr:cNvPr>
        <xdr:cNvSpPr/>
      </xdr:nvSpPr>
      <xdr:spPr>
        <a:xfrm>
          <a:off x="9038407" y="6376127"/>
          <a:ext cx="2082826" cy="216000"/>
        </a:xfrm>
        <a:prstGeom prst="rect">
          <a:avLst/>
        </a:prstGeom>
        <a:ln w="12700">
          <a:solidFill>
            <a:schemeClr val="tx1"/>
          </a:solidFill>
        </a:ln>
      </xdr:spPr>
      <xdr:style>
        <a:lnRef idx="1">
          <a:schemeClr val="accent6"/>
        </a:lnRef>
        <a:fillRef idx="2">
          <a:schemeClr val="accent6"/>
        </a:fillRef>
        <a:effectRef idx="1">
          <a:schemeClr val="accent6"/>
        </a:effectRef>
        <a:fontRef idx="minor">
          <a:schemeClr val="dk1"/>
        </a:fontRef>
      </xdr:style>
      <xdr:txBody>
        <a:bodyPr vertOverflow="clip" horzOverflow="clip" rtlCol="0" anchor="ctr"/>
        <a:lstStyle/>
        <a:p>
          <a:pPr algn="ctr"/>
          <a:r>
            <a:rPr lang="es-HN" sz="1400" b="1"/>
            <a:t>Atualizar TARIFA</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5</xdr:col>
      <xdr:colOff>20320</xdr:colOff>
      <xdr:row>16</xdr:row>
      <xdr:rowOff>162560</xdr:rowOff>
    </xdr:from>
    <xdr:ext cx="2795284" cy="628795"/>
    <xdr:pic>
      <xdr:nvPicPr>
        <xdr:cNvPr id="2" name="image14.png">
          <a:extLst>
            <a:ext uri="{FF2B5EF4-FFF2-40B4-BE49-F238E27FC236}">
              <a16:creationId xmlns:a16="http://schemas.microsoft.com/office/drawing/2014/main" id="{FC9BF6F8-6498-479C-9B3C-8E4BDE438C29}"/>
            </a:ext>
          </a:extLst>
        </xdr:cNvPr>
        <xdr:cNvPicPr preferRelativeResize="0"/>
      </xdr:nvPicPr>
      <xdr:blipFill>
        <a:blip xmlns:r="http://schemas.openxmlformats.org/officeDocument/2006/relationships" r:embed="rId1" cstate="print"/>
        <a:stretch>
          <a:fillRect/>
        </a:stretch>
      </xdr:blipFill>
      <xdr:spPr>
        <a:xfrm>
          <a:off x="7061200" y="3677920"/>
          <a:ext cx="2795284" cy="628795"/>
        </a:xfrm>
        <a:prstGeom prst="rect">
          <a:avLst/>
        </a:prstGeom>
        <a:noFill/>
      </xdr:spPr>
    </xdr:pic>
    <xdr:clientData fLocksWithSheet="0"/>
  </xdr:oneCellAnchor>
  <xdr:twoCellAnchor editAs="oneCell">
    <xdr:from>
      <xdr:col>6</xdr:col>
      <xdr:colOff>721360</xdr:colOff>
      <xdr:row>16</xdr:row>
      <xdr:rowOff>172720</xdr:rowOff>
    </xdr:from>
    <xdr:to>
      <xdr:col>7</xdr:col>
      <xdr:colOff>722366</xdr:colOff>
      <xdr:row>28</xdr:row>
      <xdr:rowOff>399524</xdr:rowOff>
    </xdr:to>
    <xdr:pic>
      <xdr:nvPicPr>
        <xdr:cNvPr id="3" name="Imagem 2">
          <a:extLst>
            <a:ext uri="{FF2B5EF4-FFF2-40B4-BE49-F238E27FC236}">
              <a16:creationId xmlns:a16="http://schemas.microsoft.com/office/drawing/2014/main" id="{DA7B0A16-9BD2-46D5-B1A6-DDE667F48D2C}"/>
            </a:ext>
          </a:extLst>
        </xdr:cNvPr>
        <xdr:cNvPicPr>
          <a:picLocks noChangeAspect="1"/>
        </xdr:cNvPicPr>
      </xdr:nvPicPr>
      <xdr:blipFill>
        <a:blip xmlns:r="http://schemas.openxmlformats.org/officeDocument/2006/relationships" r:embed="rId2"/>
        <a:stretch>
          <a:fillRect/>
        </a:stretch>
      </xdr:blipFill>
      <xdr:spPr>
        <a:xfrm>
          <a:off x="9855200" y="3688080"/>
          <a:ext cx="2114286" cy="580952"/>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oneCellAnchor>
    <xdr:from>
      <xdr:col>8</xdr:col>
      <xdr:colOff>171874</xdr:colOff>
      <xdr:row>4</xdr:row>
      <xdr:rowOff>79058</xdr:rowOff>
    </xdr:from>
    <xdr:ext cx="9784079" cy="4134802"/>
    <xdr:graphicFrame macro="">
      <xdr:nvGraphicFramePr>
        <xdr:cNvPr id="3" name="Chart 3">
          <a:extLst>
            <a:ext uri="{FF2B5EF4-FFF2-40B4-BE49-F238E27FC236}">
              <a16:creationId xmlns:a16="http://schemas.microsoft.com/office/drawing/2014/main" id="{00000000-0008-0000-0A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oneCellAnchor>
    <xdr:from>
      <xdr:col>5</xdr:col>
      <xdr:colOff>542276</xdr:colOff>
      <xdr:row>1</xdr:row>
      <xdr:rowOff>31605</xdr:rowOff>
    </xdr:from>
    <xdr:ext cx="2795284" cy="628795"/>
    <xdr:pic>
      <xdr:nvPicPr>
        <xdr:cNvPr id="2" name="image14.png">
          <a:extLst>
            <a:ext uri="{FF2B5EF4-FFF2-40B4-BE49-F238E27FC236}">
              <a16:creationId xmlns:a16="http://schemas.microsoft.com/office/drawing/2014/main" id="{00000000-0008-0000-0A00-000002000000}"/>
            </a:ext>
          </a:extLst>
        </xdr:cNvPr>
        <xdr:cNvPicPr preferRelativeResize="0"/>
      </xdr:nvPicPr>
      <xdr:blipFill>
        <a:blip xmlns:r="http://schemas.openxmlformats.org/officeDocument/2006/relationships" r:embed="rId2" cstate="print"/>
        <a:stretch>
          <a:fillRect/>
        </a:stretch>
      </xdr:blipFill>
      <xdr:spPr>
        <a:xfrm>
          <a:off x="5673076" y="99338"/>
          <a:ext cx="2795284" cy="628795"/>
        </a:xfrm>
        <a:prstGeom prst="rect">
          <a:avLst/>
        </a:prstGeom>
        <a:noFill/>
      </xdr:spPr>
    </xdr:pic>
    <xdr:clientData fLocksWithSheet="0"/>
  </xdr:oneCellAnchor>
</xdr:wsDr>
</file>

<file path=xl/drawings/drawing10.xml><?xml version="1.0" encoding="utf-8"?>
<xdr:wsDr xmlns:xdr="http://schemas.openxmlformats.org/drawingml/2006/spreadsheetDrawing" xmlns:a="http://schemas.openxmlformats.org/drawingml/2006/main">
  <xdr:oneCellAnchor>
    <xdr:from>
      <xdr:col>7</xdr:col>
      <xdr:colOff>10160</xdr:colOff>
      <xdr:row>2</xdr:row>
      <xdr:rowOff>91440</xdr:rowOff>
    </xdr:from>
    <xdr:ext cx="2185684" cy="486555"/>
    <xdr:pic>
      <xdr:nvPicPr>
        <xdr:cNvPr id="2" name="image14.png">
          <a:extLst>
            <a:ext uri="{FF2B5EF4-FFF2-40B4-BE49-F238E27FC236}">
              <a16:creationId xmlns:a16="http://schemas.microsoft.com/office/drawing/2014/main" id="{5088F3B7-5070-44BB-A6C3-41A99C520119}"/>
            </a:ext>
          </a:extLst>
        </xdr:cNvPr>
        <xdr:cNvPicPr preferRelativeResize="0"/>
      </xdr:nvPicPr>
      <xdr:blipFill>
        <a:blip xmlns:r="http://schemas.openxmlformats.org/officeDocument/2006/relationships" r:embed="rId1" cstate="print"/>
        <a:stretch>
          <a:fillRect/>
        </a:stretch>
      </xdr:blipFill>
      <xdr:spPr>
        <a:xfrm>
          <a:off x="7254240" y="599440"/>
          <a:ext cx="2185684" cy="486555"/>
        </a:xfrm>
        <a:prstGeom prst="rect">
          <a:avLst/>
        </a:prstGeom>
        <a:noFill/>
      </xdr:spPr>
    </xdr:pic>
    <xdr:clientData fLocksWithSheet="0"/>
  </xdr:oneCellAnchor>
  <xdr:twoCellAnchor editAs="oneCell">
    <xdr:from>
      <xdr:col>9</xdr:col>
      <xdr:colOff>755726</xdr:colOff>
      <xdr:row>2</xdr:row>
      <xdr:rowOff>86054</xdr:rowOff>
    </xdr:from>
    <xdr:to>
      <xdr:col>12</xdr:col>
      <xdr:colOff>661405</xdr:colOff>
      <xdr:row>4</xdr:row>
      <xdr:rowOff>194871</xdr:rowOff>
    </xdr:to>
    <xdr:pic>
      <xdr:nvPicPr>
        <xdr:cNvPr id="3" name="Imagem 2">
          <a:extLst>
            <a:ext uri="{FF2B5EF4-FFF2-40B4-BE49-F238E27FC236}">
              <a16:creationId xmlns:a16="http://schemas.microsoft.com/office/drawing/2014/main" id="{50EBB030-A727-460C-A6A1-B50C50CD973C}"/>
            </a:ext>
          </a:extLst>
        </xdr:cNvPr>
        <xdr:cNvPicPr>
          <a:picLocks noChangeAspect="1"/>
        </xdr:cNvPicPr>
      </xdr:nvPicPr>
      <xdr:blipFill>
        <a:blip xmlns:r="http://schemas.openxmlformats.org/officeDocument/2006/relationships" r:embed="rId2"/>
        <a:stretch>
          <a:fillRect/>
        </a:stretch>
      </xdr:blipFill>
      <xdr:spPr>
        <a:xfrm>
          <a:off x="9899726" y="594054"/>
          <a:ext cx="1653199" cy="454257"/>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oneCellAnchor>
    <xdr:from>
      <xdr:col>7</xdr:col>
      <xdr:colOff>20320</xdr:colOff>
      <xdr:row>2</xdr:row>
      <xdr:rowOff>86666</xdr:rowOff>
    </xdr:from>
    <xdr:ext cx="2185684" cy="486555"/>
    <xdr:pic>
      <xdr:nvPicPr>
        <xdr:cNvPr id="2" name="image14.png">
          <a:extLst>
            <a:ext uri="{FF2B5EF4-FFF2-40B4-BE49-F238E27FC236}">
              <a16:creationId xmlns:a16="http://schemas.microsoft.com/office/drawing/2014/main" id="{49063134-DE14-4672-AB15-A84285FDF15C}"/>
            </a:ext>
          </a:extLst>
        </xdr:cNvPr>
        <xdr:cNvPicPr preferRelativeResize="0"/>
      </xdr:nvPicPr>
      <xdr:blipFill>
        <a:blip xmlns:r="http://schemas.openxmlformats.org/officeDocument/2006/relationships" r:embed="rId1" cstate="print"/>
        <a:stretch>
          <a:fillRect/>
        </a:stretch>
      </xdr:blipFill>
      <xdr:spPr>
        <a:xfrm>
          <a:off x="7264400" y="594666"/>
          <a:ext cx="2185684" cy="486555"/>
        </a:xfrm>
        <a:prstGeom prst="rect">
          <a:avLst/>
        </a:prstGeom>
        <a:noFill/>
      </xdr:spPr>
    </xdr:pic>
    <xdr:clientData fLocksWithSheet="0"/>
  </xdr:oneCellAnchor>
  <xdr:twoCellAnchor editAs="oneCell">
    <xdr:from>
      <xdr:col>9</xdr:col>
      <xdr:colOff>765886</xdr:colOff>
      <xdr:row>2</xdr:row>
      <xdr:rowOff>81280</xdr:rowOff>
    </xdr:from>
    <xdr:to>
      <xdr:col>12</xdr:col>
      <xdr:colOff>671565</xdr:colOff>
      <xdr:row>4</xdr:row>
      <xdr:rowOff>190097</xdr:rowOff>
    </xdr:to>
    <xdr:pic>
      <xdr:nvPicPr>
        <xdr:cNvPr id="3" name="Imagem 2">
          <a:extLst>
            <a:ext uri="{FF2B5EF4-FFF2-40B4-BE49-F238E27FC236}">
              <a16:creationId xmlns:a16="http://schemas.microsoft.com/office/drawing/2014/main" id="{3654E38C-EB8C-442D-9E20-E03D709BCB74}"/>
            </a:ext>
          </a:extLst>
        </xdr:cNvPr>
        <xdr:cNvPicPr>
          <a:picLocks noChangeAspect="1"/>
        </xdr:cNvPicPr>
      </xdr:nvPicPr>
      <xdr:blipFill>
        <a:blip xmlns:r="http://schemas.openxmlformats.org/officeDocument/2006/relationships" r:embed="rId2"/>
        <a:stretch>
          <a:fillRect/>
        </a:stretch>
      </xdr:blipFill>
      <xdr:spPr>
        <a:xfrm>
          <a:off x="9909886" y="589280"/>
          <a:ext cx="1653199" cy="454257"/>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oneCellAnchor>
    <xdr:from>
      <xdr:col>7</xdr:col>
      <xdr:colOff>10160</xdr:colOff>
      <xdr:row>2</xdr:row>
      <xdr:rowOff>96826</xdr:rowOff>
    </xdr:from>
    <xdr:ext cx="2185684" cy="486555"/>
    <xdr:pic>
      <xdr:nvPicPr>
        <xdr:cNvPr id="2" name="image14.png">
          <a:extLst>
            <a:ext uri="{FF2B5EF4-FFF2-40B4-BE49-F238E27FC236}">
              <a16:creationId xmlns:a16="http://schemas.microsoft.com/office/drawing/2014/main" id="{26736760-D426-4508-9AF3-18202BE7FB3B}"/>
            </a:ext>
          </a:extLst>
        </xdr:cNvPr>
        <xdr:cNvPicPr preferRelativeResize="0"/>
      </xdr:nvPicPr>
      <xdr:blipFill>
        <a:blip xmlns:r="http://schemas.openxmlformats.org/officeDocument/2006/relationships" r:embed="rId1" cstate="print"/>
        <a:stretch>
          <a:fillRect/>
        </a:stretch>
      </xdr:blipFill>
      <xdr:spPr>
        <a:xfrm>
          <a:off x="7254240" y="604826"/>
          <a:ext cx="2185684" cy="486555"/>
        </a:xfrm>
        <a:prstGeom prst="rect">
          <a:avLst/>
        </a:prstGeom>
        <a:noFill/>
      </xdr:spPr>
    </xdr:pic>
    <xdr:clientData fLocksWithSheet="0"/>
  </xdr:oneCellAnchor>
  <xdr:twoCellAnchor editAs="oneCell">
    <xdr:from>
      <xdr:col>9</xdr:col>
      <xdr:colOff>755726</xdr:colOff>
      <xdr:row>2</xdr:row>
      <xdr:rowOff>91440</xdr:rowOff>
    </xdr:from>
    <xdr:to>
      <xdr:col>12</xdr:col>
      <xdr:colOff>661405</xdr:colOff>
      <xdr:row>4</xdr:row>
      <xdr:rowOff>200257</xdr:rowOff>
    </xdr:to>
    <xdr:pic>
      <xdr:nvPicPr>
        <xdr:cNvPr id="3" name="Imagem 2">
          <a:extLst>
            <a:ext uri="{FF2B5EF4-FFF2-40B4-BE49-F238E27FC236}">
              <a16:creationId xmlns:a16="http://schemas.microsoft.com/office/drawing/2014/main" id="{85FA04CE-F934-40E6-8672-0B07DEDD2F06}"/>
            </a:ext>
          </a:extLst>
        </xdr:cNvPr>
        <xdr:cNvPicPr>
          <a:picLocks noChangeAspect="1"/>
        </xdr:cNvPicPr>
      </xdr:nvPicPr>
      <xdr:blipFill>
        <a:blip xmlns:r="http://schemas.openxmlformats.org/officeDocument/2006/relationships" r:embed="rId2"/>
        <a:stretch>
          <a:fillRect/>
        </a:stretch>
      </xdr:blipFill>
      <xdr:spPr>
        <a:xfrm>
          <a:off x="9899726" y="599440"/>
          <a:ext cx="1653199" cy="454257"/>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oneCellAnchor>
    <xdr:from>
      <xdr:col>7</xdr:col>
      <xdr:colOff>10160</xdr:colOff>
      <xdr:row>2</xdr:row>
      <xdr:rowOff>96826</xdr:rowOff>
    </xdr:from>
    <xdr:ext cx="2185684" cy="486555"/>
    <xdr:pic>
      <xdr:nvPicPr>
        <xdr:cNvPr id="2" name="image14.png">
          <a:extLst>
            <a:ext uri="{FF2B5EF4-FFF2-40B4-BE49-F238E27FC236}">
              <a16:creationId xmlns:a16="http://schemas.microsoft.com/office/drawing/2014/main" id="{2B171B99-CE47-42FC-8086-2167D91D8689}"/>
            </a:ext>
          </a:extLst>
        </xdr:cNvPr>
        <xdr:cNvPicPr preferRelativeResize="0"/>
      </xdr:nvPicPr>
      <xdr:blipFill>
        <a:blip xmlns:r="http://schemas.openxmlformats.org/officeDocument/2006/relationships" r:embed="rId1" cstate="print"/>
        <a:stretch>
          <a:fillRect/>
        </a:stretch>
      </xdr:blipFill>
      <xdr:spPr>
        <a:xfrm>
          <a:off x="7254240" y="604826"/>
          <a:ext cx="2185684" cy="486555"/>
        </a:xfrm>
        <a:prstGeom prst="rect">
          <a:avLst/>
        </a:prstGeom>
        <a:noFill/>
      </xdr:spPr>
    </xdr:pic>
    <xdr:clientData fLocksWithSheet="0"/>
  </xdr:oneCellAnchor>
  <xdr:twoCellAnchor editAs="oneCell">
    <xdr:from>
      <xdr:col>9</xdr:col>
      <xdr:colOff>755726</xdr:colOff>
      <xdr:row>2</xdr:row>
      <xdr:rowOff>91440</xdr:rowOff>
    </xdr:from>
    <xdr:to>
      <xdr:col>12</xdr:col>
      <xdr:colOff>661405</xdr:colOff>
      <xdr:row>4</xdr:row>
      <xdr:rowOff>200257</xdr:rowOff>
    </xdr:to>
    <xdr:pic>
      <xdr:nvPicPr>
        <xdr:cNvPr id="3" name="Imagem 2">
          <a:extLst>
            <a:ext uri="{FF2B5EF4-FFF2-40B4-BE49-F238E27FC236}">
              <a16:creationId xmlns:a16="http://schemas.microsoft.com/office/drawing/2014/main" id="{923E2735-F4FB-4C00-AF24-098F7C7038E2}"/>
            </a:ext>
          </a:extLst>
        </xdr:cNvPr>
        <xdr:cNvPicPr>
          <a:picLocks noChangeAspect="1"/>
        </xdr:cNvPicPr>
      </xdr:nvPicPr>
      <xdr:blipFill>
        <a:blip xmlns:r="http://schemas.openxmlformats.org/officeDocument/2006/relationships" r:embed="rId2"/>
        <a:stretch>
          <a:fillRect/>
        </a:stretch>
      </xdr:blipFill>
      <xdr:spPr>
        <a:xfrm>
          <a:off x="9899726" y="599440"/>
          <a:ext cx="1653199" cy="454257"/>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oneCellAnchor>
    <xdr:from>
      <xdr:col>7</xdr:col>
      <xdr:colOff>20320</xdr:colOff>
      <xdr:row>2</xdr:row>
      <xdr:rowOff>86666</xdr:rowOff>
    </xdr:from>
    <xdr:ext cx="2185684" cy="486555"/>
    <xdr:pic>
      <xdr:nvPicPr>
        <xdr:cNvPr id="2" name="image14.png">
          <a:extLst>
            <a:ext uri="{FF2B5EF4-FFF2-40B4-BE49-F238E27FC236}">
              <a16:creationId xmlns:a16="http://schemas.microsoft.com/office/drawing/2014/main" id="{7774B2FF-9104-4276-8A28-6247D140B3ED}"/>
            </a:ext>
          </a:extLst>
        </xdr:cNvPr>
        <xdr:cNvPicPr preferRelativeResize="0"/>
      </xdr:nvPicPr>
      <xdr:blipFill>
        <a:blip xmlns:r="http://schemas.openxmlformats.org/officeDocument/2006/relationships" r:embed="rId1" cstate="print"/>
        <a:stretch>
          <a:fillRect/>
        </a:stretch>
      </xdr:blipFill>
      <xdr:spPr>
        <a:xfrm>
          <a:off x="7264400" y="594666"/>
          <a:ext cx="2185684" cy="486555"/>
        </a:xfrm>
        <a:prstGeom prst="rect">
          <a:avLst/>
        </a:prstGeom>
        <a:noFill/>
      </xdr:spPr>
    </xdr:pic>
    <xdr:clientData fLocksWithSheet="0"/>
  </xdr:oneCellAnchor>
  <xdr:twoCellAnchor editAs="oneCell">
    <xdr:from>
      <xdr:col>9</xdr:col>
      <xdr:colOff>765886</xdr:colOff>
      <xdr:row>2</xdr:row>
      <xdr:rowOff>81280</xdr:rowOff>
    </xdr:from>
    <xdr:to>
      <xdr:col>12</xdr:col>
      <xdr:colOff>671565</xdr:colOff>
      <xdr:row>4</xdr:row>
      <xdr:rowOff>190097</xdr:rowOff>
    </xdr:to>
    <xdr:pic>
      <xdr:nvPicPr>
        <xdr:cNvPr id="3" name="Imagem 2">
          <a:extLst>
            <a:ext uri="{FF2B5EF4-FFF2-40B4-BE49-F238E27FC236}">
              <a16:creationId xmlns:a16="http://schemas.microsoft.com/office/drawing/2014/main" id="{BB1728BD-15C7-48B0-9AFA-8EBDE53057A2}"/>
            </a:ext>
          </a:extLst>
        </xdr:cNvPr>
        <xdr:cNvPicPr>
          <a:picLocks noChangeAspect="1"/>
        </xdr:cNvPicPr>
      </xdr:nvPicPr>
      <xdr:blipFill>
        <a:blip xmlns:r="http://schemas.openxmlformats.org/officeDocument/2006/relationships" r:embed="rId2"/>
        <a:stretch>
          <a:fillRect/>
        </a:stretch>
      </xdr:blipFill>
      <xdr:spPr>
        <a:xfrm>
          <a:off x="9909886" y="589280"/>
          <a:ext cx="1653199" cy="454257"/>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oneCellAnchor>
    <xdr:from>
      <xdr:col>7</xdr:col>
      <xdr:colOff>10160</xdr:colOff>
      <xdr:row>2</xdr:row>
      <xdr:rowOff>86666</xdr:rowOff>
    </xdr:from>
    <xdr:ext cx="2185684" cy="486555"/>
    <xdr:pic>
      <xdr:nvPicPr>
        <xdr:cNvPr id="2" name="image14.png">
          <a:extLst>
            <a:ext uri="{FF2B5EF4-FFF2-40B4-BE49-F238E27FC236}">
              <a16:creationId xmlns:a16="http://schemas.microsoft.com/office/drawing/2014/main" id="{0CDEFD1C-C1A6-417D-8DB9-BA5CA78F9789}"/>
            </a:ext>
          </a:extLst>
        </xdr:cNvPr>
        <xdr:cNvPicPr preferRelativeResize="0"/>
      </xdr:nvPicPr>
      <xdr:blipFill>
        <a:blip xmlns:r="http://schemas.openxmlformats.org/officeDocument/2006/relationships" r:embed="rId1" cstate="print"/>
        <a:stretch>
          <a:fillRect/>
        </a:stretch>
      </xdr:blipFill>
      <xdr:spPr>
        <a:xfrm>
          <a:off x="7254240" y="594666"/>
          <a:ext cx="2185684" cy="486555"/>
        </a:xfrm>
        <a:prstGeom prst="rect">
          <a:avLst/>
        </a:prstGeom>
        <a:noFill/>
      </xdr:spPr>
    </xdr:pic>
    <xdr:clientData fLocksWithSheet="0"/>
  </xdr:oneCellAnchor>
  <xdr:twoCellAnchor editAs="oneCell">
    <xdr:from>
      <xdr:col>9</xdr:col>
      <xdr:colOff>755726</xdr:colOff>
      <xdr:row>2</xdr:row>
      <xdr:rowOff>81280</xdr:rowOff>
    </xdr:from>
    <xdr:to>
      <xdr:col>12</xdr:col>
      <xdr:colOff>661405</xdr:colOff>
      <xdr:row>4</xdr:row>
      <xdr:rowOff>190097</xdr:rowOff>
    </xdr:to>
    <xdr:pic>
      <xdr:nvPicPr>
        <xdr:cNvPr id="3" name="Imagem 2">
          <a:extLst>
            <a:ext uri="{FF2B5EF4-FFF2-40B4-BE49-F238E27FC236}">
              <a16:creationId xmlns:a16="http://schemas.microsoft.com/office/drawing/2014/main" id="{89EBF3A8-6109-41C2-B5FD-15045001CB70}"/>
            </a:ext>
          </a:extLst>
        </xdr:cNvPr>
        <xdr:cNvPicPr>
          <a:picLocks noChangeAspect="1"/>
        </xdr:cNvPicPr>
      </xdr:nvPicPr>
      <xdr:blipFill>
        <a:blip xmlns:r="http://schemas.openxmlformats.org/officeDocument/2006/relationships" r:embed="rId2"/>
        <a:stretch>
          <a:fillRect/>
        </a:stretch>
      </xdr:blipFill>
      <xdr:spPr>
        <a:xfrm>
          <a:off x="9899726" y="589280"/>
          <a:ext cx="1653199" cy="454257"/>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oneCellAnchor>
    <xdr:from>
      <xdr:col>7</xdr:col>
      <xdr:colOff>10160</xdr:colOff>
      <xdr:row>2</xdr:row>
      <xdr:rowOff>86666</xdr:rowOff>
    </xdr:from>
    <xdr:ext cx="2185684" cy="486555"/>
    <xdr:pic>
      <xdr:nvPicPr>
        <xdr:cNvPr id="2" name="image14.png">
          <a:extLst>
            <a:ext uri="{FF2B5EF4-FFF2-40B4-BE49-F238E27FC236}">
              <a16:creationId xmlns:a16="http://schemas.microsoft.com/office/drawing/2014/main" id="{21FEE48F-8E9B-499A-91AF-13278F977559}"/>
            </a:ext>
          </a:extLst>
        </xdr:cNvPr>
        <xdr:cNvPicPr preferRelativeResize="0"/>
      </xdr:nvPicPr>
      <xdr:blipFill>
        <a:blip xmlns:r="http://schemas.openxmlformats.org/officeDocument/2006/relationships" r:embed="rId1" cstate="print"/>
        <a:stretch>
          <a:fillRect/>
        </a:stretch>
      </xdr:blipFill>
      <xdr:spPr>
        <a:xfrm>
          <a:off x="7254240" y="594666"/>
          <a:ext cx="2185684" cy="486555"/>
        </a:xfrm>
        <a:prstGeom prst="rect">
          <a:avLst/>
        </a:prstGeom>
        <a:noFill/>
      </xdr:spPr>
    </xdr:pic>
    <xdr:clientData fLocksWithSheet="0"/>
  </xdr:oneCellAnchor>
  <xdr:twoCellAnchor editAs="oneCell">
    <xdr:from>
      <xdr:col>9</xdr:col>
      <xdr:colOff>755726</xdr:colOff>
      <xdr:row>2</xdr:row>
      <xdr:rowOff>81280</xdr:rowOff>
    </xdr:from>
    <xdr:to>
      <xdr:col>12</xdr:col>
      <xdr:colOff>661405</xdr:colOff>
      <xdr:row>4</xdr:row>
      <xdr:rowOff>190097</xdr:rowOff>
    </xdr:to>
    <xdr:pic>
      <xdr:nvPicPr>
        <xdr:cNvPr id="3" name="Imagem 2">
          <a:extLst>
            <a:ext uri="{FF2B5EF4-FFF2-40B4-BE49-F238E27FC236}">
              <a16:creationId xmlns:a16="http://schemas.microsoft.com/office/drawing/2014/main" id="{E58EAB47-A72A-4E27-825C-EDB5558E0956}"/>
            </a:ext>
          </a:extLst>
        </xdr:cNvPr>
        <xdr:cNvPicPr>
          <a:picLocks noChangeAspect="1"/>
        </xdr:cNvPicPr>
      </xdr:nvPicPr>
      <xdr:blipFill>
        <a:blip xmlns:r="http://schemas.openxmlformats.org/officeDocument/2006/relationships" r:embed="rId2"/>
        <a:stretch>
          <a:fillRect/>
        </a:stretch>
      </xdr:blipFill>
      <xdr:spPr>
        <a:xfrm>
          <a:off x="9899726" y="589280"/>
          <a:ext cx="1653199" cy="454257"/>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oneCellAnchor>
    <xdr:from>
      <xdr:col>37</xdr:col>
      <xdr:colOff>171450</xdr:colOff>
      <xdr:row>47</xdr:row>
      <xdr:rowOff>0</xdr:rowOff>
    </xdr:from>
    <xdr:ext cx="12477750" cy="7219950"/>
    <xdr:pic>
      <xdr:nvPicPr>
        <xdr:cNvPr id="2" name="image19.png">
          <a:extLst>
            <a:ext uri="{FF2B5EF4-FFF2-40B4-BE49-F238E27FC236}">
              <a16:creationId xmlns:a16="http://schemas.microsoft.com/office/drawing/2014/main" id="{00000000-0008-0000-1300-000002000000}"/>
            </a:ext>
          </a:extLst>
        </xdr:cNvPr>
        <xdr:cNvPicPr preferRelativeResize="0"/>
      </xdr:nvPicPr>
      <xdr:blipFill>
        <a:blip xmlns:r="http://schemas.openxmlformats.org/officeDocument/2006/relationships" r:embed="rId1" cstate="print"/>
        <a:stretch>
          <a:fillRect/>
        </a:stretch>
      </xdr:blipFill>
      <xdr:spPr>
        <a:xfrm>
          <a:off x="25634950" y="6096000"/>
          <a:ext cx="12477750" cy="7219950"/>
        </a:xfrm>
        <a:prstGeom prst="rect">
          <a:avLst/>
        </a:prstGeom>
        <a:noFill/>
      </xdr:spPr>
    </xdr:pic>
    <xdr:clientData fLocksWithSheet="0"/>
  </xdr:oneCellAnchor>
  <xdr:oneCellAnchor>
    <xdr:from>
      <xdr:col>7</xdr:col>
      <xdr:colOff>20320</xdr:colOff>
      <xdr:row>2</xdr:row>
      <xdr:rowOff>106986</xdr:rowOff>
    </xdr:from>
    <xdr:ext cx="2185684" cy="486555"/>
    <xdr:pic>
      <xdr:nvPicPr>
        <xdr:cNvPr id="3" name="image14.png">
          <a:extLst>
            <a:ext uri="{FF2B5EF4-FFF2-40B4-BE49-F238E27FC236}">
              <a16:creationId xmlns:a16="http://schemas.microsoft.com/office/drawing/2014/main" id="{4370477C-BCC6-4F66-8DFF-ED952FEC29E2}"/>
            </a:ext>
          </a:extLst>
        </xdr:cNvPr>
        <xdr:cNvPicPr preferRelativeResize="0"/>
      </xdr:nvPicPr>
      <xdr:blipFill>
        <a:blip xmlns:r="http://schemas.openxmlformats.org/officeDocument/2006/relationships" r:embed="rId2" cstate="print"/>
        <a:stretch>
          <a:fillRect/>
        </a:stretch>
      </xdr:blipFill>
      <xdr:spPr>
        <a:xfrm>
          <a:off x="7233920" y="614986"/>
          <a:ext cx="2185684" cy="486555"/>
        </a:xfrm>
        <a:prstGeom prst="rect">
          <a:avLst/>
        </a:prstGeom>
        <a:noFill/>
      </xdr:spPr>
    </xdr:pic>
    <xdr:clientData fLocksWithSheet="0"/>
  </xdr:oneCellAnchor>
  <xdr:twoCellAnchor editAs="oneCell">
    <xdr:from>
      <xdr:col>9</xdr:col>
      <xdr:colOff>765886</xdr:colOff>
      <xdr:row>2</xdr:row>
      <xdr:rowOff>101600</xdr:rowOff>
    </xdr:from>
    <xdr:to>
      <xdr:col>12</xdr:col>
      <xdr:colOff>671565</xdr:colOff>
      <xdr:row>4</xdr:row>
      <xdr:rowOff>200257</xdr:rowOff>
    </xdr:to>
    <xdr:pic>
      <xdr:nvPicPr>
        <xdr:cNvPr id="4" name="Imagem 3">
          <a:extLst>
            <a:ext uri="{FF2B5EF4-FFF2-40B4-BE49-F238E27FC236}">
              <a16:creationId xmlns:a16="http://schemas.microsoft.com/office/drawing/2014/main" id="{9E2977BC-A37D-4524-9018-F738C3B80699}"/>
            </a:ext>
          </a:extLst>
        </xdr:cNvPr>
        <xdr:cNvPicPr>
          <a:picLocks noChangeAspect="1"/>
        </xdr:cNvPicPr>
      </xdr:nvPicPr>
      <xdr:blipFill>
        <a:blip xmlns:r="http://schemas.openxmlformats.org/officeDocument/2006/relationships" r:embed="rId3"/>
        <a:stretch>
          <a:fillRect/>
        </a:stretch>
      </xdr:blipFill>
      <xdr:spPr>
        <a:xfrm>
          <a:off x="9879406" y="609600"/>
          <a:ext cx="1653199" cy="454257"/>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0</xdr:col>
      <xdr:colOff>1</xdr:colOff>
      <xdr:row>10</xdr:row>
      <xdr:rowOff>54776</xdr:rowOff>
    </xdr:from>
    <xdr:to>
      <xdr:col>9</xdr:col>
      <xdr:colOff>107157</xdr:colOff>
      <xdr:row>36</xdr:row>
      <xdr:rowOff>103826</xdr:rowOff>
    </xdr:to>
    <xdr:pic>
      <xdr:nvPicPr>
        <xdr:cNvPr id="2" name="Imagem 1">
          <a:extLst>
            <a:ext uri="{FF2B5EF4-FFF2-40B4-BE49-F238E27FC236}">
              <a16:creationId xmlns:a16="http://schemas.microsoft.com/office/drawing/2014/main" id="{EEE79E00-8C6C-408F-873A-6632A7566C86}"/>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t="7703"/>
        <a:stretch/>
      </xdr:blipFill>
      <xdr:spPr>
        <a:xfrm>
          <a:off x="1" y="3312326"/>
          <a:ext cx="6784181" cy="6335550"/>
        </a:xfrm>
        <a:prstGeom prst="rect">
          <a:avLst/>
        </a:prstGeom>
      </xdr:spPr>
    </xdr:pic>
    <xdr:clientData/>
  </xdr:twoCellAnchor>
  <xdr:twoCellAnchor editAs="oneCell">
    <xdr:from>
      <xdr:col>0</xdr:col>
      <xdr:colOff>9525</xdr:colOff>
      <xdr:row>0</xdr:row>
      <xdr:rowOff>0</xdr:rowOff>
    </xdr:from>
    <xdr:to>
      <xdr:col>22</xdr:col>
      <xdr:colOff>828675</xdr:colOff>
      <xdr:row>10</xdr:row>
      <xdr:rowOff>47625</xdr:rowOff>
    </xdr:to>
    <xdr:pic>
      <xdr:nvPicPr>
        <xdr:cNvPr id="3" name="Imagem 2">
          <a:extLst>
            <a:ext uri="{FF2B5EF4-FFF2-40B4-BE49-F238E27FC236}">
              <a16:creationId xmlns:a16="http://schemas.microsoft.com/office/drawing/2014/main" id="{191E207A-C02B-4408-98F9-2BD3960376BF}"/>
            </a:ext>
            <a:ext uri="{147F2762-F138-4A5C-976F-8EAC2B608ADB}">
              <a16:predDERef xmlns:a16="http://schemas.microsoft.com/office/drawing/2014/main" pred="{506470C5-EC30-43AE-8A2B-94087EE1C601}"/>
            </a:ext>
          </a:extLst>
        </xdr:cNvPr>
        <xdr:cNvPicPr>
          <a:picLocks noChangeAspect="1"/>
        </xdr:cNvPicPr>
      </xdr:nvPicPr>
      <xdr:blipFill>
        <a:blip xmlns:r="http://schemas.openxmlformats.org/officeDocument/2006/relationships" r:embed="rId2"/>
        <a:stretch>
          <a:fillRect/>
        </a:stretch>
      </xdr:blipFill>
      <xdr:spPr>
        <a:xfrm>
          <a:off x="9525" y="0"/>
          <a:ext cx="17992725" cy="3305175"/>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xdr:twoCellAnchor editAs="oneCell">
    <xdr:from>
      <xdr:col>14</xdr:col>
      <xdr:colOff>187294</xdr:colOff>
      <xdr:row>3</xdr:row>
      <xdr:rowOff>139700</xdr:rowOff>
    </xdr:from>
    <xdr:to>
      <xdr:col>18</xdr:col>
      <xdr:colOff>70439</xdr:colOff>
      <xdr:row>22</xdr:row>
      <xdr:rowOff>171852</xdr:rowOff>
    </xdr:to>
    <xdr:pic>
      <xdr:nvPicPr>
        <xdr:cNvPr id="2" name="Imagem 1">
          <a:extLst>
            <a:ext uri="{FF2B5EF4-FFF2-40B4-BE49-F238E27FC236}">
              <a16:creationId xmlns:a16="http://schemas.microsoft.com/office/drawing/2014/main" id="{128CDCB0-A580-46F5-8CC8-7E22F695CAC9}"/>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12636469" y="1092200"/>
          <a:ext cx="4979020" cy="4632727"/>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xdr:twoCellAnchor>
    <xdr:from>
      <xdr:col>5</xdr:col>
      <xdr:colOff>70485</xdr:colOff>
      <xdr:row>1</xdr:row>
      <xdr:rowOff>139064</xdr:rowOff>
    </xdr:from>
    <xdr:to>
      <xdr:col>11</xdr:col>
      <xdr:colOff>316371</xdr:colOff>
      <xdr:row>27</xdr:row>
      <xdr:rowOff>75917</xdr:rowOff>
    </xdr:to>
    <xdr:graphicFrame macro="">
      <xdr:nvGraphicFramePr>
        <xdr:cNvPr id="2" name="Diagramm 1">
          <a:extLst>
            <a:ext uri="{FF2B5EF4-FFF2-40B4-BE49-F238E27FC236}">
              <a16:creationId xmlns:a16="http://schemas.microsoft.com/office/drawing/2014/main" id="{926AB214-A1CB-43F3-BD73-22CDAC3EDBA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155258</xdr:colOff>
      <xdr:row>81</xdr:row>
      <xdr:rowOff>21167</xdr:rowOff>
    </xdr:from>
    <xdr:to>
      <xdr:col>4</xdr:col>
      <xdr:colOff>438574</xdr:colOff>
      <xdr:row>103</xdr:row>
      <xdr:rowOff>25929</xdr:rowOff>
    </xdr:to>
    <xdr:graphicFrame macro="">
      <xdr:nvGraphicFramePr>
        <xdr:cNvPr id="3" name="Diagramm 8">
          <a:extLst>
            <a:ext uri="{FF2B5EF4-FFF2-40B4-BE49-F238E27FC236}">
              <a16:creationId xmlns:a16="http://schemas.microsoft.com/office/drawing/2014/main" id="{9ACC83A1-80B3-44E6-9718-C0B484AD9C4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13</xdr:col>
      <xdr:colOff>115356</xdr:colOff>
      <xdr:row>59</xdr:row>
      <xdr:rowOff>225777</xdr:rowOff>
    </xdr:from>
    <xdr:to>
      <xdr:col>18</xdr:col>
      <xdr:colOff>1312332</xdr:colOff>
      <xdr:row>84</xdr:row>
      <xdr:rowOff>14111</xdr:rowOff>
    </xdr:to>
    <xdr:graphicFrame macro="">
      <xdr:nvGraphicFramePr>
        <xdr:cNvPr id="4" name="Diagramm 10">
          <a:extLst>
            <a:ext uri="{FF2B5EF4-FFF2-40B4-BE49-F238E27FC236}">
              <a16:creationId xmlns:a16="http://schemas.microsoft.com/office/drawing/2014/main" id="{16F0200E-98C5-497E-AF22-48A078DDBB7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485775</xdr:colOff>
      <xdr:row>6</xdr:row>
      <xdr:rowOff>0</xdr:rowOff>
    </xdr:from>
    <xdr:to>
      <xdr:col>14</xdr:col>
      <xdr:colOff>366713</xdr:colOff>
      <xdr:row>7</xdr:row>
      <xdr:rowOff>142875</xdr:rowOff>
    </xdr:to>
    <xdr:sp macro="" textlink="">
      <xdr:nvSpPr>
        <xdr:cNvPr id="5" name="Line 12">
          <a:extLst>
            <a:ext uri="{FF2B5EF4-FFF2-40B4-BE49-F238E27FC236}">
              <a16:creationId xmlns:a16="http://schemas.microsoft.com/office/drawing/2014/main" id="{6D90271B-11D8-41CD-8AC3-8185CA8E6ABF}"/>
            </a:ext>
          </a:extLst>
        </xdr:cNvPr>
        <xdr:cNvSpPr>
          <a:spLocks noChangeShapeType="1"/>
        </xdr:cNvSpPr>
      </xdr:nvSpPr>
      <xdr:spPr bwMode="auto">
        <a:xfrm flipH="1">
          <a:off x="15525750" y="1228725"/>
          <a:ext cx="671513" cy="32385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15</xdr:col>
      <xdr:colOff>438150</xdr:colOff>
      <xdr:row>6</xdr:row>
      <xdr:rowOff>9525</xdr:rowOff>
    </xdr:from>
    <xdr:to>
      <xdr:col>16</xdr:col>
      <xdr:colOff>381000</xdr:colOff>
      <xdr:row>7</xdr:row>
      <xdr:rowOff>142875</xdr:rowOff>
    </xdr:to>
    <xdr:sp macro="" textlink="">
      <xdr:nvSpPr>
        <xdr:cNvPr id="6" name="Line 13">
          <a:extLst>
            <a:ext uri="{FF2B5EF4-FFF2-40B4-BE49-F238E27FC236}">
              <a16:creationId xmlns:a16="http://schemas.microsoft.com/office/drawing/2014/main" id="{1DAFD216-F1D5-4A6F-BC1C-018DB82CB9D3}"/>
            </a:ext>
          </a:extLst>
        </xdr:cNvPr>
        <xdr:cNvSpPr>
          <a:spLocks noChangeShapeType="1"/>
        </xdr:cNvSpPr>
      </xdr:nvSpPr>
      <xdr:spPr bwMode="auto">
        <a:xfrm>
          <a:off x="17030700" y="1238250"/>
          <a:ext cx="704850" cy="314325"/>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5</xdr:col>
      <xdr:colOff>285750</xdr:colOff>
      <xdr:row>30</xdr:row>
      <xdr:rowOff>66675</xdr:rowOff>
    </xdr:from>
    <xdr:to>
      <xdr:col>11</xdr:col>
      <xdr:colOff>381000</xdr:colOff>
      <xdr:row>50</xdr:row>
      <xdr:rowOff>85725</xdr:rowOff>
    </xdr:to>
    <xdr:graphicFrame macro="">
      <xdr:nvGraphicFramePr>
        <xdr:cNvPr id="7" name="Diagramm 15">
          <a:extLst>
            <a:ext uri="{FF2B5EF4-FFF2-40B4-BE49-F238E27FC236}">
              <a16:creationId xmlns:a16="http://schemas.microsoft.com/office/drawing/2014/main" id="{5BFB863E-7589-4D1E-8848-7C0F91EFAC1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3</xdr:col>
      <xdr:colOff>476250</xdr:colOff>
      <xdr:row>2</xdr:row>
      <xdr:rowOff>66675</xdr:rowOff>
    </xdr:from>
    <xdr:to>
      <xdr:col>10</xdr:col>
      <xdr:colOff>508000</xdr:colOff>
      <xdr:row>27</xdr:row>
      <xdr:rowOff>22225</xdr:rowOff>
    </xdr:to>
    <xdr:graphicFrame macro="">
      <xdr:nvGraphicFramePr>
        <xdr:cNvPr id="2" name="Diagramm 1">
          <a:extLst>
            <a:ext uri="{FF2B5EF4-FFF2-40B4-BE49-F238E27FC236}">
              <a16:creationId xmlns:a16="http://schemas.microsoft.com/office/drawing/2014/main" id="{8C141175-ACB7-4E7E-9266-04CC9DE1CEA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74161</xdr:colOff>
      <xdr:row>81</xdr:row>
      <xdr:rowOff>91170</xdr:rowOff>
    </xdr:from>
    <xdr:to>
      <xdr:col>4</xdr:col>
      <xdr:colOff>957035</xdr:colOff>
      <xdr:row>109</xdr:row>
      <xdr:rowOff>104322</xdr:rowOff>
    </xdr:to>
    <xdr:graphicFrame macro="">
      <xdr:nvGraphicFramePr>
        <xdr:cNvPr id="3" name="Diagramm 2">
          <a:extLst>
            <a:ext uri="{FF2B5EF4-FFF2-40B4-BE49-F238E27FC236}">
              <a16:creationId xmlns:a16="http://schemas.microsoft.com/office/drawing/2014/main" id="{06C24015-0A30-4443-B28E-DBC3A264FC3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13</xdr:col>
      <xdr:colOff>213632</xdr:colOff>
      <xdr:row>59</xdr:row>
      <xdr:rowOff>217714</xdr:rowOff>
    </xdr:from>
    <xdr:to>
      <xdr:col>20</xdr:col>
      <xdr:colOff>712108</xdr:colOff>
      <xdr:row>84</xdr:row>
      <xdr:rowOff>13607</xdr:rowOff>
    </xdr:to>
    <xdr:graphicFrame macro="">
      <xdr:nvGraphicFramePr>
        <xdr:cNvPr id="4" name="Diagramm 4">
          <a:extLst>
            <a:ext uri="{FF2B5EF4-FFF2-40B4-BE49-F238E27FC236}">
              <a16:creationId xmlns:a16="http://schemas.microsoft.com/office/drawing/2014/main" id="{EF5040B3-3795-42A6-9B9E-2AA950B307A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476250</xdr:colOff>
      <xdr:row>6</xdr:row>
      <xdr:rowOff>0</xdr:rowOff>
    </xdr:from>
    <xdr:to>
      <xdr:col>14</xdr:col>
      <xdr:colOff>366713</xdr:colOff>
      <xdr:row>7</xdr:row>
      <xdr:rowOff>142875</xdr:rowOff>
    </xdr:to>
    <xdr:sp macro="" textlink="">
      <xdr:nvSpPr>
        <xdr:cNvPr id="5" name="Line 5">
          <a:extLst>
            <a:ext uri="{FF2B5EF4-FFF2-40B4-BE49-F238E27FC236}">
              <a16:creationId xmlns:a16="http://schemas.microsoft.com/office/drawing/2014/main" id="{CBD62E81-B133-4B9A-A3D2-2540CD0D0A5D}"/>
            </a:ext>
          </a:extLst>
        </xdr:cNvPr>
        <xdr:cNvSpPr>
          <a:spLocks noChangeShapeType="1"/>
        </xdr:cNvSpPr>
      </xdr:nvSpPr>
      <xdr:spPr bwMode="auto">
        <a:xfrm flipH="1">
          <a:off x="16125825" y="1419225"/>
          <a:ext cx="652463" cy="371475"/>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15</xdr:col>
      <xdr:colOff>438150</xdr:colOff>
      <xdr:row>6</xdr:row>
      <xdr:rowOff>9525</xdr:rowOff>
    </xdr:from>
    <xdr:to>
      <xdr:col>16</xdr:col>
      <xdr:colOff>381000</xdr:colOff>
      <xdr:row>7</xdr:row>
      <xdr:rowOff>142875</xdr:rowOff>
    </xdr:to>
    <xdr:sp macro="" textlink="">
      <xdr:nvSpPr>
        <xdr:cNvPr id="6" name="Line 6">
          <a:extLst>
            <a:ext uri="{FF2B5EF4-FFF2-40B4-BE49-F238E27FC236}">
              <a16:creationId xmlns:a16="http://schemas.microsoft.com/office/drawing/2014/main" id="{F3A5ABD4-386D-4370-B578-AA15198A88C7}"/>
            </a:ext>
          </a:extLst>
        </xdr:cNvPr>
        <xdr:cNvSpPr>
          <a:spLocks noChangeShapeType="1"/>
        </xdr:cNvSpPr>
      </xdr:nvSpPr>
      <xdr:spPr bwMode="auto">
        <a:xfrm>
          <a:off x="17611725" y="1428750"/>
          <a:ext cx="704850" cy="36195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5</xdr:col>
      <xdr:colOff>285750</xdr:colOff>
      <xdr:row>30</xdr:row>
      <xdr:rowOff>0</xdr:rowOff>
    </xdr:from>
    <xdr:to>
      <xdr:col>11</xdr:col>
      <xdr:colOff>381000</xdr:colOff>
      <xdr:row>50</xdr:row>
      <xdr:rowOff>38100</xdr:rowOff>
    </xdr:to>
    <xdr:graphicFrame macro="">
      <xdr:nvGraphicFramePr>
        <xdr:cNvPr id="7" name="Diagramm 7">
          <a:extLst>
            <a:ext uri="{FF2B5EF4-FFF2-40B4-BE49-F238E27FC236}">
              <a16:creationId xmlns:a16="http://schemas.microsoft.com/office/drawing/2014/main" id="{4FC804A9-A1BB-4372-846C-88DA60F40FA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3</xdr:col>
      <xdr:colOff>476250</xdr:colOff>
      <xdr:row>2</xdr:row>
      <xdr:rowOff>66675</xdr:rowOff>
    </xdr:from>
    <xdr:to>
      <xdr:col>10</xdr:col>
      <xdr:colOff>508000</xdr:colOff>
      <xdr:row>27</xdr:row>
      <xdr:rowOff>22225</xdr:rowOff>
    </xdr:to>
    <xdr:graphicFrame macro="">
      <xdr:nvGraphicFramePr>
        <xdr:cNvPr id="2" name="Diagramm 1">
          <a:extLst>
            <a:ext uri="{FF2B5EF4-FFF2-40B4-BE49-F238E27FC236}">
              <a16:creationId xmlns:a16="http://schemas.microsoft.com/office/drawing/2014/main" id="{5799B5A2-2A0D-45ED-BC7E-08B1E6121D9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74161</xdr:colOff>
      <xdr:row>81</xdr:row>
      <xdr:rowOff>91170</xdr:rowOff>
    </xdr:from>
    <xdr:to>
      <xdr:col>4</xdr:col>
      <xdr:colOff>957035</xdr:colOff>
      <xdr:row>109</xdr:row>
      <xdr:rowOff>104322</xdr:rowOff>
    </xdr:to>
    <xdr:graphicFrame macro="">
      <xdr:nvGraphicFramePr>
        <xdr:cNvPr id="3" name="Diagramm 2">
          <a:extLst>
            <a:ext uri="{FF2B5EF4-FFF2-40B4-BE49-F238E27FC236}">
              <a16:creationId xmlns:a16="http://schemas.microsoft.com/office/drawing/2014/main" id="{196732EA-6A39-4074-AA93-4B76E9ACACA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13</xdr:col>
      <xdr:colOff>213632</xdr:colOff>
      <xdr:row>59</xdr:row>
      <xdr:rowOff>217714</xdr:rowOff>
    </xdr:from>
    <xdr:to>
      <xdr:col>20</xdr:col>
      <xdr:colOff>712108</xdr:colOff>
      <xdr:row>84</xdr:row>
      <xdr:rowOff>13607</xdr:rowOff>
    </xdr:to>
    <xdr:graphicFrame macro="">
      <xdr:nvGraphicFramePr>
        <xdr:cNvPr id="4" name="Diagramm 4">
          <a:extLst>
            <a:ext uri="{FF2B5EF4-FFF2-40B4-BE49-F238E27FC236}">
              <a16:creationId xmlns:a16="http://schemas.microsoft.com/office/drawing/2014/main" id="{DD6100E4-8E3B-41A5-9D3D-AADA1F3AEF8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476250</xdr:colOff>
      <xdr:row>6</xdr:row>
      <xdr:rowOff>0</xdr:rowOff>
    </xdr:from>
    <xdr:to>
      <xdr:col>14</xdr:col>
      <xdr:colOff>366713</xdr:colOff>
      <xdr:row>7</xdr:row>
      <xdr:rowOff>142875</xdr:rowOff>
    </xdr:to>
    <xdr:sp macro="" textlink="">
      <xdr:nvSpPr>
        <xdr:cNvPr id="5" name="Line 5">
          <a:extLst>
            <a:ext uri="{FF2B5EF4-FFF2-40B4-BE49-F238E27FC236}">
              <a16:creationId xmlns:a16="http://schemas.microsoft.com/office/drawing/2014/main" id="{38DE5BA1-3721-4B64-8993-689F83BA553A}"/>
            </a:ext>
          </a:extLst>
        </xdr:cNvPr>
        <xdr:cNvSpPr>
          <a:spLocks noChangeShapeType="1"/>
        </xdr:cNvSpPr>
      </xdr:nvSpPr>
      <xdr:spPr bwMode="auto">
        <a:xfrm flipH="1">
          <a:off x="16125825" y="1419225"/>
          <a:ext cx="652463" cy="371475"/>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15</xdr:col>
      <xdr:colOff>438150</xdr:colOff>
      <xdr:row>6</xdr:row>
      <xdr:rowOff>9525</xdr:rowOff>
    </xdr:from>
    <xdr:to>
      <xdr:col>16</xdr:col>
      <xdr:colOff>381000</xdr:colOff>
      <xdr:row>7</xdr:row>
      <xdr:rowOff>142875</xdr:rowOff>
    </xdr:to>
    <xdr:sp macro="" textlink="">
      <xdr:nvSpPr>
        <xdr:cNvPr id="6" name="Line 6">
          <a:extLst>
            <a:ext uri="{FF2B5EF4-FFF2-40B4-BE49-F238E27FC236}">
              <a16:creationId xmlns:a16="http://schemas.microsoft.com/office/drawing/2014/main" id="{834689B1-AA78-473F-8BE9-1547ACC1E20B}"/>
            </a:ext>
          </a:extLst>
        </xdr:cNvPr>
        <xdr:cNvSpPr>
          <a:spLocks noChangeShapeType="1"/>
        </xdr:cNvSpPr>
      </xdr:nvSpPr>
      <xdr:spPr bwMode="auto">
        <a:xfrm>
          <a:off x="17611725" y="1428750"/>
          <a:ext cx="704850" cy="36195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5</xdr:col>
      <xdr:colOff>285750</xdr:colOff>
      <xdr:row>30</xdr:row>
      <xdr:rowOff>0</xdr:rowOff>
    </xdr:from>
    <xdr:to>
      <xdr:col>11</xdr:col>
      <xdr:colOff>381000</xdr:colOff>
      <xdr:row>50</xdr:row>
      <xdr:rowOff>38100</xdr:rowOff>
    </xdr:to>
    <xdr:graphicFrame macro="">
      <xdr:nvGraphicFramePr>
        <xdr:cNvPr id="7" name="Diagramm 7">
          <a:extLst>
            <a:ext uri="{FF2B5EF4-FFF2-40B4-BE49-F238E27FC236}">
              <a16:creationId xmlns:a16="http://schemas.microsoft.com/office/drawing/2014/main" id="{FA2CE807-15E2-41DD-BF74-FDE7CEE541E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3</xdr:col>
      <xdr:colOff>476250</xdr:colOff>
      <xdr:row>2</xdr:row>
      <xdr:rowOff>66675</xdr:rowOff>
    </xdr:from>
    <xdr:to>
      <xdr:col>10</xdr:col>
      <xdr:colOff>508000</xdr:colOff>
      <xdr:row>27</xdr:row>
      <xdr:rowOff>22225</xdr:rowOff>
    </xdr:to>
    <xdr:graphicFrame macro="">
      <xdr:nvGraphicFramePr>
        <xdr:cNvPr id="2" name="Diagramm 1">
          <a:extLst>
            <a:ext uri="{FF2B5EF4-FFF2-40B4-BE49-F238E27FC236}">
              <a16:creationId xmlns:a16="http://schemas.microsoft.com/office/drawing/2014/main" id="{76976FC2-36F1-4BBA-8F55-32BA78EA9F1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74161</xdr:colOff>
      <xdr:row>81</xdr:row>
      <xdr:rowOff>91170</xdr:rowOff>
    </xdr:from>
    <xdr:to>
      <xdr:col>4</xdr:col>
      <xdr:colOff>957035</xdr:colOff>
      <xdr:row>109</xdr:row>
      <xdr:rowOff>104322</xdr:rowOff>
    </xdr:to>
    <xdr:graphicFrame macro="">
      <xdr:nvGraphicFramePr>
        <xdr:cNvPr id="3" name="Diagramm 2">
          <a:extLst>
            <a:ext uri="{FF2B5EF4-FFF2-40B4-BE49-F238E27FC236}">
              <a16:creationId xmlns:a16="http://schemas.microsoft.com/office/drawing/2014/main" id="{C97B108F-0520-4516-BA83-719A097119E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13</xdr:col>
      <xdr:colOff>213632</xdr:colOff>
      <xdr:row>59</xdr:row>
      <xdr:rowOff>217714</xdr:rowOff>
    </xdr:from>
    <xdr:to>
      <xdr:col>20</xdr:col>
      <xdr:colOff>712108</xdr:colOff>
      <xdr:row>84</xdr:row>
      <xdr:rowOff>13607</xdr:rowOff>
    </xdr:to>
    <xdr:graphicFrame macro="">
      <xdr:nvGraphicFramePr>
        <xdr:cNvPr id="4" name="Diagramm 4">
          <a:extLst>
            <a:ext uri="{FF2B5EF4-FFF2-40B4-BE49-F238E27FC236}">
              <a16:creationId xmlns:a16="http://schemas.microsoft.com/office/drawing/2014/main" id="{33D2096E-A89B-49BB-B353-BE413425593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476250</xdr:colOff>
      <xdr:row>6</xdr:row>
      <xdr:rowOff>0</xdr:rowOff>
    </xdr:from>
    <xdr:to>
      <xdr:col>14</xdr:col>
      <xdr:colOff>366713</xdr:colOff>
      <xdr:row>7</xdr:row>
      <xdr:rowOff>142875</xdr:rowOff>
    </xdr:to>
    <xdr:sp macro="" textlink="">
      <xdr:nvSpPr>
        <xdr:cNvPr id="5" name="Line 5">
          <a:extLst>
            <a:ext uri="{FF2B5EF4-FFF2-40B4-BE49-F238E27FC236}">
              <a16:creationId xmlns:a16="http://schemas.microsoft.com/office/drawing/2014/main" id="{9D4BE476-717B-4A60-8B82-4CD7FA23FB32}"/>
            </a:ext>
          </a:extLst>
        </xdr:cNvPr>
        <xdr:cNvSpPr>
          <a:spLocks noChangeShapeType="1"/>
        </xdr:cNvSpPr>
      </xdr:nvSpPr>
      <xdr:spPr bwMode="auto">
        <a:xfrm flipH="1">
          <a:off x="16125825" y="1419225"/>
          <a:ext cx="652463" cy="371475"/>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15</xdr:col>
      <xdr:colOff>438150</xdr:colOff>
      <xdr:row>6</xdr:row>
      <xdr:rowOff>9525</xdr:rowOff>
    </xdr:from>
    <xdr:to>
      <xdr:col>16</xdr:col>
      <xdr:colOff>381000</xdr:colOff>
      <xdr:row>7</xdr:row>
      <xdr:rowOff>142875</xdr:rowOff>
    </xdr:to>
    <xdr:sp macro="" textlink="">
      <xdr:nvSpPr>
        <xdr:cNvPr id="6" name="Line 6">
          <a:extLst>
            <a:ext uri="{FF2B5EF4-FFF2-40B4-BE49-F238E27FC236}">
              <a16:creationId xmlns:a16="http://schemas.microsoft.com/office/drawing/2014/main" id="{149A055B-1327-45CD-9D74-023E622E517D}"/>
            </a:ext>
          </a:extLst>
        </xdr:cNvPr>
        <xdr:cNvSpPr>
          <a:spLocks noChangeShapeType="1"/>
        </xdr:cNvSpPr>
      </xdr:nvSpPr>
      <xdr:spPr bwMode="auto">
        <a:xfrm>
          <a:off x="17611725" y="1428750"/>
          <a:ext cx="704850" cy="36195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5</xdr:col>
      <xdr:colOff>285750</xdr:colOff>
      <xdr:row>30</xdr:row>
      <xdr:rowOff>0</xdr:rowOff>
    </xdr:from>
    <xdr:to>
      <xdr:col>11</xdr:col>
      <xdr:colOff>381000</xdr:colOff>
      <xdr:row>50</xdr:row>
      <xdr:rowOff>38100</xdr:rowOff>
    </xdr:to>
    <xdr:graphicFrame macro="">
      <xdr:nvGraphicFramePr>
        <xdr:cNvPr id="7" name="Diagramm 7">
          <a:extLst>
            <a:ext uri="{FF2B5EF4-FFF2-40B4-BE49-F238E27FC236}">
              <a16:creationId xmlns:a16="http://schemas.microsoft.com/office/drawing/2014/main" id="{FE269D22-6311-4AF4-8A7A-6304BF58BD1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xdr:from>
      <xdr:col>5</xdr:col>
      <xdr:colOff>162279</xdr:colOff>
      <xdr:row>1</xdr:row>
      <xdr:rowOff>176388</xdr:rowOff>
    </xdr:from>
    <xdr:to>
      <xdr:col>11</xdr:col>
      <xdr:colOff>357189</xdr:colOff>
      <xdr:row>27</xdr:row>
      <xdr:rowOff>112888</xdr:rowOff>
    </xdr:to>
    <xdr:graphicFrame macro="">
      <xdr:nvGraphicFramePr>
        <xdr:cNvPr id="2" name="Diagramm 1">
          <a:extLst>
            <a:ext uri="{FF2B5EF4-FFF2-40B4-BE49-F238E27FC236}">
              <a16:creationId xmlns:a16="http://schemas.microsoft.com/office/drawing/2014/main" id="{1C8D467E-DDA8-4B63-82AB-EA2020F3A8A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157163</xdr:colOff>
      <xdr:row>81</xdr:row>
      <xdr:rowOff>76200</xdr:rowOff>
    </xdr:from>
    <xdr:to>
      <xdr:col>4</xdr:col>
      <xdr:colOff>350610</xdr:colOff>
      <xdr:row>109</xdr:row>
      <xdr:rowOff>138339</xdr:rowOff>
    </xdr:to>
    <xdr:graphicFrame macro="">
      <xdr:nvGraphicFramePr>
        <xdr:cNvPr id="3" name="Diagramm 2">
          <a:extLst>
            <a:ext uri="{FF2B5EF4-FFF2-40B4-BE49-F238E27FC236}">
              <a16:creationId xmlns:a16="http://schemas.microsoft.com/office/drawing/2014/main" id="{EBB46086-2D66-4930-9832-DD39EB00878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13</xdr:col>
      <xdr:colOff>152400</xdr:colOff>
      <xdr:row>60</xdr:row>
      <xdr:rowOff>0</xdr:rowOff>
    </xdr:from>
    <xdr:to>
      <xdr:col>20</xdr:col>
      <xdr:colOff>625475</xdr:colOff>
      <xdr:row>81</xdr:row>
      <xdr:rowOff>23813</xdr:rowOff>
    </xdr:to>
    <xdr:graphicFrame macro="">
      <xdr:nvGraphicFramePr>
        <xdr:cNvPr id="4" name="Diagramm 3">
          <a:extLst>
            <a:ext uri="{FF2B5EF4-FFF2-40B4-BE49-F238E27FC236}">
              <a16:creationId xmlns:a16="http://schemas.microsoft.com/office/drawing/2014/main" id="{8D342D41-BA93-4E88-90A9-71DC63E5639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476250</xdr:colOff>
      <xdr:row>6</xdr:row>
      <xdr:rowOff>0</xdr:rowOff>
    </xdr:from>
    <xdr:to>
      <xdr:col>14</xdr:col>
      <xdr:colOff>366713</xdr:colOff>
      <xdr:row>7</xdr:row>
      <xdr:rowOff>142875</xdr:rowOff>
    </xdr:to>
    <xdr:sp macro="" textlink="">
      <xdr:nvSpPr>
        <xdr:cNvPr id="5" name="Line 4">
          <a:extLst>
            <a:ext uri="{FF2B5EF4-FFF2-40B4-BE49-F238E27FC236}">
              <a16:creationId xmlns:a16="http://schemas.microsoft.com/office/drawing/2014/main" id="{C464D9CA-A2E0-4F39-BD09-8F11C24535D1}"/>
            </a:ext>
          </a:extLst>
        </xdr:cNvPr>
        <xdr:cNvSpPr>
          <a:spLocks noChangeShapeType="1"/>
        </xdr:cNvSpPr>
      </xdr:nvSpPr>
      <xdr:spPr bwMode="auto">
        <a:xfrm flipH="1">
          <a:off x="14878050" y="1419225"/>
          <a:ext cx="700088" cy="371475"/>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15</xdr:col>
      <xdr:colOff>438150</xdr:colOff>
      <xdr:row>6</xdr:row>
      <xdr:rowOff>9525</xdr:rowOff>
    </xdr:from>
    <xdr:to>
      <xdr:col>16</xdr:col>
      <xdr:colOff>381000</xdr:colOff>
      <xdr:row>7</xdr:row>
      <xdr:rowOff>142875</xdr:rowOff>
    </xdr:to>
    <xdr:sp macro="" textlink="">
      <xdr:nvSpPr>
        <xdr:cNvPr id="6" name="Line 5">
          <a:extLst>
            <a:ext uri="{FF2B5EF4-FFF2-40B4-BE49-F238E27FC236}">
              <a16:creationId xmlns:a16="http://schemas.microsoft.com/office/drawing/2014/main" id="{6AAF55C0-F9D1-4F91-A8D8-18EF37F5C880}"/>
            </a:ext>
          </a:extLst>
        </xdr:cNvPr>
        <xdr:cNvSpPr>
          <a:spLocks noChangeShapeType="1"/>
        </xdr:cNvSpPr>
      </xdr:nvSpPr>
      <xdr:spPr bwMode="auto">
        <a:xfrm>
          <a:off x="16411575" y="1428750"/>
          <a:ext cx="704850" cy="36195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5</xdr:col>
      <xdr:colOff>236991</xdr:colOff>
      <xdr:row>29</xdr:row>
      <xdr:rowOff>56696</xdr:rowOff>
    </xdr:from>
    <xdr:to>
      <xdr:col>11</xdr:col>
      <xdr:colOff>332241</xdr:colOff>
      <xdr:row>49</xdr:row>
      <xdr:rowOff>94796</xdr:rowOff>
    </xdr:to>
    <xdr:graphicFrame macro="">
      <xdr:nvGraphicFramePr>
        <xdr:cNvPr id="7" name="Diagramm 6">
          <a:extLst>
            <a:ext uri="{FF2B5EF4-FFF2-40B4-BE49-F238E27FC236}">
              <a16:creationId xmlns:a16="http://schemas.microsoft.com/office/drawing/2014/main" id="{A5C95C24-FA4E-44EC-8D93-9F4D311708B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xdr:from>
      <xdr:col>4</xdr:col>
      <xdr:colOff>1115378</xdr:colOff>
      <xdr:row>2</xdr:row>
      <xdr:rowOff>23813</xdr:rowOff>
    </xdr:from>
    <xdr:to>
      <xdr:col>11</xdr:col>
      <xdr:colOff>73343</xdr:colOff>
      <xdr:row>27</xdr:row>
      <xdr:rowOff>28575</xdr:rowOff>
    </xdr:to>
    <xdr:graphicFrame macro="">
      <xdr:nvGraphicFramePr>
        <xdr:cNvPr id="2" name="Diagramm 1">
          <a:extLst>
            <a:ext uri="{FF2B5EF4-FFF2-40B4-BE49-F238E27FC236}">
              <a16:creationId xmlns:a16="http://schemas.microsoft.com/office/drawing/2014/main" id="{A9A4EE1C-F143-4B27-9061-2C61F135D8D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377703</xdr:colOff>
      <xdr:row>80</xdr:row>
      <xdr:rowOff>217121</xdr:rowOff>
    </xdr:from>
    <xdr:to>
      <xdr:col>4</xdr:col>
      <xdr:colOff>147896</xdr:colOff>
      <xdr:row>110</xdr:row>
      <xdr:rowOff>42876</xdr:rowOff>
    </xdr:to>
    <xdr:graphicFrame macro="">
      <xdr:nvGraphicFramePr>
        <xdr:cNvPr id="3" name="Diagramm 2">
          <a:extLst>
            <a:ext uri="{FF2B5EF4-FFF2-40B4-BE49-F238E27FC236}">
              <a16:creationId xmlns:a16="http://schemas.microsoft.com/office/drawing/2014/main" id="{D3FA882F-9340-4614-A2E1-5AC88ED75A3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13</xdr:col>
      <xdr:colOff>168275</xdr:colOff>
      <xdr:row>59</xdr:row>
      <xdr:rowOff>232019</xdr:rowOff>
    </xdr:from>
    <xdr:to>
      <xdr:col>19</xdr:col>
      <xdr:colOff>518583</xdr:colOff>
      <xdr:row>82</xdr:row>
      <xdr:rowOff>98777</xdr:rowOff>
    </xdr:to>
    <xdr:graphicFrame macro="">
      <xdr:nvGraphicFramePr>
        <xdr:cNvPr id="4" name="Diagramm 3">
          <a:extLst>
            <a:ext uri="{FF2B5EF4-FFF2-40B4-BE49-F238E27FC236}">
              <a16:creationId xmlns:a16="http://schemas.microsoft.com/office/drawing/2014/main" id="{7A580AD8-3B01-4DA3-9B19-D5EB2E5C2DE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485775</xdr:colOff>
      <xdr:row>6</xdr:row>
      <xdr:rowOff>0</xdr:rowOff>
    </xdr:from>
    <xdr:to>
      <xdr:col>14</xdr:col>
      <xdr:colOff>366713</xdr:colOff>
      <xdr:row>7</xdr:row>
      <xdr:rowOff>142875</xdr:rowOff>
    </xdr:to>
    <xdr:sp macro="" textlink="">
      <xdr:nvSpPr>
        <xdr:cNvPr id="5" name="Line 4">
          <a:extLst>
            <a:ext uri="{FF2B5EF4-FFF2-40B4-BE49-F238E27FC236}">
              <a16:creationId xmlns:a16="http://schemas.microsoft.com/office/drawing/2014/main" id="{7D3EC447-7168-43E7-82DE-048E70BF7144}"/>
            </a:ext>
          </a:extLst>
        </xdr:cNvPr>
        <xdr:cNvSpPr>
          <a:spLocks noChangeShapeType="1"/>
        </xdr:cNvSpPr>
      </xdr:nvSpPr>
      <xdr:spPr bwMode="auto">
        <a:xfrm flipH="1">
          <a:off x="14716125" y="1419225"/>
          <a:ext cx="671513" cy="371475"/>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15</xdr:col>
      <xdr:colOff>438150</xdr:colOff>
      <xdr:row>6</xdr:row>
      <xdr:rowOff>9525</xdr:rowOff>
    </xdr:from>
    <xdr:to>
      <xdr:col>16</xdr:col>
      <xdr:colOff>381000</xdr:colOff>
      <xdr:row>7</xdr:row>
      <xdr:rowOff>142875</xdr:rowOff>
    </xdr:to>
    <xdr:sp macro="" textlink="">
      <xdr:nvSpPr>
        <xdr:cNvPr id="6" name="Line 5">
          <a:extLst>
            <a:ext uri="{FF2B5EF4-FFF2-40B4-BE49-F238E27FC236}">
              <a16:creationId xmlns:a16="http://schemas.microsoft.com/office/drawing/2014/main" id="{007E00EF-842A-40AA-9A65-24610AC13504}"/>
            </a:ext>
          </a:extLst>
        </xdr:cNvPr>
        <xdr:cNvSpPr>
          <a:spLocks noChangeShapeType="1"/>
        </xdr:cNvSpPr>
      </xdr:nvSpPr>
      <xdr:spPr bwMode="auto">
        <a:xfrm>
          <a:off x="16221075" y="1428750"/>
          <a:ext cx="704850" cy="36195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5</xdr:col>
      <xdr:colOff>285750</xdr:colOff>
      <xdr:row>30</xdr:row>
      <xdr:rowOff>0</xdr:rowOff>
    </xdr:from>
    <xdr:to>
      <xdr:col>11</xdr:col>
      <xdr:colOff>381000</xdr:colOff>
      <xdr:row>50</xdr:row>
      <xdr:rowOff>38100</xdr:rowOff>
    </xdr:to>
    <xdr:graphicFrame macro="">
      <xdr:nvGraphicFramePr>
        <xdr:cNvPr id="7" name="Diagramm 6">
          <a:extLst>
            <a:ext uri="{FF2B5EF4-FFF2-40B4-BE49-F238E27FC236}">
              <a16:creationId xmlns:a16="http://schemas.microsoft.com/office/drawing/2014/main" id="{17322676-EF38-4C7A-87B3-A68C04B86DE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4</xdr:col>
      <xdr:colOff>1115378</xdr:colOff>
      <xdr:row>2</xdr:row>
      <xdr:rowOff>23813</xdr:rowOff>
    </xdr:from>
    <xdr:to>
      <xdr:col>11</xdr:col>
      <xdr:colOff>73343</xdr:colOff>
      <xdr:row>27</xdr:row>
      <xdr:rowOff>28575</xdr:rowOff>
    </xdr:to>
    <xdr:graphicFrame macro="">
      <xdr:nvGraphicFramePr>
        <xdr:cNvPr id="2" name="Diagramm 1">
          <a:extLst>
            <a:ext uri="{FF2B5EF4-FFF2-40B4-BE49-F238E27FC236}">
              <a16:creationId xmlns:a16="http://schemas.microsoft.com/office/drawing/2014/main" id="{FCC7E22C-A51C-417A-BD35-19B86B11F60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377703</xdr:colOff>
      <xdr:row>80</xdr:row>
      <xdr:rowOff>217121</xdr:rowOff>
    </xdr:from>
    <xdr:to>
      <xdr:col>4</xdr:col>
      <xdr:colOff>147896</xdr:colOff>
      <xdr:row>110</xdr:row>
      <xdr:rowOff>42876</xdr:rowOff>
    </xdr:to>
    <xdr:graphicFrame macro="">
      <xdr:nvGraphicFramePr>
        <xdr:cNvPr id="3" name="Diagramm 2">
          <a:extLst>
            <a:ext uri="{FF2B5EF4-FFF2-40B4-BE49-F238E27FC236}">
              <a16:creationId xmlns:a16="http://schemas.microsoft.com/office/drawing/2014/main" id="{E4214603-AAC8-4B08-9910-BE70C3553B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13</xdr:col>
      <xdr:colOff>168275</xdr:colOff>
      <xdr:row>59</xdr:row>
      <xdr:rowOff>232019</xdr:rowOff>
    </xdr:from>
    <xdr:to>
      <xdr:col>19</xdr:col>
      <xdr:colOff>518583</xdr:colOff>
      <xdr:row>82</xdr:row>
      <xdr:rowOff>98777</xdr:rowOff>
    </xdr:to>
    <xdr:graphicFrame macro="">
      <xdr:nvGraphicFramePr>
        <xdr:cNvPr id="4" name="Diagramm 3">
          <a:extLst>
            <a:ext uri="{FF2B5EF4-FFF2-40B4-BE49-F238E27FC236}">
              <a16:creationId xmlns:a16="http://schemas.microsoft.com/office/drawing/2014/main" id="{0621A503-341A-47F4-9DD5-23A72E4441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485775</xdr:colOff>
      <xdr:row>6</xdr:row>
      <xdr:rowOff>0</xdr:rowOff>
    </xdr:from>
    <xdr:to>
      <xdr:col>14</xdr:col>
      <xdr:colOff>366713</xdr:colOff>
      <xdr:row>7</xdr:row>
      <xdr:rowOff>142875</xdr:rowOff>
    </xdr:to>
    <xdr:sp macro="" textlink="">
      <xdr:nvSpPr>
        <xdr:cNvPr id="5" name="Line 4">
          <a:extLst>
            <a:ext uri="{FF2B5EF4-FFF2-40B4-BE49-F238E27FC236}">
              <a16:creationId xmlns:a16="http://schemas.microsoft.com/office/drawing/2014/main" id="{5F110B1D-324E-4532-9013-1AFB37C3A523}"/>
            </a:ext>
          </a:extLst>
        </xdr:cNvPr>
        <xdr:cNvSpPr>
          <a:spLocks noChangeShapeType="1"/>
        </xdr:cNvSpPr>
      </xdr:nvSpPr>
      <xdr:spPr bwMode="auto">
        <a:xfrm flipH="1">
          <a:off x="14716125" y="1419225"/>
          <a:ext cx="671513" cy="371475"/>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15</xdr:col>
      <xdr:colOff>438150</xdr:colOff>
      <xdr:row>6</xdr:row>
      <xdr:rowOff>9525</xdr:rowOff>
    </xdr:from>
    <xdr:to>
      <xdr:col>16</xdr:col>
      <xdr:colOff>381000</xdr:colOff>
      <xdr:row>7</xdr:row>
      <xdr:rowOff>142875</xdr:rowOff>
    </xdr:to>
    <xdr:sp macro="" textlink="">
      <xdr:nvSpPr>
        <xdr:cNvPr id="6" name="Line 5">
          <a:extLst>
            <a:ext uri="{FF2B5EF4-FFF2-40B4-BE49-F238E27FC236}">
              <a16:creationId xmlns:a16="http://schemas.microsoft.com/office/drawing/2014/main" id="{54C62AD8-490F-4EE0-AD0F-3A5A1989B678}"/>
            </a:ext>
          </a:extLst>
        </xdr:cNvPr>
        <xdr:cNvSpPr>
          <a:spLocks noChangeShapeType="1"/>
        </xdr:cNvSpPr>
      </xdr:nvSpPr>
      <xdr:spPr bwMode="auto">
        <a:xfrm>
          <a:off x="16221075" y="1428750"/>
          <a:ext cx="704850" cy="36195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5</xdr:col>
      <xdr:colOff>285750</xdr:colOff>
      <xdr:row>30</xdr:row>
      <xdr:rowOff>0</xdr:rowOff>
    </xdr:from>
    <xdr:to>
      <xdr:col>11</xdr:col>
      <xdr:colOff>381000</xdr:colOff>
      <xdr:row>50</xdr:row>
      <xdr:rowOff>38100</xdr:rowOff>
    </xdr:to>
    <xdr:graphicFrame macro="">
      <xdr:nvGraphicFramePr>
        <xdr:cNvPr id="7" name="Diagramm 6">
          <a:extLst>
            <a:ext uri="{FF2B5EF4-FFF2-40B4-BE49-F238E27FC236}">
              <a16:creationId xmlns:a16="http://schemas.microsoft.com/office/drawing/2014/main" id="{68D4F3F9-7610-4D48-9247-094CD4481D7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4</xdr:col>
      <xdr:colOff>1115378</xdr:colOff>
      <xdr:row>2</xdr:row>
      <xdr:rowOff>23813</xdr:rowOff>
    </xdr:from>
    <xdr:to>
      <xdr:col>11</xdr:col>
      <xdr:colOff>73343</xdr:colOff>
      <xdr:row>27</xdr:row>
      <xdr:rowOff>28575</xdr:rowOff>
    </xdr:to>
    <xdr:graphicFrame macro="">
      <xdr:nvGraphicFramePr>
        <xdr:cNvPr id="2" name="Diagramm 1">
          <a:extLst>
            <a:ext uri="{FF2B5EF4-FFF2-40B4-BE49-F238E27FC236}">
              <a16:creationId xmlns:a16="http://schemas.microsoft.com/office/drawing/2014/main" id="{517CC250-58C4-4876-B39D-18F2EC26D67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377703</xdr:colOff>
      <xdr:row>80</xdr:row>
      <xdr:rowOff>217121</xdr:rowOff>
    </xdr:from>
    <xdr:to>
      <xdr:col>4</xdr:col>
      <xdr:colOff>147896</xdr:colOff>
      <xdr:row>110</xdr:row>
      <xdr:rowOff>42876</xdr:rowOff>
    </xdr:to>
    <xdr:graphicFrame macro="">
      <xdr:nvGraphicFramePr>
        <xdr:cNvPr id="3" name="Diagramm 2">
          <a:extLst>
            <a:ext uri="{FF2B5EF4-FFF2-40B4-BE49-F238E27FC236}">
              <a16:creationId xmlns:a16="http://schemas.microsoft.com/office/drawing/2014/main" id="{8FAD963D-3AEA-4FA9-B349-840DEF15C8E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13</xdr:col>
      <xdr:colOff>168275</xdr:colOff>
      <xdr:row>59</xdr:row>
      <xdr:rowOff>232019</xdr:rowOff>
    </xdr:from>
    <xdr:to>
      <xdr:col>19</xdr:col>
      <xdr:colOff>518583</xdr:colOff>
      <xdr:row>82</xdr:row>
      <xdr:rowOff>98777</xdr:rowOff>
    </xdr:to>
    <xdr:graphicFrame macro="">
      <xdr:nvGraphicFramePr>
        <xdr:cNvPr id="4" name="Diagramm 3">
          <a:extLst>
            <a:ext uri="{FF2B5EF4-FFF2-40B4-BE49-F238E27FC236}">
              <a16:creationId xmlns:a16="http://schemas.microsoft.com/office/drawing/2014/main" id="{F5D4B791-7967-4015-94D7-E6E59ED39B6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485775</xdr:colOff>
      <xdr:row>6</xdr:row>
      <xdr:rowOff>0</xdr:rowOff>
    </xdr:from>
    <xdr:to>
      <xdr:col>14</xdr:col>
      <xdr:colOff>366713</xdr:colOff>
      <xdr:row>7</xdr:row>
      <xdr:rowOff>142875</xdr:rowOff>
    </xdr:to>
    <xdr:sp macro="" textlink="">
      <xdr:nvSpPr>
        <xdr:cNvPr id="5" name="Line 4">
          <a:extLst>
            <a:ext uri="{FF2B5EF4-FFF2-40B4-BE49-F238E27FC236}">
              <a16:creationId xmlns:a16="http://schemas.microsoft.com/office/drawing/2014/main" id="{80075836-A595-4321-B2FE-E1ADE67CAC66}"/>
            </a:ext>
          </a:extLst>
        </xdr:cNvPr>
        <xdr:cNvSpPr>
          <a:spLocks noChangeShapeType="1"/>
        </xdr:cNvSpPr>
      </xdr:nvSpPr>
      <xdr:spPr bwMode="auto">
        <a:xfrm flipH="1">
          <a:off x="14716125" y="1419225"/>
          <a:ext cx="671513" cy="371475"/>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15</xdr:col>
      <xdr:colOff>438150</xdr:colOff>
      <xdr:row>6</xdr:row>
      <xdr:rowOff>9525</xdr:rowOff>
    </xdr:from>
    <xdr:to>
      <xdr:col>16</xdr:col>
      <xdr:colOff>381000</xdr:colOff>
      <xdr:row>7</xdr:row>
      <xdr:rowOff>142875</xdr:rowOff>
    </xdr:to>
    <xdr:sp macro="" textlink="">
      <xdr:nvSpPr>
        <xdr:cNvPr id="6" name="Line 5">
          <a:extLst>
            <a:ext uri="{FF2B5EF4-FFF2-40B4-BE49-F238E27FC236}">
              <a16:creationId xmlns:a16="http://schemas.microsoft.com/office/drawing/2014/main" id="{36BC7988-35D5-4C97-A6B3-E6E1E9A99633}"/>
            </a:ext>
          </a:extLst>
        </xdr:cNvPr>
        <xdr:cNvSpPr>
          <a:spLocks noChangeShapeType="1"/>
        </xdr:cNvSpPr>
      </xdr:nvSpPr>
      <xdr:spPr bwMode="auto">
        <a:xfrm>
          <a:off x="16221075" y="1428750"/>
          <a:ext cx="704850" cy="36195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5</xdr:col>
      <xdr:colOff>285750</xdr:colOff>
      <xdr:row>30</xdr:row>
      <xdr:rowOff>0</xdr:rowOff>
    </xdr:from>
    <xdr:to>
      <xdr:col>11</xdr:col>
      <xdr:colOff>381000</xdr:colOff>
      <xdr:row>50</xdr:row>
      <xdr:rowOff>38100</xdr:rowOff>
    </xdr:to>
    <xdr:graphicFrame macro="">
      <xdr:nvGraphicFramePr>
        <xdr:cNvPr id="7" name="Diagramm 6">
          <a:extLst>
            <a:ext uri="{FF2B5EF4-FFF2-40B4-BE49-F238E27FC236}">
              <a16:creationId xmlns:a16="http://schemas.microsoft.com/office/drawing/2014/main" id="{0A627001-C1A5-4E55-9373-E22BF542FFC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10</xdr:col>
      <xdr:colOff>357187</xdr:colOff>
      <xdr:row>2</xdr:row>
      <xdr:rowOff>23813</xdr:rowOff>
    </xdr:from>
    <xdr:to>
      <xdr:col>32</xdr:col>
      <xdr:colOff>196103</xdr:colOff>
      <xdr:row>26</xdr:row>
      <xdr:rowOff>138113</xdr:rowOff>
    </xdr:to>
    <xdr:graphicFrame macro="">
      <xdr:nvGraphicFramePr>
        <xdr:cNvPr id="2" name="Diagramm 1">
          <a:extLst>
            <a:ext uri="{FF2B5EF4-FFF2-40B4-BE49-F238E27FC236}">
              <a16:creationId xmlns:a16="http://schemas.microsoft.com/office/drawing/2014/main" id="{0420074D-69AA-4FA4-BBBA-5D2FA11E732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20</xdr:col>
      <xdr:colOff>616324</xdr:colOff>
      <xdr:row>29</xdr:row>
      <xdr:rowOff>62753</xdr:rowOff>
    </xdr:from>
    <xdr:to>
      <xdr:col>32</xdr:col>
      <xdr:colOff>238125</xdr:colOff>
      <xdr:row>52</xdr:row>
      <xdr:rowOff>110378</xdr:rowOff>
    </xdr:to>
    <xdr:graphicFrame macro="">
      <xdr:nvGraphicFramePr>
        <xdr:cNvPr id="3" name="Diagramm 6">
          <a:extLst>
            <a:ext uri="{FF2B5EF4-FFF2-40B4-BE49-F238E27FC236}">
              <a16:creationId xmlns:a16="http://schemas.microsoft.com/office/drawing/2014/main" id="{080ED3C0-EB81-4547-A348-125BC1D6BC2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10</xdr:col>
      <xdr:colOff>333375</xdr:colOff>
      <xdr:row>29</xdr:row>
      <xdr:rowOff>104775</xdr:rowOff>
    </xdr:from>
    <xdr:to>
      <xdr:col>20</xdr:col>
      <xdr:colOff>476250</xdr:colOff>
      <xdr:row>53</xdr:row>
      <xdr:rowOff>9525</xdr:rowOff>
    </xdr:to>
    <xdr:graphicFrame macro="">
      <xdr:nvGraphicFramePr>
        <xdr:cNvPr id="4" name="Diagramm 12">
          <a:extLst>
            <a:ext uri="{FF2B5EF4-FFF2-40B4-BE49-F238E27FC236}">
              <a16:creationId xmlns:a16="http://schemas.microsoft.com/office/drawing/2014/main" id="{D3F66E77-F633-4D16-80F0-2E93168363E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d.docs.live.net/Users/Usuario/Downloads/Abfall-Klima-Rechner_Endentwurf_091210.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d.docs.live.net/!regine/Diverses%20Projekte/EU_BMU%20Pl&#228;ne-Programme/Abfall/ISWA%20Task%20Force%20GHG-SWM/EpE%20Protokoll/EpE%2012-2008%20v3.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Backup%2027%20May%202022%20-%20Diret&#243;rios%20de%20Trabalho/2021%20-%20UNIDO/4%20-%20NOVO%20CONTRATO%202022/Desenvolv%20Tool%203/Crisitan%20Files/Dados%20Dist&#226;ncias%2033%20Cidades%20Cirsop%20-%2021%20May.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itle"/>
      <sheetName val="Intro"/>
      <sheetName val="Start"/>
      <sheetName val="Recycling"/>
      <sheetName val="Disposal"/>
      <sheetName val="Costs"/>
      <sheetName val="Results SQ"/>
      <sheetName val="Results Sc1"/>
      <sheetName val="Results Sc2"/>
      <sheetName val="Results Sc3"/>
      <sheetName val="Results all"/>
      <sheetName val="Results costs all"/>
      <sheetName val="Calculation"/>
    </sheetNames>
    <sheetDataSet>
      <sheetData sheetId="0" refreshError="1"/>
      <sheetData sheetId="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ntroduction"/>
      <sheetName val="Transport"/>
      <sheetName val="Comb &amp; Indirectes"/>
      <sheetName val="Stockage -  Landfill"/>
      <sheetName val="Incineration"/>
      <sheetName val="Eaux usées - Wastewater"/>
      <sheetName val="Evitées -  Avoided"/>
      <sheetName val="Facteurs - Factors"/>
      <sheetName val="Facteurs recyclage - Recycling "/>
      <sheetName val="Synthèse - Synthesis"/>
      <sheetName val="Ne pas modifier - Do not modify"/>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row r="2">
          <cell r="B2" t="str">
            <v>Protocole de quantification des émissions de GES liées à la gestion des déchets</v>
          </cell>
          <cell r="C2" t="str">
            <v>Protocol for the quantification of GHG emissions from waste management activities1</v>
          </cell>
        </row>
        <row r="3">
          <cell r="B3" t="str">
            <v>Choose your langage / choisissez votre langue</v>
          </cell>
          <cell r="C3" t="str">
            <v>Choisissez votre langue / choose your langage:</v>
          </cell>
        </row>
        <row r="4">
          <cell r="B4" t="str">
            <v>Cet outil Excel accompagne le protocole préparé par Entreprises pour l'Environnement afin d'assister un exploitant dans son inventaire des émissions de gaz à effet de serre liées à la gestion des déchets.</v>
          </cell>
          <cell r="C4" t="str">
            <v>This Excel tool is appended to  the protocol prepared by Entreprises pour l'Environnement to assist operators in their greenhouse gas emissions inventory associated with waste management activities.</v>
          </cell>
        </row>
        <row r="5">
          <cell r="B5" t="str">
            <v>Cet outil doit être utilisé dans le cadre d'un inventaire effectué selon les principes décrits dans le protocole Word auquel ce fichier est annexé.</v>
          </cell>
          <cell r="C5" t="str">
            <v>This tool has to be used as part of an inventory done according to the principles described in the Word file protocol.</v>
          </cell>
        </row>
        <row r="6">
          <cell r="B6" t="str">
            <v xml:space="preserve">Il comporte les onglets suivants : </v>
          </cell>
          <cell r="C6" t="str">
            <v xml:space="preserve">It is made of the following sheets: </v>
          </cell>
        </row>
        <row r="7">
          <cell r="B7" t="str">
            <v>Transport</v>
          </cell>
          <cell r="C7" t="str">
            <v>Transport</v>
          </cell>
        </row>
        <row r="8">
          <cell r="B8" t="str">
            <v>Comb &amp; Indirectes</v>
          </cell>
          <cell r="C8" t="str">
            <v>Comb &amp; Indirect</v>
          </cell>
        </row>
        <row r="9">
          <cell r="B9" t="str">
            <v>Stockage (décharge)</v>
          </cell>
          <cell r="C9" t="str">
            <v>Landfilling</v>
          </cell>
        </row>
        <row r="10">
          <cell r="B10" t="str">
            <v>Incinération</v>
          </cell>
          <cell r="C10" t="str">
            <v>Incineration</v>
          </cell>
        </row>
        <row r="11">
          <cell r="B11" t="str">
            <v>Eaux Usées</v>
          </cell>
          <cell r="C11" t="str">
            <v>Wastewater</v>
          </cell>
        </row>
        <row r="12">
          <cell r="B12" t="str">
            <v>Evitées</v>
          </cell>
          <cell r="C12" t="str">
            <v>Avoided</v>
          </cell>
        </row>
        <row r="13">
          <cell r="B13" t="str">
            <v>Facteurs</v>
          </cell>
          <cell r="C13" t="str">
            <v>Factors</v>
          </cell>
        </row>
        <row r="14">
          <cell r="B14" t="str">
            <v>Synthèse</v>
          </cell>
          <cell r="C14" t="str">
            <v>Synthesis</v>
          </cell>
        </row>
        <row r="15">
          <cell r="B15" t="str">
            <v>Emissions liées à la collecte et au transport des déchets</v>
          </cell>
          <cell r="C15" t="str">
            <v>Emissions due to waste collection and transport</v>
          </cell>
        </row>
        <row r="16">
          <cell r="B16" t="str">
            <v>Emissions liées à la consommation de combustibles d'électricité et d'énergie thermique</v>
          </cell>
          <cell r="C16" t="str">
            <v>Emissions due to fuel, electricity or thermic energy consumption</v>
          </cell>
        </row>
        <row r="17">
          <cell r="B17" t="str">
            <v>Spécifications pour un calcul d'émissions d'un centre de stockage / mise en décharge des déchets</v>
          </cell>
          <cell r="C17" t="str">
            <v>Specifications for the emissions calculations for landfilling</v>
          </cell>
        </row>
        <row r="18">
          <cell r="B18" t="str">
            <v>Emissions liées à l'incinération des déchets (tous types)</v>
          </cell>
          <cell r="C18" t="str">
            <v>Emissions due to waste incineration (all types)</v>
          </cell>
        </row>
        <row r="19">
          <cell r="B19" t="str">
            <v>Emissions liées au traitement des eaux usées</v>
          </cell>
          <cell r="C19" t="str">
            <v>Emissions due to wastewater treatment</v>
          </cell>
        </row>
        <row r="20">
          <cell r="B20" t="str">
            <v>Emissions evitées lors d'un des traitements listés ci-dessus</v>
          </cell>
          <cell r="C20" t="str">
            <v>Emissions avoided during one of the above activities</v>
          </cell>
        </row>
        <row r="21">
          <cell r="B21" t="str">
            <v>Facteurs indicatifs pouvant être employés</v>
          </cell>
          <cell r="C21" t="str">
            <v>Indicative factors that can be used</v>
          </cell>
        </row>
        <row r="22">
          <cell r="B22" t="str">
            <v>Feuille récapitulative de l'inventaire</v>
          </cell>
          <cell r="C22" t="str">
            <v>Inventory recapitulative sheet</v>
          </cell>
        </row>
        <row r="23">
          <cell r="B23" t="str">
            <v>Des informations automatiques sont fournies dans les différentes cellules, permettant de remplir le formulaire.</v>
          </cell>
          <cell r="C23" t="str">
            <v>Automatic information will be provided in certain cells, helping to complete the form.</v>
          </cell>
        </row>
        <row r="24">
          <cell r="B24" t="str">
            <v xml:space="preserve">Contact EpE : </v>
          </cell>
          <cell r="C24" t="str">
            <v xml:space="preserve">EpE Contact: </v>
          </cell>
        </row>
        <row r="25">
          <cell r="B25" t="str">
            <v>50 rue de la Chaussée d'Antin</v>
          </cell>
          <cell r="C25" t="str">
            <v>50 rue de la Chaussée d'Antin</v>
          </cell>
        </row>
        <row r="26">
          <cell r="B26" t="str">
            <v>Paris 75009</v>
          </cell>
          <cell r="C26" t="str">
            <v>Paris 75009</v>
          </cell>
        </row>
        <row r="27">
          <cell r="B27" t="str">
            <v>Tél : + (33) 1 49 70 98 50</v>
          </cell>
          <cell r="C27" t="str">
            <v>Tél : + (33) 1 49 70 98 50</v>
          </cell>
        </row>
        <row r="28">
          <cell r="B28" t="str">
            <v>Fax : + (33) 1 49 70 02 50</v>
          </cell>
          <cell r="C28" t="str">
            <v>Fax : + (33) 1 49 70 02 50</v>
          </cell>
        </row>
        <row r="29">
          <cell r="B29" t="str">
            <v>E-mail : contact@epe-asso.org</v>
          </cell>
          <cell r="C29" t="str">
            <v>E-mail : contact@epe-asso.org</v>
          </cell>
        </row>
        <row r="30">
          <cell r="B30" t="str">
            <v>http://www.epe-asso.org</v>
          </cell>
          <cell r="C30" t="str">
            <v>http://www.epe-asso.org</v>
          </cell>
        </row>
        <row r="31">
          <cell r="B31" t="str">
            <v>Décembre 2008</v>
          </cell>
          <cell r="C31" t="str">
            <v>December 2008</v>
          </cell>
        </row>
        <row r="32">
          <cell r="B32" t="str">
            <v>Facteurs recyclage</v>
          </cell>
          <cell r="C32" t="str">
            <v>Recycling factors</v>
          </cell>
        </row>
        <row r="33">
          <cell r="B33" t="str">
            <v>Facteurs indicatifs pour le calcul des émissions évitées liées à la valorisation matière</v>
          </cell>
          <cell r="C33" t="str">
            <v>Indicative factors for avoided emissions related to material  recovery</v>
          </cell>
        </row>
        <row r="34">
          <cell r="C34">
            <v>33</v>
          </cell>
        </row>
        <row r="35">
          <cell r="C35">
            <v>34</v>
          </cell>
        </row>
        <row r="36">
          <cell r="C36">
            <v>35</v>
          </cell>
        </row>
        <row r="37">
          <cell r="C37">
            <v>36</v>
          </cell>
        </row>
        <row r="38">
          <cell r="C38">
            <v>37</v>
          </cell>
        </row>
        <row r="39">
          <cell r="C39">
            <v>38</v>
          </cell>
        </row>
        <row r="40">
          <cell r="C40">
            <v>39</v>
          </cell>
        </row>
        <row r="41">
          <cell r="C41">
            <v>40</v>
          </cell>
        </row>
        <row r="42">
          <cell r="C42">
            <v>41</v>
          </cell>
        </row>
        <row r="43">
          <cell r="C43">
            <v>42</v>
          </cell>
        </row>
        <row r="44">
          <cell r="C44">
            <v>43</v>
          </cell>
        </row>
        <row r="45">
          <cell r="C45">
            <v>44</v>
          </cell>
        </row>
        <row r="46">
          <cell r="C46">
            <v>45</v>
          </cell>
        </row>
        <row r="47">
          <cell r="C47">
            <v>46</v>
          </cell>
        </row>
        <row r="48">
          <cell r="C48">
            <v>47</v>
          </cell>
        </row>
        <row r="49">
          <cell r="C49">
            <v>48</v>
          </cell>
        </row>
        <row r="50">
          <cell r="C50">
            <v>49</v>
          </cell>
        </row>
        <row r="51">
          <cell r="B51" t="str">
            <v>EMISSIONS DE GAZ A EFFET DE SERRE LIEES AUX TRANSPORTS</v>
          </cell>
          <cell r="C51" t="str">
            <v>GREENHOUSE GAS EMISSIONS DUE TO TRANSPORTS</v>
          </cell>
        </row>
        <row r="52">
          <cell r="B52" t="str">
            <v>Ces tableaux sont extraits du Module GES Transports élaboré conjointement par EpE et l'ADEME</v>
          </cell>
          <cell r="C52" t="str">
            <v>These tables are extracted for the GHG emissions calculation tool from transport activities developped together by EpE and ADEME</v>
          </cell>
        </row>
        <row r="53">
          <cell r="B53" t="str">
            <v>CODE COULEURS :</v>
          </cell>
          <cell r="C53" t="str">
            <v>COLOUR CODE:</v>
          </cell>
        </row>
        <row r="54">
          <cell r="B54" t="str">
            <v>Emissions directes des moyens de transport détenus en propre ou opérés par l'entité effectuant le reporting</v>
          </cell>
          <cell r="C54" t="str">
            <v>Direct emissions from transportation vehicles owned or operated by the reporting entity</v>
          </cell>
        </row>
        <row r="55">
          <cell r="B55" t="str">
            <v>Emissions associées à la production d'électricité consommée par des véhicules électriques ou hybrides opérés par l'entité</v>
          </cell>
          <cell r="C55" t="str">
            <v>Emissions due to the production of electricity that is used by the electric or hybrid vehicles operated by the entity</v>
          </cell>
        </row>
        <row r="56">
          <cell r="B56" t="str">
            <v>Emissions des moyens de transport détenus ou opérés par un sous-traitant de l'entité effectuant le reporting</v>
          </cell>
          <cell r="C56" t="str">
            <v>Emissions from transportation vehicles owned or operated by a subcontractor of the reporting entity</v>
          </cell>
        </row>
        <row r="57">
          <cell r="B57" t="str">
            <v>Cet onglet doit être utilisé pour déterminer les émissions liées au transport. Doivent être reportées aussi bien les émissions directes liées aux moyens détenus ou opérés par l'entité, les émissions indirectes des véhicules électriques, et les émissions i</v>
          </cell>
          <cell r="C57" t="str">
            <v>This sheet has to be used to assess emissions from transport. Direct emissions from vehicles owned or operated by the entity, indirect emissions from electric vehicles and indirect emissions from contracted transport operations should also be reported. Th</v>
          </cell>
        </row>
        <row r="58">
          <cell r="B58" t="str">
            <v>1 - Fret routier : calcul à partir des achats de carburants (unité : L)</v>
          </cell>
          <cell r="C58" t="str">
            <v>1 - Road freightage: calculated from fuel puchases (unit: L)</v>
          </cell>
        </row>
        <row r="59">
          <cell r="B59" t="str">
            <v>Consommation</v>
          </cell>
          <cell r="C59" t="str">
            <v>Consumption</v>
          </cell>
        </row>
        <row r="60">
          <cell r="B60" t="str">
            <v>kg CO2-e</v>
          </cell>
          <cell r="C60" t="str">
            <v>kg CO2-e</v>
          </cell>
        </row>
        <row r="61">
          <cell r="B61" t="str">
            <v>t</v>
          </cell>
          <cell r="C61" t="str">
            <v>t</v>
          </cell>
        </row>
        <row r="62">
          <cell r="B62" t="str">
            <v>(litre)</v>
          </cell>
          <cell r="C62" t="str">
            <v>(litre)</v>
          </cell>
        </row>
        <row r="63">
          <cell r="B63" t="str">
            <v>par litre</v>
          </cell>
          <cell r="C63" t="str">
            <v>per litre</v>
          </cell>
        </row>
        <row r="64">
          <cell r="B64" t="str">
            <v>CO2-e</v>
          </cell>
          <cell r="C64" t="str">
            <v>CO2-e</v>
          </cell>
        </row>
        <row r="65">
          <cell r="B65" t="str">
            <v>moyens détenus,</v>
          </cell>
          <cell r="C65" t="str">
            <v>owned,</v>
          </cell>
        </row>
        <row r="66">
          <cell r="B66" t="str">
            <v>contrôlés ou</v>
          </cell>
          <cell r="C66" t="str">
            <v xml:space="preserve">
controlled or </v>
          </cell>
        </row>
        <row r="67">
          <cell r="B67" t="str">
            <v>opérés</v>
          </cell>
          <cell r="C67" t="str">
            <v xml:space="preserve">operated </v>
          </cell>
        </row>
        <row r="68">
          <cell r="B68" t="str">
            <v>activité externalisée</v>
          </cell>
          <cell r="C68" t="str">
            <v>outsourced goods</v>
          </cell>
        </row>
        <row r="69">
          <cell r="B69" t="str">
            <v>de transport</v>
          </cell>
          <cell r="C69" t="str">
            <v xml:space="preserve"> transportation</v>
          </cell>
        </row>
        <row r="70">
          <cell r="B70" t="str">
            <v>de marchandises</v>
          </cell>
          <cell r="C70" t="str">
            <v xml:space="preserve"> activity</v>
          </cell>
        </row>
        <row r="71">
          <cell r="B71" t="str">
            <v>Combustible</v>
          </cell>
          <cell r="C71" t="str">
            <v>Fuel</v>
          </cell>
        </row>
        <row r="72">
          <cell r="B72" t="str">
            <v>Supercarburant</v>
          </cell>
          <cell r="C72" t="str">
            <v>Gasoline</v>
          </cell>
        </row>
        <row r="73">
          <cell r="B73" t="str">
            <v>Gazole</v>
          </cell>
          <cell r="C73" t="str">
            <v>Diesel oil</v>
          </cell>
        </row>
        <row r="74">
          <cell r="B74" t="str">
            <v>GPL</v>
          </cell>
          <cell r="C74" t="str">
            <v>LPG</v>
          </cell>
        </row>
        <row r="75">
          <cell r="B75" t="str">
            <v>Autre carburant</v>
          </cell>
          <cell r="C75" t="str">
            <v>Other fuel</v>
          </cell>
        </row>
        <row r="76">
          <cell r="B76" t="str">
            <v>Total</v>
          </cell>
          <cell r="C76" t="str">
            <v>Total</v>
          </cell>
        </row>
        <row r="77">
          <cell r="B77" t="str">
            <v>2 - Fret routier : calcul à partir des achats de carburants (unité : tonnes)</v>
          </cell>
          <cell r="C77" t="str">
            <v>2 - Road freightage: calculated from fuels' puchases (unit: tonnes)</v>
          </cell>
        </row>
        <row r="78">
          <cell r="B78" t="str">
            <v>(tonnes)</v>
          </cell>
          <cell r="C78" t="str">
            <v>(tons)</v>
          </cell>
        </row>
        <row r="79">
          <cell r="B79" t="str">
            <v>par tonne</v>
          </cell>
          <cell r="C79" t="str">
            <v>per ton</v>
          </cell>
        </row>
        <row r="80">
          <cell r="B80" t="str">
            <v>Gaz naturel</v>
          </cell>
          <cell r="C80" t="str">
            <v>Natural gas</v>
          </cell>
        </row>
        <row r="81">
          <cell r="B81" t="str">
            <v>3 - Fret routier à traction électrique : calcul à partir des achats d'électricité</v>
          </cell>
          <cell r="C81" t="str">
            <v>3 - Road freightage with electrical traction: calculated from electricity purchases</v>
          </cell>
        </row>
        <row r="82">
          <cell r="B82" t="str">
            <v>(MWh)</v>
          </cell>
          <cell r="C82" t="str">
            <v>(MWh)</v>
          </cell>
        </row>
        <row r="83">
          <cell r="B83" t="str">
            <v>4 - Fret routier : calcul à partir des véhicules.km et des consommations moyennes</v>
          </cell>
          <cell r="C83" t="str">
            <v>4 - Road freightage: calculated from vehicles.km and average consumptions</v>
          </cell>
        </row>
        <row r="84">
          <cell r="B84" t="str">
            <v>véhicule.km</v>
          </cell>
          <cell r="C84" t="str">
            <v>vehicle.km</v>
          </cell>
        </row>
        <row r="85">
          <cell r="B85" t="str">
            <v>Désignation du véhicule</v>
          </cell>
          <cell r="C85" t="str">
            <v>Vehicle's designation</v>
          </cell>
        </row>
        <row r="86">
          <cell r="B86" t="str">
            <v>Véhicule essence, 1</v>
          </cell>
          <cell r="C86" t="str">
            <v>Gasoline vehicle, 1</v>
          </cell>
        </row>
        <row r="87">
          <cell r="B87" t="str">
            <v>Véhicule essence, 2</v>
          </cell>
          <cell r="C87" t="str">
            <v>Gasoline vehicle, 2</v>
          </cell>
        </row>
        <row r="88">
          <cell r="B88" t="str">
            <v>Véhicule essence, 3</v>
          </cell>
          <cell r="C88" t="str">
            <v>Gasoline vehicle, 3</v>
          </cell>
        </row>
        <row r="89">
          <cell r="B89" t="str">
            <v>Véhicule diesel, 1</v>
          </cell>
          <cell r="C89" t="str">
            <v>Diesel oil vehicle, 1</v>
          </cell>
        </row>
        <row r="90">
          <cell r="B90" t="str">
            <v>Véhicule diesel, 2</v>
          </cell>
          <cell r="C90" t="str">
            <v>Diesel oil vehicle, 2</v>
          </cell>
        </row>
        <row r="91">
          <cell r="B91" t="str">
            <v>Véhicule diesel, 3</v>
          </cell>
          <cell r="C91" t="str">
            <v>Diesel oil vehicle, 3</v>
          </cell>
        </row>
        <row r="92">
          <cell r="B92" t="str">
            <v>Autre véhicule, 1</v>
          </cell>
          <cell r="C92" t="str">
            <v>Other vehicle, 1</v>
          </cell>
        </row>
        <row r="93">
          <cell r="B93" t="str">
            <v>Autre véhicule, 2</v>
          </cell>
          <cell r="C93" t="str">
            <v>Other vehicle, 2</v>
          </cell>
        </row>
        <row r="94">
          <cell r="B94" t="str">
            <v>Autre véhicule, 3</v>
          </cell>
          <cell r="C94" t="str">
            <v>Other vehicle, 3</v>
          </cell>
        </row>
        <row r="95">
          <cell r="B95" t="str">
            <v>litres</v>
          </cell>
          <cell r="C95" t="str">
            <v>litres</v>
          </cell>
        </row>
        <row r="96">
          <cell r="B96" t="str">
            <v>aux 100</v>
          </cell>
          <cell r="C96" t="str">
            <v>per 100 km</v>
          </cell>
        </row>
        <row r="97">
          <cell r="B97" t="str">
            <v>kg CO2-e</v>
          </cell>
          <cell r="C97" t="str">
            <v>kg CO2-e</v>
          </cell>
        </row>
        <row r="98">
          <cell r="B98" t="str">
            <v>par litre</v>
          </cell>
          <cell r="C98" t="str">
            <v>per litre</v>
          </cell>
        </row>
        <row r="99">
          <cell r="B99" t="str">
            <v>t</v>
          </cell>
          <cell r="C99" t="str">
            <v>t</v>
          </cell>
        </row>
        <row r="100">
          <cell r="B100" t="str">
            <v>CO2-e</v>
          </cell>
          <cell r="C100" t="str">
            <v>CO2-e</v>
          </cell>
        </row>
        <row r="101">
          <cell r="B101" t="str">
            <v>EMISSIONS PAR ORIGINE</v>
          </cell>
          <cell r="C101" t="str">
            <v>EMISSIONS BY ORIGIN</v>
          </cell>
        </row>
        <row r="102">
          <cell r="B102" t="str">
            <v>Emissions directes des moyens de transport détenus en propre ou opérés par l'entité effectuant le reporting</v>
          </cell>
          <cell r="C102" t="str">
            <v>Direct emissions from transportation vehicles owned or operated by the reporting entity</v>
          </cell>
        </row>
        <row r="103">
          <cell r="B103" t="str">
            <v>Emissions associées à la production d'électricité consommée par des véhicules électriques ou hybrides opérés par l'entité</v>
          </cell>
          <cell r="C103" t="str">
            <v>Emissions due to the production of electricity that is used by the electric or hybrid vehicles operated by the entity</v>
          </cell>
        </row>
        <row r="104">
          <cell r="B104" t="str">
            <v>Emissions des moyens de transport détenus ou opérés par un sous-traitant de l'entité effectuant le reporting</v>
          </cell>
          <cell r="C104" t="str">
            <v>Emissions of transport means owned or operated by a sub-contractor of the entity performing the inventory</v>
          </cell>
        </row>
        <row r="105">
          <cell r="B105" t="str">
            <v>Total émissions</v>
          </cell>
          <cell r="C105" t="str">
            <v>Total emissions</v>
          </cell>
        </row>
        <row r="106">
          <cell r="B106" t="str">
            <v>tonnes CO2-e</v>
          </cell>
          <cell r="C106" t="str">
            <v>tonnes CO2-e</v>
          </cell>
        </row>
        <row r="107">
          <cell r="B107" t="str">
            <v>Synthèse</v>
          </cell>
          <cell r="C107" t="str">
            <v>Global balance</v>
          </cell>
        </row>
        <row r="108">
          <cell r="B108" t="str">
            <v>France, usage Transport</v>
          </cell>
          <cell r="C108" t="str">
            <v>France, Transport use</v>
          </cell>
        </row>
        <row r="109">
          <cell r="C109">
            <v>108</v>
          </cell>
        </row>
        <row r="110">
          <cell r="C110">
            <v>109</v>
          </cell>
        </row>
        <row r="111">
          <cell r="C111">
            <v>110</v>
          </cell>
        </row>
        <row r="112">
          <cell r="C112">
            <v>111</v>
          </cell>
        </row>
        <row r="113">
          <cell r="C113">
            <v>112</v>
          </cell>
        </row>
        <row r="114">
          <cell r="C114">
            <v>113</v>
          </cell>
        </row>
        <row r="115">
          <cell r="C115">
            <v>114</v>
          </cell>
        </row>
        <row r="116">
          <cell r="C116">
            <v>115</v>
          </cell>
        </row>
        <row r="117">
          <cell r="C117">
            <v>116</v>
          </cell>
        </row>
        <row r="118">
          <cell r="C118">
            <v>117</v>
          </cell>
        </row>
        <row r="119">
          <cell r="C119">
            <v>118</v>
          </cell>
        </row>
        <row r="120">
          <cell r="C120">
            <v>119</v>
          </cell>
        </row>
        <row r="121">
          <cell r="C121">
            <v>120</v>
          </cell>
        </row>
        <row r="122">
          <cell r="C122">
            <v>121</v>
          </cell>
        </row>
        <row r="123">
          <cell r="C123">
            <v>122</v>
          </cell>
        </row>
        <row r="124">
          <cell r="C124">
            <v>123</v>
          </cell>
        </row>
        <row r="125">
          <cell r="C125">
            <v>124</v>
          </cell>
        </row>
        <row r="126">
          <cell r="C126">
            <v>125</v>
          </cell>
        </row>
        <row r="127">
          <cell r="C127">
            <v>126</v>
          </cell>
        </row>
        <row r="128">
          <cell r="C128">
            <v>127</v>
          </cell>
        </row>
        <row r="129">
          <cell r="C129">
            <v>128</v>
          </cell>
        </row>
        <row r="130">
          <cell r="C130">
            <v>129</v>
          </cell>
        </row>
        <row r="131">
          <cell r="C131">
            <v>130</v>
          </cell>
        </row>
        <row r="132">
          <cell r="B132" t="str">
            <v>EMISSIONS DE GAZ A EFFET DE SERRE DIRECTES (CONSOMMATION DE COMBUSTIBLE) ET INDIRECTES (CONSOMMATION D'ELECTRICITE ET ENERGIE THERMIQUE)
(NON SPECIFIQUES A LA FILIERE)</v>
          </cell>
          <cell r="C132" t="str">
            <v>DIRECT GREENHOUSE GAS EMISSIONS (FUEL CONSUMPTION) AND INDIRECT EMISSIONS (ELECTRICITY AND THERMAL ENERGY CONSUMPTION)
(NOT SECTOR SPECIFIC)</v>
          </cell>
        </row>
        <row r="133">
          <cell r="B133" t="str">
            <v>CODE COULEURS :</v>
          </cell>
          <cell r="C133" t="str">
            <v>COLOUR CODE:</v>
          </cell>
        </row>
        <row r="134">
          <cell r="B134" t="str">
            <v>Valeurs par défaut</v>
          </cell>
          <cell r="C134" t="str">
            <v>Default values</v>
          </cell>
        </row>
        <row r="135">
          <cell r="B135" t="str">
            <v>Valeurs calculées</v>
          </cell>
          <cell r="C135" t="str">
            <v>Calculated values</v>
          </cell>
        </row>
        <row r="136">
          <cell r="B136" t="str">
            <v>Valeurs à saisir</v>
          </cell>
          <cell r="C136" t="str">
            <v>Values to enter</v>
          </cell>
        </row>
        <row r="137">
          <cell r="B137" t="str">
            <v>Ce module s'adresse à l'ensemble des consommations d'énergie, quelle que soit la filière de traitement suivie : il peut s'agir des consommations de combustible en appoint sur les incinérateurs, pour le fonctionnement de moteurs ou turbines sur des CSD, l'</v>
          </cell>
          <cell r="C137" t="str">
            <v>This sheet is intended for all energy consumption, whatever the waste treatment method is: it can be additional fuel consumption for incinerators or for engines or turbines in landfills, the use of liquid fuel, gas or electricity in wastewater treatment p</v>
          </cell>
        </row>
        <row r="138">
          <cell r="B138" t="str">
            <v>Emissions directes liées aux installations de combustion fixes et aux équipements mobiles sur site</v>
          </cell>
          <cell r="C138" t="str">
            <v>Direct emissions from permanent combustion facilities and on-site mobile equipment</v>
          </cell>
        </row>
        <row r="139">
          <cell r="B139" t="str">
            <v>1 - Calcul à partir des tonnages de combustibles</v>
          </cell>
          <cell r="C139" t="str">
            <v>1 - Calculation from fuels tonnages</v>
          </cell>
        </row>
        <row r="140">
          <cell r="B140" t="str">
            <v>Type de combustible</v>
          </cell>
          <cell r="C140" t="str">
            <v>Fuel type</v>
          </cell>
        </row>
        <row r="141">
          <cell r="B141" t="str">
            <v>Fioul domestique</v>
          </cell>
          <cell r="C141" t="str">
            <v>Gas oil</v>
          </cell>
        </row>
        <row r="142">
          <cell r="B142" t="str">
            <v>Gasoil</v>
          </cell>
          <cell r="C142" t="str">
            <v xml:space="preserve">Diesel </v>
          </cell>
        </row>
        <row r="143">
          <cell r="B143" t="str">
            <v>Fioul lourd</v>
          </cell>
          <cell r="C143" t="str">
            <v>Heavy Fuel oil</v>
          </cell>
        </row>
        <row r="144">
          <cell r="B144" t="str">
            <v>Gaz naturel</v>
          </cell>
          <cell r="C144" t="str">
            <v>Natural gas</v>
          </cell>
        </row>
        <row r="145">
          <cell r="B145" t="str">
            <v>Autres (à préciser)</v>
          </cell>
          <cell r="C145" t="str">
            <v>Others (to be specified)</v>
          </cell>
        </row>
        <row r="146">
          <cell r="B146" t="str">
            <v>Quantité utilisée</v>
          </cell>
          <cell r="C146" t="str">
            <v>Used quantities</v>
          </cell>
        </row>
        <row r="147">
          <cell r="B147" t="str">
            <v>Facteur d'émission</v>
          </cell>
          <cell r="C147" t="str">
            <v>Emission factor</v>
          </cell>
        </row>
        <row r="148">
          <cell r="B148" t="str">
            <v>Emissions brutes prises en compte</v>
          </cell>
          <cell r="C148" t="str">
            <v>CO2 gross accounting</v>
          </cell>
        </row>
        <row r="149">
          <cell r="B149" t="str">
            <v>Prise en compte</v>
          </cell>
          <cell r="C149" t="str">
            <v>Accounting</v>
          </cell>
        </row>
        <row r="150">
          <cell r="B150" t="str">
            <v>Emissions directes</v>
          </cell>
          <cell r="C150" t="str">
            <v>CO2 net emissions</v>
          </cell>
        </row>
        <row r="151">
          <cell r="B151" t="str">
            <v>brutes de CO2</v>
          </cell>
          <cell r="C151" t="str">
            <v>direct emissions</v>
          </cell>
        </row>
        <row r="152">
          <cell r="B152" t="str">
            <v>nettes de CO2</v>
          </cell>
          <cell r="C152" t="str">
            <v>direct emissions</v>
          </cell>
        </row>
        <row r="153">
          <cell r="B153" t="str">
            <v>tonnes</v>
          </cell>
          <cell r="C153" t="str">
            <v>tons</v>
          </cell>
        </row>
        <row r="154">
          <cell r="B154" t="str">
            <v>2 - Calcul à partir des volumes de combustibles</v>
          </cell>
          <cell r="C154" t="str">
            <v>2 - Calculation from fuels' volume</v>
          </cell>
        </row>
        <row r="155">
          <cell r="B155" t="str">
            <v>(0 ou 100 %)</v>
          </cell>
          <cell r="C155" t="str">
            <v>(0 or 100%)</v>
          </cell>
        </row>
        <row r="156">
          <cell r="B156" t="str">
            <v>* les facteurs par défaut sont ceux du GIEC - Vous pouvez les modifier (voir autres facteurs à l'onglet 'Facteurs')</v>
          </cell>
          <cell r="C156" t="str">
            <v>* default factors are the GIEC factors. These can be revised (see other factors in the 'Factors' thumbnail)</v>
          </cell>
        </row>
        <row r="157">
          <cell r="B157" t="str">
            <v>Emissions indirectes</v>
          </cell>
          <cell r="C157" t="str">
            <v>Indirect emissions</v>
          </cell>
        </row>
        <row r="158">
          <cell r="B158" t="str">
            <v>3 - Emissions indirectes liées à la consommation d'électricité ou de chaleur achetée</v>
          </cell>
          <cell r="C158" t="str">
            <v>3 - Indirect emissions from electricity or purchased heat consumption</v>
          </cell>
        </row>
        <row r="159">
          <cell r="B159" t="str">
            <v>Zone de production de l'électricité</v>
          </cell>
          <cell r="C159" t="str">
            <v xml:space="preserve">Consumed electricy </v>
          </cell>
        </row>
        <row r="160">
          <cell r="B160" t="str">
            <v xml:space="preserve"> ou de la chaleur consommée</v>
          </cell>
          <cell r="C160" t="str">
            <v>or heat production area</v>
          </cell>
        </row>
        <row r="161">
          <cell r="B161" t="str">
            <v>* voir les facteurs proposés à l'onglet 'Facteurs'</v>
          </cell>
          <cell r="C161" t="str">
            <v>* see factors given in the 'Factors' tab</v>
          </cell>
        </row>
        <row r="162">
          <cell r="B162" t="str">
            <v>Emissions indirectes nettes</v>
          </cell>
          <cell r="C162" t="str">
            <v>Indirect net emissions</v>
          </cell>
        </row>
        <row r="163">
          <cell r="B163" t="str">
            <v>Emissions directes de CO2</v>
          </cell>
          <cell r="C163" t="str">
            <v>Direct CO2 emissions</v>
          </cell>
        </row>
        <row r="164">
          <cell r="C164">
            <v>163</v>
          </cell>
        </row>
        <row r="165">
          <cell r="C165">
            <v>164</v>
          </cell>
        </row>
        <row r="166">
          <cell r="C166">
            <v>165</v>
          </cell>
        </row>
        <row r="167">
          <cell r="C167">
            <v>166</v>
          </cell>
        </row>
        <row r="168">
          <cell r="C168">
            <v>167</v>
          </cell>
        </row>
        <row r="169">
          <cell r="C169">
            <v>168</v>
          </cell>
        </row>
        <row r="170">
          <cell r="C170">
            <v>169</v>
          </cell>
        </row>
        <row r="171">
          <cell r="C171">
            <v>170</v>
          </cell>
        </row>
        <row r="172">
          <cell r="C172">
            <v>171</v>
          </cell>
        </row>
        <row r="173">
          <cell r="C173">
            <v>172</v>
          </cell>
        </row>
        <row r="174">
          <cell r="C174">
            <v>173</v>
          </cell>
        </row>
        <row r="175">
          <cell r="C175">
            <v>174</v>
          </cell>
        </row>
        <row r="176">
          <cell r="C176">
            <v>175</v>
          </cell>
        </row>
        <row r="177">
          <cell r="C177">
            <v>176</v>
          </cell>
        </row>
        <row r="178">
          <cell r="C178">
            <v>177</v>
          </cell>
        </row>
        <row r="179">
          <cell r="C179">
            <v>178</v>
          </cell>
        </row>
        <row r="180">
          <cell r="C180">
            <v>179</v>
          </cell>
        </row>
        <row r="181">
          <cell r="B181" t="str">
            <v>EMISSIONS DE GAZ A EFFET DE SERRE LIEES AUX CSD 
(CENTRE DE STOCKAGE / MISE EN DECHARGE DES DECHETS)</v>
          </cell>
          <cell r="C181" t="str">
            <v>GREENHOUSE GAS EMISSIONS FROM LANDFILLS 
(LANDFILLING)</v>
          </cell>
        </row>
        <row r="182">
          <cell r="B182" t="str">
            <v>Emissions directes liées aux CSD</v>
          </cell>
          <cell r="C182" t="str">
            <v>Direct emissions from landfills</v>
          </cell>
        </row>
        <row r="183">
          <cell r="B183" t="str">
            <v>1 - Calcul à partir de modèles existants</v>
          </cell>
          <cell r="C183" t="str">
            <v>1 - Calculation from existing models</v>
          </cell>
        </row>
        <row r="184">
          <cell r="B184" t="str">
            <v>Afin de calculer les émissions de GES des centres de stockage de déchets, l'entité se référera aux méthodologies réglementaires préconisées par les autorités administratives du pays où est situé le(s) site(s).</v>
          </cell>
          <cell r="C184" t="str">
            <v xml:space="preserve">To calculate GHG emissions from landfills the entity should refer to the regulatory methologies recommended  by the competent authorities of the country where the site(s) is (are) located. </v>
          </cell>
        </row>
        <row r="185">
          <cell r="B185" t="str">
            <v>Par défaut, l'entité pourra employer l'un des modèles ci-dessous.</v>
          </cell>
          <cell r="C185" t="str">
            <v>By default, the entity could use one of the following models.</v>
          </cell>
        </row>
        <row r="186">
          <cell r="B186" t="str">
            <v>France</v>
          </cell>
          <cell r="C186" t="str">
            <v>France</v>
          </cell>
        </row>
        <row r="187">
          <cell r="B187" t="str">
            <v>USA</v>
          </cell>
          <cell r="C187" t="str">
            <v>USA</v>
          </cell>
        </row>
        <row r="188">
          <cell r="B188" t="str">
            <v>Royaume Uni</v>
          </cell>
          <cell r="C188" t="str">
            <v>United Kingdom</v>
          </cell>
        </row>
        <row r="189">
          <cell r="B189" t="str">
            <v>GIEC</v>
          </cell>
          <cell r="C189" t="str">
            <v>IPCC</v>
          </cell>
        </row>
        <row r="190">
          <cell r="B190" t="str">
            <v>Modèle ADEME</v>
          </cell>
          <cell r="C190" t="str">
            <v>ADEME Model</v>
          </cell>
        </row>
        <row r="191">
          <cell r="B191" t="str">
            <v>LandGEM</v>
          </cell>
          <cell r="C191" t="str">
            <v>LandGEM</v>
          </cell>
        </row>
        <row r="192">
          <cell r="B192" t="str">
            <v>GasSIM</v>
          </cell>
          <cell r="C192" t="str">
            <v>GasSIM</v>
          </cell>
        </row>
        <row r="193">
          <cell r="B193" t="str">
            <v>Modèle Tier II</v>
          </cell>
          <cell r="C193" t="str">
            <v>Tier II Model</v>
          </cell>
        </row>
        <row r="194">
          <cell r="B194" t="str">
            <v>"Outil de calcul des émissions dans l’air de CH4, CO2, SOx, NOx
issues des centres de stockage de déchets ménagers et assimilés"</v>
          </cell>
          <cell r="C194" t="str">
            <v>"Outil de calcul des émissions dans l’air de CH4, CO2, SOx, NOx
issues des centres de stockage de déchets ménagers et assimilés"</v>
          </cell>
        </row>
        <row r="195">
          <cell r="B195" t="str">
            <v>www.epa.gov/ttn/catc/products.html</v>
          </cell>
          <cell r="C195" t="str">
            <v>www.epa.gov/ttn/catc/products.html</v>
          </cell>
        </row>
        <row r="196">
          <cell r="B196" t="str">
            <v>www.gassim.co.uk/</v>
          </cell>
          <cell r="C196" t="str">
            <v>www.gassim.co.uk/</v>
          </cell>
        </row>
        <row r="197">
          <cell r="B197" t="str">
            <v>http://www.ipcc-nggip.iges.or.jp/public/gl/invs1.htm</v>
          </cell>
          <cell r="C197" t="str">
            <v>http://www.ipcc-nggip.iges.or.jp/public/gl/invs1.htm</v>
          </cell>
        </row>
        <row r="198">
          <cell r="B198" t="str">
            <v>Le calcul sera effectué pour les sites en activité</v>
          </cell>
          <cell r="C198" t="str">
            <v>Calculation to be made for operating sites.</v>
          </cell>
        </row>
        <row r="199">
          <cell r="B199" t="str">
            <v>2 - Calcul à partir d'un modèle développé en interne</v>
          </cell>
          <cell r="C199" t="str">
            <v>2 - Calculation from a model drawn up internally</v>
          </cell>
        </row>
        <row r="200">
          <cell r="B200" t="str">
            <v>Un exploitant peut avoir recours à un autre modèle que ceux listés ci-dessus. Ce modèle doit présenter a minima les caractéristiques suivantes :</v>
          </cell>
          <cell r="C200" t="str">
            <v>An operator could use a different model from the ones listed above. This model needs to present at least the following caracteristics:</v>
          </cell>
        </row>
        <row r="201">
          <cell r="B201" t="str">
            <v xml:space="preserve">1) Ce modèle doit faire appel à une équation cinétique sur le modèle de celle rappelée ci-dessous à titre d'exemple </v>
          </cell>
          <cell r="C201" t="str">
            <v xml:space="preserve">1) This model has to resort to a kinetic equation on the model of the equation presented below as an example </v>
          </cell>
        </row>
        <row r="202">
          <cell r="B202" t="str">
            <v>Quantité de méthane produite par an (Nm3 / an)</v>
          </cell>
          <cell r="C202" t="str">
            <v>Quantity of methane produced per year (Nm3/year)</v>
          </cell>
        </row>
        <row r="203">
          <cell r="B203" t="str">
            <v>pouvoir méthanogène (Nm3 CH4 / t de déchets)</v>
          </cell>
          <cell r="C203" t="str">
            <v>methane generation potential (Nm3 CH4 / t of waste)</v>
          </cell>
        </row>
        <row r="204">
          <cell r="B204" t="str">
            <v>tonnage de déchets enfouis (t)</v>
          </cell>
          <cell r="C204" t="str">
            <v>tonnes of landfilled waste (t)</v>
          </cell>
        </row>
        <row r="205">
          <cell r="B205" t="str">
            <v>constante cinétique (an-1)</v>
          </cell>
          <cell r="C205" t="str">
            <v>kinetic constant (year-1)</v>
          </cell>
        </row>
        <row r="206">
          <cell r="B206" t="str">
            <v>année où les déchets ont été enfouis</v>
          </cell>
          <cell r="C206" t="str">
            <v>year when waste was landfilled</v>
          </cell>
        </row>
        <row r="207">
          <cell r="B207" t="str">
            <v>année de l’inventaire des émissions (t ≥ x)</v>
          </cell>
          <cell r="C207" t="str">
            <v>year of emissions inventory (t ≥ x)</v>
          </cell>
        </row>
        <row r="208">
          <cell r="B208" t="str">
            <v>2) Il ne doit pas avoir recours à des facteurs d'émissions directs appliqués aux tonnages de déchets</v>
          </cell>
          <cell r="C208" t="str">
            <v>2) It should not resort to direct emission factors that would be applied to waste tonnages</v>
          </cell>
        </row>
        <row r="209">
          <cell r="B209" t="str">
            <v>3) Il doit tenir compte de la composition des déchets</v>
          </cell>
          <cell r="C209" t="str">
            <v>3) It should consider waste's composition</v>
          </cell>
        </row>
        <row r="210">
          <cell r="B210" t="str">
            <v>4) Il doit clairement préciser les règles de prise en compte des émissions diffuses et des facteurs d'oxydation</v>
          </cell>
          <cell r="C210" t="str">
            <v>4) It should clearly specify the rules followed for diffuse emissions and oxidation factors</v>
          </cell>
        </row>
        <row r="211">
          <cell r="B211" t="str">
            <v>5) Il doit être publié, reconnu et disponible dans la litérature scientifique et technique</v>
          </cell>
          <cell r="C211" t="str">
            <v>5) It should be published, accepted and available in scientific and technical papers</v>
          </cell>
        </row>
        <row r="212">
          <cell r="B212" t="str">
            <v xml:space="preserve">6) La teneur en méthane du biogaz doit être basée sur des analyses spécifiques et doit éviter autant que possible </v>
          </cell>
          <cell r="C212" t="str">
            <v>6) The methane content of biogas should be based on specific analysis and avoid standard values as much as possible</v>
          </cell>
        </row>
        <row r="213">
          <cell r="B213" t="str">
            <v>les valeurs standards</v>
          </cell>
        </row>
        <row r="214">
          <cell r="B214" t="str">
            <v>3 - Calcul des émissions de CO2 liées aux combustibles utilisés</v>
          </cell>
          <cell r="C214" t="str">
            <v>3 - Calculation of CO2 emissions from used fuels</v>
          </cell>
        </row>
        <row r="215">
          <cell r="B215" t="str">
            <v>Si vous utilisez des combustibles fossiles pour alimenter des installations thermiques (moteurs, compresseurs, chaudières…), vous devez calculer les émissions correspondantes à l'onglet 'Comb &amp; Indirectes'.</v>
          </cell>
          <cell r="C215" t="str">
            <v>If you use fossil fuels to feed thermal facilities (engines, compressors, boilers…), you should calculate the corresponding emissions  using  the "Comb &amp; Indirect thumbnail"</v>
          </cell>
        </row>
        <row r="216">
          <cell r="B216" t="str">
            <v xml:space="preserve">4 - Présentation des quatre modèles théoriques </v>
          </cell>
          <cell r="C216" t="str">
            <v>4 - Presentation of the four theoretical models</v>
          </cell>
        </row>
        <row r="217">
          <cell r="B217" t="str">
            <v xml:space="preserve">Résumé des quatre modèles théoriques de production et d’émission de méthane </v>
          </cell>
          <cell r="C217" t="str">
            <v>Summary of the four methane production and emission theoretical models</v>
          </cell>
        </row>
        <row r="218">
          <cell r="B218" t="str">
            <v>* Facteur de normalisation assurant que la somme des valeurs discrètes sur chaque année équivaut au potentiel de CH4 pouvant être émis par un déchet pour une dégradation complète, Ai = (1- e-ki)/ki. Ce facteur est toujours inférieur à l’unité et réduit la</v>
          </cell>
          <cell r="C218" t="str">
            <v>* Normalisation factor to assure that the sum of the discrete values for each year are equal to the CH4 generation potential for the waste's complete degradation, Ai = (1- e-ki)/ki. This factor is always &lt;1 and reduces the production calculated through th</v>
          </cell>
        </row>
        <row r="219">
          <cell r="B219" t="str">
            <v xml:space="preserve">° La constante de vitesse de dégradation (k) se rapporte au temps requis pour que le carbone organique dégradable contenu dans les déchets se dégrade jusqu’à la moitié de sa masse initiale (la ‘demi-vie’ ou t½) : </v>
          </cell>
          <cell r="C219" t="str">
            <v>* The kinetic decay constant (k) refers to the time reuired for the degradable organic carbon contained in the waste to decay until half of its initial mass ("half-time" or  t½).</v>
          </cell>
        </row>
        <row r="220">
          <cell r="B220" t="str">
            <v>Modèle</v>
          </cell>
          <cell r="C220" t="str">
            <v>Model</v>
          </cell>
        </row>
        <row r="221">
          <cell r="B221" t="str">
            <v>Equation calcul de la production de méthane</v>
          </cell>
          <cell r="C221" t="str">
            <v>Methane production calculation equation</v>
          </cell>
        </row>
        <row r="222">
          <cell r="B222" t="str">
            <v>Paramètres principaux</v>
          </cell>
          <cell r="C222" t="str">
            <v>Major parameters</v>
          </cell>
        </row>
        <row r="223">
          <cell r="B223" t="str">
            <v>k° (ans-1)</v>
          </cell>
          <cell r="C223" t="str">
            <v>k° (year-1)</v>
          </cell>
        </row>
        <row r="224">
          <cell r="B224" t="str">
            <v>Potentiel méthane L0 (Nm3 CH4 / t)</v>
          </cell>
          <cell r="C224" t="str">
            <v>Methane generation potential L0 (Nm3 CH4 / t)</v>
          </cell>
        </row>
        <row r="225">
          <cell r="B225" t="str">
            <v>Calcul des émissions</v>
          </cell>
          <cell r="C225" t="str">
            <v>Emissions calculation</v>
          </cell>
        </row>
        <row r="226">
          <cell r="B226" t="str">
            <v>GIEC 
(Tier 2)
Ordre 1
(GIEC, 2005)</v>
          </cell>
          <cell r="C226" t="str">
            <v xml:space="preserve">GIEC 
(Tier 2)
First order decay model
(GIEC, 2005)
</v>
          </cell>
        </row>
        <row r="227">
          <cell r="B227" t="str">
            <v>ADEME
Ordre 1
multiphase
(Taramini, 2002)</v>
          </cell>
          <cell r="C227" t="str">
            <v>ADEME
First order
multiphase
(Taramini, 2002)</v>
          </cell>
        </row>
        <row r="228">
          <cell r="B228" t="str">
            <v>GasSIM
Ordre 1
multiphase
(UK, 2005)</v>
          </cell>
          <cell r="C228" t="str">
            <v xml:space="preserve">GasSIM
First order
multiphase
(UK, 2005)
</v>
          </cell>
        </row>
        <row r="229">
          <cell r="B229" t="str">
            <v>LandGEM
Ordre 1
(US-EPA, 2005)</v>
          </cell>
          <cell r="C229" t="str">
            <v>LandGEM
First order
(US-EPA, 2005)</v>
          </cell>
        </row>
        <row r="230">
          <cell r="B230" t="str">
            <v xml:space="preserve">A = facteur de normalisation*
DSMT = Total de déchets municipaux produits
DSMF= Fraction mise en ISD
</v>
          </cell>
          <cell r="C230" t="str">
            <v>A = normalisation factor*
DSMT = Total MSW produced
DSMF= Fraction of total MSW disposed in landfill</v>
          </cell>
        </row>
        <row r="231">
          <cell r="B231" t="str">
            <v>Ai= facteur de normalisation*
pi= fraction des déchets ayant une constante de dégradation ki</v>
          </cell>
          <cell r="C231" t="str">
            <v xml:space="preserve">Ai= normalisation factor*
pi= fraction of waste with a methane generation rate constant ki
</v>
          </cell>
        </row>
        <row r="232">
          <cell r="B232" t="str">
            <v xml:space="preserve">C = quantité de carbone dégradable
</v>
          </cell>
          <cell r="C232" t="str">
            <v>C = quantity of degradable carbon</v>
          </cell>
        </row>
        <row r="233">
          <cell r="B233" t="str">
            <v>M= Quantité de déchets mis en ISD</v>
          </cell>
          <cell r="C233" t="str">
            <v>M= Quantity of waste disposed in landfill</v>
          </cell>
        </row>
        <row r="234">
          <cell r="B234" t="str">
            <v>Avec:
FCM= facteur de correction de CH4 
F (fraction CH4 dans biogaz) = 0.5
COD= carbone organique dégradable calculé à partir des flux de déchets</v>
          </cell>
          <cell r="C234" t="str">
            <v xml:space="preserve">
With :
FCM= Methane correction factor 
F (fraction of CH4 in landfill gas) = 0.5
COD= degradable organic carbon, based on the waste's flow</v>
          </cell>
        </row>
        <row r="235">
          <cell r="B235" t="str">
            <v xml:space="preserve">FE0= 100 (OM) et 50 (DIB) </v>
          </cell>
          <cell r="C235" t="str">
            <v xml:space="preserve">FE0= 100 (MSW) et 50 (Non hazardous industrial waste) </v>
          </cell>
        </row>
        <row r="236">
          <cell r="B236" t="str">
            <v>Calculé par le modèle basé sur la composition des déchets</v>
          </cell>
          <cell r="C236" t="str">
            <v>Calculated by the model according to waste's composition</v>
          </cell>
        </row>
        <row r="237">
          <cell r="B237" t="str">
            <v>100 (Inv) Reporting dans le cadre de l’inventaire d’émissions des polluants de EPA 
170 (CAA) l’EPA  Contrôle d’émissions dans le cadre du "Clean Air Act"</v>
          </cell>
          <cell r="C237" t="str">
            <v xml:space="preserve">100 (Inv) US EPA's pollutants' emissions inventory
170 (CAA) Emissions control within the US Clean Air Act </v>
          </cell>
        </row>
        <row r="238">
          <cell r="B238" t="str">
            <v xml:space="preserve">Production théorique – volume collecté *(1-taux d’oxydation) 
Oxydation = 10 % (défaut)
</v>
          </cell>
          <cell r="C238" t="str">
            <v>Theoretical production – collected volume * (1-oxidation rate) 
Oxidation = 10 % (default)</v>
          </cell>
        </row>
        <row r="239">
          <cell r="B239" t="str">
            <v>En fonction d’un taux de collecte théorique défini par type de zone+ 10% d’oxydation
Zone et taux de collecte :
- en exploitation : 35%
- couverture semi-perméable: 65%
- couverture imperméable naturelle : 85%
- géomembrane : 90%</v>
          </cell>
          <cell r="C239" t="str">
            <v>Depending on a theoretical collection rate, defined by zone, + 10% oxidation
Collection rate by zone :
- in operation : 35%
- semi-permeable cover : 65%
- natural impermeable cover :85%
- geomembrane : 90%</v>
          </cell>
        </row>
        <row r="240">
          <cell r="B240" t="str">
            <v>Calculé par le logiciel en fonction des types de couvertures</v>
          </cell>
          <cell r="C240" t="str">
            <v>Calculated by the software according to the cover type</v>
          </cell>
        </row>
        <row r="241">
          <cell r="B241" t="str">
            <v>Production théorique – volume collecté *(1-taux d’oxydation)
Oxydation = 10 % (défaut)</v>
          </cell>
          <cell r="C241" t="str">
            <v xml:space="preserve">Theoretical production – collected volume * (1-oxidation rate) 
Oxidation = 10 % (default)
</v>
          </cell>
        </row>
        <row r="242">
          <cell r="B242" t="str">
            <v>EMISSIONS DE GAZ A EFFET DE SERRE LIEES AUX INCINERATEURS</v>
          </cell>
          <cell r="C242" t="str">
            <v>GREENHOUSE GAS EMISSIONS FROM INCINERATORS</v>
          </cell>
        </row>
        <row r="243">
          <cell r="B243" t="str">
            <v>Deux méthodes sont proposées pour le calcul des émissions de CO2 liées à l'incinération : à partir des tonnages brûlés et à partir des mesures de fumées. L'utilisation des mesures est possible si l'exploitant montre que l'incertitude du résultat est infér</v>
          </cell>
          <cell r="C243" t="str">
            <v>Two methods are presented to calculate CO2 emissions from incineration: from  tonnage of  waste combusted and from flue gas monitoring. Measurement use is possible if the operating manager shows that the result's uncertainty is below that of the first met</v>
          </cell>
        </row>
        <row r="244">
          <cell r="B244" t="str">
            <v xml:space="preserve">ATTENTION : l’utilisateur devra éviter tout double compte : 
● La mise en œuvre d’un calcul basé sur le tonnage incinéré nécessite de remplir l’onglet concernant l’incinération ainsi que l’onglet concernant les combustibles fossiles utilisés en appoint
● </v>
          </cell>
          <cell r="C244" t="str">
            <v>BEWARE: the user should avoid any double counting
● The implementation of a calculation based on incinerated tonnage requires to fill the tab concerning incineration as well as the tab concerning eventual additional fossil fuels
● On the opposite, flue ga</v>
          </cell>
        </row>
        <row r="245">
          <cell r="B245" t="str">
            <v>Emissions directes liées aux incinérateurs - CO2</v>
          </cell>
          <cell r="C245" t="str">
            <v>Direct emissions from incinerators - CO2</v>
          </cell>
        </row>
        <row r="246">
          <cell r="B246" t="str">
            <v>1 - Calcul des émissions de CO2 des déchets à partir des tonnages de déchets incinérés</v>
          </cell>
          <cell r="C246" t="str">
            <v>1 - Calculation of waste CO2 emissions based on the tonnages of incinerated waste</v>
          </cell>
        </row>
        <row r="247">
          <cell r="B247" t="str">
            <v>Facteur d'émissions tenant compte de la teneur en carbone biogénique</v>
          </cell>
          <cell r="C247" t="str">
            <v>Emission factors that consider biogenic carbon content</v>
          </cell>
        </row>
        <row r="248">
          <cell r="B248" t="str">
            <v>Quantité incinérée</v>
          </cell>
          <cell r="C248" t="str">
            <v>Incinerated quantity</v>
          </cell>
        </row>
        <row r="249">
          <cell r="B249" t="str">
            <v>Facteur d'émission</v>
          </cell>
          <cell r="C249" t="str">
            <v>Emissions factor</v>
          </cell>
        </row>
        <row r="250">
          <cell r="B250" t="str">
            <v>Type de déchet incinéré</v>
          </cell>
          <cell r="C250" t="str">
            <v>Incinerated waste type</v>
          </cell>
        </row>
        <row r="251">
          <cell r="B251" t="str">
            <v>Ordures ménagères</v>
          </cell>
          <cell r="C251" t="str">
            <v>Household waste</v>
          </cell>
        </row>
        <row r="252">
          <cell r="B252" t="str">
            <v>Déchets industriels banals</v>
          </cell>
          <cell r="C252" t="str">
            <v>Non-hazardous industrial waste</v>
          </cell>
        </row>
        <row r="253">
          <cell r="B253" t="str">
            <v>Déchets dangereux</v>
          </cell>
          <cell r="C253" t="str">
            <v>Hazardous waste</v>
          </cell>
        </row>
        <row r="254">
          <cell r="B254" t="str">
            <v>Autres (type de déchet à préciser; les facteurs d'émissions retenus doivent être documentés)</v>
          </cell>
          <cell r="C254" t="str">
            <v>Others (waste type to be specified; the chosen emission factors need to be documented)</v>
          </cell>
        </row>
        <row r="255">
          <cell r="B255" t="str">
            <v>Emissions nettes</v>
          </cell>
          <cell r="C255" t="str">
            <v>Net emissions</v>
          </cell>
        </row>
        <row r="256">
          <cell r="B256" t="str">
            <v>Facteur d'émissions NE tenant PAS compte de la teneur en carbone biogénique</v>
          </cell>
          <cell r="C256" t="str">
            <v>Emission  factors that do NOT consider biogenic carbon content</v>
          </cell>
        </row>
        <row r="257">
          <cell r="B257" t="str">
            <v>Facteurs d'émissions de N2O par défaut pour différents types de déchets et différentes pratiques d'exploitation</v>
          </cell>
          <cell r="C257" t="str">
            <v>Default N2O emission factors for different types of waste and management practices</v>
          </cell>
        </row>
        <row r="258">
          <cell r="B258" t="str">
            <v>Type de déchets</v>
          </cell>
          <cell r="C258" t="str">
            <v>Type of waste</v>
          </cell>
        </row>
        <row r="259">
          <cell r="B259" t="str">
            <v>OM</v>
          </cell>
          <cell r="C259" t="str">
            <v>MSW</v>
          </cell>
        </row>
        <row r="260">
          <cell r="B260" t="str">
            <v>Déchets industriels</v>
          </cell>
          <cell r="C260" t="str">
            <v>Industrial waste</v>
          </cell>
        </row>
        <row r="261">
          <cell r="B261" t="str">
            <v>Boues (sauf boues d'épuration)</v>
          </cell>
          <cell r="C261" t="str">
            <v>Sludge (except sewage sludge)</v>
          </cell>
        </row>
        <row r="262">
          <cell r="B262" t="str">
            <v>Boues d'épuration</v>
          </cell>
          <cell r="C262" t="str">
            <v>Sewage sludge</v>
          </cell>
        </row>
        <row r="263">
          <cell r="B263" t="str">
            <v>Technologie / Pratique d'exploitation</v>
          </cell>
          <cell r="C263" t="str">
            <v>Technology / Management practice</v>
          </cell>
        </row>
        <row r="264">
          <cell r="B264" t="str">
            <v xml:space="preserve">Incinérateurs continus et semi-continus </v>
          </cell>
          <cell r="C264" t="str">
            <v>Continuous and semi-continuous incinerators</v>
          </cell>
        </row>
        <row r="265">
          <cell r="B265" t="str">
            <v>Incinérateurs de type "batch"</v>
          </cell>
          <cell r="C265" t="str">
            <v>Batch-type incinerators</v>
          </cell>
        </row>
        <row r="266">
          <cell r="B266" t="str">
            <v>Brûlage à feu ouvert</v>
          </cell>
          <cell r="C266" t="str">
            <v>Open burning</v>
          </cell>
        </row>
        <row r="267">
          <cell r="B267" t="str">
            <v>Tous types d'incinération</v>
          </cell>
          <cell r="C267" t="str">
            <v>All types of incineration</v>
          </cell>
        </row>
        <row r="268">
          <cell r="B268" t="str">
            <v>Incinération</v>
          </cell>
          <cell r="C268" t="str">
            <v>Incineration</v>
          </cell>
        </row>
        <row r="269">
          <cell r="B269" t="str">
            <v>Facteur d'émissions
 (g N2O / t déchets)</v>
          </cell>
          <cell r="C269" t="str">
            <v>Emission factor (g N2O / t waste)</v>
          </cell>
        </row>
        <row r="270">
          <cell r="B270" t="str">
            <v>Base de poids</v>
          </cell>
          <cell r="C270" t="str">
            <v>weight basis</v>
          </cell>
        </row>
        <row r="271">
          <cell r="B271" t="str">
            <v>Poids humide</v>
          </cell>
          <cell r="C271" t="str">
            <v>wet weight</v>
          </cell>
        </row>
        <row r="272">
          <cell r="B272" t="str">
            <v>Poids sec</v>
          </cell>
          <cell r="C272" t="str">
            <v>dry weight</v>
          </cell>
        </row>
        <row r="273">
          <cell r="B273" t="str">
            <v>2 - Calcul des émissions de CO2 des déchets à partir des mesures de fumées</v>
          </cell>
          <cell r="C273" t="str">
            <v>2 - Calculation of waste CO2 emissions from flue gas monitorings</v>
          </cell>
        </row>
        <row r="274">
          <cell r="B274" t="str">
            <v>Débit de fumées</v>
          </cell>
          <cell r="C274" t="str">
            <v>Flue gas flow</v>
          </cell>
        </row>
        <row r="275">
          <cell r="B275" t="str">
            <v>Teneur en CO2</v>
          </cell>
          <cell r="C275" t="str">
            <v>CO2 content</v>
          </cell>
        </row>
        <row r="276">
          <cell r="B276" t="str">
            <v>Teneur en carbone biogénique</v>
          </cell>
          <cell r="C276" t="str">
            <v>Biogenic carbon content</v>
          </cell>
        </row>
        <row r="277">
          <cell r="B277" t="str">
            <v>Déchets d'activité de soin</v>
          </cell>
          <cell r="C277" t="str">
            <v>Hospital waste</v>
          </cell>
        </row>
        <row r="278">
          <cell r="B278" t="str">
            <v>Emissions prises en compte</v>
          </cell>
          <cell r="C278" t="str">
            <v>Emissions that are accounted for</v>
          </cell>
        </row>
        <row r="279">
          <cell r="B279" t="str">
            <v>Emissions totales de CO2 et N2O liées à l'incinération des déchets</v>
          </cell>
          <cell r="C279" t="str">
            <v>Total CO2 and N2O emissions associated with waste incineration</v>
          </cell>
        </row>
        <row r="280">
          <cell r="B280" t="str">
            <v>Emissions directes liées aux incinérateurs - N2O</v>
          </cell>
          <cell r="C280" t="str">
            <v>N2O gross direct emissions</v>
          </cell>
        </row>
        <row r="281">
          <cell r="B281" t="str">
            <v>3 - Calcul des émissions de N2O des déchets à partir des tonnages de déchets incinérés</v>
          </cell>
          <cell r="C281" t="str">
            <v>3 - Calculation of waste N2O emissions from incinerated waste tonnages</v>
          </cell>
        </row>
        <row r="283">
          <cell r="C283">
            <v>282</v>
          </cell>
        </row>
        <row r="284">
          <cell r="B284" t="str">
            <v>tCO2/tdéchets</v>
          </cell>
          <cell r="C284" t="str">
            <v>tC2O / t waste</v>
          </cell>
        </row>
        <row r="285">
          <cell r="B285" t="str">
            <v>Quantité totale (OM + DIB)</v>
          </cell>
          <cell r="C285" t="str">
            <v>Total quantity (Household waste + non-dangerous industrial waste)</v>
          </cell>
        </row>
        <row r="286">
          <cell r="B286" t="str">
            <v>Emissions brutes directes de N20</v>
          </cell>
          <cell r="C286" t="str">
            <v>N2O gross direct emissions</v>
          </cell>
        </row>
        <row r="287">
          <cell r="B287" t="str">
            <v>Prise en compte</v>
          </cell>
          <cell r="C287" t="str">
            <v>Accounting</v>
          </cell>
        </row>
        <row r="288">
          <cell r="B288" t="str">
            <v>Emissions de NO2 prises en compte</v>
          </cell>
          <cell r="C288" t="str">
            <v>N2O emissions that are accounted for</v>
          </cell>
        </row>
        <row r="289">
          <cell r="B289" t="str">
            <v>Emissions de GES prises en compte</v>
          </cell>
          <cell r="C289" t="str">
            <v>GHG emissions that are accounted for</v>
          </cell>
        </row>
        <row r="290">
          <cell r="C290">
            <v>289</v>
          </cell>
        </row>
        <row r="291">
          <cell r="C291">
            <v>290</v>
          </cell>
        </row>
        <row r="292">
          <cell r="B292" t="str">
            <v>tonnes</v>
          </cell>
          <cell r="C292" t="str">
            <v>Tonnes</v>
          </cell>
        </row>
        <row r="293">
          <cell r="B293" t="str">
            <v>kgN2O / t déchet</v>
          </cell>
          <cell r="C293" t="str">
            <v>kgN20 / t waste</v>
          </cell>
        </row>
        <row r="294">
          <cell r="B294" t="str">
            <v>t CO2</v>
          </cell>
          <cell r="C294" t="str">
            <v>t CO2</v>
          </cell>
        </row>
        <row r="295">
          <cell r="B295" t="str">
            <v>t CO2 / t</v>
          </cell>
          <cell r="C295" t="str">
            <v>t CO2 / t</v>
          </cell>
        </row>
        <row r="296">
          <cell r="B296" t="str">
            <v>m3</v>
          </cell>
          <cell r="C296" t="str">
            <v>m3</v>
          </cell>
        </row>
        <row r="297">
          <cell r="B297" t="str">
            <v>t CO2 / m3</v>
          </cell>
          <cell r="C297" t="str">
            <v>t CO2 / m3</v>
          </cell>
        </row>
        <row r="298">
          <cell r="B298" t="str">
            <v>t CO2 éq.</v>
          </cell>
          <cell r="C298" t="str">
            <v>t CO2 eq.</v>
          </cell>
        </row>
        <row r="299">
          <cell r="B299" t="str">
            <v>Volume annuel de fumées</v>
          </cell>
          <cell r="C299" t="str">
            <v>Annual flue gas volume</v>
          </cell>
        </row>
        <row r="300">
          <cell r="B300" t="str">
            <v>Teneur en CO2</v>
          </cell>
          <cell r="C300" t="str">
            <v>CO2 content</v>
          </cell>
        </row>
        <row r="302">
          <cell r="B302" t="str">
            <v>Le GIEC donne des valeurs par défaut pour les facteurs d'émission de N2O de l’incinération (2006 IPCC Guidelines for National Greenhouse Gas Inventories - Volume 5 Waste).</v>
          </cell>
          <cell r="C302" t="str">
            <v xml:space="preserve">The IPCC gives default values for N2O emission factors from incineration (2006 IPCC Guidelines for National Greenhouse Gas Inventories - Volume 5 Waste). </v>
          </cell>
        </row>
        <row r="303">
          <cell r="B303" t="str">
            <v>4 - Calcul des émissions de CO2 liées aux combustibles utilisés</v>
          </cell>
          <cell r="C303" t="str">
            <v>4 - Calculation of CO2 emissions due the type of fuels used</v>
          </cell>
        </row>
        <row r="304">
          <cell r="B304" t="str">
            <v>Si vous utilisez des combustibles fossiles ou de l'électricité pour alimenter ponctuellement l'incinérateur (maintien en température, traitement des fumées), vous devez calculer les émissions correspondantes au moyen de l'onglet 'Comb &amp; Indirectes'.</v>
          </cell>
          <cell r="C304" t="str">
            <v>If you use fossil fuels or electricity to feed the incinerator from time to time (temperature preservation, flue gas treatment), you should calculate the corresponding emissions using the 'Comb &amp; Indirect' sheet</v>
          </cell>
        </row>
        <row r="305">
          <cell r="B305" t="str">
            <v>Teneur C biogénique / C total (t CO2/tC) dans le déchet en sortie du MBT</v>
          </cell>
          <cell r="C305" t="str">
            <v>Fraction of biogenic C / total C (t CO2/tC) in waste coming out from MBT</v>
          </cell>
        </row>
        <row r="306">
          <cell r="B306" t="str">
            <v>Quantité incinérée qui suit un pré-traitement mécano-biologique (MBT)</v>
          </cell>
          <cell r="C306" t="str">
            <v>Incinerated waste after an MBT pre-treatment</v>
          </cell>
        </row>
        <row r="307">
          <cell r="B307" t="str">
            <v>Quantité incinérée (tonnes)</v>
          </cell>
          <cell r="C307" t="str">
            <v>Incinerated tonnage (tonnes)</v>
          </cell>
        </row>
        <row r="308">
          <cell r="B308" t="str">
            <v>Contenu carbone total (%)</v>
          </cell>
          <cell r="C308" t="str">
            <v>Total carbon content (%)</v>
          </cell>
        </row>
        <row r="309">
          <cell r="B309" t="str">
            <v>Fraction de carbone biogénique dans le carbone total (%)</v>
          </cell>
          <cell r="C309" t="str">
            <v>Biogenic carbon as fraction of total carbon (%)</v>
          </cell>
        </row>
        <row r="310">
          <cell r="B310" t="str">
            <v>Efficacité de la combustion (%)</v>
          </cell>
          <cell r="C310" t="str">
            <v>Combustion efficiency (%)</v>
          </cell>
        </row>
        <row r="311">
          <cell r="B311" t="str">
            <v>Calcul du facteur d'émission au cas par cas</v>
          </cell>
          <cell r="C311" t="str">
            <v>Case by case calculation of the emission factor</v>
          </cell>
        </row>
        <row r="312">
          <cell r="C312">
            <v>311</v>
          </cell>
        </row>
        <row r="313">
          <cell r="C313">
            <v>312</v>
          </cell>
        </row>
        <row r="314">
          <cell r="C314">
            <v>313</v>
          </cell>
        </row>
        <row r="315">
          <cell r="C315">
            <v>314</v>
          </cell>
        </row>
        <row r="316">
          <cell r="C316">
            <v>315</v>
          </cell>
        </row>
        <row r="317">
          <cell r="C317">
            <v>316</v>
          </cell>
        </row>
        <row r="318">
          <cell r="C318">
            <v>317</v>
          </cell>
        </row>
        <row r="319">
          <cell r="C319">
            <v>318</v>
          </cell>
        </row>
        <row r="320">
          <cell r="C320">
            <v>319</v>
          </cell>
        </row>
        <row r="321">
          <cell r="C321">
            <v>320</v>
          </cell>
        </row>
        <row r="322">
          <cell r="C322">
            <v>321</v>
          </cell>
        </row>
        <row r="323">
          <cell r="C323">
            <v>322</v>
          </cell>
        </row>
        <row r="324">
          <cell r="C324">
            <v>323</v>
          </cell>
        </row>
        <row r="325">
          <cell r="C325">
            <v>324</v>
          </cell>
        </row>
        <row r="326">
          <cell r="C326">
            <v>325</v>
          </cell>
        </row>
        <row r="327">
          <cell r="C327">
            <v>326</v>
          </cell>
        </row>
        <row r="328">
          <cell r="C328">
            <v>327</v>
          </cell>
        </row>
        <row r="329">
          <cell r="C329">
            <v>328</v>
          </cell>
        </row>
        <row r="330">
          <cell r="B330" t="str">
            <v>EMISSIONS DE GAZ A EFFET DE SERRE LIEES AU TRAITEMENT DES EAUX USEES</v>
          </cell>
          <cell r="C330" t="str">
            <v>GREENHOUSE GAS EMISSIONS FROM WASTEWATER TREATMENT</v>
          </cell>
        </row>
        <row r="331">
          <cell r="B331" t="str">
            <v>Emissions directes liées au traitement des eaux usées</v>
          </cell>
          <cell r="C331" t="str">
            <v>Direct emissions from wastewater treatment</v>
          </cell>
        </row>
        <row r="332">
          <cell r="B332" t="str">
            <v>1 - Méthane émis par la filière épuration</v>
          </cell>
          <cell r="C332" t="str">
            <v>1 - Methane emitted from water treatment</v>
          </cell>
        </row>
        <row r="333">
          <cell r="B333" t="str">
            <v xml:space="preserve">Il n'existe pas à l'heure actuelle de méthode fiable pourla quantification des émissions de CH4 provenant du traitement des eaux usées. </v>
          </cell>
          <cell r="C333" t="str">
            <v>Currently, there are no available  methods to accurately quantify CH4 emissions from wastewater treatment.</v>
          </cell>
        </row>
        <row r="334">
          <cell r="B334" t="str">
            <v>2 - N2O émis par la filière épuration</v>
          </cell>
          <cell r="C334" t="str">
            <v>2 - N2O emitted from waste water treatment</v>
          </cell>
        </row>
        <row r="335">
          <cell r="B335" t="str">
            <v>A l'heure actuelle, il n'existe pas une connaissance suffisante permettant de mesurer et comptabiliser ces émissions. Des programmes de recherche sont en cours et le module de calcul sera adapté lorsque des données seront disponibles.</v>
          </cell>
          <cell r="C335" t="str">
            <v>There is not enough knowledge today to monitor and quantify these emissions. Research programs are underway and the calculation tool will be updated as soon as data are available.</v>
          </cell>
        </row>
        <row r="336">
          <cell r="B336" t="str">
            <v>3 - Calcul des émissions de CO2 liées aux combustibles utilisés</v>
          </cell>
          <cell r="C336" t="str">
            <v>3 - Calculation of CO2 emissions from used fuels</v>
          </cell>
        </row>
        <row r="337">
          <cell r="B337" t="str">
            <v>Si vous utilisez des combustibles fossiles ou de l'électricité pour alimenter des installations thermiques (moteur, compresseur, chaudières...). vous devez calculer les émissions correspondantes au moyen de l'onglet 'Comb &amp; Indirectes'.</v>
          </cell>
          <cell r="C337" t="str">
            <v>If you use fossil fuels or electricity to feed thermal facilities (engines, compressors, boilers...) you must calculate the corresponding emissions using the 'Comb &amp; Indirect' sheet.</v>
          </cell>
        </row>
        <row r="338">
          <cell r="C338">
            <v>337</v>
          </cell>
        </row>
        <row r="339">
          <cell r="C339">
            <v>338</v>
          </cell>
        </row>
        <row r="340">
          <cell r="C340">
            <v>339</v>
          </cell>
        </row>
        <row r="341">
          <cell r="C341">
            <v>340</v>
          </cell>
        </row>
        <row r="342">
          <cell r="C342">
            <v>341</v>
          </cell>
        </row>
        <row r="343">
          <cell r="C343">
            <v>342</v>
          </cell>
        </row>
        <row r="344">
          <cell r="C344">
            <v>343</v>
          </cell>
        </row>
        <row r="345">
          <cell r="C345">
            <v>344</v>
          </cell>
        </row>
        <row r="346">
          <cell r="C346">
            <v>345</v>
          </cell>
        </row>
        <row r="347">
          <cell r="C347">
            <v>346</v>
          </cell>
        </row>
        <row r="348">
          <cell r="C348">
            <v>347</v>
          </cell>
        </row>
        <row r="349">
          <cell r="C349">
            <v>348</v>
          </cell>
        </row>
        <row r="350">
          <cell r="C350">
            <v>349</v>
          </cell>
        </row>
        <row r="351">
          <cell r="B351" t="str">
            <v>EMISSIONS DE GAZ A EFFET DE SERRE EVITEES</v>
          </cell>
          <cell r="C351" t="str">
            <v>AVOIDED GREENHOUSE GAS EMISSIONS</v>
          </cell>
        </row>
        <row r="352">
          <cell r="B352" t="str">
            <v>Emissions évitées</v>
          </cell>
          <cell r="C352" t="str">
            <v>Avoided emissions</v>
          </cell>
        </row>
        <row r="353">
          <cell r="B353" t="str">
            <v>CSD</v>
          </cell>
          <cell r="C353" t="str">
            <v>Landfill</v>
          </cell>
        </row>
        <row r="354">
          <cell r="B354" t="str">
            <v>1 - Emissions de CO2 évitées par la valorisation énergétique du biogaz produit</v>
          </cell>
          <cell r="C354" t="str">
            <v>1 - Avoided CO2 emissions through energetic recovering of the produced biogas</v>
          </cell>
        </row>
        <row r="355">
          <cell r="B355" t="str">
            <v>Zone de production de l'énergie revendue (électricité / chaleur)</v>
          </cell>
          <cell r="C355" t="str">
            <v>Sold energy production area (electricity/heat)</v>
          </cell>
        </row>
        <row r="356">
          <cell r="B356" t="str">
            <v>Quantité produite et vendue</v>
          </cell>
          <cell r="C356" t="str">
            <v>Produced and sold quantity</v>
          </cell>
        </row>
        <row r="357">
          <cell r="B357" t="str">
            <v>kgCO2 / MWh</v>
          </cell>
          <cell r="C357" t="str">
            <v>kgCO2 / MWh</v>
          </cell>
        </row>
        <row r="358">
          <cell r="B358" t="str">
            <v>Emissions évitées de CO2</v>
          </cell>
          <cell r="C358" t="str">
            <v>CO2 avoided emissions</v>
          </cell>
        </row>
        <row r="359">
          <cell r="B359" t="str">
            <v>* voir les facteurs proposés à l'onglet 'Facteurs'</v>
          </cell>
          <cell r="C359" t="str">
            <v>* see factors proposed in the 'Factors' sheet</v>
          </cell>
        </row>
        <row r="360">
          <cell r="B360" t="str">
            <v>Incinérateurs</v>
          </cell>
          <cell r="C360" t="str">
            <v>Incineration</v>
          </cell>
        </row>
        <row r="361">
          <cell r="B361" t="str">
            <v>2.1 - Calcul des émissions évitées à partir de la quantité d'électricité produite</v>
          </cell>
          <cell r="C361" t="str">
            <v>2.1 - Calculation of the avoided emissions from the quantity of produced electricity</v>
          </cell>
        </row>
        <row r="362">
          <cell r="B362" t="str">
            <v>Zone de production de l'électricité revendue</v>
          </cell>
          <cell r="C362" t="str">
            <v xml:space="preserve">Sold electricity production area </v>
          </cell>
        </row>
        <row r="363">
          <cell r="B363" t="str">
            <v>2.2 - Calcul des émissions évitées à partir de la quantité de chaleur produite</v>
          </cell>
          <cell r="C363" t="str">
            <v>2.2 - Calculation of the avoided emissions from the quantity of produced heat</v>
          </cell>
        </row>
        <row r="364">
          <cell r="B364" t="str">
            <v>Zone de production de la chaleur revendue</v>
          </cell>
          <cell r="C364" t="str">
            <v xml:space="preserve">Sold heat productrion area </v>
          </cell>
        </row>
        <row r="365">
          <cell r="B365" t="str">
            <v>3- Calcul des émissions évitées à partir des quantités de déchets valorisés</v>
          </cell>
          <cell r="C365" t="str">
            <v>3- Calculation of avoided emissions from the quantity of recovered waste</v>
          </cell>
        </row>
        <row r="366">
          <cell r="B366" t="str">
            <v>Déchets valorisés</v>
          </cell>
          <cell r="C366" t="str">
            <v>Recovered waste</v>
          </cell>
        </row>
        <row r="367">
          <cell r="B367" t="str">
            <v>Mâchefers</v>
          </cell>
          <cell r="C367" t="str">
            <v>Bottom ash</v>
          </cell>
        </row>
        <row r="368">
          <cell r="B368" t="str">
            <v>Ferrailles</v>
          </cell>
          <cell r="C368" t="str">
            <v>Slag</v>
          </cell>
        </row>
        <row r="369">
          <cell r="B369" t="str">
            <v>Autres</v>
          </cell>
          <cell r="C369" t="str">
            <v>Others</v>
          </cell>
        </row>
        <row r="370">
          <cell r="B370" t="str">
            <v>Tonnes vendues</v>
          </cell>
          <cell r="C370" t="str">
            <v>Sold tonnages</v>
          </cell>
        </row>
        <row r="371">
          <cell r="B371" t="str">
            <v>t CO2 / t</v>
          </cell>
          <cell r="C371" t="str">
            <v>t CO2 / t</v>
          </cell>
        </row>
        <row r="372">
          <cell r="B372" t="str">
            <v>Traitements physico-chimiques</v>
          </cell>
          <cell r="C372" t="str">
            <v>Physico- chemical treatments</v>
          </cell>
        </row>
        <row r="373">
          <cell r="B373" t="str">
            <v>4 - Calcul des émissions évitées à partir des combustibles de substitution générés</v>
          </cell>
          <cell r="C373" t="str">
            <v>4 - Calculation of avoided emissions from the generation of alternative fuels</v>
          </cell>
        </row>
        <row r="374">
          <cell r="B374" t="str">
            <v>Combustible de substitution produit</v>
          </cell>
          <cell r="C374" t="str">
            <v>Alternative fuel produced</v>
          </cell>
        </row>
        <row r="375">
          <cell r="B375" t="str">
            <v>Quantité</v>
          </cell>
          <cell r="C375" t="str">
            <v>Quantity</v>
          </cell>
        </row>
        <row r="376">
          <cell r="B376" t="str">
            <v>Tri et recyclage</v>
          </cell>
          <cell r="C376" t="str">
            <v>Sorting and recycling</v>
          </cell>
        </row>
        <row r="377">
          <cell r="B377" t="str">
            <v>5- Calcul des émissions évitées à partir des quantités de déchets valorisés</v>
          </cell>
          <cell r="C377" t="str">
            <v>5- Calculation of avoided emissions from the quantity of recovered waste</v>
          </cell>
        </row>
        <row r="378">
          <cell r="B378" t="str">
            <v>Type de déchet</v>
          </cell>
          <cell r="C378" t="str">
            <v>Waste type</v>
          </cell>
        </row>
        <row r="379">
          <cell r="B379" t="str">
            <v>Papier / Carton</v>
          </cell>
          <cell r="C379" t="str">
            <v>Paper / Cardboard</v>
          </cell>
        </row>
        <row r="380">
          <cell r="B380" t="str">
            <v>Verre</v>
          </cell>
          <cell r="C380" t="str">
            <v>Glass</v>
          </cell>
        </row>
        <row r="381">
          <cell r="B381" t="str">
            <v>Acier</v>
          </cell>
          <cell r="C381" t="str">
            <v>Steel</v>
          </cell>
        </row>
        <row r="382">
          <cell r="B382" t="str">
            <v>Aluminium</v>
          </cell>
          <cell r="C382" t="str">
            <v>Aluminium</v>
          </cell>
        </row>
        <row r="383">
          <cell r="B383" t="str">
            <v>Plastiques (HDPE)</v>
          </cell>
          <cell r="C383" t="str">
            <v>Plastics (HDPE)</v>
          </cell>
        </row>
        <row r="384">
          <cell r="B384" t="str">
            <v>Plastiques (PET)</v>
          </cell>
          <cell r="C384" t="str">
            <v>Plastics (PET)</v>
          </cell>
        </row>
        <row r="385">
          <cell r="B385" t="str">
            <v>Autres (préciser)</v>
          </cell>
          <cell r="C385" t="str">
            <v>Others (to be specified)</v>
          </cell>
        </row>
        <row r="386">
          <cell r="B386" t="str">
            <v>Total des émissions évitées</v>
          </cell>
          <cell r="C386" t="str">
            <v>Total avoided emissions</v>
          </cell>
        </row>
        <row r="387">
          <cell r="C387">
            <v>386</v>
          </cell>
        </row>
        <row r="388">
          <cell r="C388">
            <v>387</v>
          </cell>
        </row>
        <row r="389">
          <cell r="C389">
            <v>388</v>
          </cell>
        </row>
        <row r="390">
          <cell r="C390">
            <v>389</v>
          </cell>
        </row>
        <row r="391">
          <cell r="C391">
            <v>390</v>
          </cell>
        </row>
        <row r="392">
          <cell r="C392">
            <v>391</v>
          </cell>
        </row>
        <row r="393">
          <cell r="C393">
            <v>392</v>
          </cell>
        </row>
        <row r="394">
          <cell r="C394">
            <v>393</v>
          </cell>
        </row>
        <row r="395">
          <cell r="C395">
            <v>394</v>
          </cell>
        </row>
        <row r="396">
          <cell r="C396">
            <v>395</v>
          </cell>
        </row>
        <row r="397">
          <cell r="C397">
            <v>396</v>
          </cell>
        </row>
        <row r="398">
          <cell r="C398">
            <v>397</v>
          </cell>
        </row>
        <row r="399">
          <cell r="C399">
            <v>398</v>
          </cell>
        </row>
        <row r="400">
          <cell r="C400">
            <v>399</v>
          </cell>
        </row>
        <row r="401">
          <cell r="B401" t="str">
            <v>FACTEURS D'EMISSIONS</v>
          </cell>
          <cell r="C401" t="str">
            <v>EMISSION FACTORS</v>
          </cell>
        </row>
        <row r="402">
          <cell r="B402" t="str">
            <v>Type de facteur</v>
          </cell>
          <cell r="C402" t="str">
            <v>Type of factor</v>
          </cell>
        </row>
        <row r="403">
          <cell r="B403" t="str">
            <v>1 - Facteurs d'émissions par type de combustible utilisé</v>
          </cell>
          <cell r="C403" t="str">
            <v>1 - Emission factors by fuel type</v>
          </cell>
        </row>
        <row r="404">
          <cell r="B404" t="str">
            <v>2 - Facteurs d'émissions par MWh (distinction en fonction du pays producteur)</v>
          </cell>
          <cell r="C404" t="str">
            <v>2 - Emission factors per MWh (distinction depending on the producing country)</v>
          </cell>
        </row>
        <row r="405">
          <cell r="B405" t="str">
            <v>3 - Teneur moyenne en carbone organique des ordures ménagères (pays européens)</v>
          </cell>
          <cell r="C405" t="str">
            <v>3 - Organic carbon average rate in household waste (European countries)</v>
          </cell>
        </row>
        <row r="406">
          <cell r="B406" t="str">
            <v>4 - Facteurs pour le traitement des eaux usées</v>
          </cell>
          <cell r="C406" t="str">
            <v>4 - Factors for wastewater treatment</v>
          </cell>
        </row>
        <row r="407">
          <cell r="B407" t="str">
            <v>5 - Facteurs pour la valorisation des ferrailles et mâchefers de l'incinération</v>
          </cell>
          <cell r="C407" t="str">
            <v>5 - Factors for the recovery of slag and bottom ash from incineration</v>
          </cell>
        </row>
        <row r="408">
          <cell r="B408" t="str">
            <v>Onglets d'utilisation</v>
          </cell>
          <cell r="C408" t="str">
            <v>Used in sheets</v>
          </cell>
        </row>
        <row r="409">
          <cell r="B409" t="str">
            <v>Comb &amp; Indirectes</v>
          </cell>
          <cell r="C409" t="str">
            <v>Comb &amp; Indirect</v>
          </cell>
        </row>
        <row r="410">
          <cell r="B410" t="str">
            <v>Evitées</v>
          </cell>
          <cell r="C410" t="str">
            <v>Avoided</v>
          </cell>
        </row>
        <row r="411">
          <cell r="B411" t="str">
            <v>Incinération</v>
          </cell>
          <cell r="C411" t="str">
            <v>Incineration</v>
          </cell>
        </row>
        <row r="412">
          <cell r="B412" t="str">
            <v>Eaux usées</v>
          </cell>
          <cell r="C412" t="str">
            <v>Wastewater</v>
          </cell>
        </row>
        <row r="414">
          <cell r="B414" t="str">
            <v>Facteurs d'émission de CO2 d'installations de combustion en fonction du type de combustible utilisé</v>
          </cell>
          <cell r="C414" t="str">
            <v>CO2 emission factors from combustion facilities per type of used fuels</v>
          </cell>
        </row>
        <row r="415">
          <cell r="B415" t="str">
            <v>GIEC : Revised IPCC guidelines for national greenhouse gas inventories :
reference manual http://www.ipcc-nggip.iges.or.jp/public/gl/invs1.htm</v>
          </cell>
          <cell r="C415" t="str">
            <v>IPCC : Revised IPCC guidelines for national greenhouse gas inventories : reference manual http://www.ipcc-nggip.iges.or.jp/public/gl/invs1.htm</v>
          </cell>
        </row>
        <row r="417">
          <cell r="B417" t="str">
            <v>GhG Protocol : http://www.ghgprotocol.org/templates/GHG5/layout.asp?MenuID=849</v>
          </cell>
          <cell r="C417" t="str">
            <v>GhG Protocol : http://www.ghgprotocol.org/templates/GHG5/layout.asp?MenuID=849</v>
          </cell>
        </row>
        <row r="418">
          <cell r="B418" t="str">
            <v>CITEPA : http://www.citepa.org/publications/Inventaires.htm</v>
          </cell>
          <cell r="C418" t="str">
            <v>CITEPA : http://www.citepa.org/publications/Inventaires.htm</v>
          </cell>
        </row>
        <row r="419">
          <cell r="B419" t="str">
            <v>Type de combustible</v>
          </cell>
          <cell r="C419" t="str">
            <v>Fuel type</v>
          </cell>
        </row>
        <row r="420">
          <cell r="B420" t="str">
            <v>Unité</v>
          </cell>
          <cell r="C420" t="str">
            <v>Unit</v>
          </cell>
        </row>
        <row r="421">
          <cell r="B421" t="str">
            <v>Facteur d'émission</v>
          </cell>
          <cell r="C421" t="str">
            <v>Emission Factors</v>
          </cell>
        </row>
        <row r="422">
          <cell r="B422" t="str">
            <v>GIEC, 1996</v>
          </cell>
          <cell r="C422" t="str">
            <v>GIEC, 1996</v>
          </cell>
        </row>
        <row r="423">
          <cell r="B423" t="str">
            <v>CITEPA, 2005</v>
          </cell>
          <cell r="C423" t="str">
            <v>CITEPA, 2005</v>
          </cell>
        </row>
        <row r="424">
          <cell r="B424" t="str">
            <v>ADEME 2005</v>
          </cell>
          <cell r="C424" t="str">
            <v>ADEME 2005</v>
          </cell>
        </row>
        <row r="425">
          <cell r="B425" t="str">
            <v>Fioul lourd</v>
          </cell>
          <cell r="C425" t="str">
            <v>Fuel oil</v>
          </cell>
        </row>
        <row r="426">
          <cell r="B426" t="str">
            <v>Fioul domestique / Gazoil</v>
          </cell>
          <cell r="C426" t="str">
            <v>Gasoil</v>
          </cell>
        </row>
        <row r="427">
          <cell r="B427" t="str">
            <v>Gaz naturel</v>
          </cell>
          <cell r="C427" t="str">
            <v>Natural Gas</v>
          </cell>
        </row>
        <row r="428">
          <cell r="B428" t="str">
            <v>t CO2/t</v>
          </cell>
          <cell r="C428" t="str">
            <v>t CO2/t</v>
          </cell>
        </row>
        <row r="429">
          <cell r="B429" t="str">
            <v>t CO2/GJ</v>
          </cell>
          <cell r="C429" t="str">
            <v>t CO2/GJ</v>
          </cell>
        </row>
        <row r="430">
          <cell r="B430" t="str">
            <v>GhG protocol (IEA)</v>
          </cell>
          <cell r="C430" t="str">
            <v>GhG protocol (IEA)</v>
          </cell>
        </row>
        <row r="431">
          <cell r="B431" t="str">
            <v>Emissions de CO2 par kWh pour les procédés de production d'électricité et/ou de chaleur</v>
          </cell>
          <cell r="C431" t="str">
            <v>CO2 emissions per MWh for electricity and/or heat production processes</v>
          </cell>
        </row>
        <row r="432">
          <cell r="B432" t="str">
            <v>Facteurs d'émissions en grammes CO2 / kWh liés à la consommation de combustibles utilisés par les usines de production d'électricité et de chaleur : fuel, gaz, charbon, nucléaire, hydro, géothermie, solaire, biomasse.</v>
          </cell>
          <cell r="C432" t="str">
            <v xml:space="preserve">Emission factors (in grams CO2 / kWh) linked to fuel consumption by electricity and heat production plants : oil, gas, coal, nuclear, hydro, geothermal, solar and biomass. </v>
          </cell>
        </row>
        <row r="433">
          <cell r="B433" t="str">
            <v>Données International Energy Agency "CO2 Emissions from Fuel Combustion (2007 Edition)", disponibles sur le site du GHG Protocol (http://www.ghgprotocol.org), Rubrique "Corporate Standard" - "Calculation tools".</v>
          </cell>
          <cell r="C433" t="str">
            <v>Source :International Energy Agency 'CO2 Emissions from Fuel Combustion (2007 Edition)', available on the GHG Protocol website (http://www.ghgprotocol.org), Section 'Corporate Standard' - 'Calculation tools'.</v>
          </cell>
        </row>
        <row r="434">
          <cell r="B434" t="str">
            <v>Les facteurs moyennés sur des zones géographiques sont indiqué en rouge</v>
          </cell>
          <cell r="C434" t="str">
            <v>Average factors on a geographic area are presented in red.</v>
          </cell>
        </row>
        <row r="435">
          <cell r="B435" t="str">
            <v>Pays</v>
          </cell>
          <cell r="C435" t="str">
            <v>Country</v>
          </cell>
        </row>
        <row r="436">
          <cell r="B436" t="str">
            <v>Les données des pays non-Annexe 1 sont moins fiables que celles pour les pays de l'Annexe 1. Ces facteurs d'émission doivent être utilisés avec précaution.</v>
          </cell>
          <cell r="C436" t="str">
            <v>Data for non-Annex 1 countries are less accurate that the ones for Annex 1 countries. These emissions factors should be used carefully.</v>
          </cell>
        </row>
        <row r="437">
          <cell r="B437" t="str">
            <v>Teneur moyenne des ordures ménagères (OM) en carbone biogénique</v>
          </cell>
          <cell r="C437" t="str">
            <v>Average content of biogenic carbon in Household Waste (HW)</v>
          </cell>
        </row>
        <row r="438">
          <cell r="B438" t="str">
            <v xml:space="preserve">Source (hors France): Agence Européenne pour l'Environnement, 2005 </v>
          </cell>
          <cell r="C438" t="str">
            <v xml:space="preserve">Source (except France): European Environment Agency, 2005 </v>
          </cell>
        </row>
        <row r="439">
          <cell r="B439" t="str">
            <v>Pour la France : source ADEME 2004</v>
          </cell>
          <cell r="C439" t="str">
            <v>For France: source ADEME 2004</v>
          </cell>
        </row>
        <row r="440">
          <cell r="B440" t="str">
            <v>Teneur en carbone biogénique dans les OM</v>
          </cell>
          <cell r="C440" t="str">
            <v>Biogenic carbon content in MSW</v>
          </cell>
        </row>
        <row r="441">
          <cell r="B441" t="str">
            <v>tC/tOM</v>
          </cell>
          <cell r="C441" t="str">
            <v>tC/tMSW</v>
          </cell>
        </row>
        <row r="442">
          <cell r="B442" t="str">
            <v>Emissions liées au traitement des eaux usées</v>
          </cell>
          <cell r="C442" t="str">
            <v>Emissions from wastewater treatment</v>
          </cell>
        </row>
        <row r="443">
          <cell r="B443" t="str">
            <v>Source :  GIEC (1996)</v>
          </cell>
          <cell r="C443" t="str">
            <v>Source: IPCC (1996)</v>
          </cell>
        </row>
        <row r="444">
          <cell r="B444" t="str">
            <v>Emissions de CH4 converties en tonnes CO2eq</v>
          </cell>
          <cell r="C444" t="str">
            <v>CH4 emissions converted in tCO2 equivalent</v>
          </cell>
        </row>
        <row r="445">
          <cell r="B445" t="str">
            <v>Emissions évitées liées à la valorisation des ferrailles et mâchefers</v>
          </cell>
          <cell r="C445" t="str">
            <v>Avoided emissions related to the recovery of slag and bottom ash</v>
          </cell>
        </row>
        <row r="446">
          <cell r="B446" t="str">
            <v>Source : ADEME 2007</v>
          </cell>
          <cell r="C446" t="str">
            <v>Source: ADEME 2007</v>
          </cell>
        </row>
        <row r="447">
          <cell r="B447" t="str">
            <v>Matière</v>
          </cell>
          <cell r="C447" t="str">
            <v>Material</v>
          </cell>
        </row>
        <row r="448">
          <cell r="B448" t="str">
            <v>Mâchefers</v>
          </cell>
          <cell r="C448" t="str">
            <v>Bottom ash</v>
          </cell>
        </row>
        <row r="449">
          <cell r="B449" t="str">
            <v>Ferrailles</v>
          </cell>
          <cell r="C449" t="str">
            <v>Slag</v>
          </cell>
        </row>
        <row r="450">
          <cell r="B450" t="str">
            <v>Remarque : Les mâchefers issus de l'incinération des déchets peuvent être utilisés en technique routière en substitution aux graviers. Le calcul des émissions évitées liées à la valorisation des mâchefers dépend du contexte local : quantité de fuel et d'é</v>
          </cell>
          <cell r="C450" t="str">
            <v>Remark : Bottom ash from waste incineration can be used instated of gravel. The calculation of the avoided emissions related to bottom ash recovery depend on the local context : quantity of fuel and electricity used for the fabrication of one tonne of gra</v>
          </cell>
        </row>
        <row r="451">
          <cell r="B451" t="str">
            <v>Afrique</v>
          </cell>
          <cell r="C451" t="str">
            <v>Africa</v>
          </cell>
        </row>
        <row r="452">
          <cell r="B452" t="str">
            <v>Asie &amp; Amérique latine</v>
          </cell>
          <cell r="C452" t="str">
            <v>Asia &amp; Latin America</v>
          </cell>
        </row>
        <row r="453">
          <cell r="B453" t="str">
            <v>Pays de l'OCDE</v>
          </cell>
          <cell r="C453" t="str">
            <v>OECD Countries</v>
          </cell>
        </row>
        <row r="454">
          <cell r="B454" t="str">
            <v>Teneur en Carbone biogénique par rapport au carbone total (t Cbio/tC)</v>
          </cell>
          <cell r="C454" t="str">
            <v>Fraction of biogenic carbon in total carbon (t Cbio/tC)</v>
          </cell>
        </row>
        <row r="455">
          <cell r="B455" t="str">
            <v>Emissions de CO2 par kWh pour les procédés de production d'électricité</v>
          </cell>
          <cell r="C455" t="str">
            <v>CO2 emissions per kWh for electricity production processes</v>
          </cell>
        </row>
        <row r="456">
          <cell r="B456" t="str">
            <v>Emissions de CO2 par kWh pour les procédés de production de chaleur</v>
          </cell>
          <cell r="C456" t="str">
            <v>CO2 emissions per kWh for heat production processes</v>
          </cell>
        </row>
        <row r="457">
          <cell r="B457" t="str">
            <v>Source d’énergie thermique replacée</v>
          </cell>
          <cell r="C457" t="str">
            <v xml:space="preserve">Thermal energy source replaced </v>
          </cell>
        </row>
        <row r="458">
          <cell r="B458" t="str">
            <v>Facteur d'émission g CO2eq / kWh</v>
          </cell>
          <cell r="C458" t="str">
            <v>Emission Factor (gCO2eq / kWh)</v>
          </cell>
        </row>
        <row r="459">
          <cell r="B459" t="str">
            <v>Chaudière au fuel</v>
          </cell>
          <cell r="C459" t="str">
            <v>Oil boiler</v>
          </cell>
        </row>
        <row r="460">
          <cell r="B460" t="str">
            <v>Chaudière au gaz naturel</v>
          </cell>
          <cell r="C460" t="str">
            <v>Natural gas boiler</v>
          </cell>
        </row>
        <row r="461">
          <cell r="B461" t="str">
            <v>Chauffage collectif au fuel</v>
          </cell>
          <cell r="C461" t="str">
            <v>Collective oil heating</v>
          </cell>
        </row>
        <row r="462">
          <cell r="B462" t="str">
            <v>Chauffage collectif au gaz naturel</v>
          </cell>
          <cell r="C462" t="str">
            <v>Collective natural gas heating</v>
          </cell>
        </row>
        <row r="463">
          <cell r="B463" t="str">
            <v>Chauffage industriel au fuel</v>
          </cell>
          <cell r="C463" t="str">
            <v>Industrial oil heating</v>
          </cell>
        </row>
        <row r="464">
          <cell r="B464" t="str">
            <v>Chauffage industriel au gaz naturel</v>
          </cell>
          <cell r="C464" t="str">
            <v>Industrial natural gas heating</v>
          </cell>
        </row>
        <row r="465">
          <cell r="B465" t="str">
            <v>Chaleur, moyenne européenne</v>
          </cell>
          <cell r="C465" t="str">
            <v>Heat, european average</v>
          </cell>
        </row>
        <row r="466">
          <cell r="B466" t="str">
            <v>ADEME et Gaz de France, Rapport d'ACV des modes de valorisation énergétique du biogaz, 2007</v>
          </cell>
          <cell r="C466" t="str">
            <v>ADEME and Gaz de France, LCA report on the different types of biogas recovery, 2007</v>
          </cell>
        </row>
        <row r="467">
          <cell r="B467" t="str">
            <v>ADEME et BIO Intelligence Service, Rapport d'ACV du chauffage collectif et industriel au bois, 2005</v>
          </cell>
          <cell r="C467" t="str">
            <v>ADEME and BIO Intelligence Service, LCA report on Collective and Industrial wood heating, 2005</v>
          </cell>
        </row>
        <row r="468">
          <cell r="B468" t="str">
            <v>AEA Technology, Waste management options and climate change, 2001</v>
          </cell>
          <cell r="C468" t="str">
            <v>AEA Technology, Waste management options and climate change, 2001</v>
          </cell>
        </row>
        <row r="469">
          <cell r="C469">
            <v>468</v>
          </cell>
        </row>
        <row r="470">
          <cell r="C470">
            <v>469</v>
          </cell>
        </row>
        <row r="471">
          <cell r="C471">
            <v>470</v>
          </cell>
        </row>
        <row r="472">
          <cell r="B472" t="str">
            <v>FACTEURS POUR LES EMISSIONS EVITEES PAR L'INTERMEDIAIRE DU RECYCLAGE</v>
          </cell>
          <cell r="C472" t="str">
            <v>FACTORS FOR AVOIDED EMISSIONS FROM RECYCLING</v>
          </cell>
        </row>
        <row r="473">
          <cell r="B473" t="str">
            <v>Les valeurs indiquées ci-dessous proviennent de trois publications : une étude européenne d'AEA Technology pour la DG Environnement, une publication de l'US EPA et une étude française ADEME/Ecobilan.</v>
          </cell>
          <cell r="C473" t="str">
            <v>The values below originate from three publications : a European study by AEA Technology for the Environment DG, a publication from US EPA and a French study ADEME/Ecobilan.</v>
          </cell>
        </row>
        <row r="474">
          <cell r="B474" t="str">
            <v>L'utilisateur choisira les valeurs les plus adaptées à la localisation géographique des sites concernés.</v>
          </cell>
          <cell r="C474" t="str">
            <v>The user will choose the most appropriate values according to the geographical location of the considered sites.</v>
          </cell>
        </row>
        <row r="475">
          <cell r="B475" t="str">
            <v>Toutes les valeurs sont données en tonnes métriques de CO2 / tonne métrique de matériaux. 
En ce qui concerne les données américaines, les facteurs ont été convertis en tonnes métriques de CO2e par tonne métrique de matériaux à partir des données original</v>
          </cell>
          <cell r="C475" t="str">
            <v>All these values are given in metric tonnes of CO2 / metric tonne of material. 
As far as the American values are concerned, factors have been converted into metric tonnes of CO2 / metric tonne of material taking as a starting point the original values gi</v>
          </cell>
        </row>
        <row r="476">
          <cell r="B476" t="str">
            <v>Titre du document</v>
          </cell>
          <cell r="C476" t="str">
            <v>Title of the document</v>
          </cell>
        </row>
        <row r="477">
          <cell r="B477" t="str">
            <v>Waste management options and climate change, AEA Technology pour la DG Environnement</v>
          </cell>
          <cell r="C477" t="str">
            <v>Waste management options and climate change, AEA Technology pour la DG Environnement</v>
          </cell>
        </row>
        <row r="478">
          <cell r="B478" t="str">
            <v>Solid Waste Management and Greenhouse Gases: A Life-Cycle Assessment of Emissions and Sinks, 3rd edition, US EPA</v>
          </cell>
          <cell r="C478" t="str">
            <v>Solid Waste Management and Greenhouse Gases: A Life-Cycle Assessment of Emissions and Sinks, 3rd edition, US EPA</v>
          </cell>
        </row>
        <row r="479">
          <cell r="B479" t="str">
            <v>Etude technico-économique sur le bilan des filières de recyclage, ADEME/Ecobilan</v>
          </cell>
          <cell r="C479" t="str">
            <v>Etude technico-économique sur le bilan des filières de recyclage, ADEME/Ecobilan</v>
          </cell>
        </row>
        <row r="480">
          <cell r="B480" t="str">
            <v>Périmètre</v>
          </cell>
          <cell r="C480" t="str">
            <v>Perimeter</v>
          </cell>
        </row>
        <row r="481">
          <cell r="B481" t="str">
            <v>Intègre le transport et les émissions des sites de tri</v>
          </cell>
          <cell r="C481" t="str">
            <v>Includes transport and emissions from sorting facilities</v>
          </cell>
        </row>
        <row r="482">
          <cell r="B482" t="str">
            <v>Intègre le transport, les émissions des sites de tri, et le carbone séquestré (séquestration du carbone par les arbres qui auraient été coupés en l’absence de recyclage)</v>
          </cell>
          <cell r="C482" t="str">
            <v xml:space="preserve">Includes transport, emissions from sorting facilities and sequestered carbon (carbon sequestration in the trees that would have been cut in the absence of recycling). </v>
          </cell>
        </row>
        <row r="483">
          <cell r="B483" t="str">
            <v xml:space="preserve">Recyclage seul (impact du recyclage de 1 tonne de déchets en entrée du site de recyclage) </v>
          </cell>
          <cell r="C483" t="str">
            <v>Recycling only (impact of the recycling of 1 tonne of waste at the entrance of the recycling facility)</v>
          </cell>
        </row>
        <row r="484">
          <cell r="B484" t="str">
            <v>Année publication</v>
          </cell>
          <cell r="C484" t="str">
            <v>Publication year</v>
          </cell>
        </row>
        <row r="485">
          <cell r="B485" t="str">
            <v>Materiau</v>
          </cell>
          <cell r="C485" t="str">
            <v>Material</v>
          </cell>
        </row>
        <row r="486">
          <cell r="B486" t="str">
            <v>Unité</v>
          </cell>
          <cell r="C486" t="str">
            <v>Unit</v>
          </cell>
        </row>
        <row r="487">
          <cell r="B487" t="str">
            <v>Emissions évitées</v>
          </cell>
          <cell r="C487" t="str">
            <v>Avoided emissions</v>
          </cell>
        </row>
        <row r="488">
          <cell r="B488" t="str">
            <v>Papier</v>
          </cell>
          <cell r="C488" t="str">
            <v>Paper</v>
          </cell>
        </row>
        <row r="489">
          <cell r="B489" t="str">
            <v>HDPE</v>
          </cell>
          <cell r="C489" t="str">
            <v>HDPE</v>
          </cell>
        </row>
        <row r="490">
          <cell r="B490" t="str">
            <v>PET</v>
          </cell>
          <cell r="C490" t="str">
            <v>PET</v>
          </cell>
        </row>
        <row r="491">
          <cell r="B491" t="str">
            <v>Verre</v>
          </cell>
          <cell r="C491" t="str">
            <v>Glass</v>
          </cell>
        </row>
        <row r="492">
          <cell r="B492" t="str">
            <v>Métaux ferreux</v>
          </cell>
          <cell r="C492" t="str">
            <v>Ferrous metal</v>
          </cell>
        </row>
        <row r="493">
          <cell r="B493" t="str">
            <v>Aluminium</v>
          </cell>
          <cell r="C493" t="str">
            <v>Aluminium</v>
          </cell>
        </row>
        <row r="494">
          <cell r="B494" t="str">
            <v>Textiles</v>
          </cell>
          <cell r="C494" t="str">
            <v>Textiles</v>
          </cell>
        </row>
        <row r="495">
          <cell r="B495" t="str">
            <v>Canettes en aluminium</v>
          </cell>
          <cell r="C495" t="str">
            <v>Aluminum Cans</v>
          </cell>
        </row>
        <row r="496">
          <cell r="B496" t="str">
            <v>Canettes en acier</v>
          </cell>
          <cell r="C496" t="str">
            <v>Steel Cans</v>
          </cell>
        </row>
        <row r="497">
          <cell r="B497" t="str">
            <v>Fil de cuivre</v>
          </cell>
          <cell r="C497" t="str">
            <v>Copper Wire</v>
          </cell>
        </row>
        <row r="498">
          <cell r="B498" t="str">
            <v>Verre</v>
          </cell>
          <cell r="C498" t="str">
            <v>Glass</v>
          </cell>
        </row>
        <row r="499">
          <cell r="B499" t="str">
            <v>HDPE</v>
          </cell>
          <cell r="C499" t="str">
            <v>HDPE</v>
          </cell>
        </row>
        <row r="500">
          <cell r="B500" t="str">
            <v>LDPE</v>
          </cell>
          <cell r="C500" t="str">
            <v>LDPE</v>
          </cell>
        </row>
        <row r="501">
          <cell r="B501" t="str">
            <v>PET</v>
          </cell>
          <cell r="C501" t="str">
            <v>PET</v>
          </cell>
        </row>
        <row r="502">
          <cell r="B502" t="str">
            <v>Carton ondulé</v>
          </cell>
          <cell r="C502" t="str">
            <v>Corrugated Box</v>
          </cell>
        </row>
        <row r="503">
          <cell r="B503" t="str">
            <v>Magazines</v>
          </cell>
          <cell r="C503" t="str">
            <v>Magazines</v>
          </cell>
        </row>
        <row r="504">
          <cell r="B504" t="str">
            <v>Journaux</v>
          </cell>
          <cell r="C504" t="str">
            <v>Newspaper</v>
          </cell>
        </row>
        <row r="505">
          <cell r="B505" t="str">
            <v>Papier de bureau</v>
          </cell>
          <cell r="C505" t="str">
            <v>Office Paper</v>
          </cell>
        </row>
        <row r="506">
          <cell r="B506" t="str">
            <v>Annuaires</v>
          </cell>
          <cell r="C506" t="str">
            <v>Phonebook</v>
          </cell>
        </row>
        <row r="507">
          <cell r="B507" t="str">
            <v xml:space="preserve">Cahiers </v>
          </cell>
          <cell r="C507" t="str">
            <v>Textbook</v>
          </cell>
        </row>
        <row r="508">
          <cell r="B508" t="str">
            <v>Planches de bois</v>
          </cell>
          <cell r="C508" t="str">
            <v>Dimensional Lumber</v>
          </cell>
        </row>
        <row r="509">
          <cell r="B509" t="str">
            <v>Panneaux de fibres</v>
          </cell>
          <cell r="C509" t="str">
            <v>Fiberboard</v>
          </cell>
        </row>
        <row r="510">
          <cell r="B510" t="str">
            <v>Panneaux en papiers mélangés</v>
          </cell>
          <cell r="C510" t="str">
            <v>Mixed Paper Board</v>
          </cell>
        </row>
        <row r="511">
          <cell r="B511" t="str">
            <v>Papiers mélangés - résidentiel</v>
          </cell>
          <cell r="C511" t="str">
            <v>Mixed Paper - Residential</v>
          </cell>
        </row>
        <row r="512">
          <cell r="B512" t="str">
            <v>Plastiques mélangés</v>
          </cell>
          <cell r="C512" t="str">
            <v>Mixed Plastics</v>
          </cell>
        </row>
        <row r="513">
          <cell r="B513" t="str">
            <v>Matériaux reyclables mélangés</v>
          </cell>
          <cell r="C513" t="str">
            <v>Mixed Recyclables</v>
          </cell>
        </row>
        <row r="514">
          <cell r="B514" t="str">
            <v>Tapis</v>
          </cell>
          <cell r="C514" t="str">
            <v>Carpets</v>
          </cell>
        </row>
        <row r="515">
          <cell r="B515" t="str">
            <v>Ordinateurs</v>
          </cell>
          <cell r="C515" t="str">
            <v>PCs</v>
          </cell>
        </row>
        <row r="516">
          <cell r="B516" t="str">
            <v>Aggrégat</v>
          </cell>
          <cell r="C516" t="str">
            <v>Aggregate</v>
          </cell>
        </row>
        <row r="517">
          <cell r="B517" t="str">
            <v>Cendres</v>
          </cell>
          <cell r="C517" t="str">
            <v>FlyAsh</v>
          </cell>
        </row>
        <row r="518">
          <cell r="B518" t="str">
            <v>Pneus</v>
          </cell>
          <cell r="C518" t="str">
            <v>Tires</v>
          </cell>
        </row>
        <row r="519">
          <cell r="B519" t="str">
            <v>Acier</v>
          </cell>
          <cell r="C519" t="str">
            <v>Steel</v>
          </cell>
        </row>
        <row r="520">
          <cell r="B520" t="str">
            <v>Aluminium</v>
          </cell>
          <cell r="C520" t="str">
            <v>Aluminium</v>
          </cell>
        </row>
        <row r="521">
          <cell r="B521" t="str">
            <v>Plomb</v>
          </cell>
          <cell r="C521" t="str">
            <v>Lead</v>
          </cell>
        </row>
        <row r="522">
          <cell r="B522" t="str">
            <v>Cuivre</v>
          </cell>
          <cell r="C522" t="str">
            <v>Copper Wire</v>
          </cell>
        </row>
        <row r="523">
          <cell r="B523" t="str">
            <v>Cartons d'emballage</v>
          </cell>
          <cell r="C523" t="str">
            <v>Cardboard packing</v>
          </cell>
        </row>
        <row r="524">
          <cell r="B524" t="str">
            <v>Papiers à usage graphique</v>
          </cell>
          <cell r="C524" t="str">
            <v>Graphic papers</v>
          </cell>
        </row>
        <row r="525">
          <cell r="B525" t="str">
            <v>Papiers spéciaux et d'hygiène</v>
          </cell>
          <cell r="C525" t="str">
            <v>Special and hygiene papers</v>
          </cell>
        </row>
        <row r="526">
          <cell r="B526" t="str">
            <v>Verre</v>
          </cell>
          <cell r="C526" t="str">
            <v>Glass</v>
          </cell>
        </row>
        <row r="527">
          <cell r="B527" t="str">
            <v>PE</v>
          </cell>
          <cell r="C527" t="str">
            <v>PE</v>
          </cell>
        </row>
        <row r="528">
          <cell r="B528" t="str">
            <v>PET</v>
          </cell>
          <cell r="C528" t="str">
            <v>PET</v>
          </cell>
        </row>
        <row r="529">
          <cell r="B529" t="str">
            <v>Remarque : Si l'utilisateur souhaite utiliser des facteurs d'émissions autres que ceux fournis ci-dessous, il doit les documenter et donner les références de l'étude ACV (Analyse de Cycle de Vie) à l'origine de ses valeurs.</v>
          </cell>
          <cell r="C529" t="str">
            <v>Remark : If the user wants to use values other than those cited below, he should document them and give the references of the LCA study at the origin of his figures.</v>
          </cell>
        </row>
        <row r="532">
          <cell r="B532" t="str">
            <v>SYNTHESE DES EMISSIONS</v>
          </cell>
          <cell r="C532" t="str">
            <v>EMISSIONS SYNTHESIS</v>
          </cell>
        </row>
        <row r="533">
          <cell r="B533" t="str">
            <v>Emissions directes</v>
          </cell>
          <cell r="C533" t="str">
            <v>Direct emissions</v>
          </cell>
        </row>
        <row r="534">
          <cell r="B534" t="str">
            <v>Emissions indirectes</v>
          </cell>
          <cell r="C534" t="str">
            <v>Indirect emissions</v>
          </cell>
        </row>
        <row r="535">
          <cell r="B535" t="str">
            <v>Emissions évitées</v>
          </cell>
          <cell r="C535" t="str">
            <v>Avoided emissions</v>
          </cell>
        </row>
        <row r="536">
          <cell r="B536" t="str">
            <v>Installations de combustion fixes</v>
          </cell>
          <cell r="C536" t="str">
            <v>Permanent combustion facility</v>
          </cell>
        </row>
        <row r="537">
          <cell r="B537" t="str">
            <v xml:space="preserve">Transport en propre </v>
          </cell>
          <cell r="C537" t="str">
            <v>Operated transport</v>
          </cell>
        </row>
        <row r="538">
          <cell r="B538" t="str">
            <v>CSD</v>
          </cell>
          <cell r="C538" t="str">
            <v>Landfill</v>
          </cell>
        </row>
        <row r="539">
          <cell r="B539" t="str">
            <v>Incinération</v>
          </cell>
          <cell r="C539" t="str">
            <v>Incineration</v>
          </cell>
        </row>
        <row r="540">
          <cell r="B540" t="str">
            <v>Traitement des eaux usées</v>
          </cell>
          <cell r="C540" t="str">
            <v>Wastewater treatment</v>
          </cell>
        </row>
        <row r="541">
          <cell r="B541" t="str">
            <v>Total émissions directes</v>
          </cell>
          <cell r="C541" t="str">
            <v xml:space="preserve">Total direct emissions </v>
          </cell>
        </row>
        <row r="542">
          <cell r="B542" t="str">
            <v>Emissions liées à l'utilisation d'électricité et d'énergie thermique</v>
          </cell>
          <cell r="C542" t="str">
            <v>Emissions related to the use of electricity or thermal energy</v>
          </cell>
        </row>
        <row r="543">
          <cell r="B543" t="str">
            <v>Emissions indirectes liées aux transports</v>
          </cell>
          <cell r="C543" t="str">
            <v>Indirect emissions related to transport</v>
          </cell>
        </row>
        <row r="544">
          <cell r="B544" t="str">
            <v>Total émissions indirectes</v>
          </cell>
          <cell r="C544" t="str">
            <v>Total indirect emissions</v>
          </cell>
        </row>
        <row r="545">
          <cell r="B545" t="str">
            <v>Attention : dans le cas de l'incinération, le calcul a pu être effectué sans calculer les émissions brutes au préalable, selon les données disponibles. Par conséquent, toute exploitation ou comparaison des émissions brutes et nettes doit être effectuée av</v>
          </cell>
          <cell r="C545" t="str">
            <v>Beware: for incineration, the calculation could have been made without a prior calculation of the gross emissions before, according to available data. As a consequence, every analysis or comparison of gross and net emissions should be done carefully.</v>
          </cell>
        </row>
        <row r="546">
          <cell r="B546" t="str">
            <v>Les émissions évitées ne doivent pas être déduites du total des émissions directes et/ou indirectes calculées ci-dessus</v>
          </cell>
          <cell r="C546" t="str">
            <v>Avoided emissions shouldn't be deduced from the total of direct/indirect emissions calculated above.</v>
          </cell>
        </row>
        <row r="547">
          <cell r="B547" t="str">
            <v>Emissions totales évitées</v>
          </cell>
          <cell r="C547" t="str">
            <v>Total avoided emissions</v>
          </cell>
        </row>
        <row r="548">
          <cell r="B548" t="str">
            <v>Valorisation énergétique du biogaz produit</v>
          </cell>
          <cell r="C548" t="str">
            <v>Energy recovery from the produced biogas</v>
          </cell>
        </row>
        <row r="549">
          <cell r="B549" t="str">
            <v>Production d'énergie de l'incinération</v>
          </cell>
          <cell r="C549" t="str">
            <v>Energy production from incineration</v>
          </cell>
        </row>
        <row r="550">
          <cell r="B550" t="str">
            <v>Valorisation de sous produits d'incinération</v>
          </cell>
          <cell r="C550" t="str">
            <v>Recovery of incineration by-products</v>
          </cell>
        </row>
        <row r="551">
          <cell r="B551" t="str">
            <v>Combustibles de substitution</v>
          </cell>
          <cell r="C551" t="str">
            <v>Alternative fuels</v>
          </cell>
        </row>
        <row r="552">
          <cell r="B552" t="str">
            <v>Tri et recyclage</v>
          </cell>
          <cell r="C552" t="str">
            <v>Sorting and recycling</v>
          </cell>
        </row>
        <row r="553">
          <cell r="B553" t="str">
            <v>Total émissions évitées</v>
          </cell>
          <cell r="C553" t="str">
            <v>Total avoided emissions</v>
          </cell>
        </row>
        <row r="554">
          <cell r="B554" t="str">
            <v>Source</v>
          </cell>
          <cell r="C554" t="str">
            <v>Source</v>
          </cell>
        </row>
        <row r="555">
          <cell r="B555" t="str">
            <v xml:space="preserve">Emissions directes nettes </v>
          </cell>
          <cell r="C555" t="str">
            <v xml:space="preserve">Net direct emissions </v>
          </cell>
        </row>
        <row r="556">
          <cell r="C556">
            <v>517</v>
          </cell>
        </row>
        <row r="557">
          <cell r="C557">
            <v>518</v>
          </cell>
        </row>
        <row r="558">
          <cell r="C558">
            <v>519</v>
          </cell>
        </row>
        <row r="559">
          <cell r="C559">
            <v>520</v>
          </cell>
        </row>
        <row r="560">
          <cell r="C560">
            <v>521</v>
          </cell>
        </row>
        <row r="561">
          <cell r="C561">
            <v>522</v>
          </cell>
        </row>
        <row r="562">
          <cell r="C562">
            <v>523</v>
          </cell>
        </row>
        <row r="563">
          <cell r="C563">
            <v>524</v>
          </cell>
        </row>
        <row r="564">
          <cell r="C564">
            <v>525</v>
          </cell>
        </row>
        <row r="565">
          <cell r="C565">
            <v>526</v>
          </cell>
        </row>
        <row r="566">
          <cell r="C566">
            <v>527</v>
          </cell>
        </row>
        <row r="567">
          <cell r="C567">
            <v>528</v>
          </cell>
        </row>
        <row r="568">
          <cell r="C568">
            <v>529</v>
          </cell>
        </row>
        <row r="569">
          <cell r="C569">
            <v>530</v>
          </cell>
        </row>
        <row r="570">
          <cell r="C570">
            <v>531</v>
          </cell>
        </row>
        <row r="571">
          <cell r="C571">
            <v>532</v>
          </cell>
        </row>
        <row r="572">
          <cell r="C572">
            <v>533</v>
          </cell>
        </row>
        <row r="573">
          <cell r="C573">
            <v>534</v>
          </cell>
        </row>
        <row r="574">
          <cell r="C574">
            <v>535</v>
          </cell>
        </row>
        <row r="575">
          <cell r="C575">
            <v>536</v>
          </cell>
        </row>
        <row r="576">
          <cell r="C576">
            <v>537</v>
          </cell>
        </row>
        <row r="577">
          <cell r="C577">
            <v>538</v>
          </cell>
        </row>
        <row r="578">
          <cell r="C578">
            <v>539</v>
          </cell>
        </row>
        <row r="579">
          <cell r="C579">
            <v>540</v>
          </cell>
        </row>
        <row r="580">
          <cell r="C580">
            <v>541</v>
          </cell>
        </row>
        <row r="581">
          <cell r="C581">
            <v>542</v>
          </cell>
        </row>
        <row r="582">
          <cell r="C582">
            <v>543</v>
          </cell>
        </row>
        <row r="583">
          <cell r="C583">
            <v>544</v>
          </cell>
        </row>
        <row r="584">
          <cell r="C584">
            <v>545</v>
          </cell>
        </row>
        <row r="585">
          <cell r="C585">
            <v>546</v>
          </cell>
        </row>
        <row r="586">
          <cell r="C586">
            <v>547</v>
          </cell>
        </row>
        <row r="587">
          <cell r="C587">
            <v>548</v>
          </cell>
        </row>
        <row r="588">
          <cell r="C588">
            <v>549</v>
          </cell>
        </row>
        <row r="589">
          <cell r="C589">
            <v>550</v>
          </cell>
        </row>
        <row r="590">
          <cell r="C590">
            <v>551</v>
          </cell>
        </row>
        <row r="591">
          <cell r="C591">
            <v>552</v>
          </cell>
        </row>
        <row r="592">
          <cell r="C592">
            <v>553</v>
          </cell>
        </row>
        <row r="593">
          <cell r="C593">
            <v>554</v>
          </cell>
        </row>
        <row r="594">
          <cell r="C594">
            <v>555</v>
          </cell>
        </row>
        <row r="595">
          <cell r="C595">
            <v>556</v>
          </cell>
        </row>
        <row r="596">
          <cell r="C596">
            <v>557</v>
          </cell>
        </row>
        <row r="597">
          <cell r="C597">
            <v>558</v>
          </cell>
        </row>
        <row r="598">
          <cell r="C598">
            <v>559</v>
          </cell>
        </row>
        <row r="599">
          <cell r="C599">
            <v>560</v>
          </cell>
        </row>
        <row r="600">
          <cell r="C600">
            <v>561</v>
          </cell>
        </row>
        <row r="601">
          <cell r="C601">
            <v>562</v>
          </cell>
        </row>
        <row r="602">
          <cell r="C602">
            <v>563</v>
          </cell>
        </row>
        <row r="603">
          <cell r="C603">
            <v>564</v>
          </cell>
        </row>
        <row r="604">
          <cell r="C604">
            <v>565</v>
          </cell>
        </row>
        <row r="605">
          <cell r="C605">
            <v>566</v>
          </cell>
        </row>
        <row r="606">
          <cell r="C606">
            <v>567</v>
          </cell>
        </row>
        <row r="607">
          <cell r="C607">
            <v>568</v>
          </cell>
        </row>
        <row r="608">
          <cell r="C608">
            <v>569</v>
          </cell>
        </row>
        <row r="609">
          <cell r="C609">
            <v>570</v>
          </cell>
        </row>
        <row r="610">
          <cell r="C610">
            <v>571</v>
          </cell>
        </row>
        <row r="611">
          <cell r="C611">
            <v>572</v>
          </cell>
        </row>
        <row r="612">
          <cell r="C612">
            <v>573</v>
          </cell>
        </row>
        <row r="613">
          <cell r="C613">
            <v>574</v>
          </cell>
        </row>
        <row r="614">
          <cell r="C614">
            <v>575</v>
          </cell>
        </row>
        <row r="615">
          <cell r="C615">
            <v>576</v>
          </cell>
        </row>
        <row r="616">
          <cell r="C616">
            <v>577</v>
          </cell>
        </row>
        <row r="617">
          <cell r="C617">
            <v>578</v>
          </cell>
        </row>
        <row r="618">
          <cell r="C618">
            <v>579</v>
          </cell>
        </row>
        <row r="619">
          <cell r="C619">
            <v>580</v>
          </cell>
        </row>
        <row r="620">
          <cell r="C620">
            <v>581</v>
          </cell>
        </row>
        <row r="621">
          <cell r="C621">
            <v>582</v>
          </cell>
        </row>
        <row r="622">
          <cell r="C622">
            <v>583</v>
          </cell>
        </row>
        <row r="623">
          <cell r="C623">
            <v>584</v>
          </cell>
        </row>
        <row r="624">
          <cell r="C624">
            <v>585</v>
          </cell>
        </row>
        <row r="625">
          <cell r="C625">
            <v>586</v>
          </cell>
        </row>
        <row r="626">
          <cell r="C626">
            <v>587</v>
          </cell>
        </row>
        <row r="627">
          <cell r="C627">
            <v>588</v>
          </cell>
        </row>
        <row r="628">
          <cell r="C628">
            <v>589</v>
          </cell>
        </row>
        <row r="629">
          <cell r="C629">
            <v>590</v>
          </cell>
        </row>
        <row r="630">
          <cell r="C630">
            <v>591</v>
          </cell>
        </row>
        <row r="631">
          <cell r="C631">
            <v>592</v>
          </cell>
        </row>
        <row r="632">
          <cell r="C632">
            <v>593</v>
          </cell>
        </row>
        <row r="633">
          <cell r="C633">
            <v>594</v>
          </cell>
        </row>
        <row r="634">
          <cell r="C634">
            <v>595</v>
          </cell>
        </row>
        <row r="635">
          <cell r="C635">
            <v>596</v>
          </cell>
        </row>
        <row r="636">
          <cell r="C636">
            <v>597</v>
          </cell>
        </row>
        <row r="637">
          <cell r="C637">
            <v>598</v>
          </cell>
        </row>
        <row r="638">
          <cell r="C638">
            <v>599</v>
          </cell>
        </row>
      </sheetData>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NÁLISE DE SITES MULTICRITÉRIO"/>
      <sheetName val="Planilha1"/>
      <sheetName val="Planilha1 (2)"/>
      <sheetName val="Arranjos"/>
      <sheetName val="Arranjos NOVO"/>
    </sheetNames>
    <sheetDataSet>
      <sheetData sheetId="0"/>
      <sheetData sheetId="1"/>
      <sheetData sheetId="2"/>
      <sheetData sheetId="3"/>
      <sheetData sheetId="4">
        <row r="16">
          <cell r="E16">
            <v>73.8</v>
          </cell>
        </row>
        <row r="18">
          <cell r="E18">
            <v>514.64999999999895</v>
          </cell>
        </row>
        <row r="20">
          <cell r="E20">
            <v>37.099999999999902</v>
          </cell>
        </row>
      </sheetData>
    </sheetDataSet>
  </externalBook>
</externalLink>
</file>

<file path=xl/persons/person.xml><?xml version="1.0" encoding="utf-8"?>
<personList xmlns="http://schemas.microsoft.com/office/spreadsheetml/2018/threadedcomments" xmlns:x="http://schemas.openxmlformats.org/spreadsheetml/2006/main">
  <person displayName="Alaim de paula" id="{4FC7C043-DBA9-4841-9AEE-4EE9065B6F99}" userId="88fe9e2322cad260" providerId="Windows Live"/>
</personList>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D115" dT="2020-09-21T22:42:09.36" personId="{4FC7C043-DBA9-4841-9AEE-4EE9065B6F99}" id="{0E6D4CBB-7C04-498F-B9DA-F11CD8046EBA}">
    <text>Comentário: Preço médio líquido de impostos da venda de energia elétrica em R$/MWh a ser gerada em quaisquer das tecnologias de biodigestão, incineração ou via reaproveitamento de biogás de aterro.</text>
  </threadedComment>
</ThreadedComments>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7.xml"/><Relationship Id="rId1" Type="http://schemas.openxmlformats.org/officeDocument/2006/relationships/printerSettings" Target="../printerSettings/printerSettings5.bin"/><Relationship Id="rId5" Type="http://schemas.microsoft.com/office/2017/10/relationships/threadedComment" Target="../threadedComments/threadedComment1.xml"/><Relationship Id="rId4" Type="http://schemas.openxmlformats.org/officeDocument/2006/relationships/comments" Target="../comments3.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19.xml.rels><?xml version="1.0" encoding="UTF-8" standalone="yes"?>
<Relationships xmlns="http://schemas.openxmlformats.org/package/2006/relationships"><Relationship Id="rId3" Type="http://schemas.openxmlformats.org/officeDocument/2006/relationships/printerSettings" Target="../printerSettings/printerSettings9.bin"/><Relationship Id="rId2" Type="http://schemas.openxmlformats.org/officeDocument/2006/relationships/hyperlink" Target="mailto:sanearbrasil@mdr.gov.br" TargetMode="External"/><Relationship Id="rId1" Type="http://schemas.openxmlformats.org/officeDocument/2006/relationships/hyperlink" Target="https://www.gov.br/mdr/pt-br/assuntos/saneamento/protegeer" TargetMode="External"/><Relationship Id="rId4" Type="http://schemas.openxmlformats.org/officeDocument/2006/relationships/drawing" Target="../drawings/drawing18.xml"/></Relationships>
</file>

<file path=xl/worksheets/_rels/sheet20.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10.bin"/></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9.xml"/><Relationship Id="rId1" Type="http://schemas.openxmlformats.org/officeDocument/2006/relationships/printerSettings" Target="../printerSettings/printerSettings11.bin"/><Relationship Id="rId4" Type="http://schemas.openxmlformats.org/officeDocument/2006/relationships/comments" Target="../comments5.xml"/></Relationships>
</file>

<file path=xl/worksheets/_rels/sheet22.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12.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13.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14.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15.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16.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17.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18.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19.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20.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21.bin"/></Relationships>
</file>

<file path=xl/worksheets/_rels/sheet32.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R100"/>
  <sheetViews>
    <sheetView showGridLines="0" zoomScale="80" zoomScaleNormal="80" workbookViewId="0">
      <selection activeCell="I2" sqref="I2:K2"/>
    </sheetView>
  </sheetViews>
  <sheetFormatPr defaultColWidth="14.42578125" defaultRowHeight="15" customHeight="1" x14ac:dyDescent="0.25"/>
  <cols>
    <col min="1" max="1" width="0.28515625" style="68" customWidth="1"/>
    <col min="2" max="2" width="7.42578125" style="68" customWidth="1"/>
    <col min="3" max="3" width="13.42578125" style="68" customWidth="1"/>
    <col min="4" max="4" width="9.7109375" style="68" customWidth="1"/>
    <col min="5" max="6" width="8.42578125" style="68" customWidth="1"/>
    <col min="7" max="7" width="42.42578125" style="68" customWidth="1"/>
    <col min="8" max="8" width="6.42578125" style="68" customWidth="1"/>
    <col min="9" max="9" width="10.42578125" style="68" customWidth="1"/>
    <col min="10" max="10" width="7.42578125" style="68" customWidth="1"/>
    <col min="11" max="15" width="8.42578125" style="68" customWidth="1"/>
    <col min="16" max="16" width="11.42578125" style="68" customWidth="1"/>
    <col min="17" max="17" width="13.42578125" style="68" customWidth="1"/>
    <col min="18" max="18" width="8.42578125" style="68" customWidth="1"/>
  </cols>
  <sheetData>
    <row r="1" spans="2:18" ht="6" customHeight="1" x14ac:dyDescent="0.25">
      <c r="B1" s="379"/>
      <c r="C1" s="379"/>
      <c r="D1" s="379"/>
      <c r="E1" s="379"/>
      <c r="F1" s="381"/>
      <c r="G1" s="381"/>
      <c r="H1" s="381"/>
      <c r="I1" s="381"/>
      <c r="J1" s="381"/>
      <c r="K1" s="381"/>
      <c r="L1" s="69"/>
      <c r="M1" s="69"/>
      <c r="N1" s="69"/>
      <c r="O1" s="69"/>
      <c r="P1" s="69"/>
      <c r="Q1" s="69"/>
      <c r="R1" s="69"/>
    </row>
    <row r="2" spans="2:18" ht="21.4" customHeight="1" x14ac:dyDescent="0.3">
      <c r="B2" s="379"/>
      <c r="C2" s="2653" t="s">
        <v>424</v>
      </c>
      <c r="D2" s="2654"/>
      <c r="E2" s="2654"/>
      <c r="F2" s="2654"/>
      <c r="G2" s="2654"/>
      <c r="H2" s="380"/>
      <c r="I2" s="2657" t="s">
        <v>868</v>
      </c>
      <c r="J2" s="2658"/>
      <c r="K2" s="2658"/>
    </row>
    <row r="3" spans="2:18" ht="10.5" customHeight="1" x14ac:dyDescent="0.25">
      <c r="B3" s="379"/>
      <c r="C3" s="378"/>
      <c r="D3" s="378"/>
      <c r="E3" s="378"/>
      <c r="F3" s="378"/>
      <c r="G3" s="378"/>
      <c r="H3" s="379"/>
      <c r="I3" s="379"/>
      <c r="J3" s="379"/>
      <c r="K3" s="379"/>
    </row>
    <row r="4" spans="2:18" ht="37.9" customHeight="1" x14ac:dyDescent="0.25">
      <c r="B4" s="381"/>
      <c r="C4" s="2655" t="s">
        <v>715</v>
      </c>
      <c r="D4" s="2656"/>
      <c r="E4" s="2656"/>
      <c r="F4" s="2656"/>
      <c r="G4" s="2656"/>
      <c r="H4" s="379"/>
      <c r="I4" s="379"/>
      <c r="J4" s="379"/>
      <c r="K4" s="379"/>
    </row>
    <row r="5" spans="2:18" ht="18" customHeight="1" x14ac:dyDescent="0.25">
      <c r="B5" s="69"/>
      <c r="J5" s="70"/>
      <c r="K5" s="70"/>
      <c r="L5" s="70"/>
      <c r="M5" s="70"/>
      <c r="N5" s="70"/>
      <c r="O5" s="70"/>
      <c r="P5" s="70"/>
      <c r="Q5" s="70"/>
      <c r="R5" s="70"/>
    </row>
    <row r="6" spans="2:18" ht="18" customHeight="1" x14ac:dyDescent="0.25">
      <c r="B6" s="69"/>
      <c r="I6" s="103" t="s">
        <v>716</v>
      </c>
      <c r="J6" s="2650" t="s">
        <v>448</v>
      </c>
      <c r="K6" s="2652"/>
      <c r="L6" s="2652"/>
      <c r="M6" s="2652"/>
      <c r="N6" s="2652"/>
      <c r="O6" s="2652"/>
      <c r="P6" s="2652"/>
      <c r="Q6" s="2652"/>
      <c r="R6" s="2652"/>
    </row>
    <row r="7" spans="2:18" ht="18" customHeight="1" x14ac:dyDescent="0.25">
      <c r="B7" s="69"/>
      <c r="I7" s="382"/>
      <c r="J7" s="2652"/>
      <c r="K7" s="2652"/>
      <c r="L7" s="2652"/>
      <c r="M7" s="2652"/>
      <c r="N7" s="2652"/>
      <c r="O7" s="2652"/>
      <c r="P7" s="2652"/>
      <c r="Q7" s="2652"/>
      <c r="R7" s="2652"/>
    </row>
    <row r="8" spans="2:18" ht="18" customHeight="1" x14ac:dyDescent="0.25">
      <c r="B8" s="69"/>
      <c r="I8" s="382"/>
      <c r="J8" s="70"/>
      <c r="K8" s="70"/>
      <c r="L8" s="70"/>
      <c r="M8" s="70"/>
      <c r="N8" s="70"/>
      <c r="O8" s="70"/>
      <c r="P8" s="70"/>
      <c r="Q8" s="70"/>
      <c r="R8" s="70"/>
    </row>
    <row r="9" spans="2:18" ht="22.9" customHeight="1" x14ac:dyDescent="0.25">
      <c r="B9" s="69"/>
      <c r="I9" s="103" t="s">
        <v>717</v>
      </c>
      <c r="J9" s="2650" t="s">
        <v>720</v>
      </c>
      <c r="K9" s="2652"/>
      <c r="L9" s="2652"/>
      <c r="M9" s="2652"/>
      <c r="N9" s="2652"/>
      <c r="O9" s="2652"/>
      <c r="P9" s="2652"/>
      <c r="Q9" s="2652"/>
      <c r="R9" s="2652"/>
    </row>
    <row r="10" spans="2:18" ht="22.9" customHeight="1" x14ac:dyDescent="0.25">
      <c r="B10" s="69"/>
      <c r="I10" s="382"/>
      <c r="J10" s="2652"/>
      <c r="K10" s="2652"/>
      <c r="L10" s="2652"/>
      <c r="M10" s="2652"/>
      <c r="N10" s="2652"/>
      <c r="O10" s="2652"/>
      <c r="P10" s="2652"/>
      <c r="Q10" s="2652"/>
      <c r="R10" s="2652"/>
    </row>
    <row r="11" spans="2:18" ht="22.9" customHeight="1" x14ac:dyDescent="0.25">
      <c r="I11" s="382"/>
      <c r="J11" s="2652"/>
      <c r="K11" s="2652"/>
      <c r="L11" s="2652"/>
      <c r="M11" s="2652"/>
      <c r="N11" s="2652"/>
      <c r="O11" s="2652"/>
      <c r="P11" s="2652"/>
      <c r="Q11" s="2652"/>
      <c r="R11" s="2652"/>
    </row>
    <row r="12" spans="2:18" ht="18" customHeight="1" x14ac:dyDescent="0.25">
      <c r="I12" s="382"/>
      <c r="J12" s="73"/>
      <c r="K12" s="73"/>
      <c r="L12" s="73"/>
      <c r="M12" s="73"/>
      <c r="N12" s="73"/>
      <c r="O12" s="73"/>
      <c r="P12" s="73"/>
      <c r="Q12" s="73"/>
      <c r="R12" s="73"/>
    </row>
    <row r="13" spans="2:18" ht="18" customHeight="1" x14ac:dyDescent="0.25">
      <c r="B13" s="69"/>
      <c r="C13" s="74"/>
      <c r="I13" s="103" t="s">
        <v>718</v>
      </c>
      <c r="J13" s="2651" t="s">
        <v>721</v>
      </c>
      <c r="K13" s="2651"/>
      <c r="L13" s="2651"/>
      <c r="M13" s="2651"/>
      <c r="N13" s="2651"/>
      <c r="O13" s="2651"/>
      <c r="P13" s="2651"/>
      <c r="Q13" s="2651"/>
      <c r="R13" s="2651"/>
    </row>
    <row r="14" spans="2:18" ht="18" customHeight="1" x14ac:dyDescent="0.25">
      <c r="B14" s="69"/>
      <c r="C14" s="74"/>
      <c r="I14" s="382"/>
      <c r="J14" s="2651"/>
      <c r="K14" s="2651"/>
      <c r="L14" s="2651"/>
      <c r="M14" s="2651"/>
      <c r="N14" s="2651"/>
      <c r="O14" s="2651"/>
      <c r="P14" s="2651"/>
      <c r="Q14" s="2651"/>
      <c r="R14" s="2651"/>
    </row>
    <row r="15" spans="2:18" ht="18" customHeight="1" x14ac:dyDescent="0.25">
      <c r="B15" s="69"/>
      <c r="C15" s="74"/>
      <c r="I15" s="382"/>
      <c r="J15" s="2651"/>
      <c r="K15" s="2651"/>
      <c r="L15" s="2651"/>
      <c r="M15" s="2651"/>
      <c r="N15" s="2651"/>
      <c r="O15" s="2651"/>
      <c r="P15" s="2651"/>
      <c r="Q15" s="2651"/>
      <c r="R15" s="2651"/>
    </row>
    <row r="16" spans="2:18" ht="18" customHeight="1" x14ac:dyDescent="0.25">
      <c r="B16" s="69"/>
      <c r="C16" s="74"/>
      <c r="I16" s="382"/>
      <c r="J16" s="2651"/>
      <c r="K16" s="2651"/>
      <c r="L16" s="2651"/>
      <c r="M16" s="2651"/>
      <c r="N16" s="2651"/>
      <c r="O16" s="2651"/>
      <c r="P16" s="2651"/>
      <c r="Q16" s="2651"/>
      <c r="R16" s="2651"/>
    </row>
    <row r="17" spans="1:18" ht="18" customHeight="1" x14ac:dyDescent="0.25">
      <c r="B17" s="69"/>
      <c r="I17" s="382"/>
      <c r="J17" s="70"/>
      <c r="K17" s="70"/>
      <c r="L17" s="70"/>
      <c r="M17" s="70"/>
      <c r="N17" s="70"/>
      <c r="O17" s="70"/>
      <c r="P17" s="70"/>
      <c r="Q17" s="70"/>
      <c r="R17" s="70"/>
    </row>
    <row r="18" spans="1:18" ht="18" customHeight="1" x14ac:dyDescent="0.25">
      <c r="B18" s="69"/>
      <c r="C18" s="74"/>
      <c r="I18" s="103" t="s">
        <v>719</v>
      </c>
      <c r="J18" s="2650" t="s">
        <v>449</v>
      </c>
      <c r="K18" s="2650"/>
      <c r="L18" s="2650"/>
      <c r="M18" s="2650"/>
      <c r="N18" s="2650"/>
      <c r="O18" s="2650"/>
      <c r="P18" s="2650"/>
      <c r="Q18" s="2650"/>
      <c r="R18" s="2650"/>
    </row>
    <row r="19" spans="1:18" ht="18" customHeight="1" x14ac:dyDescent="0.25">
      <c r="B19" s="69"/>
      <c r="D19" s="74"/>
      <c r="E19" s="74"/>
      <c r="F19" s="74"/>
      <c r="G19" s="74"/>
      <c r="H19" s="74"/>
      <c r="I19" s="74"/>
      <c r="J19" s="2650"/>
      <c r="K19" s="2650"/>
      <c r="L19" s="2650"/>
      <c r="M19" s="2650"/>
      <c r="N19" s="2650"/>
      <c r="O19" s="2650"/>
      <c r="P19" s="2650"/>
      <c r="Q19" s="2650"/>
      <c r="R19" s="2650"/>
    </row>
    <row r="20" spans="1:18" ht="18" customHeight="1" x14ac:dyDescent="0.25">
      <c r="B20" s="69"/>
      <c r="C20" s="74"/>
      <c r="D20" s="74"/>
      <c r="E20" s="74"/>
      <c r="F20" s="74"/>
      <c r="G20" s="74"/>
      <c r="H20" s="74"/>
      <c r="I20" s="74"/>
      <c r="J20" s="2650"/>
      <c r="K20" s="2650"/>
      <c r="L20" s="2650"/>
      <c r="M20" s="2650"/>
      <c r="N20" s="2650"/>
      <c r="O20" s="2650"/>
      <c r="P20" s="2650"/>
      <c r="Q20" s="2650"/>
      <c r="R20" s="2650"/>
    </row>
    <row r="21" spans="1:18" ht="40.15" customHeight="1" x14ac:dyDescent="0.25">
      <c r="A21" s="459"/>
      <c r="B21" s="383"/>
      <c r="C21" s="384"/>
      <c r="D21" s="384"/>
      <c r="E21" s="384"/>
      <c r="F21" s="384"/>
      <c r="G21" s="387"/>
      <c r="I21" s="74"/>
      <c r="J21" s="2650"/>
      <c r="K21" s="2650"/>
      <c r="L21" s="2650"/>
      <c r="M21" s="2650"/>
      <c r="N21" s="2650"/>
      <c r="O21" s="2650"/>
      <c r="P21" s="2650"/>
      <c r="Q21" s="2650"/>
      <c r="R21" s="2650"/>
    </row>
    <row r="22" spans="1:18" ht="34.9" customHeight="1" x14ac:dyDescent="0.25">
      <c r="B22" s="71"/>
      <c r="C22" s="71"/>
      <c r="D22" s="71"/>
      <c r="E22" s="71"/>
      <c r="F22" s="71"/>
      <c r="G22" s="71"/>
      <c r="H22" s="71"/>
      <c r="I22" s="71"/>
      <c r="J22" s="2650"/>
      <c r="K22" s="2650"/>
      <c r="L22" s="2650"/>
      <c r="M22" s="2650"/>
      <c r="N22" s="2650"/>
      <c r="O22" s="2650"/>
      <c r="P22" s="2650"/>
      <c r="Q22" s="2650"/>
      <c r="R22" s="2650"/>
    </row>
    <row r="23" spans="1:18" ht="18" customHeight="1" x14ac:dyDescent="0.25">
      <c r="B23" s="71"/>
      <c r="C23" s="193" t="s">
        <v>450</v>
      </c>
      <c r="D23" s="460" t="s">
        <v>423</v>
      </c>
      <c r="E23" s="72"/>
      <c r="F23" s="71"/>
      <c r="G23" s="71"/>
      <c r="H23" s="71"/>
      <c r="J23" s="2650"/>
      <c r="K23" s="2650"/>
      <c r="L23" s="2650"/>
      <c r="M23" s="2650"/>
      <c r="N23" s="2650"/>
      <c r="O23" s="2650"/>
      <c r="P23" s="2650"/>
      <c r="Q23" s="2650"/>
      <c r="R23" s="2650"/>
    </row>
    <row r="24" spans="1:18" ht="18" customHeight="1" x14ac:dyDescent="0.25">
      <c r="B24" s="71"/>
      <c r="C24" s="193" t="s">
        <v>451</v>
      </c>
      <c r="D24" s="461" t="s">
        <v>1</v>
      </c>
      <c r="E24" s="385"/>
      <c r="F24" s="386"/>
      <c r="G24" s="386"/>
      <c r="H24" s="71"/>
      <c r="I24" s="1413" t="s">
        <v>0</v>
      </c>
      <c r="J24" s="71"/>
      <c r="K24" s="71"/>
      <c r="L24" s="71"/>
    </row>
    <row r="25" spans="1:18" ht="18" customHeight="1" x14ac:dyDescent="0.25">
      <c r="B25" s="71"/>
      <c r="C25" s="193" t="s">
        <v>452</v>
      </c>
      <c r="D25" s="461" t="s">
        <v>2</v>
      </c>
      <c r="E25" s="385"/>
      <c r="F25" s="386"/>
      <c r="G25" s="386"/>
      <c r="H25" s="71"/>
      <c r="I25" s="71"/>
      <c r="J25" s="71"/>
      <c r="K25" s="71"/>
      <c r="L25" s="71"/>
    </row>
    <row r="26" spans="1:18" ht="18" customHeight="1" x14ac:dyDescent="0.25">
      <c r="B26" s="71"/>
      <c r="C26" s="193" t="s">
        <v>453</v>
      </c>
      <c r="D26" s="461" t="s">
        <v>2</v>
      </c>
      <c r="E26" s="386"/>
      <c r="F26" s="386"/>
      <c r="G26" s="386"/>
      <c r="H26" s="71"/>
      <c r="I26" s="71"/>
      <c r="J26" s="71"/>
      <c r="K26" s="71"/>
      <c r="L26" s="71"/>
      <c r="O26" s="74"/>
    </row>
    <row r="27" spans="1:18" ht="14.25" customHeight="1" x14ac:dyDescent="0.25">
      <c r="B27" s="71"/>
      <c r="C27" s="71"/>
      <c r="D27" s="71"/>
      <c r="E27" s="71"/>
      <c r="F27" s="71"/>
      <c r="G27" s="71"/>
      <c r="H27" s="71"/>
      <c r="I27" s="71"/>
      <c r="J27" s="71"/>
      <c r="K27" s="71"/>
      <c r="L27" s="71"/>
    </row>
    <row r="28" spans="1:18" ht="14.25" customHeight="1" x14ac:dyDescent="0.25">
      <c r="B28" s="71"/>
      <c r="C28" s="71"/>
      <c r="D28" s="71"/>
      <c r="E28" s="71"/>
      <c r="F28" s="71"/>
      <c r="G28" s="71"/>
      <c r="H28" s="71"/>
      <c r="I28" s="71"/>
      <c r="J28" s="71"/>
      <c r="K28" s="71"/>
      <c r="L28" s="71"/>
    </row>
    <row r="29" spans="1:18" ht="14.25" customHeight="1" x14ac:dyDescent="0.25">
      <c r="B29" s="69"/>
      <c r="C29" s="74"/>
      <c r="D29" s="74"/>
      <c r="E29" s="74"/>
      <c r="F29" s="74"/>
      <c r="G29" s="74"/>
      <c r="H29" s="74"/>
      <c r="I29" s="74"/>
      <c r="J29" s="74"/>
      <c r="K29" s="74"/>
      <c r="L29" s="74"/>
    </row>
    <row r="30" spans="1:18" ht="14.25" customHeight="1" x14ac:dyDescent="0.25">
      <c r="B30" s="69"/>
      <c r="C30" s="74"/>
      <c r="D30" s="74"/>
      <c r="E30" s="74"/>
      <c r="F30" s="74"/>
      <c r="G30" s="74"/>
      <c r="H30" s="74"/>
      <c r="I30" s="74"/>
      <c r="J30" s="74"/>
      <c r="K30" s="74"/>
      <c r="L30" s="74"/>
    </row>
    <row r="31" spans="1:18" ht="14.25" customHeight="1" x14ac:dyDescent="0.25">
      <c r="B31" s="69"/>
      <c r="C31" s="74"/>
      <c r="D31" s="74"/>
      <c r="E31" s="74"/>
      <c r="F31" s="74"/>
      <c r="G31" s="74"/>
      <c r="H31" s="74"/>
      <c r="I31" s="74"/>
      <c r="J31" s="74"/>
      <c r="K31" s="74"/>
      <c r="L31" s="74"/>
    </row>
    <row r="32" spans="1:18" ht="14.25" customHeight="1" x14ac:dyDescent="0.25">
      <c r="B32" s="69"/>
      <c r="C32" s="74"/>
      <c r="D32" s="74"/>
      <c r="E32" s="74"/>
      <c r="F32" s="74"/>
      <c r="G32" s="74"/>
      <c r="H32" s="74"/>
      <c r="I32" s="74"/>
      <c r="J32" s="74"/>
      <c r="K32" s="74"/>
      <c r="L32" s="74"/>
    </row>
    <row r="33" spans="2:12" ht="14.25" customHeight="1" x14ac:dyDescent="0.25">
      <c r="B33" s="69"/>
      <c r="C33" s="74"/>
      <c r="H33" s="74"/>
      <c r="I33" s="74"/>
      <c r="J33" s="74"/>
      <c r="K33" s="74"/>
      <c r="L33" s="74"/>
    </row>
    <row r="34" spans="2:12" ht="14.25" customHeight="1" x14ac:dyDescent="0.25">
      <c r="B34" s="69"/>
      <c r="C34" s="74"/>
      <c r="H34" s="74"/>
      <c r="I34" s="74"/>
      <c r="J34" s="74"/>
      <c r="K34" s="74"/>
      <c r="L34" s="74"/>
    </row>
    <row r="35" spans="2:12" ht="14.25" customHeight="1" x14ac:dyDescent="0.25">
      <c r="B35" s="69"/>
      <c r="C35" s="74"/>
      <c r="D35" s="74"/>
      <c r="E35" s="74"/>
      <c r="F35" s="74"/>
      <c r="G35" s="74"/>
      <c r="H35" s="74"/>
      <c r="I35" s="74"/>
      <c r="J35" s="74"/>
      <c r="K35" s="74"/>
      <c r="L35" s="74"/>
    </row>
    <row r="36" spans="2:12" ht="14.25" customHeight="1" x14ac:dyDescent="0.25">
      <c r="B36" s="69"/>
      <c r="C36" s="74"/>
      <c r="D36" s="74"/>
      <c r="E36" s="74"/>
      <c r="F36" s="74"/>
      <c r="G36" s="74"/>
      <c r="H36" s="74"/>
      <c r="I36" s="74"/>
      <c r="J36" s="74"/>
      <c r="K36" s="74"/>
      <c r="L36" s="74"/>
    </row>
    <row r="37" spans="2:12" ht="14.25" customHeight="1" x14ac:dyDescent="0.25">
      <c r="B37" s="69"/>
      <c r="C37" s="74" t="s">
        <v>3</v>
      </c>
      <c r="D37" s="74"/>
      <c r="E37" s="74"/>
      <c r="F37" s="74"/>
      <c r="G37" s="74"/>
      <c r="H37" s="74"/>
      <c r="I37" s="74"/>
      <c r="J37" s="74"/>
      <c r="K37" s="74"/>
      <c r="L37" s="74"/>
    </row>
    <row r="38" spans="2:12" ht="14.25" customHeight="1" x14ac:dyDescent="0.25">
      <c r="B38" s="69"/>
      <c r="C38" s="74"/>
      <c r="D38" s="74"/>
      <c r="E38" s="74"/>
      <c r="F38" s="74"/>
      <c r="G38" s="74"/>
      <c r="H38" s="74"/>
      <c r="I38" s="74"/>
      <c r="J38" s="74"/>
      <c r="K38" s="74"/>
      <c r="L38" s="74"/>
    </row>
    <row r="39" spans="2:12" ht="14.25" customHeight="1" x14ac:dyDescent="0.25">
      <c r="B39" s="69"/>
      <c r="C39" s="74"/>
      <c r="D39" s="74"/>
      <c r="E39" s="74"/>
      <c r="F39" s="74"/>
      <c r="G39" s="74"/>
      <c r="H39" s="74"/>
      <c r="I39" s="74"/>
      <c r="J39" s="74"/>
      <c r="K39" s="74"/>
      <c r="L39" s="74"/>
    </row>
    <row r="40" spans="2:12" ht="14.25" customHeight="1" x14ac:dyDescent="0.25">
      <c r="B40" s="69"/>
      <c r="C40" s="74"/>
      <c r="D40" s="74"/>
      <c r="E40" s="74"/>
      <c r="F40" s="74"/>
      <c r="G40" s="74"/>
      <c r="H40" s="74"/>
      <c r="I40" s="74"/>
      <c r="J40" s="74"/>
      <c r="K40" s="74"/>
      <c r="L40" s="74"/>
    </row>
    <row r="41" spans="2:12" ht="14.25" customHeight="1" x14ac:dyDescent="0.25">
      <c r="B41" s="69"/>
      <c r="C41" s="74"/>
      <c r="D41" s="74"/>
      <c r="E41" s="74"/>
      <c r="F41" s="74"/>
      <c r="G41" s="74"/>
      <c r="H41" s="74"/>
      <c r="I41" s="74"/>
      <c r="J41" s="74"/>
      <c r="K41" s="74"/>
      <c r="L41" s="74"/>
    </row>
    <row r="42" spans="2:12" ht="14.25" customHeight="1" x14ac:dyDescent="0.25">
      <c r="B42" s="69"/>
      <c r="C42" s="74"/>
      <c r="D42" s="74"/>
      <c r="E42" s="74"/>
      <c r="F42" s="74"/>
      <c r="G42" s="74"/>
      <c r="H42" s="74"/>
      <c r="I42" s="74"/>
      <c r="J42" s="74"/>
      <c r="K42" s="74"/>
      <c r="L42" s="74"/>
    </row>
    <row r="43" spans="2:12" ht="14.25" customHeight="1" x14ac:dyDescent="0.25">
      <c r="B43" s="69"/>
      <c r="C43" s="74"/>
      <c r="D43" s="74"/>
      <c r="E43" s="74"/>
      <c r="F43" s="74"/>
      <c r="G43" s="74"/>
      <c r="H43" s="74"/>
      <c r="I43" s="74"/>
      <c r="J43" s="74"/>
      <c r="K43" s="74"/>
      <c r="L43" s="74"/>
    </row>
    <row r="44" spans="2:12" ht="14.25" customHeight="1" x14ac:dyDescent="0.25">
      <c r="B44" s="69"/>
      <c r="C44" s="74"/>
      <c r="D44" s="74"/>
      <c r="E44" s="74"/>
      <c r="F44" s="74"/>
      <c r="G44" s="74"/>
      <c r="H44" s="74"/>
      <c r="I44" s="74"/>
      <c r="J44" s="74"/>
      <c r="K44" s="74"/>
      <c r="L44" s="74"/>
    </row>
    <row r="45" spans="2:12" ht="14.25" customHeight="1" x14ac:dyDescent="0.25">
      <c r="B45" s="69"/>
      <c r="C45" s="74"/>
      <c r="D45" s="74"/>
      <c r="E45" s="74"/>
      <c r="F45" s="74"/>
      <c r="G45" s="74"/>
      <c r="H45" s="74"/>
      <c r="I45" s="74"/>
      <c r="J45" s="74"/>
      <c r="K45" s="74"/>
      <c r="L45" s="74"/>
    </row>
    <row r="46" spans="2:12" ht="14.25" customHeight="1" x14ac:dyDescent="0.25">
      <c r="B46" s="69"/>
      <c r="C46" s="74"/>
      <c r="D46" s="74"/>
      <c r="E46" s="74"/>
      <c r="F46" s="74"/>
      <c r="G46" s="74"/>
      <c r="H46" s="74"/>
      <c r="I46" s="74"/>
      <c r="J46" s="74"/>
      <c r="K46" s="74"/>
      <c r="L46" s="74"/>
    </row>
    <row r="47" spans="2:12" ht="14.25" customHeight="1" x14ac:dyDescent="0.25">
      <c r="B47" s="69"/>
      <c r="C47" s="74"/>
      <c r="D47" s="74"/>
      <c r="E47" s="74"/>
      <c r="F47" s="74"/>
      <c r="G47" s="74"/>
      <c r="H47" s="74"/>
      <c r="I47" s="74"/>
      <c r="J47" s="74"/>
      <c r="K47" s="74"/>
      <c r="L47" s="74"/>
    </row>
    <row r="48" spans="2:12" ht="14.25" customHeight="1" x14ac:dyDescent="0.25">
      <c r="B48" s="69"/>
      <c r="C48" s="74"/>
    </row>
    <row r="49" spans="2:3" ht="14.25" customHeight="1" x14ac:dyDescent="0.25">
      <c r="B49" s="69"/>
      <c r="C49" s="74"/>
    </row>
    <row r="50" spans="2:3" ht="14.25" customHeight="1" x14ac:dyDescent="0.25">
      <c r="B50" s="69"/>
      <c r="C50" s="74"/>
    </row>
    <row r="51" spans="2:3" ht="14.25" customHeight="1" x14ac:dyDescent="0.25">
      <c r="B51" s="69"/>
      <c r="C51" s="74"/>
    </row>
    <row r="52" spans="2:3" ht="14.25" customHeight="1" x14ac:dyDescent="0.25">
      <c r="B52" s="69"/>
      <c r="C52" s="74"/>
    </row>
    <row r="53" spans="2:3" ht="14.25" customHeight="1" x14ac:dyDescent="0.25">
      <c r="B53" s="69"/>
      <c r="C53" s="75"/>
    </row>
    <row r="54" spans="2:3" ht="14.25" customHeight="1" x14ac:dyDescent="0.25">
      <c r="B54" s="69"/>
      <c r="C54" s="76"/>
    </row>
    <row r="55" spans="2:3" ht="14.25" customHeight="1" x14ac:dyDescent="0.25">
      <c r="B55" s="69"/>
      <c r="C55" s="76"/>
    </row>
    <row r="56" spans="2:3" ht="14.25" customHeight="1" x14ac:dyDescent="0.25">
      <c r="B56" s="69"/>
      <c r="C56" s="76"/>
    </row>
    <row r="57" spans="2:3" ht="14.25" customHeight="1" x14ac:dyDescent="0.25">
      <c r="B57" s="69"/>
      <c r="C57" s="76"/>
    </row>
    <row r="58" spans="2:3" ht="14.25" customHeight="1" x14ac:dyDescent="0.25">
      <c r="B58" s="69"/>
      <c r="C58" s="76"/>
    </row>
    <row r="59" spans="2:3" ht="14.25" customHeight="1" x14ac:dyDescent="0.25">
      <c r="B59" s="69"/>
      <c r="C59" s="76"/>
    </row>
    <row r="60" spans="2:3" ht="14.25" customHeight="1" x14ac:dyDescent="0.25">
      <c r="B60" s="69"/>
      <c r="C60" s="76"/>
    </row>
    <row r="61" spans="2:3" ht="14.25" customHeight="1" x14ac:dyDescent="0.25">
      <c r="B61" s="69"/>
      <c r="C61" s="76"/>
    </row>
    <row r="62" spans="2:3" ht="14.25" customHeight="1" x14ac:dyDescent="0.25">
      <c r="B62" s="69"/>
      <c r="C62" s="76"/>
    </row>
    <row r="63" spans="2:3" ht="14.25" customHeight="1" x14ac:dyDescent="0.25">
      <c r="B63" s="69"/>
      <c r="C63" s="76"/>
    </row>
    <row r="64" spans="2:3" ht="14.25" customHeight="1" x14ac:dyDescent="0.25">
      <c r="B64" s="69"/>
      <c r="C64" s="76"/>
    </row>
    <row r="65" spans="2:3" ht="14.25" customHeight="1" x14ac:dyDescent="0.25">
      <c r="B65" s="69"/>
      <c r="C65" s="76"/>
    </row>
    <row r="66" spans="2:3" ht="14.25" customHeight="1" x14ac:dyDescent="0.25">
      <c r="B66" s="69"/>
      <c r="C66" s="76"/>
    </row>
    <row r="67" spans="2:3" ht="14.25" customHeight="1" x14ac:dyDescent="0.25">
      <c r="B67" s="69"/>
      <c r="C67" s="76"/>
    </row>
    <row r="68" spans="2:3" ht="14.25" customHeight="1" x14ac:dyDescent="0.25">
      <c r="B68" s="69"/>
      <c r="C68" s="76"/>
    </row>
    <row r="69" spans="2:3" ht="14.25" customHeight="1" x14ac:dyDescent="0.25">
      <c r="B69" s="69"/>
      <c r="C69" s="76"/>
    </row>
    <row r="70" spans="2:3" ht="14.25" customHeight="1" x14ac:dyDescent="0.25">
      <c r="B70" s="69"/>
      <c r="C70" s="76"/>
    </row>
    <row r="71" spans="2:3" ht="14.25" customHeight="1" x14ac:dyDescent="0.25">
      <c r="B71" s="69"/>
      <c r="C71" s="76"/>
    </row>
    <row r="72" spans="2:3" ht="14.25" customHeight="1" x14ac:dyDescent="0.25">
      <c r="B72" s="69"/>
      <c r="C72" s="76"/>
    </row>
    <row r="73" spans="2:3" ht="14.25" customHeight="1" x14ac:dyDescent="0.25">
      <c r="B73" s="69"/>
      <c r="C73" s="76"/>
    </row>
    <row r="74" spans="2:3" ht="14.25" customHeight="1" x14ac:dyDescent="0.25">
      <c r="B74" s="69"/>
      <c r="C74" s="76"/>
    </row>
    <row r="75" spans="2:3" ht="14.25" customHeight="1" x14ac:dyDescent="0.25">
      <c r="B75" s="69"/>
      <c r="C75" s="76"/>
    </row>
    <row r="76" spans="2:3" ht="14.25" customHeight="1" x14ac:dyDescent="0.25">
      <c r="B76" s="69"/>
      <c r="C76" s="76"/>
    </row>
    <row r="77" spans="2:3" ht="14.25" customHeight="1" x14ac:dyDescent="0.25">
      <c r="B77" s="69"/>
      <c r="C77" s="76"/>
    </row>
    <row r="78" spans="2:3" ht="14.25" customHeight="1" x14ac:dyDescent="0.25">
      <c r="B78" s="69"/>
      <c r="C78" s="76"/>
    </row>
    <row r="79" spans="2:3" ht="14.25" customHeight="1" x14ac:dyDescent="0.25">
      <c r="B79" s="69"/>
      <c r="C79" s="74"/>
    </row>
    <row r="80" spans="2:3" ht="14.25" customHeight="1" x14ac:dyDescent="0.25">
      <c r="B80" s="69"/>
      <c r="C80" s="74"/>
    </row>
    <row r="81" spans="2:3" ht="14.25" customHeight="1" x14ac:dyDescent="0.25">
      <c r="B81" s="69"/>
      <c r="C81" s="74"/>
    </row>
    <row r="82" spans="2:3" ht="14.25" customHeight="1" x14ac:dyDescent="0.25">
      <c r="B82" s="69"/>
      <c r="C82" s="74"/>
    </row>
    <row r="83" spans="2:3" ht="14.25" customHeight="1" x14ac:dyDescent="0.25">
      <c r="B83" s="69"/>
      <c r="C83" s="74"/>
    </row>
    <row r="84" spans="2:3" ht="14.25" customHeight="1" x14ac:dyDescent="0.25">
      <c r="B84" s="69"/>
      <c r="C84" s="74"/>
    </row>
    <row r="85" spans="2:3" ht="14.25" customHeight="1" x14ac:dyDescent="0.25">
      <c r="B85" s="69"/>
      <c r="C85" s="74"/>
    </row>
    <row r="86" spans="2:3" ht="14.25" customHeight="1" x14ac:dyDescent="0.25">
      <c r="B86" s="69"/>
      <c r="C86" s="74"/>
    </row>
    <row r="87" spans="2:3" ht="14.25" customHeight="1" x14ac:dyDescent="0.25">
      <c r="B87" s="69"/>
      <c r="C87" s="74"/>
    </row>
    <row r="88" spans="2:3" ht="14.25" customHeight="1" x14ac:dyDescent="0.25">
      <c r="B88" s="69"/>
      <c r="C88" s="74"/>
    </row>
    <row r="89" spans="2:3" ht="14.25" customHeight="1" x14ac:dyDescent="0.25">
      <c r="B89" s="69"/>
      <c r="C89" s="74"/>
    </row>
    <row r="90" spans="2:3" ht="14.25" customHeight="1" x14ac:dyDescent="0.25">
      <c r="B90" s="69"/>
      <c r="C90" s="74"/>
    </row>
    <row r="91" spans="2:3" ht="14.25" customHeight="1" x14ac:dyDescent="0.25">
      <c r="B91" s="69"/>
      <c r="C91" s="74"/>
    </row>
    <row r="92" spans="2:3" ht="14.25" customHeight="1" x14ac:dyDescent="0.25">
      <c r="B92" s="69"/>
      <c r="C92" s="74"/>
    </row>
    <row r="93" spans="2:3" ht="14.25" customHeight="1" x14ac:dyDescent="0.25">
      <c r="B93" s="69"/>
      <c r="C93" s="74"/>
    </row>
    <row r="94" spans="2:3" ht="14.25" customHeight="1" x14ac:dyDescent="0.25">
      <c r="B94" s="69"/>
      <c r="C94" s="74"/>
    </row>
    <row r="95" spans="2:3" ht="14.25" customHeight="1" x14ac:dyDescent="0.25">
      <c r="B95" s="69"/>
      <c r="C95" s="74"/>
    </row>
    <row r="96" spans="2:3" ht="14.25" customHeight="1" x14ac:dyDescent="0.25">
      <c r="B96" s="69"/>
      <c r="C96" s="74"/>
    </row>
    <row r="97" spans="2:3" ht="14.25" customHeight="1" x14ac:dyDescent="0.25">
      <c r="B97" s="69"/>
      <c r="C97" s="74"/>
    </row>
    <row r="98" spans="2:3" ht="14.25" customHeight="1" x14ac:dyDescent="0.25">
      <c r="B98" s="69"/>
      <c r="C98" s="74"/>
    </row>
    <row r="99" spans="2:3" ht="14.25" customHeight="1" x14ac:dyDescent="0.25">
      <c r="B99" s="69"/>
      <c r="C99" s="74"/>
    </row>
    <row r="100" spans="2:3" ht="14.25" customHeight="1" x14ac:dyDescent="0.25">
      <c r="B100" s="69"/>
      <c r="C100" s="74"/>
    </row>
  </sheetData>
  <mergeCells count="7">
    <mergeCell ref="J18:R23"/>
    <mergeCell ref="J13:R16"/>
    <mergeCell ref="J9:R11"/>
    <mergeCell ref="C2:G2"/>
    <mergeCell ref="C4:G4"/>
    <mergeCell ref="J6:R7"/>
    <mergeCell ref="I2:K2"/>
  </mergeCells>
  <pageMargins left="0.511811024" right="0.511811024" top="0.78740157499999996" bottom="0.78740157499999996" header="0" footer="0"/>
  <pageSetup paperSize="9"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6">
    <tabColor rgb="FFC5E0B3"/>
  </sheetPr>
  <dimension ref="A1:Y122"/>
  <sheetViews>
    <sheetView defaultGridColor="0" colorId="55" zoomScale="80" zoomScaleNormal="80" workbookViewId="0">
      <selection activeCell="E8" sqref="E8"/>
    </sheetView>
  </sheetViews>
  <sheetFormatPr defaultColWidth="14.42578125" defaultRowHeight="15" customHeight="1" x14ac:dyDescent="0.25"/>
  <cols>
    <col min="1" max="1" width="0.28515625" style="78" customWidth="1"/>
    <col min="2" max="2" width="1" style="78" customWidth="1"/>
    <col min="3" max="3" width="36.28515625" style="78" customWidth="1"/>
    <col min="4" max="4" width="14.42578125" style="78" customWidth="1"/>
    <col min="5" max="5" width="12.42578125" style="78" customWidth="1"/>
    <col min="6" max="6" width="11.42578125" style="78" customWidth="1"/>
    <col min="7" max="7" width="16.7109375" style="78" customWidth="1"/>
    <col min="8" max="8" width="11.28515625" style="78" customWidth="1"/>
    <col min="9" max="9" width="12.28515625" style="78" customWidth="1"/>
    <col min="10" max="10" width="13.28515625" style="78" customWidth="1"/>
    <col min="11" max="11" width="15.42578125" style="78" customWidth="1"/>
    <col min="12" max="13" width="13.28515625" style="78" customWidth="1"/>
    <col min="14" max="14" width="10.42578125" style="78" customWidth="1"/>
    <col min="15" max="15" width="3.28515625" style="78" customWidth="1"/>
    <col min="16" max="16" width="9.7109375" style="78" hidden="1" customWidth="1"/>
    <col min="17" max="17" width="11.42578125" style="78" customWidth="1"/>
    <col min="18" max="18" width="10.28515625" style="77" customWidth="1"/>
    <col min="19" max="19" width="10" customWidth="1"/>
    <col min="20" max="20" width="9.7109375" customWidth="1"/>
    <col min="21" max="21" width="9.42578125" customWidth="1"/>
    <col min="22" max="22" width="10.42578125" customWidth="1"/>
    <col min="23" max="25" width="8.7109375" customWidth="1"/>
  </cols>
  <sheetData>
    <row r="1" spans="1:25" ht="12.75" customHeight="1" x14ac:dyDescent="0.25">
      <c r="B1" s="399"/>
      <c r="C1" s="399"/>
      <c r="D1" s="399"/>
      <c r="E1" s="399"/>
      <c r="F1" s="399"/>
      <c r="G1" s="399"/>
      <c r="H1" s="399"/>
      <c r="I1" s="399"/>
      <c r="J1" s="399"/>
      <c r="K1" s="468"/>
      <c r="L1" s="399"/>
      <c r="M1" s="399"/>
      <c r="N1" s="399"/>
      <c r="O1" s="800"/>
      <c r="P1" s="800"/>
      <c r="Q1" s="800"/>
      <c r="R1" s="800"/>
      <c r="S1" s="800"/>
      <c r="T1" s="800"/>
      <c r="U1" s="800"/>
      <c r="V1" s="2"/>
      <c r="W1" s="2"/>
      <c r="X1" s="2"/>
      <c r="Y1" s="2"/>
    </row>
    <row r="2" spans="1:25" ht="18" customHeight="1" x14ac:dyDescent="0.25">
      <c r="B2" s="399"/>
      <c r="C2" s="467" t="s">
        <v>436</v>
      </c>
      <c r="D2" s="2659" t="s">
        <v>906</v>
      </c>
      <c r="E2" s="2660"/>
      <c r="F2" s="2661"/>
      <c r="G2" s="399"/>
      <c r="H2" s="2662" t="s">
        <v>5</v>
      </c>
      <c r="I2" s="2663"/>
      <c r="J2" s="2664"/>
      <c r="K2" s="399"/>
      <c r="L2" s="399"/>
      <c r="M2" s="399"/>
      <c r="N2" s="399"/>
      <c r="O2" s="800"/>
      <c r="P2" s="800" t="s">
        <v>6</v>
      </c>
      <c r="Q2" s="800"/>
      <c r="R2" s="800"/>
      <c r="S2" s="800"/>
      <c r="T2" s="800"/>
      <c r="U2" s="800"/>
      <c r="V2" s="2"/>
      <c r="W2" s="2"/>
      <c r="X2" s="2"/>
      <c r="Y2" s="2"/>
    </row>
    <row r="3" spans="1:25" ht="18" customHeight="1" x14ac:dyDescent="0.25">
      <c r="B3" s="399"/>
      <c r="C3" s="467" t="s">
        <v>437</v>
      </c>
      <c r="D3" s="2659" t="s">
        <v>907</v>
      </c>
      <c r="E3" s="2660"/>
      <c r="F3" s="2661"/>
      <c r="G3" s="399"/>
      <c r="H3" s="2665"/>
      <c r="I3" s="2666"/>
      <c r="J3" s="2667"/>
      <c r="K3" s="399"/>
      <c r="L3" s="399"/>
      <c r="M3" s="399"/>
      <c r="N3" s="399"/>
      <c r="O3" s="800"/>
      <c r="P3" s="800" t="s">
        <v>7</v>
      </c>
      <c r="Q3" s="800"/>
      <c r="R3" s="800"/>
      <c r="S3" s="800"/>
      <c r="T3" s="800"/>
      <c r="U3" s="800"/>
      <c r="V3" s="2"/>
      <c r="W3" s="2"/>
      <c r="X3" s="2"/>
      <c r="Y3" s="2"/>
    </row>
    <row r="4" spans="1:25" ht="18" customHeight="1" x14ac:dyDescent="0.3">
      <c r="B4" s="399"/>
      <c r="C4" s="399"/>
      <c r="D4" s="399"/>
      <c r="E4" s="399"/>
      <c r="F4" s="399"/>
      <c r="G4" s="399"/>
      <c r="H4" s="399"/>
      <c r="I4" s="399"/>
      <c r="J4" s="399"/>
      <c r="K4" s="399"/>
      <c r="L4" s="2672" t="s">
        <v>424</v>
      </c>
      <c r="M4" s="2673"/>
      <c r="N4" s="2673"/>
      <c r="O4" s="800"/>
      <c r="P4" s="800"/>
      <c r="Q4" s="800"/>
      <c r="R4" s="800"/>
      <c r="S4" s="800"/>
      <c r="T4" s="800"/>
      <c r="U4" s="800"/>
      <c r="V4" s="2"/>
      <c r="W4" s="2"/>
      <c r="X4" s="2"/>
      <c r="Y4" s="2"/>
    </row>
    <row r="5" spans="1:25" ht="18" customHeight="1" x14ac:dyDescent="0.3">
      <c r="A5" s="462"/>
      <c r="B5" s="82"/>
      <c r="C5" s="85" t="s">
        <v>8</v>
      </c>
      <c r="D5" s="83"/>
      <c r="E5" s="83"/>
      <c r="F5" s="399"/>
      <c r="G5" s="399"/>
      <c r="H5" s="197" t="s">
        <v>454</v>
      </c>
      <c r="I5" s="388"/>
      <c r="J5" s="389"/>
      <c r="L5" s="2674" t="str">
        <f>Apresentação!I2</f>
        <v>RC-RSU V.1.0 - 15/10/2020</v>
      </c>
      <c r="M5" s="2674"/>
      <c r="N5" s="2674"/>
      <c r="O5" s="800"/>
      <c r="P5" s="800"/>
      <c r="Q5" s="800"/>
      <c r="R5" s="800"/>
      <c r="S5" s="800"/>
      <c r="T5" s="800"/>
      <c r="U5" s="800"/>
      <c r="V5" s="2"/>
      <c r="W5" s="2"/>
      <c r="X5" s="2"/>
      <c r="Y5" s="2"/>
    </row>
    <row r="6" spans="1:25" ht="4.1500000000000004" customHeight="1" x14ac:dyDescent="0.25">
      <c r="B6" s="399"/>
      <c r="C6" s="399"/>
      <c r="D6" s="399"/>
      <c r="E6" s="399"/>
      <c r="F6" s="399"/>
      <c r="G6" s="399"/>
      <c r="H6" s="399"/>
      <c r="I6" s="399"/>
      <c r="J6" s="399"/>
      <c r="K6" s="399"/>
      <c r="L6" s="399"/>
      <c r="M6" s="399"/>
      <c r="N6" s="399"/>
      <c r="O6" s="800"/>
      <c r="P6" s="800"/>
      <c r="Q6" s="800"/>
      <c r="R6" s="800"/>
      <c r="S6" s="800"/>
      <c r="T6" s="800"/>
      <c r="U6" s="800"/>
      <c r="V6" s="2"/>
      <c r="W6" s="2"/>
      <c r="X6" s="2"/>
      <c r="Y6" s="2"/>
    </row>
    <row r="7" spans="1:25" ht="18" customHeight="1" x14ac:dyDescent="0.25">
      <c r="B7" s="399"/>
      <c r="C7" s="399"/>
      <c r="D7" s="465"/>
      <c r="E7" s="465"/>
      <c r="F7" s="465"/>
      <c r="G7" s="399"/>
      <c r="H7" s="491"/>
      <c r="I7" s="398" t="s">
        <v>671</v>
      </c>
      <c r="J7" s="399"/>
      <c r="K7" s="399"/>
      <c r="L7" s="399"/>
      <c r="M7" s="399"/>
      <c r="N7" s="399"/>
      <c r="O7" s="800"/>
      <c r="P7" s="800"/>
      <c r="Q7" s="800"/>
      <c r="R7" s="800"/>
      <c r="S7" s="800"/>
      <c r="T7" s="800"/>
      <c r="U7" s="800"/>
      <c r="V7" s="2"/>
      <c r="W7" s="2"/>
      <c r="X7" s="2"/>
      <c r="Y7" s="2"/>
    </row>
    <row r="8" spans="1:25" ht="18" customHeight="1" x14ac:dyDescent="0.25">
      <c r="B8" s="399"/>
      <c r="C8" s="110"/>
      <c r="D8" s="104" t="s">
        <v>9</v>
      </c>
      <c r="E8" s="469">
        <v>411597</v>
      </c>
      <c r="F8" s="465" t="s">
        <v>1002</v>
      </c>
      <c r="G8" s="465" t="s">
        <v>1003</v>
      </c>
      <c r="H8" s="492"/>
      <c r="I8" s="398" t="s">
        <v>672</v>
      </c>
      <c r="J8" s="399"/>
      <c r="K8" s="399"/>
      <c r="L8" s="399"/>
      <c r="M8" s="399"/>
      <c r="N8" s="399"/>
      <c r="O8" s="800"/>
      <c r="P8" s="800" t="s">
        <v>10</v>
      </c>
      <c r="Q8" s="800"/>
      <c r="R8" s="800"/>
      <c r="S8" s="800"/>
      <c r="T8" s="800"/>
      <c r="U8" s="800"/>
      <c r="V8" s="2"/>
      <c r="W8" s="2"/>
      <c r="X8" s="2"/>
      <c r="Y8" s="2"/>
    </row>
    <row r="9" spans="1:25" ht="18" customHeight="1" x14ac:dyDescent="0.25">
      <c r="B9" s="399"/>
      <c r="C9" s="401"/>
      <c r="D9" s="496" t="s">
        <v>724</v>
      </c>
      <c r="E9" s="470">
        <f>(E10+'R&amp;C-Painel de Controle'!D31)*1000/E8</f>
        <v>0.3250752556505514</v>
      </c>
      <c r="F9" s="536">
        <f>(E10)*1000/E8</f>
        <v>0.17930159840815166</v>
      </c>
      <c r="G9" s="536">
        <f>('R&amp;C-Painel de Controle'!D31)*1000/E8</f>
        <v>0.14577365724239971</v>
      </c>
      <c r="H9" s="493"/>
      <c r="I9" s="398" t="s">
        <v>677</v>
      </c>
      <c r="J9" s="399"/>
      <c r="K9" s="399"/>
      <c r="L9" s="399"/>
      <c r="M9" s="399"/>
      <c r="N9" s="399"/>
      <c r="O9" s="800"/>
      <c r="P9" s="800" t="s">
        <v>11</v>
      </c>
      <c r="Q9" s="800"/>
      <c r="R9" s="800"/>
      <c r="S9" s="800"/>
      <c r="T9" s="800"/>
      <c r="U9" s="800"/>
      <c r="V9" s="2"/>
      <c r="W9" s="2"/>
      <c r="X9" s="2"/>
      <c r="Y9" s="2"/>
    </row>
    <row r="10" spans="1:25" ht="16.149999999999999" customHeight="1" x14ac:dyDescent="0.25">
      <c r="B10" s="399"/>
      <c r="C10" s="401"/>
      <c r="D10" s="496" t="s">
        <v>12</v>
      </c>
      <c r="E10" s="469">
        <f>'[3]Arranjos NOVO'!$E$16</f>
        <v>73.8</v>
      </c>
      <c r="F10" s="399"/>
      <c r="G10" s="399"/>
      <c r="H10" s="122"/>
      <c r="I10" s="398" t="s">
        <v>678</v>
      </c>
      <c r="J10" s="399"/>
      <c r="K10" s="399"/>
      <c r="L10" s="399"/>
      <c r="M10" s="399"/>
      <c r="N10" s="399"/>
      <c r="O10" s="800"/>
      <c r="P10" s="800"/>
      <c r="Q10" s="800"/>
      <c r="R10" s="800"/>
      <c r="S10" s="800"/>
      <c r="T10" s="800"/>
      <c r="U10" s="800"/>
      <c r="V10" s="2"/>
      <c r="W10" s="2"/>
      <c r="X10" s="2"/>
      <c r="Y10" s="2"/>
    </row>
    <row r="11" spans="1:25" ht="3" customHeight="1" x14ac:dyDescent="0.25">
      <c r="B11" s="399"/>
      <c r="C11" s="497"/>
      <c r="D11" s="497"/>
      <c r="E11" s="466"/>
      <c r="F11" s="399"/>
      <c r="G11" s="399"/>
      <c r="H11" s="399"/>
      <c r="I11" s="399"/>
      <c r="J11" s="399"/>
      <c r="K11" s="399"/>
      <c r="L11" s="399"/>
      <c r="M11" s="399"/>
      <c r="N11" s="399"/>
      <c r="O11" s="800"/>
      <c r="P11" s="800"/>
      <c r="Q11" s="800"/>
      <c r="R11" s="800"/>
      <c r="S11" s="800"/>
      <c r="T11" s="800"/>
      <c r="U11" s="800"/>
      <c r="V11" s="2"/>
      <c r="W11" s="2"/>
      <c r="X11" s="2"/>
      <c r="Y11" s="2"/>
    </row>
    <row r="12" spans="1:25" ht="18" customHeight="1" x14ac:dyDescent="0.25">
      <c r="B12" s="399"/>
      <c r="C12" s="497"/>
      <c r="D12" s="498" t="s">
        <v>725</v>
      </c>
      <c r="E12" s="471" t="s">
        <v>11</v>
      </c>
      <c r="F12" s="399"/>
      <c r="G12" s="399"/>
      <c r="H12" s="399"/>
      <c r="I12" s="399"/>
      <c r="J12" s="399"/>
      <c r="K12" s="399"/>
      <c r="L12" s="399"/>
      <c r="M12" s="399"/>
      <c r="N12" s="399"/>
      <c r="O12" s="800"/>
      <c r="P12" s="800"/>
      <c r="Q12" s="800"/>
      <c r="R12" s="800"/>
      <c r="S12" s="800"/>
      <c r="T12" s="800"/>
      <c r="U12" s="800"/>
      <c r="V12" s="2"/>
      <c r="W12" s="2"/>
      <c r="X12" s="2"/>
      <c r="Y12" s="2"/>
    </row>
    <row r="13" spans="1:25" ht="3.4" customHeight="1" x14ac:dyDescent="0.25">
      <c r="B13" s="399"/>
      <c r="C13" s="497"/>
      <c r="D13" s="497"/>
      <c r="E13" s="466"/>
      <c r="F13" s="399"/>
      <c r="G13" s="399"/>
      <c r="H13" s="399"/>
      <c r="I13" s="399"/>
      <c r="J13" s="399"/>
      <c r="K13" s="399"/>
      <c r="L13" s="399"/>
      <c r="M13" s="399"/>
      <c r="N13" s="399"/>
      <c r="O13" s="800"/>
      <c r="P13" s="800"/>
      <c r="Q13" s="800"/>
      <c r="R13" s="800"/>
      <c r="S13" s="800"/>
      <c r="T13" s="800"/>
      <c r="U13" s="800"/>
      <c r="V13" s="2"/>
      <c r="W13" s="2"/>
      <c r="X13" s="2"/>
      <c r="Y13" s="2"/>
    </row>
    <row r="14" spans="1:25" ht="18" customHeight="1" x14ac:dyDescent="0.25">
      <c r="B14" s="399"/>
      <c r="C14" s="497"/>
      <c r="D14" s="498" t="s">
        <v>455</v>
      </c>
      <c r="E14" s="495">
        <f>IF(E12="per capita",E9*E8/1000,E10)</f>
        <v>73.8</v>
      </c>
      <c r="F14" s="399"/>
      <c r="G14" s="399"/>
      <c r="H14" s="399"/>
      <c r="I14" s="399"/>
      <c r="J14" s="399"/>
      <c r="K14" s="399"/>
      <c r="L14" s="399"/>
      <c r="M14" s="399"/>
      <c r="N14" s="399"/>
      <c r="O14" s="800"/>
      <c r="P14" s="800"/>
      <c r="Q14" s="800"/>
      <c r="R14" s="800"/>
      <c r="S14" s="800"/>
      <c r="T14" s="800"/>
      <c r="U14" s="800"/>
      <c r="V14" s="2"/>
      <c r="W14" s="2"/>
      <c r="X14" s="2"/>
      <c r="Y14" s="2"/>
    </row>
    <row r="15" spans="1:25" ht="18" customHeight="1" x14ac:dyDescent="0.25">
      <c r="B15" s="399"/>
      <c r="C15" s="399"/>
      <c r="D15" s="399"/>
      <c r="E15" s="399"/>
      <c r="F15" s="399"/>
      <c r="G15" s="399"/>
      <c r="H15" s="399"/>
      <c r="I15" s="399"/>
      <c r="J15" s="399"/>
      <c r="K15" s="399"/>
      <c r="L15" s="399"/>
      <c r="M15" s="399"/>
      <c r="N15" s="399"/>
      <c r="O15" s="800"/>
      <c r="P15" s="800"/>
      <c r="Q15" s="800"/>
      <c r="R15" s="800"/>
      <c r="S15" s="800"/>
      <c r="T15" s="800"/>
      <c r="U15" s="800"/>
      <c r="V15" s="2"/>
      <c r="W15" s="2"/>
      <c r="X15" s="2"/>
      <c r="Y15" s="2"/>
    </row>
    <row r="16" spans="1:25" ht="25.15" customHeight="1" x14ac:dyDescent="0.25">
      <c r="B16" s="399"/>
      <c r="C16" s="2682" t="s">
        <v>839</v>
      </c>
      <c r="D16" s="2683"/>
      <c r="E16" s="2683"/>
      <c r="F16" s="2683"/>
      <c r="G16" s="2683"/>
      <c r="H16" s="2683"/>
      <c r="I16" s="2683"/>
      <c r="J16" s="399"/>
      <c r="K16" s="399"/>
      <c r="L16" s="399"/>
      <c r="M16" s="399"/>
      <c r="N16" s="399"/>
      <c r="O16" s="800"/>
      <c r="P16" s="800"/>
      <c r="Q16" s="800"/>
      <c r="R16" s="800"/>
      <c r="S16" s="800"/>
      <c r="T16" s="800"/>
      <c r="U16" s="800"/>
      <c r="V16" s="2"/>
      <c r="W16" s="2"/>
      <c r="X16" s="2"/>
      <c r="Y16" s="2"/>
    </row>
    <row r="17" spans="1:25" ht="18" customHeight="1" x14ac:dyDescent="0.25">
      <c r="B17" s="399"/>
      <c r="C17" s="494" t="s">
        <v>13</v>
      </c>
      <c r="D17" s="398"/>
      <c r="E17" s="398"/>
      <c r="F17" s="398"/>
      <c r="G17" s="398"/>
      <c r="H17" s="398"/>
      <c r="I17" s="399"/>
      <c r="J17" s="399"/>
      <c r="K17" s="399"/>
      <c r="L17" s="399"/>
      <c r="M17" s="399"/>
      <c r="N17" s="399"/>
      <c r="O17" s="800"/>
      <c r="P17" s="800"/>
      <c r="Q17" s="800"/>
      <c r="R17" s="800"/>
      <c r="S17" s="800"/>
      <c r="T17" s="800"/>
      <c r="U17" s="800"/>
      <c r="V17" s="2"/>
      <c r="W17" s="2"/>
      <c r="X17" s="2"/>
      <c r="Y17" s="2"/>
    </row>
    <row r="18" spans="1:25" ht="18" customHeight="1" x14ac:dyDescent="0.25">
      <c r="A18" s="79"/>
      <c r="B18" s="465"/>
      <c r="C18" s="494" t="s">
        <v>456</v>
      </c>
      <c r="D18" s="398"/>
      <c r="E18" s="398"/>
      <c r="F18" s="398"/>
      <c r="G18" s="402"/>
      <c r="H18" s="402"/>
      <c r="I18" s="465"/>
      <c r="J18" s="465"/>
      <c r="K18" s="465"/>
      <c r="L18" s="481"/>
      <c r="M18" s="465"/>
      <c r="N18" s="399"/>
      <c r="O18" s="800"/>
      <c r="P18" s="800"/>
      <c r="Q18" s="800"/>
      <c r="R18" s="800"/>
      <c r="S18" s="800"/>
      <c r="T18" s="800"/>
      <c r="U18" s="800"/>
      <c r="V18" s="2"/>
      <c r="W18" s="6"/>
      <c r="X18" s="6"/>
      <c r="Y18" s="7"/>
    </row>
    <row r="19" spans="1:25" ht="6" customHeight="1" x14ac:dyDescent="0.25">
      <c r="A19" s="79"/>
      <c r="B19" s="465"/>
      <c r="C19" s="468"/>
      <c r="D19" s="399"/>
      <c r="E19" s="399"/>
      <c r="F19" s="399"/>
      <c r="G19" s="465"/>
      <c r="H19" s="465"/>
      <c r="I19" s="465"/>
      <c r="J19" s="465"/>
      <c r="K19" s="465"/>
      <c r="L19" s="481"/>
      <c r="M19" s="468"/>
      <c r="N19" s="399"/>
      <c r="O19" s="800"/>
      <c r="P19" s="800"/>
      <c r="Q19" s="800"/>
      <c r="R19" s="800"/>
      <c r="S19" s="800"/>
      <c r="T19" s="800"/>
      <c r="U19" s="800"/>
      <c r="V19" s="2"/>
      <c r="W19" s="6"/>
      <c r="X19" s="6"/>
      <c r="Y19" s="7"/>
    </row>
    <row r="20" spans="1:25" ht="18" customHeight="1" x14ac:dyDescent="0.25">
      <c r="A20" s="79"/>
      <c r="B20" s="465"/>
      <c r="C20" s="399"/>
      <c r="D20" s="465"/>
      <c r="E20" s="465"/>
      <c r="F20" s="484" t="s">
        <v>14</v>
      </c>
      <c r="G20" s="472" t="s">
        <v>6</v>
      </c>
      <c r="H20" s="540" t="str">
        <f>IF(AND(G20="Sim",E40=0),"     Atenção: Você deve inserir os","")</f>
        <v/>
      </c>
      <c r="I20" s="465"/>
      <c r="J20" s="465"/>
      <c r="K20" s="799" t="str">
        <f>IF($G$21="Sim","          confirma a utilização de gravimetria 'padrão Brasil'?","")</f>
        <v/>
      </c>
      <c r="L20" s="465"/>
      <c r="M20" s="465"/>
      <c r="N20" s="399"/>
      <c r="O20" s="800"/>
      <c r="P20" s="800"/>
      <c r="Q20" s="800"/>
      <c r="R20" s="800"/>
      <c r="S20" s="800"/>
      <c r="T20" s="800"/>
      <c r="U20" s="800"/>
      <c r="V20" s="2"/>
      <c r="W20" s="6"/>
      <c r="X20" s="6"/>
      <c r="Y20" s="7"/>
    </row>
    <row r="21" spans="1:25" ht="18" customHeight="1" x14ac:dyDescent="0.25">
      <c r="A21" s="79"/>
      <c r="B21" s="465"/>
      <c r="C21" s="399"/>
      <c r="D21" s="465"/>
      <c r="E21" s="465"/>
      <c r="F21" s="484" t="s">
        <v>15</v>
      </c>
      <c r="G21" s="473" t="str">
        <f>IF(G20="Não","Sim","Não")</f>
        <v>Não</v>
      </c>
      <c r="H21" s="540" t="str">
        <f>IF(AND(G20="Sim",E40=0),"  valores nas células D em verde!","")</f>
        <v/>
      </c>
      <c r="I21" s="465"/>
      <c r="J21" s="465"/>
      <c r="K21" s="800" t="str">
        <f>IF($G$21="Sim","          Se sim, continue alimentando os dados solicitados.","")</f>
        <v/>
      </c>
      <c r="L21" s="465"/>
      <c r="M21" s="465"/>
      <c r="N21" s="399"/>
      <c r="O21" s="800"/>
      <c r="P21" s="800"/>
      <c r="Q21" s="800"/>
      <c r="R21" s="800"/>
      <c r="S21" s="800"/>
      <c r="T21" s="800"/>
      <c r="U21" s="800"/>
      <c r="V21" s="2"/>
      <c r="W21" s="6"/>
      <c r="X21" s="6"/>
      <c r="Y21" s="7"/>
    </row>
    <row r="22" spans="1:25" ht="13.9" customHeight="1" x14ac:dyDescent="0.25">
      <c r="A22" s="79"/>
      <c r="B22" s="465"/>
      <c r="C22" s="399"/>
      <c r="D22" s="465"/>
      <c r="E22" s="465"/>
      <c r="F22" s="479"/>
      <c r="G22" s="81"/>
      <c r="H22" s="465"/>
      <c r="I22" s="465"/>
      <c r="J22" s="465"/>
      <c r="K22" s="800" t="str">
        <f>IF($G$21="Sim","          Se não, volte em G20 escolha 'Sim' para 'dados do usuário'.","")</f>
        <v/>
      </c>
      <c r="L22" s="465"/>
      <c r="M22" s="465"/>
      <c r="N22" s="399"/>
      <c r="O22" s="800"/>
      <c r="P22" s="800"/>
      <c r="Q22" s="800"/>
      <c r="R22" s="800"/>
      <c r="S22" s="800"/>
      <c r="T22" s="800"/>
      <c r="U22" s="800"/>
      <c r="V22" s="2"/>
      <c r="W22" s="6"/>
      <c r="X22" s="6"/>
      <c r="Y22" s="7"/>
    </row>
    <row r="23" spans="1:25" ht="21" customHeight="1" x14ac:dyDescent="0.25">
      <c r="A23" s="79"/>
      <c r="B23" s="465"/>
      <c r="C23" s="2668" t="s">
        <v>16</v>
      </c>
      <c r="D23" s="2671" t="s">
        <v>684</v>
      </c>
      <c r="E23" s="2669"/>
      <c r="F23" s="2669"/>
      <c r="G23" s="2677" t="s">
        <v>740</v>
      </c>
      <c r="H23" s="2677" t="s">
        <v>17</v>
      </c>
      <c r="I23" s="2669"/>
      <c r="J23" s="465"/>
      <c r="K23" s="465"/>
      <c r="L23" s="465"/>
      <c r="M23" s="465"/>
      <c r="N23" s="399"/>
      <c r="O23" s="800"/>
      <c r="P23" s="800"/>
      <c r="Q23" s="800"/>
      <c r="R23" s="800"/>
      <c r="S23" s="800"/>
      <c r="T23" s="800"/>
      <c r="U23" s="800"/>
      <c r="V23" s="2"/>
      <c r="W23" s="6"/>
      <c r="X23" s="6"/>
      <c r="Y23" s="7"/>
    </row>
    <row r="24" spans="1:25" ht="18.399999999999999" hidden="1" customHeight="1" x14ac:dyDescent="0.25">
      <c r="A24" s="79"/>
      <c r="B24" s="465"/>
      <c r="C24" s="2669"/>
      <c r="D24" s="2670" t="s">
        <v>18</v>
      </c>
      <c r="E24" s="2670" t="s">
        <v>19</v>
      </c>
      <c r="F24" s="2670" t="s">
        <v>20</v>
      </c>
      <c r="G24" s="2669"/>
      <c r="H24" s="2669"/>
      <c r="I24" s="2669"/>
      <c r="J24" s="465"/>
      <c r="K24" s="482"/>
      <c r="L24" s="465"/>
      <c r="M24" s="465"/>
      <c r="N24" s="399"/>
      <c r="O24" s="800"/>
      <c r="P24" s="800"/>
      <c r="Q24" s="800"/>
      <c r="R24" s="800"/>
      <c r="S24" s="800"/>
      <c r="T24" s="800"/>
      <c r="U24" s="800"/>
      <c r="V24" s="2"/>
      <c r="W24" s="6"/>
      <c r="X24" s="6"/>
      <c r="Y24" s="6"/>
    </row>
    <row r="25" spans="1:25" ht="30.4" customHeight="1" x14ac:dyDescent="0.25">
      <c r="B25" s="399"/>
      <c r="C25" s="2669"/>
      <c r="D25" s="2669"/>
      <c r="E25" s="2669"/>
      <c r="F25" s="2669"/>
      <c r="G25" s="444" t="s">
        <v>21</v>
      </c>
      <c r="H25" s="440" t="s">
        <v>22</v>
      </c>
      <c r="I25" s="440" t="s">
        <v>23</v>
      </c>
      <c r="J25" s="465"/>
      <c r="K25" s="482"/>
      <c r="L25" s="465"/>
      <c r="M25" s="399"/>
      <c r="N25" s="399"/>
      <c r="O25" s="800"/>
      <c r="P25" s="800"/>
      <c r="Q25" s="800"/>
      <c r="R25" s="800"/>
      <c r="S25" s="800"/>
      <c r="T25" s="800"/>
      <c r="U25" s="800"/>
      <c r="V25" s="2"/>
      <c r="W25" s="2"/>
      <c r="X25" s="2"/>
      <c r="Y25" s="2"/>
    </row>
    <row r="26" spans="1:25" ht="18" customHeight="1" x14ac:dyDescent="0.25">
      <c r="B26" s="399"/>
      <c r="C26" s="474" t="s">
        <v>24</v>
      </c>
      <c r="D26" s="798">
        <f>51.4-D27</f>
        <v>48.4</v>
      </c>
      <c r="E26" s="443">
        <f t="shared" ref="E26:E39" si="0">IF($G$21&lt;&gt;"Não",F26,D26)</f>
        <v>48.4</v>
      </c>
      <c r="F26" s="87">
        <v>48.4</v>
      </c>
      <c r="G26" s="90">
        <f t="shared" ref="G26:G39" si="1">$E$14*E26/100</f>
        <v>35.719199999999994</v>
      </c>
      <c r="H26" s="2678">
        <f>E26+E27</f>
        <v>51.4</v>
      </c>
      <c r="I26" s="2680" t="s">
        <v>25</v>
      </c>
      <c r="J26" s="399"/>
      <c r="K26" s="399"/>
      <c r="L26" s="399"/>
      <c r="M26" s="399"/>
      <c r="N26" s="399"/>
      <c r="O26" s="800"/>
      <c r="P26" s="800"/>
      <c r="Q26" s="800"/>
      <c r="R26" s="800"/>
      <c r="S26" s="800"/>
      <c r="T26" s="800"/>
      <c r="U26" s="800"/>
      <c r="V26" s="2"/>
      <c r="W26" s="2"/>
      <c r="X26" s="2"/>
      <c r="Y26" s="2"/>
    </row>
    <row r="27" spans="1:25" ht="18" customHeight="1" x14ac:dyDescent="0.25">
      <c r="B27" s="399"/>
      <c r="C27" s="474" t="s">
        <v>26</v>
      </c>
      <c r="D27" s="798">
        <v>3</v>
      </c>
      <c r="E27" s="443">
        <f t="shared" si="0"/>
        <v>3</v>
      </c>
      <c r="F27" s="87">
        <v>3</v>
      </c>
      <c r="G27" s="90">
        <f t="shared" si="1"/>
        <v>2.214</v>
      </c>
      <c r="H27" s="2679"/>
      <c r="I27" s="2681"/>
      <c r="J27" s="399"/>
      <c r="K27" s="399"/>
      <c r="L27" s="399"/>
      <c r="M27" s="399"/>
      <c r="N27" s="399"/>
      <c r="O27" s="800"/>
      <c r="P27" s="800"/>
      <c r="Q27" s="800"/>
      <c r="R27" s="800"/>
      <c r="S27" s="800"/>
      <c r="T27" s="800"/>
      <c r="U27" s="800"/>
      <c r="V27" s="2"/>
      <c r="W27" s="2"/>
      <c r="X27" s="2"/>
      <c r="Y27" s="2"/>
    </row>
    <row r="28" spans="1:25" ht="18" customHeight="1" x14ac:dyDescent="0.25">
      <c r="B28" s="399"/>
      <c r="C28" s="474" t="s">
        <v>27</v>
      </c>
      <c r="D28" s="798">
        <v>13.1</v>
      </c>
      <c r="E28" s="443">
        <f t="shared" si="0"/>
        <v>13.1</v>
      </c>
      <c r="F28" s="87">
        <v>13.1</v>
      </c>
      <c r="G28" s="90">
        <f t="shared" si="1"/>
        <v>9.6677999999999997</v>
      </c>
      <c r="H28" s="2678">
        <f>SUM(E28:E33)</f>
        <v>31.900000000000002</v>
      </c>
      <c r="I28" s="2680" t="s">
        <v>28</v>
      </c>
      <c r="J28" s="399"/>
      <c r="K28" s="399"/>
      <c r="L28" s="479"/>
      <c r="M28" s="399"/>
      <c r="N28" s="399"/>
      <c r="O28" s="800"/>
      <c r="P28" s="800"/>
      <c r="Q28" s="800"/>
      <c r="R28" s="800"/>
      <c r="S28" s="800"/>
      <c r="T28" s="800"/>
      <c r="U28" s="800"/>
      <c r="V28" s="2"/>
      <c r="W28" s="2"/>
      <c r="X28" s="2"/>
      <c r="Y28" s="2"/>
    </row>
    <row r="29" spans="1:25" ht="18" customHeight="1" x14ac:dyDescent="0.25">
      <c r="B29" s="399"/>
      <c r="C29" s="474" t="s">
        <v>29</v>
      </c>
      <c r="D29" s="798">
        <v>8.9</v>
      </c>
      <c r="E29" s="443">
        <f t="shared" si="0"/>
        <v>8.9</v>
      </c>
      <c r="F29" s="87">
        <v>8.9</v>
      </c>
      <c r="G29" s="90">
        <f t="shared" si="1"/>
        <v>6.5682000000000009</v>
      </c>
      <c r="H29" s="2679"/>
      <c r="I29" s="2681"/>
      <c r="J29" s="399"/>
      <c r="K29" s="399"/>
      <c r="L29" s="399"/>
      <c r="M29" s="399"/>
      <c r="N29" s="399"/>
      <c r="O29" s="800"/>
      <c r="P29" s="800"/>
      <c r="Q29" s="800"/>
      <c r="R29" s="800"/>
      <c r="S29" s="800"/>
      <c r="T29" s="800"/>
      <c r="U29" s="800"/>
      <c r="V29" s="2"/>
      <c r="W29" s="2"/>
      <c r="X29" s="2"/>
      <c r="Y29" s="2"/>
    </row>
    <row r="30" spans="1:25" ht="18" customHeight="1" x14ac:dyDescent="0.25">
      <c r="B30" s="399"/>
      <c r="C30" s="474" t="s">
        <v>30</v>
      </c>
      <c r="D30" s="798">
        <v>4.5999999999999996</v>
      </c>
      <c r="E30" s="443">
        <f t="shared" si="0"/>
        <v>4.5999999999999996</v>
      </c>
      <c r="F30" s="87">
        <v>4.5999999999999996</v>
      </c>
      <c r="G30" s="90">
        <f t="shared" si="1"/>
        <v>3.3947999999999996</v>
      </c>
      <c r="H30" s="2679"/>
      <c r="I30" s="2681"/>
      <c r="J30" s="399"/>
      <c r="K30" s="399"/>
      <c r="L30" s="399"/>
      <c r="M30" s="399"/>
      <c r="N30" s="399"/>
      <c r="O30" s="800"/>
      <c r="P30" s="800"/>
      <c r="Q30" s="800"/>
      <c r="R30" s="800"/>
      <c r="S30" s="800"/>
      <c r="T30" s="800"/>
      <c r="U30" s="800"/>
      <c r="V30" s="2"/>
      <c r="W30" s="2"/>
      <c r="X30" s="2"/>
      <c r="Y30" s="2"/>
    </row>
    <row r="31" spans="1:25" ht="18" customHeight="1" x14ac:dyDescent="0.25">
      <c r="B31" s="399"/>
      <c r="C31" s="474" t="s">
        <v>31</v>
      </c>
      <c r="D31" s="798">
        <v>2.4</v>
      </c>
      <c r="E31" s="443">
        <f t="shared" si="0"/>
        <v>2.4</v>
      </c>
      <c r="F31" s="87">
        <v>2.4</v>
      </c>
      <c r="G31" s="90">
        <f t="shared" si="1"/>
        <v>1.7711999999999997</v>
      </c>
      <c r="H31" s="2679"/>
      <c r="I31" s="2681"/>
      <c r="J31" s="399"/>
      <c r="K31" s="399"/>
      <c r="L31" s="399"/>
      <c r="M31" s="399"/>
      <c r="N31" s="399"/>
      <c r="O31" s="800"/>
      <c r="P31" s="800"/>
      <c r="Q31" s="800"/>
      <c r="R31" s="800"/>
      <c r="S31" s="800"/>
      <c r="T31" s="800"/>
      <c r="U31" s="800"/>
      <c r="V31" s="2"/>
      <c r="W31" s="2"/>
      <c r="X31" s="2"/>
      <c r="Y31" s="2"/>
    </row>
    <row r="32" spans="1:25" ht="18" customHeight="1" x14ac:dyDescent="0.25">
      <c r="B32" s="399"/>
      <c r="C32" s="474" t="s">
        <v>32</v>
      </c>
      <c r="D32" s="798">
        <v>2.2999999999999998</v>
      </c>
      <c r="E32" s="443">
        <f t="shared" si="0"/>
        <v>2.2999999999999998</v>
      </c>
      <c r="F32" s="87">
        <v>2.2999999999999998</v>
      </c>
      <c r="G32" s="90">
        <f t="shared" si="1"/>
        <v>1.6973999999999998</v>
      </c>
      <c r="H32" s="2679"/>
      <c r="I32" s="2681"/>
      <c r="J32" s="399"/>
      <c r="K32" s="399"/>
      <c r="L32" s="399"/>
      <c r="M32" s="399"/>
      <c r="N32" s="399"/>
      <c r="O32" s="800"/>
      <c r="P32" s="800"/>
      <c r="Q32" s="800"/>
      <c r="R32" s="800"/>
      <c r="S32" s="800"/>
      <c r="T32" s="800"/>
      <c r="U32" s="800"/>
      <c r="V32" s="2"/>
      <c r="W32" s="2"/>
      <c r="X32" s="2"/>
      <c r="Y32" s="2"/>
    </row>
    <row r="33" spans="1:25" ht="18" customHeight="1" x14ac:dyDescent="0.25">
      <c r="B33" s="399"/>
      <c r="C33" s="474" t="s">
        <v>33</v>
      </c>
      <c r="D33" s="798">
        <v>0.6</v>
      </c>
      <c r="E33" s="443">
        <f t="shared" si="0"/>
        <v>0.6</v>
      </c>
      <c r="F33" s="87">
        <v>0.6</v>
      </c>
      <c r="G33" s="90">
        <f t="shared" si="1"/>
        <v>0.44279999999999992</v>
      </c>
      <c r="H33" s="2679"/>
      <c r="I33" s="2681"/>
      <c r="J33" s="399"/>
      <c r="K33" s="399"/>
      <c r="L33" s="399"/>
      <c r="M33" s="399"/>
      <c r="N33" s="399"/>
      <c r="O33" s="800"/>
      <c r="P33" s="800"/>
      <c r="Q33" s="800"/>
      <c r="R33" s="800"/>
      <c r="S33" s="800"/>
      <c r="T33" s="800"/>
      <c r="U33" s="800"/>
      <c r="V33" s="2"/>
      <c r="W33" s="2"/>
      <c r="X33" s="2"/>
      <c r="Y33" s="2"/>
    </row>
    <row r="34" spans="1:25" ht="18" customHeight="1" x14ac:dyDescent="0.25">
      <c r="B34" s="399"/>
      <c r="C34" s="474" t="s">
        <v>34</v>
      </c>
      <c r="D34" s="798">
        <v>4.45</v>
      </c>
      <c r="E34" s="443">
        <f t="shared" si="0"/>
        <v>4.45</v>
      </c>
      <c r="F34" s="87">
        <v>2.6</v>
      </c>
      <c r="G34" s="90">
        <f t="shared" si="1"/>
        <v>3.2841000000000005</v>
      </c>
      <c r="H34" s="2678">
        <f>SUM(E34:E37)</f>
        <v>10.14</v>
      </c>
      <c r="I34" s="2685" t="s">
        <v>35</v>
      </c>
      <c r="J34" s="399"/>
      <c r="K34" s="399"/>
      <c r="L34" s="399"/>
      <c r="M34" s="399"/>
      <c r="N34" s="399"/>
      <c r="O34" s="800"/>
      <c r="P34" s="800"/>
      <c r="Q34" s="800"/>
      <c r="R34" s="800"/>
      <c r="S34" s="800"/>
      <c r="T34" s="800"/>
      <c r="U34" s="800"/>
      <c r="V34" s="2"/>
      <c r="W34" s="2"/>
      <c r="X34" s="2"/>
      <c r="Y34" s="2"/>
    </row>
    <row r="35" spans="1:25" ht="18" customHeight="1" x14ac:dyDescent="0.25">
      <c r="B35" s="399"/>
      <c r="C35" s="474" t="s">
        <v>36</v>
      </c>
      <c r="D35" s="798">
        <v>0.96</v>
      </c>
      <c r="E35" s="443">
        <f t="shared" si="0"/>
        <v>0.96</v>
      </c>
      <c r="F35" s="87">
        <v>0.7</v>
      </c>
      <c r="G35" s="90">
        <f t="shared" si="1"/>
        <v>0.70848</v>
      </c>
      <c r="H35" s="2679"/>
      <c r="I35" s="2681"/>
      <c r="J35" s="399"/>
      <c r="K35" s="399"/>
      <c r="L35" s="399"/>
      <c r="M35" s="483"/>
      <c r="N35" s="399"/>
      <c r="O35" s="800"/>
      <c r="P35" s="800"/>
      <c r="Q35" s="800"/>
      <c r="R35" s="800"/>
      <c r="S35" s="800"/>
      <c r="T35" s="800"/>
      <c r="U35" s="800"/>
      <c r="V35" s="2"/>
      <c r="W35" s="2"/>
      <c r="X35" s="2"/>
      <c r="Y35" s="2"/>
    </row>
    <row r="36" spans="1:25" ht="18" customHeight="1" x14ac:dyDescent="0.25">
      <c r="B36" s="399"/>
      <c r="C36" s="474" t="s">
        <v>37</v>
      </c>
      <c r="D36" s="798">
        <v>4</v>
      </c>
      <c r="E36" s="443">
        <f t="shared" si="0"/>
        <v>4</v>
      </c>
      <c r="F36" s="87">
        <v>4</v>
      </c>
      <c r="G36" s="90">
        <f t="shared" si="1"/>
        <v>2.952</v>
      </c>
      <c r="H36" s="2679"/>
      <c r="I36" s="2681"/>
      <c r="J36" s="399"/>
      <c r="K36" s="399"/>
      <c r="L36" s="399"/>
      <c r="M36" s="399"/>
      <c r="N36" s="399"/>
      <c r="O36" s="800"/>
      <c r="P36" s="800"/>
      <c r="Q36" s="800"/>
      <c r="R36" s="800"/>
      <c r="S36" s="800"/>
      <c r="T36" s="800"/>
      <c r="U36" s="800"/>
      <c r="V36" s="2"/>
      <c r="W36" s="2"/>
      <c r="X36" s="2"/>
      <c r="Y36" s="2"/>
    </row>
    <row r="37" spans="1:25" ht="18" customHeight="1" x14ac:dyDescent="0.25">
      <c r="B37" s="399"/>
      <c r="C37" s="474" t="s">
        <v>38</v>
      </c>
      <c r="D37" s="798">
        <v>0.73</v>
      </c>
      <c r="E37" s="443">
        <f t="shared" si="0"/>
        <v>0.73</v>
      </c>
      <c r="F37" s="87">
        <v>4.7</v>
      </c>
      <c r="G37" s="90">
        <f t="shared" si="1"/>
        <v>0.53874</v>
      </c>
      <c r="H37" s="2679"/>
      <c r="I37" s="2681"/>
      <c r="J37" s="399"/>
      <c r="K37" s="399"/>
      <c r="L37" s="399"/>
      <c r="M37" s="399"/>
      <c r="N37" s="399"/>
      <c r="O37" s="800"/>
      <c r="P37" s="800"/>
      <c r="Q37" s="800"/>
      <c r="R37" s="800"/>
      <c r="S37" s="800"/>
      <c r="T37" s="800"/>
      <c r="U37" s="800"/>
      <c r="V37" s="2"/>
      <c r="W37" s="2"/>
      <c r="X37" s="2"/>
      <c r="Y37" s="2"/>
    </row>
    <row r="38" spans="1:25" ht="18" customHeight="1" x14ac:dyDescent="0.25">
      <c r="B38" s="399"/>
      <c r="C38" s="474" t="s">
        <v>39</v>
      </c>
      <c r="D38" s="798">
        <v>0</v>
      </c>
      <c r="E38" s="443">
        <f t="shared" si="0"/>
        <v>0</v>
      </c>
      <c r="F38" s="87">
        <v>0</v>
      </c>
      <c r="G38" s="90">
        <f t="shared" si="1"/>
        <v>0</v>
      </c>
      <c r="H38" s="2678">
        <f>SUM(E38:E39)</f>
        <v>6.5600000000000023</v>
      </c>
      <c r="I38" s="2685" t="s">
        <v>40</v>
      </c>
      <c r="J38" s="399"/>
      <c r="K38" s="399"/>
      <c r="L38" s="399"/>
      <c r="M38" s="399"/>
      <c r="N38" s="399"/>
      <c r="O38" s="800"/>
      <c r="P38" s="800"/>
      <c r="Q38" s="800"/>
      <c r="R38" s="800"/>
      <c r="S38" s="800"/>
      <c r="T38" s="800"/>
      <c r="U38" s="800"/>
      <c r="V38" s="2"/>
      <c r="W38" s="2"/>
      <c r="X38" s="2"/>
      <c r="Y38" s="2"/>
    </row>
    <row r="39" spans="1:25" ht="18" customHeight="1" x14ac:dyDescent="0.25">
      <c r="B39" s="399"/>
      <c r="C39" s="474" t="s">
        <v>41</v>
      </c>
      <c r="D39" s="798">
        <f>100-(SUM(D26:D38))</f>
        <v>6.5600000000000023</v>
      </c>
      <c r="E39" s="443">
        <f t="shared" si="0"/>
        <v>6.5600000000000023</v>
      </c>
      <c r="F39" s="87">
        <v>4.7</v>
      </c>
      <c r="G39" s="90">
        <f t="shared" si="1"/>
        <v>4.8412800000000011</v>
      </c>
      <c r="H39" s="2679"/>
      <c r="I39" s="2681"/>
      <c r="J39" s="399"/>
      <c r="K39" s="399"/>
      <c r="L39" s="399"/>
      <c r="M39" s="399"/>
      <c r="N39" s="399"/>
      <c r="O39" s="800"/>
      <c r="P39" s="800"/>
      <c r="Q39" s="800"/>
      <c r="R39" s="800"/>
      <c r="S39" s="800"/>
      <c r="T39" s="800"/>
      <c r="U39" s="800"/>
      <c r="V39" s="2"/>
      <c r="W39" s="2"/>
      <c r="X39" s="2"/>
      <c r="Y39" s="2"/>
    </row>
    <row r="40" spans="1:25" ht="17.649999999999999" customHeight="1" x14ac:dyDescent="0.25">
      <c r="B40" s="399"/>
      <c r="C40" s="475" t="s">
        <v>42</v>
      </c>
      <c r="D40" s="88">
        <f>SUM(D26:D39)</f>
        <v>100</v>
      </c>
      <c r="E40" s="88">
        <f>SUM(E26:E39)</f>
        <v>100</v>
      </c>
      <c r="F40" s="88">
        <f>SUM(F26:F39)</f>
        <v>100</v>
      </c>
      <c r="G40" s="89">
        <f>SUM(G26:G39)</f>
        <v>73.799999999999983</v>
      </c>
      <c r="H40" s="91">
        <f>SUM(H26:H39)</f>
        <v>100</v>
      </c>
      <c r="I40" s="84"/>
      <c r="J40" s="399"/>
      <c r="K40" s="399"/>
      <c r="L40" s="399"/>
      <c r="M40" s="399"/>
      <c r="N40" s="399"/>
      <c r="O40" s="800"/>
      <c r="P40" s="800"/>
      <c r="Q40" s="800"/>
      <c r="R40" s="800"/>
      <c r="S40" s="800"/>
      <c r="T40" s="800"/>
      <c r="U40" s="800"/>
      <c r="V40" s="2"/>
      <c r="W40" s="2"/>
      <c r="X40" s="2"/>
      <c r="Y40" s="2"/>
    </row>
    <row r="41" spans="1:25" ht="25.15" customHeight="1" x14ac:dyDescent="0.25">
      <c r="B41" s="399"/>
      <c r="C41" s="399"/>
      <c r="D41" s="797" t="str">
        <f>IF(AND(AND(G20="Sim",SUM(D26:D39)&lt;&gt;100)*(SUM(D26:D39)&lt;&gt;0))," Atenção: O total deve fechar 100%"," ")</f>
        <v xml:space="preserve"> </v>
      </c>
      <c r="E41" s="399"/>
      <c r="F41" s="399"/>
      <c r="G41" s="399"/>
      <c r="H41" s="399"/>
      <c r="I41" s="399"/>
      <c r="J41" s="399"/>
      <c r="K41" s="399"/>
      <c r="L41" s="468"/>
      <c r="M41" s="399"/>
      <c r="N41" s="399"/>
      <c r="O41" s="800"/>
      <c r="P41" s="800"/>
      <c r="Q41" s="800"/>
      <c r="R41" s="800"/>
      <c r="S41" s="800"/>
      <c r="T41" s="800"/>
      <c r="U41" s="800"/>
      <c r="V41" s="2"/>
      <c r="W41" s="2"/>
      <c r="X41" s="2"/>
      <c r="Y41" s="2"/>
    </row>
    <row r="42" spans="1:25" ht="24.4" customHeight="1" x14ac:dyDescent="0.25">
      <c r="A42" s="463"/>
      <c r="B42" s="463"/>
      <c r="C42" s="476" t="s">
        <v>43</v>
      </c>
      <c r="D42" s="477"/>
      <c r="E42" s="478"/>
      <c r="F42" s="399"/>
      <c r="G42" s="399"/>
      <c r="H42" s="399"/>
      <c r="I42" s="399"/>
      <c r="J42" s="399"/>
      <c r="K42" s="399"/>
      <c r="L42" s="468"/>
      <c r="M42" s="399"/>
      <c r="N42" s="399"/>
      <c r="O42" s="800"/>
      <c r="P42" s="800"/>
      <c r="Q42" s="800"/>
      <c r="R42" s="800"/>
      <c r="S42" s="800"/>
      <c r="T42" s="800"/>
      <c r="U42" s="800"/>
      <c r="V42" s="2"/>
      <c r="W42" s="2"/>
      <c r="X42" s="2"/>
      <c r="Y42" s="2"/>
    </row>
    <row r="43" spans="1:25" ht="18" customHeight="1" x14ac:dyDescent="0.25">
      <c r="B43" s="399"/>
      <c r="C43" s="485"/>
      <c r="D43" s="444" t="s">
        <v>44</v>
      </c>
      <c r="E43" s="444" t="s">
        <v>21</v>
      </c>
      <c r="F43" s="399"/>
      <c r="G43" s="399"/>
      <c r="H43" s="399"/>
      <c r="I43" s="399"/>
      <c r="J43" s="399"/>
      <c r="K43" s="399"/>
      <c r="L43" s="468"/>
      <c r="M43" s="399"/>
      <c r="N43" s="399"/>
      <c r="O43" s="800"/>
      <c r="P43" s="800"/>
      <c r="Q43" s="800"/>
      <c r="R43" s="800"/>
      <c r="S43" s="800"/>
      <c r="T43" s="800"/>
      <c r="U43" s="800"/>
      <c r="V43" s="2"/>
      <c r="W43" s="2"/>
      <c r="X43" s="2"/>
      <c r="Y43" s="2"/>
    </row>
    <row r="44" spans="1:25" ht="16.899999999999999" customHeight="1" x14ac:dyDescent="0.25">
      <c r="B44" s="399"/>
      <c r="C44" s="217" t="s">
        <v>45</v>
      </c>
      <c r="D44" s="93">
        <v>0</v>
      </c>
      <c r="E44" s="486">
        <f>E14*D44/100</f>
        <v>0</v>
      </c>
      <c r="F44" s="801" t="str">
        <f>IF(D44&gt;H28,"    Rever este valor que está maior que recicláveis disponíveis em H28.","")</f>
        <v/>
      </c>
      <c r="G44" s="399"/>
      <c r="H44" s="399"/>
      <c r="I44" s="480"/>
      <c r="J44" s="399"/>
      <c r="K44" s="399"/>
      <c r="L44" s="468"/>
      <c r="M44" s="399"/>
      <c r="N44" s="399"/>
      <c r="O44" s="800"/>
      <c r="P44" s="800"/>
      <c r="Q44" s="800"/>
      <c r="R44" s="800"/>
      <c r="S44" s="800"/>
      <c r="T44" s="800"/>
      <c r="U44" s="800"/>
      <c r="V44" s="2"/>
      <c r="W44" s="2"/>
      <c r="X44" s="2"/>
      <c r="Y44" s="2"/>
    </row>
    <row r="45" spans="1:25" ht="16.899999999999999" customHeight="1" x14ac:dyDescent="0.25">
      <c r="B45" s="399"/>
      <c r="C45" s="217" t="s">
        <v>46</v>
      </c>
      <c r="D45" s="93">
        <v>0</v>
      </c>
      <c r="E45" s="486">
        <f>E14*D45/100</f>
        <v>0</v>
      </c>
      <c r="F45" s="801" t="str">
        <f>IF(D45&gt;H26,"    Rever este valor que está maior que orgânicos disponíveis em H26.","")</f>
        <v/>
      </c>
      <c r="G45" s="399"/>
      <c r="H45" s="399"/>
      <c r="I45" s="480"/>
      <c r="J45" s="399"/>
      <c r="K45" s="399"/>
      <c r="L45" s="468"/>
      <c r="M45" s="399"/>
      <c r="N45" s="399"/>
      <c r="O45" s="800"/>
      <c r="P45" s="800"/>
      <c r="Q45" s="800"/>
      <c r="R45" s="800"/>
      <c r="S45" s="800"/>
      <c r="T45" s="800"/>
      <c r="U45" s="800"/>
      <c r="V45" s="2"/>
      <c r="W45" s="2"/>
      <c r="X45" s="2"/>
      <c r="Y45" s="2"/>
    </row>
    <row r="46" spans="1:25" ht="16.899999999999999" customHeight="1" x14ac:dyDescent="0.25">
      <c r="B46" s="399"/>
      <c r="C46" s="217" t="s">
        <v>47</v>
      </c>
      <c r="D46" s="443">
        <f>100-(D44+D45)</f>
        <v>100</v>
      </c>
      <c r="E46" s="486">
        <f>E14*D46/100</f>
        <v>73.8</v>
      </c>
      <c r="F46" s="399"/>
      <c r="G46" s="399"/>
      <c r="H46" s="399"/>
      <c r="I46" s="399"/>
      <c r="J46" s="399"/>
      <c r="K46" s="399"/>
      <c r="L46" s="468"/>
      <c r="M46" s="399"/>
      <c r="N46" s="399"/>
      <c r="O46" s="800"/>
      <c r="P46" s="800"/>
      <c r="Q46" s="800"/>
      <c r="R46" s="800"/>
      <c r="S46" s="800"/>
      <c r="T46" s="800"/>
      <c r="U46" s="800"/>
      <c r="V46" s="2"/>
      <c r="W46" s="2"/>
      <c r="X46" s="2"/>
      <c r="Y46" s="2"/>
    </row>
    <row r="47" spans="1:25" ht="16.899999999999999" customHeight="1" x14ac:dyDescent="0.25">
      <c r="B47" s="399"/>
      <c r="C47" s="217" t="s">
        <v>457</v>
      </c>
      <c r="D47" s="86">
        <f>SUM(D44:D46)</f>
        <v>100</v>
      </c>
      <c r="E47" s="486">
        <f>SUM(E44:E46)</f>
        <v>73.8</v>
      </c>
      <c r="F47" s="399"/>
      <c r="G47" s="399"/>
      <c r="H47" s="399"/>
      <c r="I47" s="399"/>
      <c r="J47" s="399"/>
      <c r="K47" s="399"/>
      <c r="L47" s="468"/>
      <c r="M47" s="399"/>
      <c r="N47" s="399"/>
      <c r="O47" s="800"/>
      <c r="P47" s="800"/>
      <c r="Q47" s="800"/>
      <c r="R47" s="800"/>
      <c r="S47" s="800"/>
      <c r="T47" s="800"/>
      <c r="U47" s="800"/>
      <c r="V47" s="2"/>
      <c r="W47" s="2"/>
      <c r="X47" s="2"/>
      <c r="Y47" s="2"/>
    </row>
    <row r="48" spans="1:25" ht="25.15" customHeight="1" x14ac:dyDescent="0.25">
      <c r="B48" s="399"/>
      <c r="C48" s="399"/>
      <c r="D48" s="466"/>
      <c r="E48" s="466"/>
      <c r="F48" s="399"/>
      <c r="G48" s="399"/>
      <c r="H48" s="399"/>
      <c r="I48" s="399"/>
      <c r="J48" s="399"/>
      <c r="K48" s="399"/>
      <c r="L48" s="468"/>
      <c r="M48" s="399"/>
      <c r="N48" s="399"/>
      <c r="O48" s="800"/>
      <c r="P48" s="800"/>
      <c r="Q48" s="800"/>
      <c r="R48" s="800"/>
      <c r="S48" s="800"/>
      <c r="T48" s="800"/>
      <c r="U48" s="800"/>
      <c r="V48" s="2"/>
      <c r="W48" s="2"/>
      <c r="X48" s="2"/>
      <c r="Y48" s="2"/>
    </row>
    <row r="49" spans="1:25" ht="25.15" customHeight="1" x14ac:dyDescent="0.25">
      <c r="A49" s="464"/>
      <c r="B49" s="464"/>
      <c r="C49" s="476" t="s">
        <v>458</v>
      </c>
      <c r="D49" s="487"/>
      <c r="E49" s="487"/>
      <c r="F49" s="487"/>
      <c r="G49" s="487"/>
      <c r="H49" s="487"/>
      <c r="I49" s="487"/>
      <c r="J49" s="487"/>
      <c r="K49" s="487"/>
      <c r="L49" s="487"/>
      <c r="M49" s="487"/>
      <c r="N49" s="488"/>
      <c r="O49" s="800"/>
      <c r="P49" s="800"/>
      <c r="Q49" s="800"/>
      <c r="R49" s="800"/>
      <c r="S49" s="800"/>
      <c r="T49" s="800"/>
      <c r="U49" s="800"/>
      <c r="V49" s="2"/>
      <c r="W49" s="2"/>
      <c r="X49" s="2"/>
      <c r="Y49" s="2"/>
    </row>
    <row r="50" spans="1:25" ht="6" customHeight="1" x14ac:dyDescent="0.25">
      <c r="A50" s="399"/>
      <c r="B50" s="399"/>
      <c r="C50" s="489"/>
      <c r="D50" s="390"/>
      <c r="E50" s="390"/>
      <c r="F50" s="390"/>
      <c r="G50" s="390"/>
      <c r="H50" s="391"/>
      <c r="I50" s="390"/>
      <c r="J50" s="390"/>
      <c r="K50" s="390"/>
      <c r="L50" s="390"/>
      <c r="M50" s="392"/>
      <c r="N50" s="490"/>
      <c r="O50" s="800"/>
      <c r="P50" s="800"/>
      <c r="Q50" s="800"/>
      <c r="R50" s="800"/>
      <c r="S50" s="800"/>
      <c r="T50" s="800"/>
      <c r="U50" s="800"/>
      <c r="V50" s="2"/>
      <c r="W50" s="2"/>
      <c r="X50" s="2"/>
      <c r="Y50" s="2"/>
    </row>
    <row r="51" spans="1:25" ht="22.5" customHeight="1" x14ac:dyDescent="0.25">
      <c r="B51" s="399"/>
      <c r="C51" s="2689" t="s">
        <v>48</v>
      </c>
      <c r="D51" s="2687" t="s">
        <v>459</v>
      </c>
      <c r="E51" s="2688"/>
      <c r="F51" s="2688"/>
      <c r="G51" s="2688"/>
      <c r="H51" s="2688"/>
      <c r="I51" s="2688"/>
      <c r="J51" s="2688"/>
      <c r="K51" s="2688"/>
      <c r="L51" s="2688"/>
      <c r="M51" s="2688"/>
      <c r="N51" s="2688"/>
      <c r="O51" s="800"/>
      <c r="P51" s="800"/>
      <c r="Q51" s="800"/>
      <c r="R51" s="800"/>
      <c r="S51" s="800"/>
      <c r="T51" s="800"/>
      <c r="U51" s="800"/>
      <c r="V51" s="2"/>
      <c r="W51" s="2"/>
      <c r="X51" s="2"/>
      <c r="Y51" s="2"/>
    </row>
    <row r="52" spans="1:25" ht="18" customHeight="1" x14ac:dyDescent="0.25">
      <c r="B52" s="399"/>
      <c r="C52" s="2676"/>
      <c r="D52" s="2675" t="s">
        <v>25</v>
      </c>
      <c r="E52" s="2676"/>
      <c r="F52" s="2690" t="s">
        <v>49</v>
      </c>
      <c r="G52" s="2675" t="s">
        <v>426</v>
      </c>
      <c r="H52" s="2676"/>
      <c r="I52" s="2675" t="s">
        <v>427</v>
      </c>
      <c r="J52" s="2675" t="s">
        <v>51</v>
      </c>
      <c r="K52" s="2676"/>
      <c r="L52" s="2675" t="s">
        <v>428</v>
      </c>
      <c r="M52" s="2686"/>
      <c r="N52" s="2684" t="s">
        <v>52</v>
      </c>
      <c r="O52" s="800"/>
      <c r="P52" s="800"/>
      <c r="Q52" s="800"/>
      <c r="R52" s="800"/>
      <c r="S52" s="800"/>
      <c r="T52" s="800"/>
      <c r="U52" s="800"/>
      <c r="V52" s="2"/>
      <c r="W52" s="2"/>
      <c r="X52" s="2"/>
      <c r="Y52" s="2"/>
    </row>
    <row r="53" spans="1:25" ht="31.15" customHeight="1" x14ac:dyDescent="0.25">
      <c r="B53" s="399"/>
      <c r="C53" s="2676"/>
      <c r="D53" s="441" t="s">
        <v>53</v>
      </c>
      <c r="E53" s="441" t="s">
        <v>54</v>
      </c>
      <c r="F53" s="2676"/>
      <c r="G53" s="441" t="s">
        <v>55</v>
      </c>
      <c r="H53" s="441" t="s">
        <v>56</v>
      </c>
      <c r="I53" s="2676"/>
      <c r="J53" s="441" t="s">
        <v>57</v>
      </c>
      <c r="K53" s="441" t="s">
        <v>461</v>
      </c>
      <c r="L53" s="441" t="s">
        <v>429</v>
      </c>
      <c r="M53" s="442" t="s">
        <v>460</v>
      </c>
      <c r="N53" s="2676"/>
      <c r="O53" s="800"/>
      <c r="P53" s="800"/>
      <c r="Q53" s="800"/>
      <c r="R53" s="800"/>
      <c r="S53" s="800"/>
      <c r="T53" s="800"/>
      <c r="U53" s="800"/>
      <c r="V53" s="2"/>
      <c r="W53" s="2"/>
      <c r="X53" s="2"/>
      <c r="Y53" s="2"/>
    </row>
    <row r="54" spans="1:25" ht="18" customHeight="1" x14ac:dyDescent="0.25">
      <c r="B54" s="399"/>
      <c r="C54" s="217" t="s">
        <v>200</v>
      </c>
      <c r="D54" s="94"/>
      <c r="E54" s="94"/>
      <c r="F54" s="95">
        <f>IF($H$28&gt;0,E28/$H$28*$E$44,0)</f>
        <v>0</v>
      </c>
      <c r="G54" s="95">
        <f>IF($H$28&gt;0,E29/$H$28*$E$44,0)</f>
        <v>0</v>
      </c>
      <c r="H54" s="95">
        <f>IF($H$28&gt;0,E30/$H$28*$E$44,0)</f>
        <v>0</v>
      </c>
      <c r="I54" s="95">
        <f>IF($H$28&gt;0,E31/$H$28*$E$44,0)</f>
        <v>0</v>
      </c>
      <c r="J54" s="95">
        <f>IF($H$28&gt;0,E32/$H$28*$E$44,0)</f>
        <v>0</v>
      </c>
      <c r="K54" s="95">
        <f>IF($H$28&gt;0,E33/$H$28*$E$44,0)</f>
        <v>0</v>
      </c>
      <c r="L54" s="94"/>
      <c r="M54" s="94"/>
      <c r="N54" s="95">
        <f>SUM(F54:K54)</f>
        <v>0</v>
      </c>
      <c r="O54" s="800"/>
      <c r="P54" s="800"/>
      <c r="Q54" s="800"/>
      <c r="R54" s="800"/>
      <c r="S54" s="800"/>
      <c r="T54" s="800"/>
      <c r="U54" s="800"/>
      <c r="V54" s="2"/>
      <c r="W54" s="2"/>
      <c r="X54" s="2"/>
      <c r="Y54" s="2"/>
    </row>
    <row r="55" spans="1:25" ht="18" customHeight="1" x14ac:dyDescent="0.25">
      <c r="B55" s="399"/>
      <c r="C55" s="217" t="s">
        <v>58</v>
      </c>
      <c r="D55" s="95">
        <f>IF(E26&gt;0,E45*E26/(E26+E27),0)</f>
        <v>0</v>
      </c>
      <c r="E55" s="95">
        <f>IF(E27&gt;0,E45*E27/(E26+E27),0)</f>
        <v>0</v>
      </c>
      <c r="F55" s="94"/>
      <c r="G55" s="94"/>
      <c r="H55" s="94"/>
      <c r="I55" s="94"/>
      <c r="J55" s="94"/>
      <c r="K55" s="94"/>
      <c r="L55" s="94"/>
      <c r="M55" s="84"/>
      <c r="N55" s="95">
        <f>SUM(D55:E55)</f>
        <v>0</v>
      </c>
      <c r="O55" s="800"/>
      <c r="P55" s="800"/>
      <c r="Q55" s="800"/>
      <c r="R55" s="800"/>
      <c r="S55" s="800"/>
      <c r="T55" s="800"/>
      <c r="U55" s="800"/>
      <c r="V55" s="2"/>
      <c r="W55" s="2"/>
      <c r="X55" s="2"/>
      <c r="Y55" s="2"/>
    </row>
    <row r="56" spans="1:25" ht="18" customHeight="1" x14ac:dyDescent="0.25">
      <c r="B56" s="399"/>
      <c r="C56" s="217" t="s">
        <v>425</v>
      </c>
      <c r="D56" s="95">
        <f>G26-D55</f>
        <v>35.719199999999994</v>
      </c>
      <c r="E56" s="95">
        <f>G27-E55</f>
        <v>2.214</v>
      </c>
      <c r="F56" s="95">
        <f>G28-F54</f>
        <v>9.6677999999999997</v>
      </c>
      <c r="G56" s="95">
        <f>G29-G54</f>
        <v>6.5682000000000009</v>
      </c>
      <c r="H56" s="95">
        <f>G30-H54</f>
        <v>3.3947999999999996</v>
      </c>
      <c r="I56" s="95">
        <f>G31-I54</f>
        <v>1.7711999999999997</v>
      </c>
      <c r="J56" s="95">
        <f>G32-J54</f>
        <v>1.6973999999999998</v>
      </c>
      <c r="K56" s="95">
        <f>G33-K54</f>
        <v>0.44279999999999992</v>
      </c>
      <c r="L56" s="95">
        <f>SUM(G34:G37)</f>
        <v>7.48332</v>
      </c>
      <c r="M56" s="95">
        <f>SUM(G38:G39)</f>
        <v>4.8412800000000011</v>
      </c>
      <c r="N56" s="95">
        <f>SUM(D56:M56)</f>
        <v>73.799999999999983</v>
      </c>
      <c r="O56" s="800"/>
      <c r="P56" s="800"/>
      <c r="Q56" s="800"/>
      <c r="R56" s="800"/>
      <c r="S56" s="800"/>
      <c r="T56" s="800"/>
      <c r="U56" s="800"/>
      <c r="V56" s="2"/>
      <c r="W56" s="2"/>
      <c r="X56" s="2"/>
      <c r="Y56" s="2"/>
    </row>
    <row r="57" spans="1:25" ht="18" customHeight="1" x14ac:dyDescent="0.25">
      <c r="B57" s="399"/>
      <c r="C57" s="217" t="s">
        <v>52</v>
      </c>
      <c r="D57" s="95">
        <f>SUM(D55:D56)</f>
        <v>35.719199999999994</v>
      </c>
      <c r="E57" s="95">
        <f>SUM(E55:E56)</f>
        <v>2.214</v>
      </c>
      <c r="F57" s="95">
        <f t="shared" ref="F57:L57" si="2">SUM(F54:F56)</f>
        <v>9.6677999999999997</v>
      </c>
      <c r="G57" s="95">
        <f t="shared" si="2"/>
        <v>6.5682000000000009</v>
      </c>
      <c r="H57" s="95">
        <f t="shared" si="2"/>
        <v>3.3947999999999996</v>
      </c>
      <c r="I57" s="95">
        <f t="shared" si="2"/>
        <v>1.7711999999999997</v>
      </c>
      <c r="J57" s="95">
        <f t="shared" si="2"/>
        <v>1.6973999999999998</v>
      </c>
      <c r="K57" s="95">
        <f t="shared" si="2"/>
        <v>0.44279999999999992</v>
      </c>
      <c r="L57" s="95">
        <f t="shared" si="2"/>
        <v>7.48332</v>
      </c>
      <c r="M57" s="95">
        <f>M56</f>
        <v>4.8412800000000011</v>
      </c>
      <c r="N57" s="95">
        <f>SUM(N54:N56)</f>
        <v>73.799999999999983</v>
      </c>
      <c r="O57" s="800"/>
      <c r="P57" s="800"/>
      <c r="Q57" s="800"/>
      <c r="R57" s="800"/>
      <c r="S57" s="800"/>
      <c r="T57" s="800"/>
      <c r="U57" s="800"/>
      <c r="V57" s="2"/>
      <c r="W57" s="2"/>
      <c r="X57" s="2"/>
      <c r="Y57" s="2"/>
    </row>
    <row r="58" spans="1:25" ht="12.75" customHeight="1" x14ac:dyDescent="0.25">
      <c r="A58" s="800"/>
      <c r="B58" s="800"/>
      <c r="C58" s="800"/>
      <c r="D58" s="800"/>
      <c r="E58" s="800"/>
      <c r="F58" s="800"/>
      <c r="G58" s="800"/>
      <c r="H58" s="800"/>
      <c r="I58" s="800"/>
      <c r="J58" s="800"/>
      <c r="K58" s="800"/>
      <c r="L58" s="800"/>
      <c r="M58" s="800"/>
      <c r="N58" s="800"/>
      <c r="O58" s="800"/>
      <c r="P58" s="800"/>
      <c r="Q58" s="800"/>
      <c r="R58" s="800"/>
      <c r="S58" s="800"/>
      <c r="T58" s="800"/>
      <c r="U58" s="800"/>
      <c r="V58" s="2"/>
      <c r="W58" s="2"/>
      <c r="X58" s="2"/>
      <c r="Y58" s="2"/>
    </row>
    <row r="59" spans="1:25" ht="12.75" customHeight="1" x14ac:dyDescent="0.25">
      <c r="A59" s="800"/>
      <c r="B59" s="800"/>
      <c r="C59" s="800"/>
      <c r="D59" s="800"/>
      <c r="E59" s="800"/>
      <c r="F59" s="800"/>
      <c r="G59" s="800"/>
      <c r="H59" s="800"/>
      <c r="I59" s="800"/>
      <c r="J59" s="800"/>
      <c r="K59" s="800"/>
      <c r="L59" s="800"/>
      <c r="M59" s="800"/>
      <c r="N59" s="800"/>
      <c r="O59" s="800"/>
      <c r="P59" s="800"/>
      <c r="Q59" s="800"/>
      <c r="R59" s="800"/>
      <c r="S59" s="800"/>
      <c r="T59" s="800"/>
      <c r="U59" s="800"/>
      <c r="V59" s="2"/>
      <c r="W59" s="2"/>
      <c r="X59" s="2"/>
      <c r="Y59" s="2"/>
    </row>
    <row r="60" spans="1:25" ht="12.75" customHeight="1" x14ac:dyDescent="0.25">
      <c r="A60" s="800"/>
      <c r="B60" s="800"/>
      <c r="C60" s="800"/>
      <c r="D60" s="800"/>
      <c r="E60" s="800"/>
      <c r="F60" s="800"/>
      <c r="G60" s="800"/>
      <c r="H60" s="800"/>
      <c r="I60" s="800"/>
      <c r="J60" s="800"/>
      <c r="K60" s="800"/>
      <c r="L60" s="800"/>
      <c r="M60" s="800"/>
      <c r="N60" s="800"/>
      <c r="O60" s="800"/>
      <c r="P60" s="800"/>
      <c r="Q60" s="800"/>
      <c r="R60" s="800"/>
      <c r="S60" s="800"/>
      <c r="T60" s="800"/>
      <c r="U60" s="800"/>
      <c r="V60" s="2"/>
      <c r="W60" s="2"/>
      <c r="X60" s="2"/>
      <c r="Y60" s="2"/>
    </row>
    <row r="61" spans="1:25" ht="12.75" customHeight="1" x14ac:dyDescent="0.25">
      <c r="A61" s="800"/>
      <c r="B61" s="800"/>
      <c r="C61" s="800"/>
      <c r="D61" s="800"/>
      <c r="E61" s="800"/>
      <c r="F61" s="800"/>
      <c r="G61" s="800"/>
      <c r="H61" s="800"/>
      <c r="I61" s="800"/>
      <c r="J61" s="800"/>
      <c r="K61" s="800"/>
      <c r="L61" s="800"/>
      <c r="M61" s="800"/>
      <c r="N61" s="800"/>
      <c r="O61" s="800"/>
      <c r="P61" s="800"/>
      <c r="Q61" s="800"/>
      <c r="R61" s="800"/>
      <c r="S61" s="800"/>
      <c r="T61" s="800"/>
      <c r="U61" s="800"/>
      <c r="V61" s="2"/>
      <c r="W61" s="2"/>
      <c r="X61" s="2"/>
      <c r="Y61" s="2"/>
    </row>
    <row r="62" spans="1:25" ht="12.75" customHeight="1" x14ac:dyDescent="0.25">
      <c r="A62" s="800"/>
      <c r="B62" s="800"/>
      <c r="C62" s="800"/>
      <c r="D62" s="800"/>
      <c r="E62" s="800"/>
      <c r="F62" s="800"/>
      <c r="G62" s="800"/>
      <c r="H62" s="800"/>
      <c r="I62" s="800"/>
      <c r="J62" s="800"/>
      <c r="K62" s="800"/>
      <c r="L62" s="800"/>
      <c r="M62" s="800"/>
      <c r="N62" s="800"/>
      <c r="O62" s="800"/>
      <c r="P62" s="800"/>
      <c r="Q62" s="800"/>
      <c r="R62" s="800"/>
      <c r="S62" s="800"/>
      <c r="T62" s="800"/>
      <c r="U62" s="800"/>
      <c r="V62" s="2"/>
      <c r="W62" s="2"/>
      <c r="X62" s="2"/>
      <c r="Y62" s="2"/>
    </row>
    <row r="63" spans="1:25" ht="12.75" customHeight="1" x14ac:dyDescent="0.25">
      <c r="A63" s="800"/>
      <c r="B63" s="800"/>
      <c r="C63" s="800"/>
      <c r="D63" s="800"/>
      <c r="E63" s="800"/>
      <c r="F63" s="800"/>
      <c r="G63" s="800"/>
      <c r="H63" s="800"/>
      <c r="I63" s="800"/>
      <c r="J63" s="800"/>
      <c r="K63" s="800"/>
      <c r="L63" s="800"/>
      <c r="M63" s="800"/>
      <c r="N63" s="800"/>
      <c r="O63" s="800"/>
      <c r="P63" s="800"/>
      <c r="Q63" s="800"/>
      <c r="R63" s="800"/>
      <c r="S63" s="800"/>
      <c r="T63" s="800"/>
      <c r="U63" s="800"/>
      <c r="V63" s="2"/>
      <c r="W63" s="2"/>
      <c r="X63" s="2"/>
      <c r="Y63" s="2"/>
    </row>
    <row r="64" spans="1:25" ht="12.75" customHeight="1" x14ac:dyDescent="0.25">
      <c r="A64" s="800"/>
      <c r="B64" s="800"/>
      <c r="C64" s="800"/>
      <c r="D64" s="800"/>
      <c r="E64" s="800"/>
      <c r="F64" s="800"/>
      <c r="G64" s="800"/>
      <c r="H64" s="800"/>
      <c r="I64" s="800"/>
      <c r="J64" s="800"/>
      <c r="K64" s="800"/>
      <c r="L64" s="800"/>
      <c r="M64" s="800"/>
      <c r="N64" s="800"/>
      <c r="O64" s="800"/>
      <c r="P64" s="800"/>
      <c r="Q64" s="800"/>
      <c r="R64" s="800"/>
      <c r="S64" s="800"/>
      <c r="T64" s="800"/>
      <c r="U64" s="800"/>
      <c r="V64" s="2"/>
      <c r="W64" s="2"/>
      <c r="X64" s="2"/>
      <c r="Y64" s="2"/>
    </row>
    <row r="65" spans="1:25" ht="12.75" customHeight="1" x14ac:dyDescent="0.25">
      <c r="A65" s="800"/>
      <c r="B65" s="800"/>
      <c r="C65" s="800"/>
      <c r="D65" s="800"/>
      <c r="E65" s="800"/>
      <c r="F65" s="800"/>
      <c r="G65" s="800"/>
      <c r="H65" s="800"/>
      <c r="I65" s="800"/>
      <c r="J65" s="800"/>
      <c r="K65" s="800"/>
      <c r="L65" s="800"/>
      <c r="M65" s="800"/>
      <c r="N65" s="800"/>
      <c r="O65" s="800"/>
      <c r="P65" s="800"/>
      <c r="Q65" s="800"/>
      <c r="R65" s="800"/>
      <c r="S65" s="800"/>
      <c r="T65" s="800"/>
      <c r="U65" s="800"/>
      <c r="V65" s="2"/>
      <c r="W65" s="2"/>
      <c r="X65" s="2"/>
      <c r="Y65" s="2"/>
    </row>
    <row r="66" spans="1:25" ht="12.75" customHeight="1" x14ac:dyDescent="0.25">
      <c r="A66" s="800"/>
      <c r="B66" s="800"/>
      <c r="C66" s="800"/>
      <c r="D66" s="800"/>
      <c r="E66" s="800"/>
      <c r="F66" s="800"/>
      <c r="G66" s="800"/>
      <c r="H66" s="800"/>
      <c r="I66" s="800"/>
      <c r="J66" s="800"/>
      <c r="K66" s="800"/>
      <c r="L66" s="800"/>
      <c r="M66" s="800"/>
      <c r="N66" s="800"/>
      <c r="O66" s="800"/>
      <c r="P66" s="800"/>
      <c r="Q66" s="800"/>
      <c r="R66" s="800"/>
      <c r="S66" s="800"/>
      <c r="T66" s="800"/>
      <c r="U66" s="800"/>
      <c r="V66" s="2"/>
      <c r="W66" s="2"/>
      <c r="X66" s="2"/>
      <c r="Y66" s="2"/>
    </row>
    <row r="67" spans="1:25" ht="14.25" customHeight="1" x14ac:dyDescent="0.25">
      <c r="A67" s="800"/>
      <c r="B67" s="800"/>
      <c r="C67" s="800"/>
      <c r="D67" s="800"/>
      <c r="E67" s="800"/>
      <c r="F67" s="800"/>
      <c r="G67" s="800"/>
      <c r="H67" s="800"/>
      <c r="I67" s="800"/>
      <c r="J67" s="800"/>
      <c r="K67" s="800"/>
      <c r="L67" s="800"/>
      <c r="M67" s="800"/>
      <c r="N67" s="800"/>
      <c r="O67" s="800"/>
      <c r="P67" s="800"/>
      <c r="Q67" s="800"/>
      <c r="R67" s="800"/>
      <c r="S67" s="800"/>
      <c r="T67" s="800"/>
      <c r="U67" s="800"/>
      <c r="V67" s="2"/>
      <c r="W67" s="2"/>
      <c r="X67" s="2"/>
      <c r="Y67" s="2"/>
    </row>
    <row r="68" spans="1:25" ht="12.75" customHeight="1" x14ac:dyDescent="0.25">
      <c r="A68" s="800"/>
      <c r="B68" s="800"/>
      <c r="C68" s="800"/>
      <c r="D68" s="800"/>
      <c r="E68" s="800"/>
      <c r="F68" s="800"/>
      <c r="G68" s="800"/>
      <c r="H68" s="800"/>
      <c r="I68" s="800"/>
      <c r="J68" s="800"/>
      <c r="K68" s="800"/>
      <c r="L68" s="800"/>
      <c r="M68" s="800"/>
      <c r="N68" s="800"/>
      <c r="O68" s="800"/>
      <c r="P68" s="800"/>
      <c r="Q68" s="800"/>
      <c r="R68" s="800"/>
      <c r="S68" s="800"/>
      <c r="T68" s="800"/>
      <c r="U68" s="800"/>
      <c r="V68" s="2"/>
      <c r="W68" s="2"/>
      <c r="X68" s="2"/>
      <c r="Y68" s="2"/>
    </row>
    <row r="69" spans="1:25" ht="12.75" customHeight="1" x14ac:dyDescent="0.25">
      <c r="A69" s="800"/>
      <c r="B69" s="800"/>
      <c r="C69" s="800"/>
      <c r="D69" s="800"/>
      <c r="E69" s="800"/>
      <c r="F69" s="800"/>
      <c r="G69" s="800"/>
      <c r="H69" s="800"/>
      <c r="I69" s="800"/>
      <c r="J69" s="800"/>
      <c r="K69" s="800"/>
      <c r="L69" s="800"/>
      <c r="M69" s="800"/>
      <c r="N69" s="800"/>
      <c r="O69" s="800"/>
      <c r="P69" s="800"/>
      <c r="Q69" s="800"/>
      <c r="R69" s="800"/>
      <c r="S69" s="800"/>
      <c r="T69" s="800"/>
      <c r="U69" s="800"/>
      <c r="V69" s="2"/>
      <c r="W69" s="2"/>
      <c r="X69" s="2"/>
      <c r="Y69" s="2"/>
    </row>
    <row r="70" spans="1:25" ht="12.75" customHeight="1" x14ac:dyDescent="0.25">
      <c r="O70" s="80"/>
      <c r="P70" s="79"/>
      <c r="Q70" s="79"/>
      <c r="S70" s="2"/>
      <c r="T70" s="2"/>
      <c r="U70" s="2"/>
      <c r="V70" s="2"/>
      <c r="W70" s="2"/>
      <c r="X70" s="2"/>
      <c r="Y70" s="2"/>
    </row>
    <row r="71" spans="1:25" ht="12.75" customHeight="1" x14ac:dyDescent="0.25">
      <c r="S71" s="2"/>
      <c r="T71" s="2"/>
      <c r="U71" s="2"/>
      <c r="V71" s="2"/>
      <c r="W71" s="2"/>
      <c r="X71" s="2"/>
      <c r="Y71" s="2"/>
    </row>
    <row r="72" spans="1:25" ht="12.75" customHeight="1" x14ac:dyDescent="0.25">
      <c r="S72" s="2"/>
      <c r="T72" s="2"/>
      <c r="U72" s="2"/>
      <c r="V72" s="2"/>
      <c r="W72" s="2"/>
      <c r="X72" s="2"/>
      <c r="Y72" s="2"/>
    </row>
    <row r="73" spans="1:25" ht="12.75" customHeight="1" x14ac:dyDescent="0.25">
      <c r="S73" s="2"/>
      <c r="T73" s="2"/>
      <c r="U73" s="2"/>
      <c r="V73" s="2"/>
      <c r="W73" s="2"/>
      <c r="X73" s="2"/>
      <c r="Y73" s="2"/>
    </row>
    <row r="74" spans="1:25" ht="12.75" customHeight="1" x14ac:dyDescent="0.25">
      <c r="S74" s="2"/>
      <c r="T74" s="2"/>
      <c r="U74" s="2"/>
      <c r="V74" s="2"/>
      <c r="W74" s="2"/>
      <c r="X74" s="2"/>
      <c r="Y74" s="2"/>
    </row>
    <row r="75" spans="1:25" ht="12.75" customHeight="1" x14ac:dyDescent="0.25">
      <c r="S75" s="2"/>
      <c r="T75" s="2"/>
      <c r="U75" s="2"/>
      <c r="V75" s="2"/>
      <c r="W75" s="2"/>
      <c r="X75" s="2"/>
      <c r="Y75" s="2"/>
    </row>
    <row r="76" spans="1:25" ht="12.75" customHeight="1" x14ac:dyDescent="0.25">
      <c r="S76" s="2"/>
      <c r="T76" s="2"/>
      <c r="U76" s="2"/>
      <c r="V76" s="2"/>
      <c r="W76" s="2"/>
      <c r="X76" s="2"/>
      <c r="Y76" s="2"/>
    </row>
    <row r="77" spans="1:25" ht="12.75" customHeight="1" x14ac:dyDescent="0.25">
      <c r="S77" s="2"/>
      <c r="T77" s="2"/>
      <c r="U77" s="2"/>
      <c r="V77" s="2"/>
      <c r="W77" s="2"/>
      <c r="X77" s="2"/>
      <c r="Y77" s="2"/>
    </row>
    <row r="78" spans="1:25" ht="12.75" customHeight="1" x14ac:dyDescent="0.25">
      <c r="S78" s="2"/>
      <c r="T78" s="2"/>
      <c r="U78" s="2"/>
      <c r="V78" s="2"/>
      <c r="W78" s="2"/>
      <c r="X78" s="2"/>
      <c r="Y78" s="2"/>
    </row>
    <row r="79" spans="1:25" ht="12.75" customHeight="1" x14ac:dyDescent="0.25">
      <c r="S79" s="2"/>
      <c r="T79" s="2"/>
      <c r="U79" s="2"/>
      <c r="V79" s="2"/>
      <c r="W79" s="2"/>
      <c r="X79" s="2"/>
      <c r="Y79" s="2"/>
    </row>
    <row r="80" spans="1:25" ht="12.75" customHeight="1" x14ac:dyDescent="0.25">
      <c r="S80" s="2"/>
      <c r="T80" s="2"/>
      <c r="U80" s="2"/>
      <c r="V80" s="2"/>
      <c r="W80" s="2"/>
      <c r="X80" s="2"/>
      <c r="Y80" s="2"/>
    </row>
    <row r="81" spans="19:25" ht="12.75" customHeight="1" x14ac:dyDescent="0.25">
      <c r="S81" s="2"/>
      <c r="T81" s="2"/>
      <c r="U81" s="2"/>
      <c r="V81" s="2"/>
      <c r="W81" s="2"/>
      <c r="X81" s="2"/>
      <c r="Y81" s="2"/>
    </row>
    <row r="82" spans="19:25" ht="12.75" customHeight="1" x14ac:dyDescent="0.25">
      <c r="S82" s="2"/>
      <c r="T82" s="2"/>
      <c r="U82" s="2"/>
      <c r="V82" s="2"/>
      <c r="W82" s="2"/>
      <c r="X82" s="2"/>
      <c r="Y82" s="2"/>
    </row>
    <row r="83" spans="19:25" ht="12.75" customHeight="1" x14ac:dyDescent="0.25">
      <c r="S83" s="2"/>
      <c r="T83" s="2"/>
      <c r="U83" s="2"/>
      <c r="V83" s="2"/>
      <c r="W83" s="2"/>
      <c r="X83" s="2"/>
      <c r="Y83" s="2"/>
    </row>
    <row r="84" spans="19:25" ht="13.5" customHeight="1" x14ac:dyDescent="0.25">
      <c r="S84" s="2"/>
      <c r="T84" s="2"/>
      <c r="U84" s="2"/>
      <c r="V84" s="2"/>
      <c r="W84" s="2"/>
      <c r="X84" s="2"/>
      <c r="Y84" s="2"/>
    </row>
    <row r="85" spans="19:25" ht="12.75" customHeight="1" x14ac:dyDescent="0.25">
      <c r="S85" s="2"/>
      <c r="T85" s="2"/>
      <c r="U85" s="2"/>
      <c r="V85" s="2"/>
      <c r="W85" s="2"/>
      <c r="X85" s="2"/>
      <c r="Y85" s="2"/>
    </row>
    <row r="86" spans="19:25" ht="12.75" customHeight="1" x14ac:dyDescent="0.25">
      <c r="S86" s="2"/>
      <c r="T86" s="2"/>
      <c r="U86" s="2"/>
      <c r="V86" s="2"/>
      <c r="W86" s="2"/>
      <c r="X86" s="2"/>
      <c r="Y86" s="2"/>
    </row>
    <row r="87" spans="19:25" ht="12.75" customHeight="1" x14ac:dyDescent="0.25">
      <c r="S87" s="2"/>
      <c r="T87" s="2"/>
      <c r="U87" s="2"/>
      <c r="V87" s="2"/>
      <c r="W87" s="2"/>
      <c r="X87" s="2"/>
      <c r="Y87" s="2"/>
    </row>
    <row r="88" spans="19:25" ht="12.75" customHeight="1" x14ac:dyDescent="0.25">
      <c r="S88" s="2"/>
      <c r="T88" s="2"/>
      <c r="U88" s="2"/>
      <c r="V88" s="2"/>
      <c r="W88" s="2"/>
      <c r="X88" s="2"/>
      <c r="Y88" s="2"/>
    </row>
    <row r="89" spans="19:25" ht="12.75" customHeight="1" x14ac:dyDescent="0.25">
      <c r="S89" s="2"/>
      <c r="T89" s="2"/>
      <c r="U89" s="2"/>
      <c r="V89" s="2"/>
      <c r="W89" s="2"/>
      <c r="X89" s="2"/>
      <c r="Y89" s="2"/>
    </row>
    <row r="90" spans="19:25" ht="12.75" customHeight="1" x14ac:dyDescent="0.25">
      <c r="S90" s="2"/>
      <c r="T90" s="2"/>
      <c r="U90" s="2"/>
      <c r="V90" s="2"/>
      <c r="W90" s="2"/>
      <c r="X90" s="2"/>
      <c r="Y90" s="2"/>
    </row>
    <row r="91" spans="19:25" ht="12.75" customHeight="1" x14ac:dyDescent="0.25">
      <c r="S91" s="2"/>
      <c r="T91" s="2"/>
      <c r="U91" s="2"/>
      <c r="V91" s="2"/>
      <c r="W91" s="2"/>
      <c r="X91" s="2"/>
      <c r="Y91" s="2"/>
    </row>
    <row r="92" spans="19:25" ht="12.75" customHeight="1" x14ac:dyDescent="0.25">
      <c r="S92" s="2"/>
      <c r="T92" s="2"/>
      <c r="U92" s="2"/>
      <c r="V92" s="2"/>
      <c r="W92" s="2"/>
      <c r="X92" s="2"/>
      <c r="Y92" s="2"/>
    </row>
    <row r="93" spans="19:25" ht="12.75" customHeight="1" x14ac:dyDescent="0.25">
      <c r="S93" s="2"/>
      <c r="T93" s="2"/>
      <c r="U93" s="2"/>
      <c r="V93" s="2"/>
      <c r="W93" s="2"/>
      <c r="X93" s="2"/>
      <c r="Y93" s="2"/>
    </row>
    <row r="94" spans="19:25" ht="13.5" customHeight="1" x14ac:dyDescent="0.25">
      <c r="S94" s="2"/>
      <c r="T94" s="2"/>
      <c r="U94" s="2"/>
      <c r="V94" s="2"/>
      <c r="W94" s="2"/>
      <c r="X94" s="2"/>
      <c r="Y94" s="2"/>
    </row>
    <row r="95" spans="19:25" ht="12.75" customHeight="1" x14ac:dyDescent="0.25">
      <c r="S95" s="2"/>
      <c r="T95" s="2"/>
      <c r="U95" s="2"/>
      <c r="V95" s="2"/>
      <c r="W95" s="2"/>
      <c r="X95" s="2"/>
      <c r="Y95" s="2"/>
    </row>
    <row r="96" spans="19:25" ht="12.75" customHeight="1" x14ac:dyDescent="0.25">
      <c r="S96" s="2"/>
      <c r="T96" s="2"/>
      <c r="U96" s="2"/>
      <c r="V96" s="2"/>
      <c r="W96" s="2"/>
      <c r="X96" s="2"/>
      <c r="Y96" s="2"/>
    </row>
    <row r="97" spans="19:25" ht="13.5" customHeight="1" x14ac:dyDescent="0.25">
      <c r="S97" s="2"/>
      <c r="T97" s="2"/>
      <c r="U97" s="2"/>
      <c r="V97" s="2"/>
      <c r="W97" s="2"/>
      <c r="X97" s="2"/>
      <c r="Y97" s="2"/>
    </row>
    <row r="98" spans="19:25" ht="12.75" customHeight="1" x14ac:dyDescent="0.25">
      <c r="S98" s="2"/>
      <c r="T98" s="2"/>
      <c r="U98" s="2"/>
      <c r="V98" s="2"/>
      <c r="W98" s="2"/>
      <c r="X98" s="2"/>
      <c r="Y98" s="2"/>
    </row>
    <row r="99" spans="19:25" ht="12.75" customHeight="1" x14ac:dyDescent="0.25">
      <c r="S99" s="2"/>
      <c r="T99" s="2"/>
      <c r="U99" s="2"/>
      <c r="V99" s="2"/>
      <c r="W99" s="2"/>
      <c r="X99" s="2"/>
      <c r="Y99" s="2"/>
    </row>
    <row r="100" spans="19:25" ht="12.75" customHeight="1" x14ac:dyDescent="0.25">
      <c r="S100" s="2"/>
      <c r="T100" s="2"/>
      <c r="U100" s="2"/>
      <c r="V100" s="2"/>
      <c r="W100" s="2"/>
      <c r="X100" s="2"/>
      <c r="Y100" s="2"/>
    </row>
    <row r="101" spans="19:25" ht="12.75" customHeight="1" x14ac:dyDescent="0.25">
      <c r="S101" s="2"/>
      <c r="T101" s="2"/>
      <c r="U101" s="2"/>
      <c r="V101" s="2"/>
      <c r="W101" s="2"/>
      <c r="X101" s="2"/>
      <c r="Y101" s="2"/>
    </row>
    <row r="102" spans="19:25" ht="12.75" customHeight="1" x14ac:dyDescent="0.25">
      <c r="S102" s="2"/>
      <c r="T102" s="2"/>
      <c r="U102" s="2"/>
      <c r="V102" s="2"/>
      <c r="W102" s="2"/>
      <c r="X102" s="2"/>
      <c r="Y102" s="2"/>
    </row>
    <row r="103" spans="19:25" ht="12.75" customHeight="1" x14ac:dyDescent="0.25">
      <c r="S103" s="2"/>
      <c r="T103" s="2"/>
      <c r="U103" s="2"/>
      <c r="V103" s="2"/>
      <c r="W103" s="2"/>
      <c r="X103" s="2"/>
      <c r="Y103" s="2"/>
    </row>
    <row r="104" spans="19:25" ht="12.75" customHeight="1" x14ac:dyDescent="0.25">
      <c r="S104" s="2"/>
      <c r="T104" s="2"/>
      <c r="U104" s="2"/>
      <c r="V104" s="2"/>
      <c r="W104" s="2"/>
      <c r="X104" s="2"/>
      <c r="Y104" s="2"/>
    </row>
    <row r="105" spans="19:25" ht="13.5" customHeight="1" x14ac:dyDescent="0.25">
      <c r="S105" s="2"/>
      <c r="T105" s="2"/>
      <c r="U105" s="2"/>
      <c r="V105" s="2"/>
      <c r="W105" s="2"/>
      <c r="X105" s="2"/>
      <c r="Y105" s="2"/>
    </row>
    <row r="106" spans="19:25" ht="12.75" customHeight="1" x14ac:dyDescent="0.25">
      <c r="S106" s="2"/>
      <c r="T106" s="2"/>
      <c r="U106" s="2"/>
      <c r="V106" s="2"/>
      <c r="W106" s="2"/>
      <c r="X106" s="2"/>
      <c r="Y106" s="2"/>
    </row>
    <row r="107" spans="19:25" ht="12.75" customHeight="1" x14ac:dyDescent="0.25">
      <c r="S107" s="2"/>
      <c r="T107" s="2"/>
      <c r="U107" s="2"/>
      <c r="V107" s="2"/>
      <c r="W107" s="2"/>
      <c r="X107" s="2"/>
      <c r="Y107" s="2"/>
    </row>
    <row r="108" spans="19:25" ht="12.75" customHeight="1" x14ac:dyDescent="0.25">
      <c r="S108" s="2"/>
      <c r="T108" s="2"/>
      <c r="U108" s="2"/>
      <c r="V108" s="2"/>
      <c r="W108" s="2"/>
      <c r="X108" s="2"/>
      <c r="Y108" s="2"/>
    </row>
    <row r="109" spans="19:25" ht="12.75" customHeight="1" x14ac:dyDescent="0.25">
      <c r="S109" s="2"/>
      <c r="T109" s="2"/>
      <c r="U109" s="2"/>
      <c r="V109" s="2"/>
      <c r="W109" s="2"/>
      <c r="X109" s="2"/>
      <c r="Y109" s="2"/>
    </row>
    <row r="110" spans="19:25" ht="12.75" customHeight="1" x14ac:dyDescent="0.25">
      <c r="S110" s="2"/>
      <c r="T110" s="2"/>
      <c r="U110" s="2"/>
      <c r="V110" s="2"/>
      <c r="W110" s="2"/>
      <c r="X110" s="2"/>
      <c r="Y110" s="2"/>
    </row>
    <row r="111" spans="19:25" ht="12.75" customHeight="1" x14ac:dyDescent="0.25">
      <c r="S111" s="2"/>
      <c r="T111" s="2"/>
      <c r="U111" s="2"/>
      <c r="V111" s="2"/>
      <c r="W111" s="2"/>
      <c r="X111" s="2"/>
      <c r="Y111" s="2"/>
    </row>
    <row r="112" spans="19:25" ht="12.75" customHeight="1" x14ac:dyDescent="0.25">
      <c r="S112" s="2"/>
      <c r="T112" s="2"/>
      <c r="U112" s="2"/>
      <c r="V112" s="2"/>
      <c r="W112" s="2"/>
      <c r="X112" s="2"/>
      <c r="Y112" s="2"/>
    </row>
    <row r="113" spans="19:25" ht="12.75" customHeight="1" x14ac:dyDescent="0.25">
      <c r="S113" s="2"/>
      <c r="T113" s="2"/>
      <c r="U113" s="2"/>
      <c r="V113" s="2"/>
      <c r="W113" s="2"/>
      <c r="X113" s="2"/>
      <c r="Y113" s="2"/>
    </row>
    <row r="114" spans="19:25" ht="12.75" customHeight="1" x14ac:dyDescent="0.25">
      <c r="S114" s="2"/>
      <c r="T114" s="2"/>
      <c r="U114" s="2"/>
      <c r="V114" s="2"/>
      <c r="W114" s="2"/>
      <c r="X114" s="2"/>
      <c r="Y114" s="2"/>
    </row>
    <row r="115" spans="19:25" ht="12.75" customHeight="1" x14ac:dyDescent="0.25">
      <c r="S115" s="2"/>
      <c r="T115" s="2"/>
      <c r="U115" s="2"/>
      <c r="V115" s="2"/>
      <c r="W115" s="2"/>
      <c r="X115" s="2"/>
      <c r="Y115" s="2"/>
    </row>
    <row r="116" spans="19:25" ht="12.75" customHeight="1" x14ac:dyDescent="0.25">
      <c r="S116" s="2"/>
      <c r="T116" s="2"/>
      <c r="U116" s="2"/>
      <c r="V116" s="2"/>
      <c r="W116" s="2"/>
      <c r="X116" s="2"/>
      <c r="Y116" s="2"/>
    </row>
    <row r="117" spans="19:25" ht="12.75" customHeight="1" x14ac:dyDescent="0.25">
      <c r="S117" s="2"/>
      <c r="T117" s="2"/>
      <c r="U117" s="2"/>
      <c r="V117" s="2"/>
      <c r="W117" s="2"/>
      <c r="X117" s="2"/>
      <c r="Y117" s="2"/>
    </row>
    <row r="118" spans="19:25" ht="12.75" customHeight="1" x14ac:dyDescent="0.25">
      <c r="S118" s="2"/>
      <c r="T118" s="2"/>
      <c r="U118" s="2"/>
      <c r="V118" s="2"/>
      <c r="W118" s="2"/>
      <c r="X118" s="2"/>
      <c r="Y118" s="2"/>
    </row>
    <row r="119" spans="19:25" ht="12.75" customHeight="1" x14ac:dyDescent="0.25">
      <c r="S119" s="2"/>
      <c r="T119" s="2"/>
      <c r="U119" s="2"/>
      <c r="V119" s="2"/>
      <c r="W119" s="2"/>
      <c r="X119" s="2"/>
      <c r="Y119" s="2"/>
    </row>
    <row r="120" spans="19:25" ht="12.75" customHeight="1" x14ac:dyDescent="0.25">
      <c r="S120" s="2"/>
      <c r="T120" s="2"/>
      <c r="U120" s="2"/>
      <c r="V120" s="2"/>
      <c r="W120" s="2"/>
      <c r="X120" s="2"/>
      <c r="Y120" s="2"/>
    </row>
    <row r="121" spans="19:25" ht="12.75" customHeight="1" x14ac:dyDescent="0.25">
      <c r="S121" s="2"/>
      <c r="T121" s="2"/>
      <c r="U121" s="2"/>
      <c r="V121" s="2"/>
      <c r="W121" s="2"/>
      <c r="X121" s="2"/>
      <c r="Y121" s="2"/>
    </row>
    <row r="122" spans="19:25" ht="12.75" customHeight="1" x14ac:dyDescent="0.25">
      <c r="S122" s="2"/>
      <c r="T122" s="2"/>
      <c r="U122" s="2"/>
      <c r="V122" s="2"/>
      <c r="W122" s="2"/>
      <c r="X122" s="2"/>
      <c r="Y122" s="2"/>
    </row>
  </sheetData>
  <sheetProtection algorithmName="SHA-512" hashValue="jBoTbAvMKgb29HYfOMD6rkuOaEMNRw2eIpkCfk2yDgeKEwkFXnUznnJ1U2DwBOUqbooiHPy7qGuB4lkLesbBGw==" saltValue="m01ioLRCxG03ciO54LnaGg==" spinCount="100000" sheet="1" objects="1" scenarios="1"/>
  <mergeCells count="30">
    <mergeCell ref="L52:M52"/>
    <mergeCell ref="D51:N51"/>
    <mergeCell ref="G23:G24"/>
    <mergeCell ref="C51:C53"/>
    <mergeCell ref="D52:E52"/>
    <mergeCell ref="F52:F53"/>
    <mergeCell ref="L4:N4"/>
    <mergeCell ref="L5:N5"/>
    <mergeCell ref="G52:H52"/>
    <mergeCell ref="H23:I24"/>
    <mergeCell ref="H26:H27"/>
    <mergeCell ref="I26:I27"/>
    <mergeCell ref="C16:I16"/>
    <mergeCell ref="N52:N53"/>
    <mergeCell ref="J52:K52"/>
    <mergeCell ref="I28:I33"/>
    <mergeCell ref="H34:H37"/>
    <mergeCell ref="H28:H33"/>
    <mergeCell ref="I52:I53"/>
    <mergeCell ref="H38:H39"/>
    <mergeCell ref="I38:I39"/>
    <mergeCell ref="I34:I37"/>
    <mergeCell ref="D3:F3"/>
    <mergeCell ref="H2:J3"/>
    <mergeCell ref="D2:F2"/>
    <mergeCell ref="C23:C25"/>
    <mergeCell ref="D24:D25"/>
    <mergeCell ref="E24:E25"/>
    <mergeCell ref="F24:F25"/>
    <mergeCell ref="D23:F23"/>
  </mergeCells>
  <conditionalFormatting sqref="D26:D39">
    <cfRule type="expression" dxfId="631" priority="1">
      <formula>$G$20&lt;&gt;"Não"</formula>
    </cfRule>
  </conditionalFormatting>
  <conditionalFormatting sqref="D40">
    <cfRule type="expression" dxfId="630" priority="2">
      <formula>AND($G$20="Sim",$D$40&lt;&gt;100)</formula>
    </cfRule>
  </conditionalFormatting>
  <conditionalFormatting sqref="G28">
    <cfRule type="expression" dxfId="629" priority="3">
      <formula>#REF!&lt;&gt;""</formula>
    </cfRule>
  </conditionalFormatting>
  <conditionalFormatting sqref="G29">
    <cfRule type="expression" dxfId="628" priority="4">
      <formula>#REF!&lt;&gt;""</formula>
    </cfRule>
  </conditionalFormatting>
  <conditionalFormatting sqref="G30">
    <cfRule type="expression" dxfId="627" priority="5">
      <formula>#REF!&lt;&gt;""</formula>
    </cfRule>
  </conditionalFormatting>
  <conditionalFormatting sqref="G31">
    <cfRule type="expression" dxfId="626" priority="6">
      <formula>#REF!&lt;&gt;""</formula>
    </cfRule>
  </conditionalFormatting>
  <conditionalFormatting sqref="G32">
    <cfRule type="expression" dxfId="625" priority="7">
      <formula>#REF!&lt;&gt;""</formula>
    </cfRule>
  </conditionalFormatting>
  <conditionalFormatting sqref="G33">
    <cfRule type="expression" dxfId="624" priority="8">
      <formula>#REF!&lt;&gt;""</formula>
    </cfRule>
  </conditionalFormatting>
  <conditionalFormatting sqref="D44">
    <cfRule type="expression" dxfId="623" priority="9">
      <formula>$D$44&gt;$H$28</formula>
    </cfRule>
  </conditionalFormatting>
  <conditionalFormatting sqref="D45">
    <cfRule type="expression" dxfId="622" priority="10">
      <formula>$D$45&gt;$H$26</formula>
    </cfRule>
  </conditionalFormatting>
  <dataValidations xWindow="552" yWindow="746" count="4">
    <dataValidation type="list" allowBlank="1" showErrorMessage="1" sqref="E12" xr:uid="{00000000-0002-0000-0100-000000000000}">
      <formula1>$P$8:$P$9</formula1>
    </dataValidation>
    <dataValidation type="decimal" allowBlank="1" showErrorMessage="1" error="Erro - Valor informado é superior ao material disponível  para coleta seletiva de recicláveis (em H28)." prompt="Não pode ser superior ao material disponível  para coleta seletiva de recicláveis (em H28)." sqref="D44" xr:uid="{00000000-0002-0000-0100-000001000000}">
      <formula1>0</formula1>
      <formula2>H28</formula2>
    </dataValidation>
    <dataValidation type="list" allowBlank="1" showErrorMessage="1" sqref="G20" xr:uid="{00000000-0002-0000-0100-000002000000}">
      <formula1>$P$2:$P$3</formula1>
    </dataValidation>
    <dataValidation type="decimal" allowBlank="1" showErrorMessage="1" error="Valor informado é superior ao material disponível  para coleta seletiva de orgânicos (em H25)." prompt="Erro - Valor informado é superior ao material disponível  para coleta seletiva de orgânicos (em H25)." sqref="D45" xr:uid="{00000000-0002-0000-0100-000003000000}">
      <formula1>0</formula1>
      <formula2>H26</formula2>
    </dataValidation>
  </dataValidations>
  <pageMargins left="0.511811024" right="0.511811024" top="0.78740157499999996" bottom="0.78740157499999996" header="0" footer="0"/>
  <pageSetup paperSize="9" orientation="portrait"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7">
    <tabColor rgb="FFC5E0B3"/>
    <pageSetUpPr fitToPage="1"/>
  </sheetPr>
  <dimension ref="A1:AI183"/>
  <sheetViews>
    <sheetView defaultGridColor="0" topLeftCell="A88" colorId="23" zoomScale="80" zoomScaleNormal="80" workbookViewId="0">
      <selection activeCell="F122" sqref="F122"/>
    </sheetView>
  </sheetViews>
  <sheetFormatPr defaultColWidth="14.42578125" defaultRowHeight="15" customHeight="1" x14ac:dyDescent="0.25"/>
  <cols>
    <col min="1" max="1" width="0.7109375" customWidth="1"/>
    <col min="2" max="2" width="2.85546875" style="77" customWidth="1"/>
    <col min="3" max="3" width="26.85546875" style="77" customWidth="1"/>
    <col min="4" max="4" width="15.42578125" style="77" customWidth="1"/>
    <col min="5" max="5" width="14.42578125" style="77" customWidth="1"/>
    <col min="6" max="8" width="13.42578125" style="77" customWidth="1"/>
    <col min="9" max="9" width="15.7109375" style="77" customWidth="1"/>
    <col min="10" max="10" width="14.42578125" style="77" customWidth="1"/>
    <col min="11" max="11" width="20.7109375" style="77" customWidth="1"/>
    <col min="12" max="12" width="14.42578125" style="77" customWidth="1"/>
    <col min="13" max="13" width="15.42578125" style="77" customWidth="1"/>
    <col min="14" max="14" width="16.7109375" style="77" customWidth="1"/>
    <col min="15" max="15" width="15.42578125" style="77" customWidth="1"/>
    <col min="16" max="16" width="3.42578125" style="77" customWidth="1"/>
    <col min="17" max="17" width="13.7109375" customWidth="1"/>
    <col min="18" max="18" width="11.42578125" customWidth="1"/>
    <col min="19" max="19" width="14.28515625" customWidth="1"/>
    <col min="20" max="21" width="11.42578125" customWidth="1"/>
    <col min="22" max="22" width="8.7109375" customWidth="1"/>
    <col min="23" max="23" width="9.42578125" customWidth="1"/>
    <col min="24" max="24" width="6.7109375" customWidth="1"/>
    <col min="25" max="25" width="13" customWidth="1"/>
    <col min="26" max="28" width="15" customWidth="1"/>
    <col min="29" max="29" width="15.7109375" customWidth="1"/>
    <col min="30" max="30" width="15" customWidth="1"/>
    <col min="31" max="31" width="9.42578125" customWidth="1"/>
    <col min="32" max="35" width="8.7109375" customWidth="1"/>
  </cols>
  <sheetData>
    <row r="1" spans="1:35" ht="18" customHeight="1" x14ac:dyDescent="0.25">
      <c r="A1" s="504"/>
      <c r="B1" s="399"/>
      <c r="C1" s="399"/>
      <c r="D1" s="399"/>
      <c r="E1" s="399"/>
      <c r="F1" s="399"/>
      <c r="G1" s="399"/>
      <c r="H1" s="399"/>
      <c r="I1" s="399"/>
      <c r="J1" s="516" t="s">
        <v>454</v>
      </c>
      <c r="K1" s="517"/>
      <c r="L1" s="399"/>
      <c r="M1" s="479"/>
      <c r="N1" s="479"/>
      <c r="O1" s="479"/>
      <c r="P1" s="465"/>
      <c r="Q1" s="479"/>
      <c r="R1" s="479"/>
      <c r="S1" s="479"/>
      <c r="T1" s="479"/>
      <c r="U1" s="479"/>
      <c r="V1" s="479"/>
      <c r="W1" s="479"/>
      <c r="X1" s="479"/>
      <c r="Y1" s="479"/>
      <c r="Z1" s="479"/>
      <c r="AA1" s="2"/>
      <c r="AB1" s="2"/>
      <c r="AC1" s="2"/>
      <c r="AD1" s="2"/>
      <c r="AE1" s="2"/>
      <c r="AF1" s="2"/>
      <c r="AG1" s="2"/>
      <c r="AH1" s="2"/>
      <c r="AI1" s="2"/>
    </row>
    <row r="2" spans="1:35" ht="18" customHeight="1" x14ac:dyDescent="0.25">
      <c r="A2" s="504"/>
      <c r="B2" s="399"/>
      <c r="C2" s="467" t="s">
        <v>436</v>
      </c>
      <c r="D2" s="2691" t="str">
        <f>IF('R-Entrada'!D2&lt;&gt;0,'R-Entrada'!D2,"")</f>
        <v>CIRSOP - Consórcio RSU Oeste Paulista</v>
      </c>
      <c r="E2" s="2692"/>
      <c r="F2" s="468"/>
      <c r="G2" s="468"/>
      <c r="H2" s="468"/>
      <c r="I2" s="399"/>
      <c r="J2" s="184"/>
      <c r="K2" s="518" t="s">
        <v>671</v>
      </c>
      <c r="L2" s="399"/>
      <c r="M2" s="399"/>
      <c r="N2" s="399"/>
      <c r="O2" s="399"/>
      <c r="P2" s="399"/>
      <c r="Q2" s="479"/>
      <c r="R2" s="479"/>
      <c r="S2" s="479"/>
      <c r="T2" s="479"/>
      <c r="U2" s="479"/>
      <c r="V2" s="479"/>
      <c r="W2" s="479"/>
      <c r="X2" s="479"/>
      <c r="Y2" s="479"/>
      <c r="Z2" s="479"/>
      <c r="AA2" s="2"/>
      <c r="AB2" s="2"/>
      <c r="AC2" s="2"/>
      <c r="AD2" s="2"/>
      <c r="AE2" s="2"/>
      <c r="AF2" s="2"/>
      <c r="AG2" s="2"/>
      <c r="AH2" s="2"/>
      <c r="AI2" s="2"/>
    </row>
    <row r="3" spans="1:35" ht="18" customHeight="1" x14ac:dyDescent="0.25">
      <c r="A3" s="504"/>
      <c r="B3" s="399"/>
      <c r="C3" s="467" t="s">
        <v>437</v>
      </c>
      <c r="D3" s="2691" t="str">
        <f>IF('R-Entrada'!D3&lt;&gt;0,'R-Entrada'!D3,"")</f>
        <v>Biodigestão c/ Prod. E. Elétrica</v>
      </c>
      <c r="E3" s="2692"/>
      <c r="F3" s="468"/>
      <c r="G3" s="468"/>
      <c r="H3" s="468"/>
      <c r="I3" s="399"/>
      <c r="J3" s="628"/>
      <c r="K3" s="518" t="s">
        <v>672</v>
      </c>
      <c r="L3" s="399"/>
      <c r="M3" s="399"/>
      <c r="N3" s="399"/>
      <c r="O3" s="399"/>
      <c r="P3" s="399"/>
      <c r="Q3" s="479"/>
      <c r="R3" s="479"/>
      <c r="S3" s="479"/>
      <c r="T3" s="479"/>
      <c r="U3" s="479"/>
      <c r="V3" s="479"/>
      <c r="W3" s="479"/>
      <c r="X3" s="479"/>
      <c r="Y3" s="479"/>
      <c r="Z3" s="479"/>
      <c r="AA3" s="2"/>
      <c r="AB3" s="2"/>
      <c r="AC3" s="2"/>
      <c r="AD3" s="2"/>
      <c r="AE3" s="2"/>
      <c r="AF3" s="2"/>
      <c r="AG3" s="2"/>
      <c r="AH3" s="2"/>
      <c r="AI3" s="2"/>
    </row>
    <row r="4" spans="1:35" ht="18" customHeight="1" x14ac:dyDescent="0.25">
      <c r="A4" s="504"/>
      <c r="B4" s="399"/>
      <c r="C4" s="399"/>
      <c r="D4" s="399"/>
      <c r="E4" s="399"/>
      <c r="F4" s="399"/>
      <c r="G4" s="399"/>
      <c r="H4" s="399"/>
      <c r="I4" s="399"/>
      <c r="J4" s="493"/>
      <c r="K4" s="518" t="s">
        <v>673</v>
      </c>
      <c r="L4" s="399"/>
      <c r="M4" s="399"/>
      <c r="N4" s="399"/>
      <c r="O4" s="399"/>
      <c r="P4" s="399"/>
      <c r="Q4" s="479"/>
      <c r="R4" s="479"/>
      <c r="S4" s="479"/>
      <c r="T4" s="479"/>
      <c r="U4" s="479"/>
      <c r="V4" s="479"/>
      <c r="W4" s="479"/>
      <c r="X4" s="479"/>
      <c r="Y4" s="479"/>
      <c r="Z4" s="479"/>
      <c r="AA4" s="2"/>
      <c r="AB4" s="2"/>
      <c r="AC4" s="2"/>
      <c r="AD4" s="2"/>
      <c r="AE4" s="2"/>
      <c r="AF4" s="2"/>
      <c r="AG4" s="2"/>
      <c r="AH4" s="2"/>
      <c r="AI4" s="2"/>
    </row>
    <row r="5" spans="1:35" ht="18" customHeight="1" x14ac:dyDescent="0.25">
      <c r="A5" s="504"/>
      <c r="B5" s="399"/>
      <c r="C5" s="399"/>
      <c r="D5" s="399"/>
      <c r="E5" s="399"/>
      <c r="F5" s="2662" t="s">
        <v>685</v>
      </c>
      <c r="G5" s="2708"/>
      <c r="H5" s="2709"/>
      <c r="I5" s="399"/>
      <c r="J5" s="122"/>
      <c r="K5" s="518" t="s">
        <v>674</v>
      </c>
      <c r="L5" s="399"/>
      <c r="M5" s="399"/>
      <c r="N5" s="2672" t="s">
        <v>424</v>
      </c>
      <c r="O5" s="2717"/>
      <c r="P5" s="2717"/>
      <c r="Q5" s="479"/>
      <c r="R5" s="479"/>
      <c r="S5" s="479"/>
      <c r="T5" s="479"/>
      <c r="U5" s="479"/>
      <c r="V5" s="479"/>
      <c r="W5" s="479"/>
      <c r="X5" s="479"/>
      <c r="Y5" s="479"/>
      <c r="Z5" s="479"/>
      <c r="AA5" s="2"/>
      <c r="AB5" s="2"/>
      <c r="AC5" s="2"/>
      <c r="AD5" s="2"/>
      <c r="AE5" s="2"/>
      <c r="AF5" s="2"/>
      <c r="AG5" s="2"/>
      <c r="AH5" s="2"/>
      <c r="AI5" s="2"/>
    </row>
    <row r="6" spans="1:35" ht="18" customHeight="1" x14ac:dyDescent="0.25">
      <c r="A6" s="504"/>
      <c r="B6" s="399"/>
      <c r="C6" s="468"/>
      <c r="D6" s="468"/>
      <c r="E6" s="468"/>
      <c r="F6" s="2710"/>
      <c r="G6" s="2711"/>
      <c r="H6" s="2712"/>
      <c r="I6" s="468"/>
      <c r="J6" s="629"/>
      <c r="K6" s="518" t="s">
        <v>675</v>
      </c>
      <c r="L6" s="399"/>
      <c r="M6" s="399"/>
      <c r="N6" s="2674" t="str">
        <f>Apresentação!I2</f>
        <v>RC-RSU V.1.0 - 15/10/2020</v>
      </c>
      <c r="O6" s="2674"/>
      <c r="P6" s="2674"/>
      <c r="Q6" s="479"/>
      <c r="R6" s="479"/>
      <c r="S6" s="479"/>
      <c r="T6" s="479"/>
      <c r="U6" s="479"/>
      <c r="V6" s="479"/>
      <c r="W6" s="479"/>
      <c r="X6" s="479"/>
      <c r="Y6" s="479"/>
      <c r="Z6" s="479"/>
      <c r="AA6" s="2"/>
      <c r="AB6" s="2"/>
      <c r="AC6" s="2"/>
      <c r="AD6" s="2"/>
      <c r="AE6" s="2"/>
      <c r="AF6" s="2"/>
      <c r="AG6" s="2"/>
      <c r="AH6" s="2"/>
      <c r="AI6" s="2"/>
    </row>
    <row r="7" spans="1:35" ht="18" customHeight="1" x14ac:dyDescent="0.25">
      <c r="A7" s="504"/>
      <c r="B7" s="399"/>
      <c r="C7" s="399"/>
      <c r="D7" s="468"/>
      <c r="E7" s="399"/>
      <c r="F7" s="399"/>
      <c r="G7" s="399"/>
      <c r="H7" s="399"/>
      <c r="I7" s="399"/>
      <c r="J7" s="788"/>
      <c r="K7" s="518" t="s">
        <v>676</v>
      </c>
      <c r="L7" s="399"/>
      <c r="M7" s="399"/>
      <c r="N7" s="399"/>
      <c r="O7" s="399"/>
      <c r="P7" s="399"/>
      <c r="Q7" s="479"/>
      <c r="R7" s="479"/>
      <c r="S7" s="479"/>
      <c r="T7" s="479"/>
      <c r="U7" s="479"/>
      <c r="V7" s="479"/>
      <c r="W7" s="479"/>
      <c r="X7" s="479"/>
      <c r="Y7" s="479"/>
      <c r="Z7" s="479"/>
      <c r="AA7" s="2"/>
      <c r="AB7" s="2"/>
      <c r="AC7" s="2"/>
      <c r="AD7" s="2"/>
      <c r="AE7" s="2"/>
      <c r="AF7" s="2"/>
      <c r="AG7" s="2"/>
      <c r="AH7" s="2"/>
      <c r="AI7" s="2"/>
    </row>
    <row r="8" spans="1:35" ht="18" customHeight="1" x14ac:dyDescent="0.25">
      <c r="A8" s="505"/>
      <c r="B8" s="2718" t="s">
        <v>462</v>
      </c>
      <c r="C8" s="2718"/>
      <c r="D8" s="2718"/>
      <c r="E8" s="2718"/>
      <c r="F8" s="2718"/>
      <c r="G8" s="399"/>
      <c r="H8" s="399"/>
      <c r="I8" s="399"/>
      <c r="J8" s="399"/>
      <c r="L8" s="399"/>
      <c r="M8" s="399"/>
      <c r="N8" s="399"/>
      <c r="O8" s="399"/>
      <c r="P8" s="399"/>
      <c r="Q8" s="479"/>
      <c r="R8" s="479"/>
      <c r="S8" s="479"/>
      <c r="T8" s="479"/>
      <c r="U8" s="479"/>
      <c r="V8" s="479"/>
      <c r="W8" s="479"/>
      <c r="X8" s="479"/>
      <c r="Y8" s="479"/>
      <c r="Z8" s="479"/>
      <c r="AA8" s="2"/>
      <c r="AB8" s="2"/>
      <c r="AC8" s="2"/>
      <c r="AD8" s="2"/>
      <c r="AE8" s="2"/>
      <c r="AF8" s="2"/>
      <c r="AG8" s="2"/>
      <c r="AH8" s="2"/>
      <c r="AI8" s="2"/>
    </row>
    <row r="9" spans="1:35" ht="18" customHeight="1" x14ac:dyDescent="0.25">
      <c r="A9" s="504"/>
      <c r="B9" s="399"/>
      <c r="C9" s="399"/>
      <c r="D9" s="399"/>
      <c r="E9" s="399"/>
      <c r="F9" s="399"/>
      <c r="G9" s="399"/>
      <c r="H9" s="399"/>
      <c r="I9" s="399"/>
      <c r="J9" s="399"/>
      <c r="K9" s="399"/>
      <c r="L9" s="399"/>
      <c r="M9" s="399"/>
      <c r="N9" s="399"/>
      <c r="O9" s="466"/>
      <c r="P9" s="399"/>
      <c r="Q9" s="479"/>
      <c r="R9" s="479"/>
      <c r="S9" s="479"/>
      <c r="T9" s="479"/>
      <c r="U9" s="479"/>
      <c r="V9" s="479"/>
      <c r="W9" s="479"/>
      <c r="X9" s="479"/>
      <c r="Y9" s="479"/>
      <c r="Z9" s="479"/>
      <c r="AA9" s="2"/>
      <c r="AB9" s="2"/>
      <c r="AC9" s="2"/>
      <c r="AD9" s="2"/>
      <c r="AE9" s="2"/>
      <c r="AF9" s="2"/>
      <c r="AG9" s="2"/>
      <c r="AH9" s="2"/>
      <c r="AI9" s="2"/>
    </row>
    <row r="10" spans="1:35" ht="25.9" customHeight="1" x14ac:dyDescent="0.25">
      <c r="A10" s="504"/>
      <c r="B10" s="399"/>
      <c r="C10" s="2677" t="s">
        <v>48</v>
      </c>
      <c r="D10" s="2671" t="s">
        <v>459</v>
      </c>
      <c r="E10" s="2669"/>
      <c r="F10" s="2669"/>
      <c r="G10" s="2669"/>
      <c r="H10" s="2669"/>
      <c r="I10" s="2669"/>
      <c r="J10" s="2669"/>
      <c r="K10" s="2669"/>
      <c r="L10" s="2669"/>
      <c r="M10" s="2669"/>
      <c r="N10" s="2669"/>
      <c r="O10" s="399"/>
      <c r="P10" s="399"/>
      <c r="Q10" s="479"/>
      <c r="R10" s="479"/>
      <c r="S10" s="479"/>
      <c r="T10" s="479"/>
      <c r="U10" s="479"/>
      <c r="V10" s="479"/>
      <c r="W10" s="479"/>
      <c r="X10" s="479"/>
      <c r="Y10" s="479"/>
      <c r="Z10" s="479"/>
      <c r="AA10" s="2"/>
      <c r="AB10" s="2"/>
      <c r="AC10" s="2"/>
      <c r="AD10" s="2"/>
      <c r="AE10" s="2"/>
      <c r="AF10" s="2"/>
      <c r="AG10" s="2"/>
      <c r="AH10" s="2"/>
      <c r="AI10" s="2"/>
    </row>
    <row r="11" spans="1:35" ht="22.5" customHeight="1" x14ac:dyDescent="0.25">
      <c r="A11" s="504"/>
      <c r="B11" s="399"/>
      <c r="C11" s="2669"/>
      <c r="D11" s="2671" t="s">
        <v>25</v>
      </c>
      <c r="E11" s="2669"/>
      <c r="F11" s="2677" t="s">
        <v>49</v>
      </c>
      <c r="G11" s="2671" t="s">
        <v>426</v>
      </c>
      <c r="H11" s="2669"/>
      <c r="I11" s="2671" t="s">
        <v>427</v>
      </c>
      <c r="J11" s="2671" t="s">
        <v>51</v>
      </c>
      <c r="K11" s="2669"/>
      <c r="L11" s="2671" t="s">
        <v>428</v>
      </c>
      <c r="M11" s="2669"/>
      <c r="N11" s="2707" t="s">
        <v>52</v>
      </c>
      <c r="O11" s="399"/>
      <c r="P11" s="399"/>
      <c r="Q11" s="479"/>
      <c r="R11" s="479"/>
      <c r="S11" s="479"/>
      <c r="T11" s="479"/>
      <c r="U11" s="479"/>
      <c r="V11" s="479"/>
      <c r="W11" s="479"/>
      <c r="X11" s="479"/>
      <c r="Y11" s="479"/>
      <c r="Z11" s="479"/>
      <c r="AA11" s="2"/>
      <c r="AB11" s="2"/>
      <c r="AC11" s="2"/>
      <c r="AD11" s="2"/>
      <c r="AE11" s="2"/>
      <c r="AF11" s="2"/>
      <c r="AG11" s="2"/>
      <c r="AH11" s="2"/>
      <c r="AI11" s="2"/>
    </row>
    <row r="12" spans="1:35" ht="31.15" customHeight="1" x14ac:dyDescent="0.25">
      <c r="A12" s="504"/>
      <c r="B12" s="399"/>
      <c r="C12" s="2669"/>
      <c r="D12" s="444" t="s">
        <v>53</v>
      </c>
      <c r="E12" s="444" t="s">
        <v>54</v>
      </c>
      <c r="F12" s="2669"/>
      <c r="G12" s="444" t="s">
        <v>55</v>
      </c>
      <c r="H12" s="444" t="s">
        <v>56</v>
      </c>
      <c r="I12" s="2669"/>
      <c r="J12" s="444" t="s">
        <v>57</v>
      </c>
      <c r="K12" s="444" t="s">
        <v>461</v>
      </c>
      <c r="L12" s="444" t="s">
        <v>429</v>
      </c>
      <c r="M12" s="440" t="s">
        <v>460</v>
      </c>
      <c r="N12" s="2669"/>
      <c r="O12" s="399"/>
      <c r="P12" s="399"/>
      <c r="Q12" s="479"/>
      <c r="R12" s="479" t="s">
        <v>6</v>
      </c>
      <c r="S12" s="479" t="s">
        <v>59</v>
      </c>
      <c r="T12" s="479" t="s">
        <v>60</v>
      </c>
      <c r="U12" s="479"/>
      <c r="V12" s="479"/>
      <c r="W12" s="479"/>
      <c r="X12" s="479"/>
      <c r="Y12" s="479"/>
      <c r="Z12" s="479"/>
      <c r="AA12" s="2"/>
      <c r="AB12" s="2"/>
      <c r="AC12" s="2"/>
      <c r="AD12" s="2"/>
      <c r="AE12" s="2"/>
      <c r="AF12" s="2"/>
      <c r="AG12" s="8"/>
      <c r="AH12" s="2"/>
      <c r="AI12" s="2"/>
    </row>
    <row r="13" spans="1:35" ht="18" customHeight="1" x14ac:dyDescent="0.25">
      <c r="A13" s="504"/>
      <c r="B13" s="399"/>
      <c r="C13" s="447" t="s">
        <v>200</v>
      </c>
      <c r="D13" s="141"/>
      <c r="E13" s="141"/>
      <c r="F13" s="113">
        <f>'R-Entrada'!F54</f>
        <v>0</v>
      </c>
      <c r="G13" s="113">
        <f>'R-Entrada'!G54</f>
        <v>0</v>
      </c>
      <c r="H13" s="113">
        <f>'R-Entrada'!H54</f>
        <v>0</v>
      </c>
      <c r="I13" s="113">
        <f>'R-Entrada'!I54</f>
        <v>0</v>
      </c>
      <c r="J13" s="113">
        <f>'R-Entrada'!J54</f>
        <v>0</v>
      </c>
      <c r="K13" s="113">
        <f>'R-Entrada'!K54</f>
        <v>0</v>
      </c>
      <c r="L13" s="141"/>
      <c r="M13" s="141"/>
      <c r="N13" s="90">
        <f>SUM(F13:M13)</f>
        <v>0</v>
      </c>
      <c r="O13" s="399"/>
      <c r="P13" s="399"/>
      <c r="Q13" s="479"/>
      <c r="R13" s="479" t="s">
        <v>7</v>
      </c>
      <c r="S13" s="479" t="s">
        <v>61</v>
      </c>
      <c r="T13" s="479" t="s">
        <v>62</v>
      </c>
      <c r="U13" s="479"/>
      <c r="V13" s="479"/>
      <c r="W13" s="479"/>
      <c r="X13" s="479"/>
      <c r="Y13" s="479"/>
      <c r="Z13" s="479"/>
      <c r="AA13" s="2"/>
      <c r="AB13" s="2"/>
      <c r="AC13" s="2"/>
      <c r="AD13" s="2"/>
      <c r="AE13" s="2"/>
      <c r="AF13" s="2"/>
      <c r="AG13" s="2"/>
      <c r="AH13" s="2"/>
      <c r="AI13" s="2"/>
    </row>
    <row r="14" spans="1:35" ht="18" customHeight="1" x14ac:dyDescent="0.25">
      <c r="A14" s="504"/>
      <c r="B14" s="399"/>
      <c r="C14" s="447" t="s">
        <v>58</v>
      </c>
      <c r="D14" s="113">
        <f>'R-Entrada'!D55</f>
        <v>0</v>
      </c>
      <c r="E14" s="113">
        <f>'R-Entrada'!E55</f>
        <v>0</v>
      </c>
      <c r="F14" s="141"/>
      <c r="G14" s="141"/>
      <c r="H14" s="141"/>
      <c r="I14" s="141"/>
      <c r="J14" s="141"/>
      <c r="K14" s="141"/>
      <c r="L14" s="141"/>
      <c r="M14" s="141"/>
      <c r="N14" s="90">
        <f>SUM(D14:E14)</f>
        <v>0</v>
      </c>
      <c r="O14" s="399"/>
      <c r="P14" s="399"/>
      <c r="Q14" s="479"/>
      <c r="R14" s="479"/>
      <c r="S14" s="479" t="s">
        <v>63</v>
      </c>
      <c r="T14" s="479" t="s">
        <v>64</v>
      </c>
      <c r="U14" s="479"/>
      <c r="V14" s="479"/>
      <c r="W14" s="479"/>
      <c r="X14" s="479"/>
      <c r="Y14" s="479"/>
      <c r="Z14" s="479"/>
      <c r="AA14" s="2"/>
      <c r="AB14" s="2"/>
      <c r="AC14" s="2"/>
      <c r="AD14" s="13"/>
      <c r="AE14" s="2"/>
      <c r="AF14" s="2"/>
      <c r="AG14" s="2"/>
      <c r="AH14" s="2"/>
      <c r="AI14" s="2"/>
    </row>
    <row r="15" spans="1:35" ht="18" customHeight="1" x14ac:dyDescent="0.25">
      <c r="A15" s="506"/>
      <c r="B15" s="465"/>
      <c r="C15" s="447" t="s">
        <v>425</v>
      </c>
      <c r="D15" s="113">
        <f>'R-Entrada'!D56</f>
        <v>35.719199999999994</v>
      </c>
      <c r="E15" s="113">
        <f>'R-Entrada'!E56</f>
        <v>2.214</v>
      </c>
      <c r="F15" s="113">
        <f>'R-Entrada'!F56</f>
        <v>9.6677999999999997</v>
      </c>
      <c r="G15" s="113">
        <f>'R-Entrada'!G56</f>
        <v>6.5682000000000009</v>
      </c>
      <c r="H15" s="113">
        <f>'R-Entrada'!H56</f>
        <v>3.3947999999999996</v>
      </c>
      <c r="I15" s="113">
        <f>'R-Entrada'!I56</f>
        <v>1.7711999999999997</v>
      </c>
      <c r="J15" s="113">
        <f>'R-Entrada'!J56</f>
        <v>1.6973999999999998</v>
      </c>
      <c r="K15" s="113">
        <f>'R-Entrada'!K56</f>
        <v>0.44279999999999992</v>
      </c>
      <c r="L15" s="113">
        <f>'R-Entrada'!L56</f>
        <v>7.48332</v>
      </c>
      <c r="M15" s="113">
        <f>'R-Entrada'!M56</f>
        <v>4.8412800000000011</v>
      </c>
      <c r="N15" s="90">
        <f>SUM(D15:M15)</f>
        <v>73.799999999999983</v>
      </c>
      <c r="O15" s="465"/>
      <c r="P15" s="465"/>
      <c r="Q15" s="479"/>
      <c r="R15" s="479"/>
      <c r="S15" s="479" t="s">
        <v>65</v>
      </c>
      <c r="T15" s="479" t="s">
        <v>63</v>
      </c>
      <c r="U15" s="479"/>
      <c r="V15" s="479"/>
      <c r="W15" s="479"/>
      <c r="X15" s="479"/>
      <c r="Y15" s="479"/>
      <c r="Z15" s="479"/>
      <c r="AA15" s="6"/>
      <c r="AB15" s="6"/>
      <c r="AC15" s="6"/>
      <c r="AD15" s="2"/>
      <c r="AE15" s="2"/>
      <c r="AF15" s="6"/>
      <c r="AG15" s="2"/>
      <c r="AH15" s="2"/>
      <c r="AI15" s="6"/>
    </row>
    <row r="16" spans="1:35" ht="18" customHeight="1" x14ac:dyDescent="0.25">
      <c r="A16" s="506"/>
      <c r="B16" s="465"/>
      <c r="C16" s="229" t="s">
        <v>52</v>
      </c>
      <c r="D16" s="142">
        <f>SUM(D14:D15)</f>
        <v>35.719199999999994</v>
      </c>
      <c r="E16" s="142">
        <f>SUM(E14:E15)</f>
        <v>2.214</v>
      </c>
      <c r="F16" s="142">
        <f t="shared" ref="F16:L16" si="0">SUM(F13:F15)</f>
        <v>9.6677999999999997</v>
      </c>
      <c r="G16" s="142">
        <f t="shared" si="0"/>
        <v>6.5682000000000009</v>
      </c>
      <c r="H16" s="142">
        <f t="shared" si="0"/>
        <v>3.3947999999999996</v>
      </c>
      <c r="I16" s="142">
        <f t="shared" si="0"/>
        <v>1.7711999999999997</v>
      </c>
      <c r="J16" s="142">
        <f t="shared" si="0"/>
        <v>1.6973999999999998</v>
      </c>
      <c r="K16" s="142">
        <f t="shared" si="0"/>
        <v>0.44279999999999992</v>
      </c>
      <c r="L16" s="142">
        <f t="shared" si="0"/>
        <v>7.48332</v>
      </c>
      <c r="M16" s="142">
        <f>M15</f>
        <v>4.8412800000000011</v>
      </c>
      <c r="N16" s="90">
        <f>SUM(N13:N15)</f>
        <v>73.799999999999983</v>
      </c>
      <c r="O16" s="465"/>
      <c r="P16" s="465"/>
      <c r="Q16" s="479"/>
      <c r="R16" s="479"/>
      <c r="S16" s="479"/>
      <c r="T16" s="479"/>
      <c r="U16" s="479"/>
      <c r="V16" s="479"/>
      <c r="W16" s="479"/>
      <c r="X16" s="479"/>
      <c r="Y16" s="479"/>
      <c r="Z16" s="479"/>
      <c r="AA16" s="6"/>
      <c r="AB16" s="6"/>
      <c r="AC16" s="6"/>
      <c r="AD16" s="2"/>
      <c r="AE16" s="2"/>
      <c r="AF16" s="6"/>
      <c r="AG16" s="2"/>
      <c r="AH16" s="2"/>
      <c r="AI16" s="6"/>
    </row>
    <row r="17" spans="1:35" ht="9" customHeight="1" x14ac:dyDescent="0.25">
      <c r="A17" s="506"/>
      <c r="B17" s="465"/>
      <c r="C17" s="465"/>
      <c r="D17" s="465"/>
      <c r="E17" s="519"/>
      <c r="F17" s="465"/>
      <c r="G17" s="465"/>
      <c r="H17" s="465"/>
      <c r="I17" s="465"/>
      <c r="J17" s="465"/>
      <c r="K17" s="465"/>
      <c r="L17" s="519"/>
      <c r="M17" s="465"/>
      <c r="N17" s="465"/>
      <c r="O17" s="465"/>
      <c r="P17" s="465"/>
      <c r="Q17" s="479"/>
      <c r="R17" s="479"/>
      <c r="S17" s="479"/>
      <c r="T17" s="479"/>
      <c r="U17" s="479"/>
      <c r="V17" s="479"/>
      <c r="W17" s="479"/>
      <c r="X17" s="479"/>
      <c r="Y17" s="479"/>
      <c r="Z17" s="479"/>
      <c r="AA17" s="6"/>
      <c r="AB17" s="6"/>
      <c r="AC17" s="6"/>
      <c r="AD17" s="6"/>
      <c r="AE17" s="2"/>
      <c r="AF17" s="2"/>
      <c r="AG17" s="6"/>
      <c r="AH17" s="2"/>
      <c r="AI17" s="2"/>
    </row>
    <row r="18" spans="1:35" ht="18" customHeight="1" x14ac:dyDescent="0.25">
      <c r="A18" s="506"/>
      <c r="B18" s="465"/>
      <c r="C18" s="465"/>
      <c r="D18" s="465"/>
      <c r="E18" s="465"/>
      <c r="F18" s="465"/>
      <c r="G18" s="465"/>
      <c r="H18" s="498" t="s">
        <v>66</v>
      </c>
      <c r="I18" s="145">
        <f>IF(N15=0,0,SUM(F15:K15)/N15*100)</f>
        <v>31.900000000000006</v>
      </c>
      <c r="J18" s="145">
        <f>IF(N15=0,0,SUM(D15:E15)/N15*100)</f>
        <v>51.4</v>
      </c>
      <c r="K18" s="520" t="s">
        <v>67</v>
      </c>
      <c r="L18" s="465"/>
      <c r="M18" s="465"/>
      <c r="N18" s="465"/>
      <c r="O18" s="465"/>
      <c r="P18" s="465"/>
      <c r="Q18" s="479"/>
      <c r="R18" s="479"/>
      <c r="S18" s="479"/>
      <c r="T18" s="479"/>
      <c r="U18" s="479"/>
      <c r="V18" s="479"/>
      <c r="W18" s="479"/>
      <c r="X18" s="479"/>
      <c r="Y18" s="479"/>
      <c r="Z18" s="479"/>
      <c r="AA18" s="6"/>
      <c r="AB18" s="6"/>
      <c r="AC18" s="6"/>
      <c r="AD18" s="6"/>
      <c r="AE18" s="2"/>
      <c r="AF18" s="2"/>
      <c r="AG18" s="6"/>
      <c r="AH18" s="2"/>
      <c r="AI18" s="2"/>
    </row>
    <row r="19" spans="1:35" ht="6.4" customHeight="1" x14ac:dyDescent="0.25">
      <c r="A19" s="506"/>
      <c r="B19" s="465"/>
      <c r="C19" s="465"/>
      <c r="D19" s="465"/>
      <c r="E19" s="465"/>
      <c r="F19" s="465"/>
      <c r="G19" s="465"/>
      <c r="H19" s="465"/>
      <c r="I19" s="465"/>
      <c r="J19" s="465"/>
      <c r="K19" s="465"/>
      <c r="L19" s="465"/>
      <c r="M19" s="465"/>
      <c r="N19" s="465"/>
      <c r="O19" s="465"/>
      <c r="P19" s="465"/>
      <c r="Q19" s="479"/>
      <c r="R19" s="479"/>
      <c r="S19" s="479"/>
      <c r="T19" s="479"/>
      <c r="U19" s="479"/>
      <c r="V19" s="479"/>
      <c r="W19" s="479"/>
      <c r="X19" s="479"/>
      <c r="Y19" s="479"/>
      <c r="Z19" s="479"/>
      <c r="AA19" s="6"/>
      <c r="AB19" s="6"/>
      <c r="AC19" s="6"/>
      <c r="AD19" s="6"/>
      <c r="AE19" s="2"/>
      <c r="AF19" s="2"/>
      <c r="AG19" s="6"/>
      <c r="AH19" s="2"/>
      <c r="AI19" s="2"/>
    </row>
    <row r="20" spans="1:35" ht="18" customHeight="1" x14ac:dyDescent="0.25">
      <c r="A20" s="506"/>
      <c r="B20" s="465"/>
      <c r="C20" s="465"/>
      <c r="D20" s="465"/>
      <c r="E20" s="465"/>
      <c r="F20" s="465"/>
      <c r="G20" s="465"/>
      <c r="H20" s="465"/>
      <c r="I20" s="465"/>
      <c r="J20" s="465"/>
      <c r="K20" s="465"/>
      <c r="L20" s="465"/>
      <c r="M20" s="465"/>
      <c r="N20" s="465"/>
      <c r="O20" s="465"/>
      <c r="P20" s="465"/>
      <c r="Q20" s="479"/>
      <c r="R20" s="479"/>
      <c r="S20" s="479"/>
      <c r="T20" s="479"/>
      <c r="U20" s="479"/>
      <c r="V20" s="479"/>
      <c r="W20" s="479"/>
      <c r="X20" s="479"/>
      <c r="Y20" s="479"/>
      <c r="Z20" s="479"/>
      <c r="AA20" s="6"/>
      <c r="AB20" s="6"/>
      <c r="AC20" s="6"/>
      <c r="AD20" s="6"/>
      <c r="AE20" s="2"/>
      <c r="AF20" s="2"/>
      <c r="AG20" s="6"/>
      <c r="AH20" s="2"/>
      <c r="AI20" s="2"/>
    </row>
    <row r="21" spans="1:35" ht="18.399999999999999" customHeight="1" x14ac:dyDescent="0.25">
      <c r="A21" s="507"/>
      <c r="B21" s="601"/>
      <c r="C21" s="101" t="s">
        <v>463</v>
      </c>
      <c r="D21" s="102"/>
      <c r="E21" s="102"/>
      <c r="F21" s="102"/>
      <c r="G21" s="100"/>
      <c r="H21" s="100"/>
      <c r="I21" s="100"/>
      <c r="J21" s="399"/>
      <c r="K21" s="465"/>
      <c r="L21" s="465"/>
      <c r="M21" s="465"/>
      <c r="N21" s="399"/>
      <c r="O21" s="399"/>
      <c r="P21" s="468"/>
      <c r="Q21" s="479"/>
      <c r="R21" s="479"/>
      <c r="S21" s="479"/>
      <c r="T21" s="479"/>
      <c r="U21" s="479"/>
      <c r="V21" s="479"/>
      <c r="W21" s="479"/>
      <c r="X21" s="479"/>
      <c r="Y21" s="479"/>
      <c r="Z21" s="479"/>
      <c r="AA21" s="2"/>
      <c r="AB21" s="2"/>
      <c r="AC21" s="2"/>
      <c r="AD21" s="2"/>
      <c r="AE21" s="2"/>
      <c r="AF21" s="2"/>
      <c r="AG21" s="6"/>
      <c r="AH21" s="2"/>
      <c r="AI21" s="2"/>
    </row>
    <row r="22" spans="1:35" ht="18.399999999999999" customHeight="1" x14ac:dyDescent="0.25">
      <c r="A22" s="506"/>
      <c r="B22" s="399"/>
      <c r="C22" s="482"/>
      <c r="D22" s="465"/>
      <c r="E22" s="399"/>
      <c r="F22" s="465"/>
      <c r="G22" s="399"/>
      <c r="H22" s="399"/>
      <c r="I22" s="399"/>
      <c r="J22" s="399"/>
      <c r="K22" s="556"/>
      <c r="L22" s="557"/>
      <c r="M22" s="558" t="s">
        <v>68</v>
      </c>
      <c r="N22" s="557"/>
      <c r="O22" s="561"/>
      <c r="P22" s="399"/>
      <c r="Q22" s="479"/>
      <c r="R22" s="479"/>
      <c r="S22" s="479"/>
      <c r="T22" s="479"/>
      <c r="U22" s="479"/>
      <c r="V22" s="479"/>
      <c r="W22" s="479"/>
      <c r="X22" s="479"/>
      <c r="Y22" s="479"/>
      <c r="Z22" s="479"/>
      <c r="AA22" s="3"/>
      <c r="AB22" s="3"/>
      <c r="AC22" s="3"/>
      <c r="AD22" s="3"/>
      <c r="AE22" s="3"/>
      <c r="AF22" s="2"/>
      <c r="AG22" s="6"/>
      <c r="AH22" s="2"/>
      <c r="AI22" s="2"/>
    </row>
    <row r="23" spans="1:35" ht="28.15" customHeight="1" x14ac:dyDescent="0.25">
      <c r="A23" s="506"/>
      <c r="B23" s="569"/>
      <c r="C23" s="564" t="s">
        <v>69</v>
      </c>
      <c r="D23" s="531"/>
      <c r="E23" s="529"/>
      <c r="F23" s="465"/>
      <c r="G23" s="570" t="s">
        <v>70</v>
      </c>
      <c r="H23" s="444"/>
      <c r="I23" s="444"/>
      <c r="J23" s="535"/>
      <c r="K23" s="444"/>
      <c r="L23" s="444" t="s">
        <v>52</v>
      </c>
      <c r="M23" s="440" t="s">
        <v>688</v>
      </c>
      <c r="N23" s="440" t="s">
        <v>687</v>
      </c>
      <c r="O23" s="440" t="s">
        <v>686</v>
      </c>
      <c r="P23" s="399"/>
      <c r="Q23" s="479"/>
      <c r="R23" s="479"/>
      <c r="S23" s="479"/>
      <c r="T23" s="479"/>
      <c r="U23" s="479"/>
      <c r="V23" s="479"/>
      <c r="W23" s="479"/>
      <c r="X23" s="479"/>
      <c r="Y23" s="479"/>
      <c r="Z23" s="479"/>
      <c r="AA23" s="2"/>
      <c r="AB23" s="6"/>
      <c r="AC23" s="6"/>
      <c r="AD23" s="6"/>
      <c r="AE23" s="2"/>
      <c r="AF23" s="2"/>
      <c r="AG23" s="6"/>
      <c r="AH23" s="2"/>
      <c r="AI23" s="2"/>
    </row>
    <row r="24" spans="1:35" ht="18" customHeight="1" x14ac:dyDescent="0.25">
      <c r="A24" s="506"/>
      <c r="B24" s="466"/>
      <c r="C24" s="567"/>
      <c r="D24" s="500" t="s">
        <v>71</v>
      </c>
      <c r="E24" s="90">
        <f>N13</f>
        <v>0</v>
      </c>
      <c r="F24" s="525"/>
      <c r="G24" s="572"/>
      <c r="H24" s="527" t="s">
        <v>87</v>
      </c>
      <c r="I24" s="780" t="s">
        <v>6</v>
      </c>
      <c r="J24" s="525"/>
      <c r="K24" s="559" t="s">
        <v>73</v>
      </c>
      <c r="L24" s="105">
        <f t="shared" ref="L24:L29" si="1">SUM(M24:O24)</f>
        <v>0.27190687499999999</v>
      </c>
      <c r="M24" s="106">
        <f>IF($E$28="Sim",F$13*'R-Avançado'!$H$11/100*$E$29/$N$13,0)</f>
        <v>0</v>
      </c>
      <c r="N24" s="106">
        <f>IF($E$32="Sim",F$13*'R-Avançado'!$G$11/100*$E$33/$N$13,0)</f>
        <v>0</v>
      </c>
      <c r="O24" s="562">
        <f>IF(AND($I$25&gt;0,$I$24="Sim"),$I$27/$N$15*F$15*'R-Avançado'!$F$11/100,0)</f>
        <v>0.27190687499999999</v>
      </c>
      <c r="P24" s="399"/>
      <c r="Q24" s="479"/>
      <c r="R24" s="479"/>
      <c r="S24" s="479"/>
      <c r="T24" s="479"/>
      <c r="U24" s="479"/>
      <c r="V24" s="479"/>
      <c r="W24" s="479"/>
      <c r="X24" s="479"/>
      <c r="Y24" s="479"/>
      <c r="Z24" s="479"/>
      <c r="AA24" s="6"/>
      <c r="AB24" s="6"/>
      <c r="AC24" s="6"/>
      <c r="AD24" s="6"/>
      <c r="AE24" s="6"/>
      <c r="AF24" s="6"/>
      <c r="AG24" s="6"/>
      <c r="AH24" s="2"/>
      <c r="AI24" s="2"/>
    </row>
    <row r="25" spans="1:35" ht="18" customHeight="1" x14ac:dyDescent="0.25">
      <c r="A25" s="506"/>
      <c r="B25" s="466"/>
      <c r="C25" s="567"/>
      <c r="D25" s="500" t="s">
        <v>74</v>
      </c>
      <c r="E25" s="660">
        <v>0</v>
      </c>
      <c r="F25" s="525"/>
      <c r="G25" s="572"/>
      <c r="H25" s="528" t="s">
        <v>71</v>
      </c>
      <c r="I25" s="230">
        <f>IF(I24="Sim",N15,0)</f>
        <v>73.799999999999983</v>
      </c>
      <c r="J25" s="525"/>
      <c r="K25" s="559" t="s">
        <v>29</v>
      </c>
      <c r="L25" s="105">
        <f t="shared" si="1"/>
        <v>0.18473062500000001</v>
      </c>
      <c r="M25" s="106">
        <f>IF($E$28="Sim",G$13*'R-Avançado'!$H$11/100*$E$29/$N$13,0)</f>
        <v>0</v>
      </c>
      <c r="N25" s="106">
        <f>IF($E$32="Sim",G$13*'R-Avançado'!$G$11/100*$E$33/$N$13,0)</f>
        <v>0</v>
      </c>
      <c r="O25" s="562">
        <f>IF(AND($I$25&gt;0,$I$24="Sim"),$I$27/$N$15*G$15*'R-Avançado'!$F$11/100,0)</f>
        <v>0.18473062500000001</v>
      </c>
      <c r="P25" s="399"/>
      <c r="Q25" s="479"/>
      <c r="R25" s="479"/>
      <c r="S25" s="479"/>
      <c r="T25" s="479"/>
      <c r="U25" s="479"/>
      <c r="V25" s="479"/>
      <c r="W25" s="479"/>
      <c r="X25" s="479"/>
      <c r="Y25" s="479"/>
      <c r="Z25" s="479"/>
      <c r="AA25" s="6"/>
      <c r="AB25" s="6"/>
      <c r="AC25" s="6"/>
      <c r="AD25" s="6"/>
      <c r="AE25" s="6"/>
      <c r="AF25" s="6"/>
      <c r="AG25" s="6"/>
      <c r="AH25" s="2"/>
      <c r="AI25" s="2"/>
    </row>
    <row r="26" spans="1:35" ht="18" customHeight="1" x14ac:dyDescent="0.25">
      <c r="A26" s="504"/>
      <c r="B26" s="466"/>
      <c r="C26" s="567"/>
      <c r="D26" s="500" t="s">
        <v>75</v>
      </c>
      <c r="E26" s="495">
        <f>IF(N13&lt;&gt;0,100-E25,0)</f>
        <v>0</v>
      </c>
      <c r="F26" s="466"/>
      <c r="G26" s="572"/>
      <c r="H26" s="528" t="s">
        <v>76</v>
      </c>
      <c r="I26" s="775">
        <v>12.5</v>
      </c>
      <c r="J26" s="2714" t="str">
        <f>IF(AND(I24="Sim",I27&lt;&gt;0,I27&lt;50),"Mín. é 50 t/d. Rever Célula I26","")</f>
        <v>Mín. é 50 t/d. Rever Célula I26</v>
      </c>
      <c r="K26" s="559" t="s">
        <v>77</v>
      </c>
      <c r="L26" s="105">
        <f t="shared" si="1"/>
        <v>9.5478750000000001E-2</v>
      </c>
      <c r="M26" s="106">
        <f>IF($E$28="Sim",H$13*'R-Avançado'!$H$11/100*$E$29/$N$13,0)</f>
        <v>0</v>
      </c>
      <c r="N26" s="106">
        <f>IF($E$32="Sim",H$13*'R-Avançado'!$G$11/100*$E$33/$N$13,0)</f>
        <v>0</v>
      </c>
      <c r="O26" s="562">
        <f>IF(AND($I$25&gt;0,$I$24="Sim"),$I$27/$N$15*H$15*'R-Avançado'!$F$11/100,0)</f>
        <v>9.5478750000000001E-2</v>
      </c>
      <c r="P26" s="399"/>
      <c r="Q26" s="479"/>
      <c r="R26" s="479"/>
      <c r="S26" s="479"/>
      <c r="T26" s="479"/>
      <c r="U26" s="479"/>
      <c r="V26" s="479"/>
      <c r="W26" s="479"/>
      <c r="X26" s="479"/>
      <c r="Y26" s="479"/>
      <c r="Z26" s="479"/>
      <c r="AA26" s="2"/>
      <c r="AB26" s="2"/>
      <c r="AC26" s="2"/>
      <c r="AD26" s="2"/>
      <c r="AE26" s="6"/>
      <c r="AF26" s="6"/>
      <c r="AG26" s="2"/>
      <c r="AH26" s="2"/>
      <c r="AI26" s="2"/>
    </row>
    <row r="27" spans="1:35" ht="18" customHeight="1" x14ac:dyDescent="0.25">
      <c r="A27" s="504"/>
      <c r="B27" s="466"/>
      <c r="C27" s="532"/>
      <c r="D27" s="533"/>
      <c r="E27" s="571"/>
      <c r="F27" s="466"/>
      <c r="G27" s="572"/>
      <c r="H27" s="528" t="s">
        <v>78</v>
      </c>
      <c r="I27" s="230">
        <f>I25*I26/100</f>
        <v>9.2249999999999979</v>
      </c>
      <c r="J27" s="2715"/>
      <c r="K27" s="559" t="s">
        <v>31</v>
      </c>
      <c r="L27" s="105">
        <f t="shared" si="1"/>
        <v>4.9814999999999984E-2</v>
      </c>
      <c r="M27" s="106">
        <f>IF($E$28="Sim",I$13*'R-Avançado'!$H$11/100*$E$29/$N$13,0)</f>
        <v>0</v>
      </c>
      <c r="N27" s="106">
        <f>IF($E$32="Sim",I$13*'R-Avançado'!$G$11/100*$E$33/$N$13,0)</f>
        <v>0</v>
      </c>
      <c r="O27" s="562">
        <f>IF(AND($I$25&gt;0,$I$24="Sim"),$I$27/$N$15*I$15*'R-Avançado'!$F$11/100,0)</f>
        <v>4.9814999999999984E-2</v>
      </c>
      <c r="P27" s="399"/>
      <c r="Q27" s="479"/>
      <c r="R27" s="479"/>
      <c r="S27" s="479"/>
      <c r="T27" s="479"/>
      <c r="U27" s="479"/>
      <c r="V27" s="479"/>
      <c r="W27" s="479"/>
      <c r="X27" s="479"/>
      <c r="Y27" s="479"/>
      <c r="Z27" s="479"/>
      <c r="AA27" s="2"/>
      <c r="AB27" s="2"/>
      <c r="AC27" s="2"/>
      <c r="AD27" s="2"/>
      <c r="AE27" s="6"/>
      <c r="AF27" s="6"/>
      <c r="AG27" s="2"/>
      <c r="AH27" s="2"/>
      <c r="AI27" s="2"/>
    </row>
    <row r="28" spans="1:35" ht="18" customHeight="1" x14ac:dyDescent="0.25">
      <c r="A28" s="504"/>
      <c r="B28" s="465"/>
      <c r="C28" s="565"/>
      <c r="D28" s="527" t="s">
        <v>91</v>
      </c>
      <c r="E28" s="568" t="str">
        <f>IF(AND(E24&gt;0,E25&gt;0),"Sim","Não")</f>
        <v>Não</v>
      </c>
      <c r="F28" s="2714" t="str">
        <f>IF(E29&gt;100,"Máx. é 100 t/d. Rever Célula E25","")</f>
        <v/>
      </c>
      <c r="G28" s="572"/>
      <c r="H28" s="528" t="s">
        <v>80</v>
      </c>
      <c r="I28" s="776" t="s">
        <v>63</v>
      </c>
      <c r="J28" s="466"/>
      <c r="K28" s="559" t="s">
        <v>32</v>
      </c>
      <c r="L28" s="105">
        <f t="shared" si="1"/>
        <v>4.7739375000000001E-2</v>
      </c>
      <c r="M28" s="106">
        <f>IF($E$28="Sim",J$13*'R-Avançado'!$H$11/100*$E$29/$N$13,0)</f>
        <v>0</v>
      </c>
      <c r="N28" s="106">
        <f>IF($E$32="Sim",J$13*'R-Avançado'!$G$11/100*$E$33/$N$13,0)</f>
        <v>0</v>
      </c>
      <c r="O28" s="562">
        <f>IF(AND($I$25&gt;0,$I$24="Sim"),$I$27/$N$15*J$15*'R-Avançado'!$F$11/100,0)</f>
        <v>4.7739375000000001E-2</v>
      </c>
      <c r="P28" s="399"/>
      <c r="Q28" s="479"/>
      <c r="R28" s="479"/>
      <c r="S28" s="479"/>
      <c r="T28" s="479"/>
      <c r="U28" s="479"/>
      <c r="V28" s="479"/>
      <c r="W28" s="479"/>
      <c r="X28" s="479"/>
      <c r="Y28" s="479"/>
      <c r="Z28" s="479"/>
      <c r="AA28" s="2"/>
      <c r="AB28" s="6"/>
      <c r="AC28" s="6"/>
      <c r="AD28" s="6"/>
      <c r="AE28" s="6"/>
      <c r="AF28" s="6"/>
      <c r="AG28" s="2"/>
      <c r="AH28" s="2"/>
      <c r="AI28" s="2"/>
    </row>
    <row r="29" spans="1:35" ht="18" customHeight="1" x14ac:dyDescent="0.25">
      <c r="A29" s="504"/>
      <c r="B29" s="465"/>
      <c r="C29" s="566"/>
      <c r="D29" s="534" t="s">
        <v>81</v>
      </c>
      <c r="E29" s="90">
        <f>E24*E25/100</f>
        <v>0</v>
      </c>
      <c r="F29" s="2715"/>
      <c r="G29" s="572"/>
      <c r="H29" s="528" t="s">
        <v>82</v>
      </c>
      <c r="I29" s="776" t="s">
        <v>63</v>
      </c>
      <c r="J29" s="466"/>
      <c r="K29" s="559" t="s">
        <v>83</v>
      </c>
      <c r="L29" s="105">
        <f t="shared" si="1"/>
        <v>1.2453749999999996E-2</v>
      </c>
      <c r="M29" s="106">
        <f>IF($E$28="Sim",K$13*'R-Avançado'!$H$11/100*$E$29/$N$13,0)</f>
        <v>0</v>
      </c>
      <c r="N29" s="106">
        <f>IF($E$32="Sim",K$13*'R-Avançado'!$G$11/100*$E$33/$N$13,0)</f>
        <v>0</v>
      </c>
      <c r="O29" s="562">
        <f>IF(AND($I$25&gt;0,$I$24="Sim"),$I$27/$N$15*K$15*'R-Avançado'!$F$11/100,0)</f>
        <v>1.2453749999999996E-2</v>
      </c>
      <c r="P29" s="399"/>
      <c r="Q29" s="479"/>
      <c r="R29" s="479"/>
      <c r="S29" s="479"/>
      <c r="T29" s="479"/>
      <c r="U29" s="479"/>
      <c r="V29" s="479"/>
      <c r="W29" s="479"/>
      <c r="X29" s="479"/>
      <c r="Y29" s="479"/>
      <c r="Z29" s="479"/>
      <c r="AA29" s="2"/>
      <c r="AB29" s="6"/>
      <c r="AC29" s="6"/>
      <c r="AD29" s="6"/>
      <c r="AE29" s="6"/>
      <c r="AF29" s="6"/>
      <c r="AG29" s="2"/>
      <c r="AH29" s="2"/>
      <c r="AI29" s="2"/>
    </row>
    <row r="30" spans="1:35" ht="18" customHeight="1" x14ac:dyDescent="0.25">
      <c r="A30" s="504"/>
      <c r="B30" s="465"/>
      <c r="C30" s="567"/>
      <c r="D30" s="534" t="s">
        <v>80</v>
      </c>
      <c r="E30" s="787" t="s">
        <v>63</v>
      </c>
      <c r="F30" s="2715"/>
      <c r="G30" s="399"/>
      <c r="H30" s="399"/>
      <c r="I30" s="399"/>
      <c r="J30" s="536"/>
      <c r="K30" s="560" t="s">
        <v>464</v>
      </c>
      <c r="L30" s="107">
        <f>SUM(L24:L29)</f>
        <v>0.6621243750000001</v>
      </c>
      <c r="M30" s="185">
        <f>SUM(M24:M29)</f>
        <v>0</v>
      </c>
      <c r="N30" s="185">
        <f>SUM(N24:N29)</f>
        <v>0</v>
      </c>
      <c r="O30" s="563">
        <f>SUM(O24:O29)</f>
        <v>0.6621243750000001</v>
      </c>
      <c r="P30" s="399"/>
      <c r="Q30" s="479"/>
      <c r="R30" s="479"/>
      <c r="S30" s="479"/>
      <c r="T30" s="479"/>
      <c r="U30" s="479"/>
      <c r="V30" s="479"/>
      <c r="W30" s="479"/>
      <c r="X30" s="479"/>
      <c r="Y30" s="479"/>
      <c r="Z30" s="479"/>
      <c r="AA30" s="2"/>
      <c r="AB30" s="2"/>
      <c r="AC30" s="2"/>
      <c r="AD30" s="2"/>
      <c r="AE30" s="2"/>
      <c r="AF30" s="2"/>
      <c r="AG30" s="2"/>
      <c r="AH30" s="2"/>
      <c r="AI30" s="2"/>
    </row>
    <row r="31" spans="1:35" ht="17.649999999999999" customHeight="1" x14ac:dyDescent="0.25">
      <c r="A31" s="504"/>
      <c r="B31" s="78"/>
      <c r="C31" s="499"/>
      <c r="D31" s="500"/>
      <c r="E31" s="501"/>
      <c r="F31" s="526"/>
      <c r="G31" s="2695" t="s">
        <v>84</v>
      </c>
      <c r="H31" s="2696"/>
      <c r="I31" s="2697"/>
      <c r="J31" s="399"/>
      <c r="K31" s="399"/>
      <c r="L31" s="399"/>
      <c r="M31" s="399"/>
      <c r="N31" s="399"/>
      <c r="O31" s="399"/>
      <c r="P31" s="399"/>
      <c r="Q31" s="479"/>
      <c r="R31" s="479" t="s">
        <v>85</v>
      </c>
      <c r="S31" s="479"/>
      <c r="T31" s="479"/>
      <c r="U31" s="479"/>
      <c r="V31" s="479"/>
      <c r="W31" s="479"/>
      <c r="X31" s="479"/>
      <c r="Y31" s="479"/>
      <c r="Z31" s="479"/>
      <c r="AA31" s="2"/>
      <c r="AB31" s="2"/>
      <c r="AC31" s="2"/>
      <c r="AD31" s="2"/>
      <c r="AE31" s="2"/>
      <c r="AF31" s="2"/>
      <c r="AG31" s="2"/>
      <c r="AH31" s="2"/>
      <c r="AI31" s="2"/>
    </row>
    <row r="32" spans="1:35" ht="18" customHeight="1" x14ac:dyDescent="0.25">
      <c r="A32" s="504"/>
      <c r="B32" s="399"/>
      <c r="C32" s="565"/>
      <c r="D32" s="527" t="s">
        <v>92</v>
      </c>
      <c r="E32" s="568" t="str">
        <f>IF(AND(E24&gt;0,E26&gt;0),"Sim","Não")</f>
        <v>Não</v>
      </c>
      <c r="F32" s="2714" t="str">
        <f>IF(AND(E24&gt;0,E33&lt;50,E33&gt;0),"Mín. é 50 t/d. Rever Célula E25","")</f>
        <v/>
      </c>
      <c r="G32" s="565"/>
      <c r="H32" s="528" t="s">
        <v>91</v>
      </c>
      <c r="I32" s="660" t="s">
        <v>88</v>
      </c>
      <c r="J32" s="399"/>
      <c r="K32" s="217" t="s">
        <v>722</v>
      </c>
      <c r="L32" s="90">
        <f>O32+O33</f>
        <v>4.0304024999999992</v>
      </c>
      <c r="M32" s="576"/>
      <c r="N32" s="804" t="s">
        <v>53</v>
      </c>
      <c r="O32" s="802">
        <f>IF(AND($I$25&gt;0,$I$24="Sim"),I27/N15*D15*'R-Avançado'!E11/100,0)</f>
        <v>3.7951649999999995</v>
      </c>
      <c r="P32" s="399"/>
      <c r="Q32" s="479"/>
      <c r="R32" s="479" t="s">
        <v>89</v>
      </c>
      <c r="S32" s="479"/>
      <c r="T32" s="479"/>
      <c r="U32" s="479"/>
      <c r="V32" s="479"/>
      <c r="W32" s="479"/>
      <c r="X32" s="479"/>
      <c r="Y32" s="479"/>
      <c r="Z32" s="479"/>
      <c r="AA32" s="2"/>
      <c r="AB32" s="2"/>
      <c r="AC32" s="2"/>
      <c r="AD32" s="2"/>
      <c r="AE32" s="2"/>
      <c r="AF32" s="2"/>
      <c r="AG32" s="2"/>
      <c r="AH32" s="2"/>
      <c r="AI32" s="2"/>
    </row>
    <row r="33" spans="1:35" ht="18" customHeight="1" x14ac:dyDescent="0.25">
      <c r="A33" s="504"/>
      <c r="B33" s="399"/>
      <c r="C33" s="566"/>
      <c r="D33" s="500" t="s">
        <v>90</v>
      </c>
      <c r="E33" s="90">
        <f>E24*E26/100</f>
        <v>0</v>
      </c>
      <c r="F33" s="2715"/>
      <c r="G33" s="565"/>
      <c r="H33" s="528" t="s">
        <v>92</v>
      </c>
      <c r="I33" s="660" t="s">
        <v>88</v>
      </c>
      <c r="J33" s="399"/>
      <c r="K33" s="217" t="s">
        <v>723</v>
      </c>
      <c r="L33" s="90">
        <f>'R-Entrada'!E45</f>
        <v>0</v>
      </c>
      <c r="M33" s="577"/>
      <c r="N33" s="804" t="s">
        <v>54</v>
      </c>
      <c r="O33" s="802">
        <f>IF(AND($I$25&gt;0,$I$24="Sim"),I27/N15*E15*'R-Avançado'!E11/100,0)</f>
        <v>0.23523749999999999</v>
      </c>
      <c r="P33" s="399"/>
      <c r="Q33" s="479"/>
      <c r="R33" s="479"/>
      <c r="S33" s="479"/>
      <c r="T33" s="479"/>
      <c r="U33" s="479"/>
      <c r="V33" s="479"/>
      <c r="W33" s="479"/>
      <c r="X33" s="479"/>
      <c r="Y33" s="479"/>
      <c r="Z33" s="479"/>
      <c r="AA33" s="2"/>
      <c r="AB33" s="2"/>
      <c r="AC33" s="2"/>
      <c r="AD33" s="2"/>
      <c r="AE33" s="2"/>
      <c r="AF33" s="2"/>
      <c r="AG33" s="2"/>
      <c r="AH33" s="2"/>
      <c r="AI33" s="2"/>
    </row>
    <row r="34" spans="1:35" ht="18" customHeight="1" x14ac:dyDescent="0.25">
      <c r="A34" s="504"/>
      <c r="B34" s="399"/>
      <c r="C34" s="567"/>
      <c r="D34" s="534" t="s">
        <v>80</v>
      </c>
      <c r="E34" s="787" t="s">
        <v>63</v>
      </c>
      <c r="F34" s="2715"/>
      <c r="G34" s="573"/>
      <c r="H34" s="528" t="s">
        <v>866</v>
      </c>
      <c r="I34" s="775" t="s">
        <v>88</v>
      </c>
      <c r="J34" s="399"/>
      <c r="K34" s="574" t="s">
        <v>728</v>
      </c>
      <c r="L34" s="90">
        <f>SUM(M34:O34)</f>
        <v>3.5483962499999997</v>
      </c>
      <c r="M34" s="90">
        <f>IF(E28="Sim",E29*(1-'R-Avançado'!H11/100)*0.9,0)</f>
        <v>0</v>
      </c>
      <c r="N34" s="803">
        <f>IF(E32="Sim",E33*(1-'R-Avançado'!G11/100)*0.9,0)</f>
        <v>0</v>
      </c>
      <c r="O34" s="90">
        <f>D43+E43+F43+G43+H43+L43</f>
        <v>3.5483962499999997</v>
      </c>
      <c r="P34" s="399"/>
      <c r="Q34" s="479"/>
      <c r="R34" s="479"/>
      <c r="S34" s="479"/>
      <c r="T34" s="479"/>
      <c r="U34" s="479"/>
      <c r="V34" s="479"/>
      <c r="W34" s="479"/>
      <c r="X34" s="479"/>
      <c r="Y34" s="479"/>
      <c r="Z34" s="479"/>
      <c r="AA34" s="2"/>
      <c r="AB34" s="2"/>
      <c r="AC34" s="2"/>
      <c r="AD34" s="2"/>
      <c r="AE34" s="2"/>
      <c r="AF34" s="2"/>
      <c r="AG34" s="2"/>
      <c r="AH34" s="2"/>
      <c r="AI34" s="2"/>
    </row>
    <row r="35" spans="1:35" ht="18" customHeight="1" x14ac:dyDescent="0.25">
      <c r="A35" s="504"/>
      <c r="B35" s="399"/>
      <c r="C35" s="483"/>
      <c r="D35" s="399"/>
      <c r="E35" s="399"/>
      <c r="F35" s="399"/>
      <c r="G35" s="573"/>
      <c r="H35" s="528" t="s">
        <v>867</v>
      </c>
      <c r="I35" s="775" t="s">
        <v>88</v>
      </c>
      <c r="J35" s="399"/>
      <c r="K35" s="574" t="s">
        <v>739</v>
      </c>
      <c r="L35" s="90">
        <f>SUM(M35:O35)</f>
        <v>0.98407687500000007</v>
      </c>
      <c r="M35" s="90">
        <f>IF(E28="Sim",E29*(1-'R-Avançado'!H11/100)*0.1,0)</f>
        <v>0</v>
      </c>
      <c r="N35" s="90">
        <f>IF(E32="Sim",E33*(1-'R-Avançado'!G11/100)*0.1,0)</f>
        <v>0</v>
      </c>
      <c r="O35" s="90">
        <f>M43+K43+J43+I43</f>
        <v>0.98407687500000007</v>
      </c>
      <c r="P35" s="399"/>
      <c r="Q35" s="479"/>
      <c r="R35" s="479"/>
      <c r="S35" s="479"/>
      <c r="T35" s="479"/>
      <c r="U35" s="479"/>
      <c r="V35" s="479"/>
      <c r="W35" s="479"/>
      <c r="X35" s="479"/>
      <c r="Y35" s="479"/>
      <c r="Z35" s="479"/>
      <c r="AA35" s="2"/>
      <c r="AB35" s="2"/>
      <c r="AC35" s="2"/>
      <c r="AD35" s="2"/>
      <c r="AE35" s="2"/>
      <c r="AF35" s="2"/>
      <c r="AG35" s="2"/>
      <c r="AH35" s="2"/>
      <c r="AI35" s="2"/>
    </row>
    <row r="36" spans="1:35" ht="19.149999999999999" customHeight="1" x14ac:dyDescent="0.25">
      <c r="A36" s="504"/>
      <c r="B36" s="399"/>
      <c r="C36" s="399"/>
      <c r="D36" s="399"/>
      <c r="E36" s="399"/>
      <c r="F36" s="399"/>
      <c r="G36" s="399"/>
      <c r="H36" s="399"/>
      <c r="I36" s="399"/>
      <c r="J36" s="399"/>
      <c r="K36" s="479"/>
      <c r="L36" s="483"/>
      <c r="M36" s="483"/>
      <c r="N36" s="483"/>
      <c r="O36" s="483"/>
      <c r="P36" s="399"/>
      <c r="Q36" s="479"/>
      <c r="R36" s="479"/>
      <c r="S36" s="479"/>
      <c r="T36" s="479"/>
      <c r="U36" s="479"/>
      <c r="V36" s="479"/>
      <c r="W36" s="479"/>
      <c r="X36" s="479"/>
      <c r="Y36" s="479"/>
      <c r="Z36" s="479"/>
      <c r="AA36" s="2"/>
      <c r="AB36" s="2"/>
      <c r="AC36" s="2"/>
      <c r="AD36" s="2"/>
      <c r="AE36" s="2"/>
      <c r="AF36" s="2"/>
      <c r="AG36" s="2"/>
      <c r="AH36" s="2"/>
      <c r="AI36" s="2"/>
    </row>
    <row r="37" spans="1:35" ht="4.1500000000000004" customHeight="1" x14ac:dyDescent="0.25">
      <c r="A37" s="504"/>
      <c r="B37" s="399"/>
      <c r="C37" s="483"/>
      <c r="D37" s="483"/>
      <c r="E37" s="399"/>
      <c r="F37" s="399"/>
      <c r="G37" s="399"/>
      <c r="H37" s="399"/>
      <c r="I37" s="399"/>
      <c r="J37" s="399"/>
      <c r="K37" s="479"/>
      <c r="L37" s="399"/>
      <c r="M37" s="399"/>
      <c r="N37" s="479"/>
      <c r="O37" s="399"/>
      <c r="P37" s="399"/>
      <c r="Q37" s="479"/>
      <c r="R37" s="479"/>
      <c r="S37" s="479"/>
      <c r="T37" s="479"/>
      <c r="U37" s="479"/>
      <c r="V37" s="479"/>
      <c r="W37" s="479"/>
      <c r="X37" s="479"/>
      <c r="Y37" s="479"/>
      <c r="Z37" s="479"/>
      <c r="AA37" s="2"/>
      <c r="AB37" s="2"/>
      <c r="AC37" s="2"/>
      <c r="AD37" s="2"/>
      <c r="AE37" s="2"/>
      <c r="AF37" s="2"/>
      <c r="AG37" s="2"/>
      <c r="AH37" s="2"/>
      <c r="AI37" s="2"/>
    </row>
    <row r="38" spans="1:35" ht="22.5" customHeight="1" x14ac:dyDescent="0.25">
      <c r="A38" s="504"/>
      <c r="B38" s="399"/>
      <c r="C38" s="466"/>
      <c r="D38" s="2675" t="s">
        <v>465</v>
      </c>
      <c r="E38" s="2676"/>
      <c r="F38" s="2676"/>
      <c r="G38" s="2676"/>
      <c r="H38" s="2676"/>
      <c r="I38" s="2676"/>
      <c r="J38" s="2676"/>
      <c r="K38" s="2676"/>
      <c r="L38" s="2676"/>
      <c r="M38" s="2676"/>
      <c r="N38" s="2676"/>
      <c r="O38" s="399"/>
      <c r="P38" s="399"/>
      <c r="Q38" s="479"/>
      <c r="R38" s="479"/>
      <c r="S38" s="479" t="s">
        <v>93</v>
      </c>
      <c r="T38" s="479"/>
      <c r="U38" s="479"/>
      <c r="V38" s="479"/>
      <c r="W38" s="479"/>
      <c r="X38" s="479"/>
      <c r="Y38" s="479"/>
      <c r="Z38" s="479"/>
      <c r="AA38" s="2"/>
      <c r="AB38" s="2"/>
      <c r="AC38" s="2"/>
      <c r="AD38" s="2"/>
      <c r="AE38" s="2"/>
      <c r="AF38" s="2"/>
      <c r="AG38" s="2"/>
      <c r="AH38" s="2"/>
      <c r="AI38" s="2"/>
    </row>
    <row r="39" spans="1:35" ht="17.649999999999999" customHeight="1" x14ac:dyDescent="0.25">
      <c r="A39" s="504"/>
      <c r="B39" s="399"/>
      <c r="C39" s="403"/>
      <c r="D39" s="2675" t="s">
        <v>25</v>
      </c>
      <c r="E39" s="2713"/>
      <c r="F39" s="2690" t="s">
        <v>49</v>
      </c>
      <c r="G39" s="2675" t="s">
        <v>426</v>
      </c>
      <c r="H39" s="2713"/>
      <c r="I39" s="2675" t="s">
        <v>50</v>
      </c>
      <c r="J39" s="2675" t="s">
        <v>51</v>
      </c>
      <c r="K39" s="2713"/>
      <c r="L39" s="2675" t="s">
        <v>428</v>
      </c>
      <c r="M39" s="2713"/>
      <c r="N39" s="2684" t="s">
        <v>52</v>
      </c>
      <c r="O39" s="399"/>
      <c r="P39" s="399"/>
      <c r="Q39" s="479"/>
      <c r="R39" s="479"/>
      <c r="S39" s="479" t="s">
        <v>61</v>
      </c>
      <c r="T39" s="479">
        <f>IF($E$30="CDR",M34,0)</f>
        <v>0</v>
      </c>
      <c r="U39" s="479"/>
      <c r="V39" s="479"/>
      <c r="W39" s="479"/>
      <c r="X39" s="479"/>
      <c r="Y39" s="479"/>
      <c r="Z39" s="479"/>
      <c r="AA39" s="2"/>
      <c r="AB39" s="2"/>
      <c r="AC39" s="2"/>
      <c r="AD39" s="2"/>
      <c r="AE39" s="2"/>
      <c r="AF39" s="2"/>
      <c r="AG39" s="2"/>
      <c r="AH39" s="2"/>
      <c r="AI39" s="2"/>
    </row>
    <row r="40" spans="1:35" ht="32.65" customHeight="1" x14ac:dyDescent="0.25">
      <c r="A40" s="504"/>
      <c r="B40" s="399"/>
      <c r="C40" s="403"/>
      <c r="D40" s="441" t="s">
        <v>53</v>
      </c>
      <c r="E40" s="441" t="s">
        <v>54</v>
      </c>
      <c r="F40" s="2716"/>
      <c r="G40" s="441" t="s">
        <v>55</v>
      </c>
      <c r="H40" s="441" t="s">
        <v>56</v>
      </c>
      <c r="I40" s="2713"/>
      <c r="J40" s="441" t="s">
        <v>57</v>
      </c>
      <c r="K40" s="441" t="s">
        <v>461</v>
      </c>
      <c r="L40" s="441" t="s">
        <v>429</v>
      </c>
      <c r="M40" s="442" t="s">
        <v>460</v>
      </c>
      <c r="N40" s="2713"/>
      <c r="O40" s="399"/>
      <c r="P40" s="399"/>
      <c r="Q40" s="479"/>
      <c r="R40" s="479" t="s">
        <v>94</v>
      </c>
      <c r="S40" s="479" t="s">
        <v>63</v>
      </c>
      <c r="T40" s="479">
        <f>IF($E$30="Incineração",M34+M35,0)</f>
        <v>0</v>
      </c>
      <c r="U40" s="479"/>
      <c r="V40" s="479"/>
      <c r="W40" s="479"/>
      <c r="X40" s="479"/>
      <c r="Y40" s="479"/>
      <c r="Z40" s="479"/>
      <c r="AA40" s="2"/>
      <c r="AB40" s="2"/>
      <c r="AC40" s="2"/>
      <c r="AD40" s="2"/>
      <c r="AE40" s="2"/>
      <c r="AF40" s="2"/>
      <c r="AG40" s="2"/>
      <c r="AH40" s="2"/>
      <c r="AI40" s="2"/>
    </row>
    <row r="41" spans="1:35" ht="18" hidden="1" customHeight="1" x14ac:dyDescent="0.25">
      <c r="A41" s="504"/>
      <c r="B41" s="399"/>
      <c r="C41" s="578" t="s">
        <v>726</v>
      </c>
      <c r="D41" s="112">
        <f t="shared" ref="D41:M41" si="2">IF(AND($I$25&gt;0,$I$24="Sim"),D15*$I$27/$N$15,0)</f>
        <v>4.4648999999999992</v>
      </c>
      <c r="E41" s="112">
        <f t="shared" si="2"/>
        <v>0.27675</v>
      </c>
      <c r="F41" s="112">
        <f t="shared" si="2"/>
        <v>1.208475</v>
      </c>
      <c r="G41" s="112">
        <f t="shared" si="2"/>
        <v>0.82102500000000012</v>
      </c>
      <c r="H41" s="112">
        <f t="shared" si="2"/>
        <v>0.42434999999999995</v>
      </c>
      <c r="I41" s="112">
        <f t="shared" si="2"/>
        <v>0.22139999999999996</v>
      </c>
      <c r="J41" s="112">
        <f t="shared" si="2"/>
        <v>0.21217499999999997</v>
      </c>
      <c r="K41" s="112">
        <f t="shared" si="2"/>
        <v>5.5349999999999989E-2</v>
      </c>
      <c r="L41" s="112">
        <f t="shared" si="2"/>
        <v>0.935415</v>
      </c>
      <c r="M41" s="112">
        <f t="shared" si="2"/>
        <v>0.60516000000000014</v>
      </c>
      <c r="N41" s="90">
        <f>SUM(D41:M41)</f>
        <v>9.2249999999999979</v>
      </c>
      <c r="O41" s="399"/>
      <c r="P41" s="438"/>
      <c r="Q41" s="479"/>
      <c r="R41" s="479"/>
      <c r="S41" s="479" t="s">
        <v>61</v>
      </c>
      <c r="T41" s="479">
        <f>IF($E$34="CDR",N34,0)</f>
        <v>0</v>
      </c>
      <c r="U41" s="479"/>
      <c r="V41" s="479"/>
      <c r="W41" s="479"/>
      <c r="X41" s="479"/>
      <c r="Y41" s="479"/>
      <c r="Z41" s="479"/>
      <c r="AA41" s="2"/>
      <c r="AB41" s="2"/>
      <c r="AC41" s="2"/>
      <c r="AD41" s="2"/>
      <c r="AE41" s="2"/>
      <c r="AF41" s="2"/>
      <c r="AG41" s="2"/>
      <c r="AH41" s="2"/>
      <c r="AI41" s="2"/>
    </row>
    <row r="42" spans="1:35" ht="18" hidden="1" customHeight="1" x14ac:dyDescent="0.25">
      <c r="A42" s="504"/>
      <c r="B42" s="399"/>
      <c r="C42" s="579" t="s">
        <v>95</v>
      </c>
      <c r="D42" s="112">
        <f>O32</f>
        <v>3.7951649999999995</v>
      </c>
      <c r="E42" s="112">
        <f>O33</f>
        <v>0.23523749999999999</v>
      </c>
      <c r="F42" s="112">
        <f>O24</f>
        <v>0.27190687499999999</v>
      </c>
      <c r="G42" s="112">
        <f>O25</f>
        <v>0.18473062500000001</v>
      </c>
      <c r="H42" s="112">
        <f>O26</f>
        <v>9.5478750000000001E-2</v>
      </c>
      <c r="I42" s="112">
        <f>O27</f>
        <v>4.9814999999999984E-2</v>
      </c>
      <c r="J42" s="112">
        <f>O28</f>
        <v>4.7739375000000001E-2</v>
      </c>
      <c r="K42" s="112">
        <f>O29</f>
        <v>1.2453749999999996E-2</v>
      </c>
      <c r="L42" s="112">
        <v>0</v>
      </c>
      <c r="M42" s="112">
        <v>0</v>
      </c>
      <c r="N42" s="90">
        <f>SUM(D42:M42)</f>
        <v>4.6925268749999987</v>
      </c>
      <c r="O42" s="399"/>
      <c r="P42" s="438"/>
      <c r="Q42" s="479"/>
      <c r="R42" s="479" t="s">
        <v>96</v>
      </c>
      <c r="S42" s="479" t="s">
        <v>63</v>
      </c>
      <c r="T42" s="479">
        <f>IF($E$34="Incineração",N34+N35,0)</f>
        <v>0</v>
      </c>
      <c r="U42" s="479"/>
      <c r="V42" s="479"/>
      <c r="W42" s="479"/>
      <c r="X42" s="479"/>
      <c r="Y42" s="479"/>
      <c r="Z42" s="479"/>
      <c r="AA42" s="2"/>
      <c r="AB42" s="2"/>
      <c r="AC42" s="2"/>
      <c r="AD42" s="2"/>
      <c r="AE42" s="2"/>
      <c r="AF42" s="2"/>
      <c r="AG42" s="2"/>
      <c r="AH42" s="2"/>
      <c r="AI42" s="2"/>
    </row>
    <row r="43" spans="1:35" ht="18" customHeight="1" x14ac:dyDescent="0.25">
      <c r="A43" s="504"/>
      <c r="B43" s="399"/>
      <c r="C43" s="579" t="s">
        <v>727</v>
      </c>
      <c r="D43" s="113">
        <f t="shared" ref="D43:M43" si="3">D41-D42</f>
        <v>0.66973499999999975</v>
      </c>
      <c r="E43" s="113">
        <f t="shared" si="3"/>
        <v>4.1512500000000008E-2</v>
      </c>
      <c r="F43" s="113">
        <f t="shared" si="3"/>
        <v>0.93656812499999997</v>
      </c>
      <c r="G43" s="113">
        <f t="shared" si="3"/>
        <v>0.63629437500000008</v>
      </c>
      <c r="H43" s="113">
        <f t="shared" si="3"/>
        <v>0.32887124999999995</v>
      </c>
      <c r="I43" s="113">
        <f t="shared" si="3"/>
        <v>0.17158499999999999</v>
      </c>
      <c r="J43" s="113">
        <f t="shared" si="3"/>
        <v>0.16443562499999997</v>
      </c>
      <c r="K43" s="113">
        <f t="shared" si="3"/>
        <v>4.2896249999999997E-2</v>
      </c>
      <c r="L43" s="113">
        <f t="shared" si="3"/>
        <v>0.935415</v>
      </c>
      <c r="M43" s="113">
        <f t="shared" si="3"/>
        <v>0.60516000000000014</v>
      </c>
      <c r="N43" s="90">
        <f>SUM(D43:M43)</f>
        <v>4.5324731249999992</v>
      </c>
      <c r="O43" s="483"/>
      <c r="P43" s="438"/>
      <c r="Q43" s="479"/>
      <c r="R43" s="479"/>
      <c r="S43" s="479" t="s">
        <v>61</v>
      </c>
      <c r="T43" s="479">
        <f>IF($I$28="CDR",O34,0)</f>
        <v>0</v>
      </c>
      <c r="U43" s="479" t="s">
        <v>52</v>
      </c>
      <c r="V43" s="479"/>
      <c r="W43" s="479"/>
      <c r="X43" s="479"/>
      <c r="Y43" s="479"/>
      <c r="Z43" s="479"/>
      <c r="AA43" s="2"/>
      <c r="AB43" s="2"/>
      <c r="AC43" s="2"/>
      <c r="AD43" s="2"/>
      <c r="AE43" s="2"/>
      <c r="AF43" s="2"/>
      <c r="AG43" s="2"/>
      <c r="AH43" s="2"/>
      <c r="AI43" s="2"/>
    </row>
    <row r="44" spans="1:35" ht="18" customHeight="1" x14ac:dyDescent="0.25">
      <c r="A44" s="504"/>
      <c r="B44" s="399"/>
      <c r="C44" s="579" t="s">
        <v>97</v>
      </c>
      <c r="D44" s="90">
        <f t="shared" ref="D44:M44" si="4">D15-D41</f>
        <v>31.254299999999994</v>
      </c>
      <c r="E44" s="90">
        <f t="shared" si="4"/>
        <v>1.9372499999999999</v>
      </c>
      <c r="F44" s="90">
        <f t="shared" si="4"/>
        <v>8.4593249999999998</v>
      </c>
      <c r="G44" s="90">
        <f t="shared" si="4"/>
        <v>5.7471750000000004</v>
      </c>
      <c r="H44" s="90">
        <f t="shared" si="4"/>
        <v>2.9704499999999996</v>
      </c>
      <c r="I44" s="90">
        <f t="shared" si="4"/>
        <v>1.5497999999999996</v>
      </c>
      <c r="J44" s="90">
        <f t="shared" si="4"/>
        <v>1.4852249999999998</v>
      </c>
      <c r="K44" s="90">
        <f t="shared" si="4"/>
        <v>0.38744999999999991</v>
      </c>
      <c r="L44" s="90">
        <f t="shared" si="4"/>
        <v>6.5479050000000001</v>
      </c>
      <c r="M44" s="90">
        <f t="shared" si="4"/>
        <v>4.2361200000000014</v>
      </c>
      <c r="N44" s="90">
        <f>SUM(D44:M44)</f>
        <v>64.574999999999989</v>
      </c>
      <c r="O44" s="483"/>
      <c r="P44" s="438"/>
      <c r="Q44" s="479"/>
      <c r="R44" s="479" t="s">
        <v>98</v>
      </c>
      <c r="S44" s="479" t="s">
        <v>63</v>
      </c>
      <c r="T44" s="479">
        <f>IF($I$28="Incineração",O34+O35,0)</f>
        <v>4.5324731250000001</v>
      </c>
      <c r="U44" s="479"/>
      <c r="V44" s="479"/>
      <c r="W44" s="479"/>
      <c r="X44" s="479"/>
      <c r="Y44" s="479"/>
      <c r="Z44" s="479"/>
      <c r="AA44" s="2"/>
      <c r="AB44" s="2"/>
      <c r="AC44" s="2"/>
      <c r="AD44" s="2"/>
      <c r="AE44" s="2"/>
      <c r="AF44" s="2"/>
      <c r="AG44" s="2"/>
      <c r="AH44" s="2"/>
      <c r="AI44" s="2"/>
    </row>
    <row r="45" spans="1:35" ht="18" customHeight="1" x14ac:dyDescent="0.25">
      <c r="A45" s="504"/>
      <c r="B45" s="399"/>
      <c r="C45" s="479"/>
      <c r="D45" s="438"/>
      <c r="E45" s="438"/>
      <c r="F45" s="438"/>
      <c r="G45" s="438"/>
      <c r="H45" s="438"/>
      <c r="I45" s="438"/>
      <c r="J45" s="438"/>
      <c r="K45" s="438"/>
      <c r="L45" s="438"/>
      <c r="M45" s="438"/>
      <c r="N45" s="438"/>
      <c r="O45" s="438"/>
      <c r="P45" s="438"/>
      <c r="Q45" s="479"/>
      <c r="R45" s="479"/>
      <c r="S45" s="479"/>
      <c r="T45" s="479"/>
      <c r="U45" s="479"/>
      <c r="V45" s="479"/>
      <c r="W45" s="479"/>
      <c r="X45" s="479"/>
      <c r="Y45" s="479"/>
      <c r="Z45" s="479"/>
      <c r="AA45" s="2"/>
      <c r="AB45" s="2"/>
      <c r="AC45" s="2"/>
      <c r="AD45" s="2"/>
      <c r="AE45" s="2"/>
      <c r="AF45" s="2"/>
      <c r="AG45" s="2"/>
      <c r="AH45" s="2"/>
      <c r="AI45" s="2"/>
    </row>
    <row r="46" spans="1:35" ht="4.1500000000000004" customHeight="1" x14ac:dyDescent="0.25">
      <c r="A46" s="508"/>
      <c r="B46" s="399"/>
      <c r="C46" s="399"/>
      <c r="D46" s="438"/>
      <c r="E46" s="438"/>
      <c r="F46" s="438"/>
      <c r="G46" s="438"/>
      <c r="H46" s="438"/>
      <c r="I46" s="438"/>
      <c r="J46" s="399"/>
      <c r="K46" s="399"/>
      <c r="L46" s="399"/>
      <c r="M46" s="399"/>
      <c r="N46" s="438"/>
      <c r="O46" s="438"/>
      <c r="P46" s="438"/>
      <c r="Q46" s="479"/>
      <c r="R46" s="479"/>
      <c r="S46" s="479"/>
      <c r="T46" s="479"/>
      <c r="U46" s="479"/>
      <c r="V46" s="479"/>
      <c r="W46" s="479"/>
      <c r="X46" s="479"/>
      <c r="Y46" s="479"/>
      <c r="Z46" s="479"/>
      <c r="AA46" s="2"/>
      <c r="AB46" s="2"/>
      <c r="AC46" s="2"/>
      <c r="AD46" s="2"/>
      <c r="AE46" s="2"/>
      <c r="AF46" s="2"/>
      <c r="AG46" s="2"/>
      <c r="AH46" s="2"/>
      <c r="AI46" s="2"/>
    </row>
    <row r="47" spans="1:35" ht="18" customHeight="1" x14ac:dyDescent="0.25">
      <c r="A47" s="505"/>
      <c r="B47" s="601"/>
      <c r="C47" s="633" t="s">
        <v>99</v>
      </c>
      <c r="D47" s="634"/>
      <c r="E47" s="638"/>
      <c r="F47" s="399"/>
      <c r="G47" s="399"/>
      <c r="H47" s="399"/>
      <c r="I47" s="399"/>
      <c r="J47" s="399"/>
      <c r="K47" s="399"/>
      <c r="L47" s="399"/>
      <c r="M47" s="399"/>
      <c r="N47" s="399"/>
      <c r="O47" s="399"/>
      <c r="P47" s="399"/>
      <c r="Q47" s="479"/>
      <c r="R47" s="479"/>
      <c r="S47" s="479"/>
      <c r="T47" s="479"/>
      <c r="U47" s="479"/>
      <c r="V47" s="479"/>
      <c r="W47" s="479"/>
      <c r="X47" s="479"/>
      <c r="Y47" s="479"/>
      <c r="Z47" s="479"/>
      <c r="AA47" s="2"/>
      <c r="AB47" s="2"/>
      <c r="AC47" s="2"/>
      <c r="AD47" s="2"/>
      <c r="AE47" s="2"/>
      <c r="AF47" s="2"/>
      <c r="AG47" s="2"/>
      <c r="AH47" s="2"/>
      <c r="AI47" s="2"/>
    </row>
    <row r="48" spans="1:35" ht="18" customHeight="1" x14ac:dyDescent="0.25">
      <c r="A48" s="508"/>
      <c r="B48" s="399"/>
      <c r="C48" s="182" t="s">
        <v>100</v>
      </c>
      <c r="D48" s="117"/>
      <c r="E48" s="114"/>
      <c r="F48" s="399"/>
      <c r="G48" s="399"/>
      <c r="H48" s="399"/>
      <c r="I48" s="399"/>
      <c r="J48" s="399"/>
      <c r="K48" s="399"/>
      <c r="L48" s="399"/>
      <c r="M48" s="399"/>
      <c r="N48" s="182" t="s">
        <v>101</v>
      </c>
      <c r="O48" s="114"/>
      <c r="P48" s="399"/>
      <c r="Q48" s="479"/>
      <c r="R48" s="479"/>
      <c r="S48" s="479"/>
      <c r="T48" s="479"/>
      <c r="U48" s="479"/>
      <c r="V48" s="479"/>
      <c r="W48" s="479"/>
      <c r="X48" s="479"/>
      <c r="Y48" s="479"/>
      <c r="Z48" s="479"/>
      <c r="AA48" s="2"/>
      <c r="AB48" s="2"/>
      <c r="AC48" s="2"/>
      <c r="AD48" s="2"/>
      <c r="AE48" s="2"/>
      <c r="AF48" s="2"/>
      <c r="AG48" s="2"/>
      <c r="AH48" s="2"/>
      <c r="AI48" s="2"/>
    </row>
    <row r="49" spans="1:35" ht="18" customHeight="1" x14ac:dyDescent="0.25">
      <c r="A49" s="508"/>
      <c r="B49" s="399"/>
      <c r="C49" s="84"/>
      <c r="D49" s="109" t="s">
        <v>466</v>
      </c>
      <c r="E49" s="113">
        <f>IF(E30="CDR",M34,0)</f>
        <v>0</v>
      </c>
      <c r="F49" s="399"/>
      <c r="G49" s="84"/>
      <c r="H49" s="109" t="s">
        <v>71</v>
      </c>
      <c r="I49" s="90">
        <f>SUM(E49:E52)</f>
        <v>0</v>
      </c>
      <c r="J49" s="399"/>
      <c r="K49" s="109" t="s">
        <v>102</v>
      </c>
      <c r="L49" s="791">
        <v>0</v>
      </c>
      <c r="M49" s="399"/>
      <c r="N49" s="109" t="s">
        <v>103</v>
      </c>
      <c r="O49" s="785">
        <f>(I49-O53-O55)*L49/100</f>
        <v>0</v>
      </c>
      <c r="P49" s="399"/>
      <c r="Q49" s="479"/>
      <c r="R49" s="479"/>
      <c r="S49" s="479"/>
      <c r="T49" s="479"/>
      <c r="U49" s="479"/>
      <c r="V49" s="479"/>
      <c r="W49" s="479"/>
      <c r="X49" s="479"/>
      <c r="Y49" s="479"/>
      <c r="Z49" s="479"/>
      <c r="AA49" s="2"/>
      <c r="AB49" s="2"/>
      <c r="AC49" s="2"/>
      <c r="AD49" s="2"/>
      <c r="AE49" s="2"/>
      <c r="AF49" s="2"/>
      <c r="AG49" s="2"/>
      <c r="AH49" s="2"/>
      <c r="AI49" s="2"/>
    </row>
    <row r="50" spans="1:35" ht="18" customHeight="1" x14ac:dyDescent="0.25">
      <c r="A50" s="508"/>
      <c r="B50" s="399"/>
      <c r="C50" s="84"/>
      <c r="D50" s="109" t="s">
        <v>467</v>
      </c>
      <c r="E50" s="113">
        <f>IF(E34="CDR",N34,0)</f>
        <v>0</v>
      </c>
      <c r="F50" s="399"/>
      <c r="G50" s="499"/>
      <c r="H50" s="499"/>
      <c r="I50" s="783"/>
      <c r="J50" s="399"/>
      <c r="K50" s="109" t="s">
        <v>104</v>
      </c>
      <c r="L50" s="784">
        <f>100-L49</f>
        <v>100</v>
      </c>
      <c r="M50" s="399"/>
      <c r="N50" s="109" t="s">
        <v>105</v>
      </c>
      <c r="O50" s="785">
        <f>(I49-O53-O55)*L50/100</f>
        <v>0</v>
      </c>
      <c r="P50" s="399"/>
      <c r="Q50" s="479"/>
      <c r="R50" s="479"/>
      <c r="S50" s="479"/>
      <c r="T50" s="479"/>
      <c r="U50" s="479"/>
      <c r="V50" s="479"/>
      <c r="W50" s="479"/>
      <c r="X50" s="479"/>
      <c r="Y50" s="479"/>
      <c r="Z50" s="479"/>
      <c r="AA50" s="2"/>
      <c r="AB50" s="2"/>
      <c r="AC50" s="2"/>
      <c r="AD50" s="2"/>
      <c r="AE50" s="2"/>
      <c r="AF50" s="2"/>
      <c r="AG50" s="2"/>
      <c r="AH50" s="2"/>
      <c r="AI50" s="2"/>
    </row>
    <row r="51" spans="1:35" ht="18" customHeight="1" x14ac:dyDescent="0.25">
      <c r="A51" s="508"/>
      <c r="B51" s="399"/>
      <c r="C51" s="84"/>
      <c r="D51" s="109" t="s">
        <v>468</v>
      </c>
      <c r="E51" s="113">
        <f>IF(I28="CDR",O34,0)</f>
        <v>0</v>
      </c>
      <c r="F51" s="399"/>
      <c r="G51" s="84"/>
      <c r="H51" s="109" t="s">
        <v>471</v>
      </c>
      <c r="I51" s="90">
        <f>IF(E52=0,I49,0)</f>
        <v>0</v>
      </c>
      <c r="J51" s="801" t="str">
        <f>IF(AND(I51&gt;0,I51&lt;50),"Massa mín. é 50 t/d. Rever destino dos rejeitos das triagens","")</f>
        <v/>
      </c>
      <c r="K51" s="399"/>
      <c r="L51" s="399"/>
      <c r="M51" s="399"/>
      <c r="N51" s="399"/>
      <c r="O51" s="399"/>
      <c r="P51" s="399"/>
      <c r="Q51" s="479"/>
      <c r="R51" s="479"/>
      <c r="S51" s="479"/>
      <c r="T51" s="479"/>
      <c r="U51" s="479"/>
      <c r="V51" s="479"/>
      <c r="W51" s="479"/>
      <c r="X51" s="479"/>
      <c r="Y51" s="479"/>
      <c r="Z51" s="479"/>
      <c r="AA51" s="2"/>
      <c r="AB51" s="2"/>
      <c r="AC51" s="2"/>
      <c r="AD51" s="2"/>
      <c r="AE51" s="2"/>
      <c r="AF51" s="2"/>
      <c r="AG51" s="2"/>
      <c r="AH51" s="2"/>
      <c r="AI51" s="2"/>
    </row>
    <row r="52" spans="1:35" ht="18" customHeight="1" x14ac:dyDescent="0.25">
      <c r="A52" s="508"/>
      <c r="B52" s="399"/>
      <c r="C52" s="84"/>
      <c r="D52" s="109" t="s">
        <v>469</v>
      </c>
      <c r="E52" s="113">
        <f>IF(I29="Biosecagem CDR",L32,0)</f>
        <v>0</v>
      </c>
      <c r="F52" s="399"/>
      <c r="G52" s="84"/>
      <c r="H52" s="109" t="s">
        <v>472</v>
      </c>
      <c r="I52" s="90">
        <f>IF(E52&gt;0,I49,0)</f>
        <v>0</v>
      </c>
      <c r="J52" s="801" t="str">
        <f>IF(AND(I52&gt;0,I52&lt;250),"Massa mín. é 250 t/d","")</f>
        <v/>
      </c>
      <c r="K52" s="399"/>
      <c r="L52" s="480" t="str">
        <f>IF(AND(I51&gt;0,I51&lt;50),"em E30, E34 e I28","")</f>
        <v/>
      </c>
      <c r="M52" s="580"/>
      <c r="N52" s="114" t="s">
        <v>470</v>
      </c>
      <c r="O52" s="183"/>
      <c r="P52" s="399"/>
      <c r="Q52" s="479"/>
      <c r="R52" s="479"/>
      <c r="S52" s="479"/>
      <c r="T52" s="479"/>
      <c r="U52" s="479"/>
      <c r="V52" s="479"/>
      <c r="W52" s="479"/>
      <c r="X52" s="479"/>
      <c r="Y52" s="479"/>
      <c r="Z52" s="479"/>
      <c r="AA52" s="2"/>
      <c r="AB52" s="2"/>
      <c r="AC52" s="2"/>
      <c r="AD52" s="2"/>
      <c r="AE52" s="2"/>
      <c r="AF52" s="2"/>
      <c r="AG52" s="2"/>
      <c r="AH52" s="2"/>
      <c r="AI52" s="2"/>
    </row>
    <row r="53" spans="1:35" ht="18" customHeight="1" x14ac:dyDescent="0.25">
      <c r="A53" s="504"/>
      <c r="B53" s="399"/>
      <c r="C53" s="399"/>
      <c r="D53" s="479"/>
      <c r="E53" s="399"/>
      <c r="F53" s="399"/>
      <c r="G53" s="399"/>
      <c r="H53" s="399"/>
      <c r="I53" s="399"/>
      <c r="J53" s="801" t="str">
        <f>IF(AND(I52&gt;0,I52&lt;250),"Alterar I29 para 'Tratat. Biológico'","")</f>
        <v/>
      </c>
      <c r="K53" s="399"/>
      <c r="L53" s="399"/>
      <c r="M53" s="581"/>
      <c r="N53" s="449" t="s">
        <v>106</v>
      </c>
      <c r="O53" s="785">
        <f>I52*'R-Avançado'!M12/100+I51*'R-Avançado'!M11/100</f>
        <v>0</v>
      </c>
      <c r="P53" s="399"/>
      <c r="Q53" s="479"/>
      <c r="R53" s="479"/>
      <c r="S53" s="479"/>
      <c r="T53" s="479"/>
      <c r="U53" s="479"/>
      <c r="V53" s="479"/>
      <c r="W53" s="479"/>
      <c r="X53" s="479"/>
      <c r="Y53" s="479"/>
      <c r="Z53" s="479"/>
      <c r="AA53" s="2"/>
      <c r="AB53" s="2"/>
      <c r="AC53" s="2"/>
      <c r="AD53" s="2"/>
      <c r="AE53" s="2"/>
      <c r="AF53" s="2"/>
      <c r="AG53" s="2"/>
      <c r="AH53" s="2"/>
      <c r="AI53" s="2"/>
    </row>
    <row r="54" spans="1:35" ht="18" customHeight="1" x14ac:dyDescent="0.25">
      <c r="A54" s="504"/>
      <c r="B54" s="399"/>
      <c r="C54" s="399"/>
      <c r="D54" s="479"/>
      <c r="E54" s="399"/>
      <c r="F54" s="399"/>
      <c r="G54" s="399"/>
      <c r="H54" s="399"/>
      <c r="I54" s="399"/>
      <c r="J54" s="801" t="str">
        <f>IF(AND(I52&gt;0,I52&lt;250),"ou aumentar massa triada em I26","")</f>
        <v/>
      </c>
      <c r="K54" s="399"/>
      <c r="L54" s="399"/>
      <c r="M54" s="399"/>
      <c r="N54" s="399"/>
      <c r="O54" s="398"/>
      <c r="P54" s="399"/>
      <c r="Q54" s="479"/>
      <c r="R54" s="479"/>
      <c r="S54" s="479"/>
      <c r="T54" s="479"/>
      <c r="U54" s="479"/>
      <c r="V54" s="479"/>
      <c r="W54" s="479"/>
      <c r="X54" s="479"/>
      <c r="Y54" s="479"/>
      <c r="Z54" s="479"/>
      <c r="AA54" s="2"/>
      <c r="AB54" s="2"/>
      <c r="AC54" s="2"/>
      <c r="AD54" s="2"/>
      <c r="AE54" s="2"/>
      <c r="AF54" s="2"/>
      <c r="AG54" s="2"/>
      <c r="AH54" s="2"/>
      <c r="AI54" s="2"/>
    </row>
    <row r="55" spans="1:35" ht="18" customHeight="1" x14ac:dyDescent="0.25">
      <c r="A55" s="504"/>
      <c r="B55" s="399"/>
      <c r="C55" s="399"/>
      <c r="D55" s="479"/>
      <c r="E55" s="399"/>
      <c r="F55" s="399"/>
      <c r="G55" s="399"/>
      <c r="H55" s="399"/>
      <c r="I55" s="399"/>
      <c r="J55" s="801" t="str">
        <f>IF(AND(I52&gt;0,I52&lt;250),"ou rever destino dos rejeitos em E30 e E34","")</f>
        <v/>
      </c>
      <c r="K55" s="399"/>
      <c r="L55" s="399"/>
      <c r="M55" s="122"/>
      <c r="N55" s="449" t="s">
        <v>749</v>
      </c>
      <c r="O55" s="627">
        <f>I52*'R-Avançado'!L12/100+I51*'R-Avançado'!L11/100</f>
        <v>0</v>
      </c>
      <c r="P55" s="399"/>
      <c r="Q55" s="479"/>
      <c r="R55" s="479"/>
      <c r="S55" s="479"/>
      <c r="T55" s="479"/>
      <c r="U55" s="479"/>
      <c r="V55" s="479"/>
      <c r="W55" s="479"/>
      <c r="X55" s="479"/>
      <c r="Y55" s="479"/>
      <c r="Z55" s="479"/>
      <c r="AA55" s="2"/>
      <c r="AB55" s="2"/>
      <c r="AC55" s="2"/>
      <c r="AD55" s="2"/>
      <c r="AE55" s="2"/>
      <c r="AF55" s="2"/>
      <c r="AG55" s="2"/>
      <c r="AH55" s="2"/>
      <c r="AI55" s="2"/>
    </row>
    <row r="56" spans="1:35" ht="6" customHeight="1" x14ac:dyDescent="0.25">
      <c r="A56" s="504"/>
      <c r="B56" s="399"/>
      <c r="C56" s="399"/>
      <c r="D56" s="479"/>
      <c r="E56" s="399"/>
      <c r="F56" s="399"/>
      <c r="G56" s="399"/>
      <c r="H56" s="399"/>
      <c r="I56" s="399"/>
      <c r="J56" s="399"/>
      <c r="K56" s="399"/>
      <c r="L56" s="399"/>
      <c r="M56" s="399"/>
      <c r="N56" s="399"/>
      <c r="O56" s="399"/>
      <c r="P56" s="399"/>
      <c r="Q56" s="479"/>
      <c r="R56" s="479"/>
      <c r="S56" s="479"/>
      <c r="T56" s="479"/>
      <c r="U56" s="479"/>
      <c r="V56" s="479"/>
      <c r="W56" s="479"/>
      <c r="X56" s="479"/>
      <c r="Y56" s="479"/>
      <c r="Z56" s="479"/>
      <c r="AA56" s="2"/>
      <c r="AB56" s="2"/>
      <c r="AC56" s="2"/>
      <c r="AD56" s="2"/>
      <c r="AE56" s="2"/>
      <c r="AF56" s="2"/>
      <c r="AG56" s="2"/>
      <c r="AH56" s="2"/>
      <c r="AI56" s="2"/>
    </row>
    <row r="57" spans="1:35" ht="18.399999999999999" customHeight="1" x14ac:dyDescent="0.25">
      <c r="A57" s="505"/>
      <c r="B57" s="605"/>
      <c r="C57" s="633" t="s">
        <v>187</v>
      </c>
      <c r="D57" s="634"/>
      <c r="E57" s="634"/>
      <c r="F57" s="635"/>
      <c r="G57" s="399"/>
      <c r="H57" s="399"/>
      <c r="I57" s="399"/>
      <c r="J57" s="399"/>
      <c r="K57" s="399"/>
      <c r="L57" s="399"/>
      <c r="M57" s="399"/>
      <c r="N57" s="399"/>
      <c r="O57" s="399"/>
      <c r="P57" s="399"/>
      <c r="Q57" s="479"/>
      <c r="R57" s="479"/>
      <c r="S57" s="479"/>
      <c r="T57" s="479"/>
      <c r="U57" s="479"/>
      <c r="V57" s="479"/>
      <c r="W57" s="479"/>
      <c r="X57" s="479"/>
      <c r="Y57" s="479"/>
      <c r="Z57" s="479"/>
      <c r="AA57" s="2"/>
      <c r="AB57" s="2"/>
      <c r="AC57" s="2"/>
      <c r="AD57" s="2"/>
      <c r="AE57" s="2"/>
      <c r="AF57" s="2"/>
      <c r="AG57" s="2"/>
      <c r="AH57" s="2"/>
      <c r="AI57" s="2"/>
    </row>
    <row r="58" spans="1:35" ht="18" customHeight="1" x14ac:dyDescent="0.25">
      <c r="A58" s="504"/>
      <c r="B58" s="466"/>
      <c r="C58" s="636"/>
      <c r="D58" s="109" t="s">
        <v>107</v>
      </c>
      <c r="E58" s="113">
        <f>L33</f>
        <v>0</v>
      </c>
      <c r="F58" s="322" t="str">
        <f>IF(E58&gt;0,E58/E60, " ")</f>
        <v xml:space="preserve"> </v>
      </c>
      <c r="G58" s="399"/>
      <c r="H58" s="585"/>
      <c r="I58" s="585"/>
      <c r="J58" s="586"/>
      <c r="K58" s="586"/>
      <c r="L58" s="586"/>
      <c r="M58" s="587" t="s">
        <v>108</v>
      </c>
      <c r="N58" s="588"/>
      <c r="O58" s="586"/>
      <c r="P58" s="399"/>
      <c r="Q58" s="479"/>
      <c r="R58" s="479"/>
      <c r="S58" s="479"/>
      <c r="T58" s="479"/>
      <c r="U58" s="479"/>
      <c r="V58" s="479"/>
      <c r="W58" s="479"/>
      <c r="X58" s="479"/>
      <c r="Y58" s="479"/>
      <c r="Z58" s="479"/>
      <c r="AA58" s="2"/>
      <c r="AB58" s="2"/>
      <c r="AC58" s="2"/>
      <c r="AD58" s="2"/>
      <c r="AE58" s="2"/>
      <c r="AF58" s="2"/>
      <c r="AG58" s="2"/>
      <c r="AH58" s="2"/>
      <c r="AI58" s="2"/>
    </row>
    <row r="59" spans="1:35" ht="18" customHeight="1" thickBot="1" x14ac:dyDescent="0.3">
      <c r="A59" s="509"/>
      <c r="B59" s="403"/>
      <c r="C59" s="636"/>
      <c r="D59" s="109" t="s">
        <v>473</v>
      </c>
      <c r="E59" s="113">
        <f>IF(AND(I29&lt;&gt;"Biosecagem CDR",I29&lt;&gt;"Aterro sanitário",I29&lt;&gt;"Incineração"),L32,0)</f>
        <v>0</v>
      </c>
      <c r="F59" s="322" t="str">
        <f>IF(E59&gt;0,E59/E60,"")</f>
        <v/>
      </c>
      <c r="G59" s="398"/>
      <c r="H59" s="122"/>
      <c r="I59" s="109" t="s">
        <v>109</v>
      </c>
      <c r="J59" s="121">
        <v>100</v>
      </c>
      <c r="K59" s="583" t="str">
        <f>IF(J59&lt;&gt;0,"&gt;&gt;&gt;&gt;","")</f>
        <v>&gt;&gt;&gt;&gt;</v>
      </c>
      <c r="L59" s="584">
        <f>IF(J59&gt;0,J59/100*E60,"")</f>
        <v>0</v>
      </c>
      <c r="M59" s="575" t="str">
        <f>IF(J59&gt;0,"t/d","")</f>
        <v>t/d</v>
      </c>
      <c r="N59" s="1378" t="str">
        <f>IF(AND(L59&gt;0,L59&lt;50),"Capacidade mín. é de 50 t/d","")</f>
        <v/>
      </c>
      <c r="O59" s="403"/>
      <c r="P59" s="399"/>
      <c r="Q59" s="479"/>
      <c r="R59" s="479"/>
      <c r="S59" s="479"/>
      <c r="T59" s="479"/>
      <c r="U59" s="479"/>
      <c r="V59" s="479"/>
      <c r="W59" s="479"/>
      <c r="X59" s="479"/>
      <c r="Y59" s="479"/>
      <c r="Z59" s="479"/>
      <c r="AA59" s="2"/>
      <c r="AB59" s="2"/>
      <c r="AC59" s="2"/>
      <c r="AD59" s="2"/>
      <c r="AE59" s="2"/>
      <c r="AF59" s="2"/>
      <c r="AG59" s="2"/>
      <c r="AH59" s="2"/>
      <c r="AI59" s="2"/>
    </row>
    <row r="60" spans="1:35" ht="18" customHeight="1" thickBot="1" x14ac:dyDescent="0.3">
      <c r="A60" s="509"/>
      <c r="B60" s="403"/>
      <c r="C60" s="636"/>
      <c r="D60" s="109" t="s">
        <v>110</v>
      </c>
      <c r="E60" s="113">
        <f>SUM(E58:E59)</f>
        <v>0</v>
      </c>
      <c r="F60" s="324" t="str">
        <f>IF(E60&gt;0,E60/E60,"")</f>
        <v/>
      </c>
      <c r="G60" s="398"/>
      <c r="H60" s="122"/>
      <c r="I60" s="109" t="s">
        <v>111</v>
      </c>
      <c r="J60" s="121">
        <v>0</v>
      </c>
      <c r="K60" s="400" t="str">
        <f>IF(J60&lt;&gt;0,"&gt;&gt;&gt;&gt;","")</f>
        <v/>
      </c>
      <c r="L60" s="582" t="str">
        <f>IF(J60&gt;0,J60/100*E60,"")</f>
        <v/>
      </c>
      <c r="M60" s="401" t="str">
        <f>IF(J60&gt;0,"t/d","")</f>
        <v/>
      </c>
      <c r="N60" s="797" t="str">
        <f>IF(AND(L59&gt;0,L59&lt;50),"Rever valor em J59","")</f>
        <v/>
      </c>
      <c r="O60" s="398"/>
      <c r="P60" s="399"/>
      <c r="Q60" s="479"/>
      <c r="R60" s="479"/>
      <c r="S60" s="479"/>
      <c r="T60" s="479"/>
      <c r="U60" s="479"/>
      <c r="V60" s="479"/>
      <c r="W60" s="479"/>
      <c r="X60" s="479"/>
      <c r="Y60" s="479"/>
      <c r="Z60" s="479"/>
      <c r="AA60" s="2"/>
      <c r="AB60" s="2"/>
      <c r="AC60" s="2"/>
      <c r="AD60" s="2"/>
      <c r="AE60" s="2"/>
      <c r="AF60" s="2"/>
      <c r="AG60" s="2"/>
      <c r="AH60" s="2"/>
      <c r="AI60" s="2"/>
    </row>
    <row r="61" spans="1:35" ht="18" customHeight="1" thickTop="1" x14ac:dyDescent="0.25">
      <c r="A61" s="509"/>
      <c r="B61" s="403"/>
      <c r="C61" s="602"/>
      <c r="D61" s="484"/>
      <c r="E61" s="398"/>
      <c r="F61" s="398"/>
      <c r="G61" s="398"/>
      <c r="H61" s="122"/>
      <c r="I61" s="109" t="s">
        <v>474</v>
      </c>
      <c r="J61" s="87">
        <f>IF(E60&gt;0,100-J59-J60,0)</f>
        <v>0</v>
      </c>
      <c r="K61" s="502" t="str">
        <f>IF(J61&gt;0,"&gt;&gt;&gt;&gt;","")</f>
        <v/>
      </c>
      <c r="L61" s="537" t="str">
        <f>IF(J61&gt;0,J61/100*E60,"")</f>
        <v/>
      </c>
      <c r="M61" s="398" t="str">
        <f>IF(J61&gt;0,"t/d","")</f>
        <v/>
      </c>
      <c r="N61" s="2693" t="s">
        <v>112</v>
      </c>
      <c r="O61" s="2694"/>
      <c r="P61" s="399"/>
      <c r="Q61" s="479"/>
      <c r="R61" s="479"/>
      <c r="S61" s="479" t="s">
        <v>113</v>
      </c>
      <c r="T61" s="479"/>
      <c r="U61" s="479"/>
      <c r="V61" s="479"/>
      <c r="W61" s="479"/>
      <c r="X61" s="479"/>
      <c r="Y61" s="479"/>
      <c r="Z61" s="479"/>
      <c r="AA61" s="2"/>
      <c r="AB61" s="2"/>
      <c r="AC61" s="2"/>
      <c r="AD61" s="2"/>
      <c r="AE61" s="2"/>
      <c r="AF61" s="2"/>
      <c r="AG61" s="2"/>
      <c r="AH61" s="2"/>
      <c r="AI61" s="2"/>
    </row>
    <row r="62" spans="1:35" ht="18" customHeight="1" x14ac:dyDescent="0.25">
      <c r="A62" s="509"/>
      <c r="B62" s="403"/>
      <c r="C62" s="593"/>
      <c r="D62" s="119" t="s">
        <v>114</v>
      </c>
      <c r="E62" s="118"/>
      <c r="F62" s="637"/>
      <c r="G62" s="398"/>
      <c r="H62" s="398"/>
      <c r="I62" s="398"/>
      <c r="J62" s="546" t="str">
        <f>IF(AND(E60&gt;0,SUM(J59:J60)&gt;100),"     Erro: valor em J61 não pode dar negativo!","")</f>
        <v/>
      </c>
      <c r="K62" s="502"/>
      <c r="L62" s="538"/>
      <c r="M62" s="122"/>
      <c r="N62" s="781" t="s">
        <v>115</v>
      </c>
      <c r="O62" s="782">
        <f>E60*J59/100</f>
        <v>0</v>
      </c>
      <c r="P62" s="399"/>
      <c r="Q62" s="479"/>
      <c r="R62" s="479"/>
      <c r="S62" s="479" t="s">
        <v>116</v>
      </c>
      <c r="T62" s="479"/>
      <c r="U62" s="479"/>
      <c r="V62" s="479"/>
      <c r="W62" s="479"/>
      <c r="X62" s="479"/>
      <c r="Y62" s="479"/>
      <c r="Z62" s="479"/>
      <c r="AA62" s="2"/>
      <c r="AB62" s="2"/>
      <c r="AC62" s="2"/>
      <c r="AD62" s="2"/>
      <c r="AE62" s="2"/>
      <c r="AF62" s="2"/>
      <c r="AG62" s="2"/>
      <c r="AH62" s="2"/>
      <c r="AI62" s="2"/>
    </row>
    <row r="63" spans="1:35" ht="18" customHeight="1" x14ac:dyDescent="0.25">
      <c r="A63" s="509"/>
      <c r="B63" s="403"/>
      <c r="C63" s="594"/>
      <c r="D63" s="534" t="s">
        <v>117</v>
      </c>
      <c r="E63" s="120" t="s">
        <v>88</v>
      </c>
      <c r="F63" s="322">
        <f>IF(E63="Alta",'R-Avançado'!I19/100,IF(E63="Baixa",'R-Avançado'!I21/100,'R-Avançado'!I20/100))</f>
        <v>0.15</v>
      </c>
      <c r="G63" s="398"/>
      <c r="H63" s="182"/>
      <c r="I63" s="114"/>
      <c r="J63" s="590" t="s">
        <v>997</v>
      </c>
      <c r="K63" s="398"/>
      <c r="L63" s="398"/>
      <c r="M63" s="122"/>
      <c r="N63" s="109" t="s">
        <v>119</v>
      </c>
      <c r="O63" s="589">
        <f>IF(J67="Compost. Nobre",E60*J60/100+J68,E60*J60/100)</f>
        <v>0</v>
      </c>
      <c r="P63" s="399"/>
      <c r="Q63" s="479"/>
      <c r="R63" s="479"/>
      <c r="S63" s="479"/>
      <c r="T63" s="479"/>
      <c r="U63" s="479"/>
      <c r="V63" s="479"/>
      <c r="W63" s="479"/>
      <c r="X63" s="479"/>
      <c r="Y63" s="479"/>
      <c r="Z63" s="479"/>
      <c r="AA63" s="2"/>
      <c r="AB63" s="2"/>
      <c r="AC63" s="2"/>
      <c r="AD63" s="2"/>
      <c r="AE63" s="2"/>
      <c r="AF63" s="2"/>
      <c r="AG63" s="2"/>
      <c r="AH63" s="2"/>
      <c r="AI63" s="2"/>
    </row>
    <row r="64" spans="1:35" ht="18" customHeight="1" x14ac:dyDescent="0.25">
      <c r="A64" s="509"/>
      <c r="B64" s="403"/>
      <c r="C64" s="122"/>
      <c r="D64" s="109" t="s">
        <v>120</v>
      </c>
      <c r="E64" s="120" t="s">
        <v>121</v>
      </c>
      <c r="F64" s="122"/>
      <c r="G64" s="398"/>
      <c r="H64" s="122"/>
      <c r="I64" s="109" t="s">
        <v>122</v>
      </c>
      <c r="J64" s="121">
        <v>50</v>
      </c>
      <c r="K64" s="398"/>
      <c r="L64" s="398"/>
      <c r="M64" s="122"/>
      <c r="N64" s="109" t="s">
        <v>477</v>
      </c>
      <c r="O64" s="589">
        <f>IF(J67&lt;&gt;"Compost. nobre",E60*J61/100+J68,E60*J61/100)</f>
        <v>0</v>
      </c>
      <c r="P64" s="399"/>
      <c r="Q64" s="479"/>
      <c r="R64" s="479"/>
      <c r="S64" s="479"/>
      <c r="T64" s="479"/>
      <c r="U64" s="479"/>
      <c r="V64" s="479"/>
      <c r="W64" s="479"/>
      <c r="X64" s="479"/>
      <c r="Y64" s="479"/>
      <c r="Z64" s="479"/>
      <c r="AA64" s="2"/>
      <c r="AB64" s="2"/>
      <c r="AC64" s="2"/>
      <c r="AD64" s="2"/>
      <c r="AE64" s="2"/>
      <c r="AF64" s="2"/>
      <c r="AG64" s="2"/>
      <c r="AH64" s="2"/>
      <c r="AI64" s="2"/>
    </row>
    <row r="65" spans="1:35" ht="18" customHeight="1" x14ac:dyDescent="0.25">
      <c r="A65" s="509"/>
      <c r="B65" s="403"/>
      <c r="C65" s="594"/>
      <c r="D65" s="534"/>
      <c r="E65" s="109" t="s">
        <v>123</v>
      </c>
      <c r="F65" s="231">
        <f>IF(E64="Alto",'R-Avançado'!E19,IF(E64="Baixo",'R-Avançado'!E21,'R-Avançado'!E20))</f>
        <v>100</v>
      </c>
      <c r="G65" s="398"/>
      <c r="H65" s="122"/>
      <c r="I65" s="109" t="s">
        <v>124</v>
      </c>
      <c r="J65" s="1538">
        <f>100-J64</f>
        <v>50</v>
      </c>
      <c r="K65" s="398"/>
      <c r="L65" s="398"/>
      <c r="M65" s="398"/>
      <c r="N65" s="484"/>
      <c r="O65" s="398"/>
      <c r="P65" s="399"/>
      <c r="Q65" s="479"/>
      <c r="R65" s="479"/>
      <c r="S65" s="479" t="s">
        <v>125</v>
      </c>
      <c r="T65" s="479"/>
      <c r="U65" s="479"/>
      <c r="V65" s="479"/>
      <c r="W65" s="479"/>
      <c r="X65" s="479"/>
      <c r="Y65" s="479"/>
      <c r="Z65" s="479"/>
      <c r="AA65" s="2"/>
      <c r="AB65" s="2"/>
      <c r="AC65" s="2"/>
      <c r="AD65" s="2"/>
      <c r="AE65" s="2"/>
      <c r="AF65" s="2"/>
      <c r="AG65" s="2"/>
      <c r="AH65" s="2"/>
      <c r="AI65" s="2"/>
    </row>
    <row r="66" spans="1:35" ht="18" customHeight="1" x14ac:dyDescent="0.25">
      <c r="A66" s="509"/>
      <c r="B66" s="403"/>
      <c r="C66" s="594"/>
      <c r="D66" s="534"/>
      <c r="E66" s="109" t="s">
        <v>126</v>
      </c>
      <c r="F66" s="231">
        <f>IF(E64="Alto",'R-Avançado'!F19,IF(E64="Baixo",'R-Avançado'!F21,'R-Avançado'!F20))</f>
        <v>400</v>
      </c>
      <c r="G66" s="398"/>
      <c r="H66" s="539"/>
      <c r="I66" s="398"/>
      <c r="J66" s="398"/>
      <c r="K66" s="398"/>
      <c r="L66" s="398"/>
      <c r="M66" s="593"/>
      <c r="N66" s="119" t="s">
        <v>127</v>
      </c>
      <c r="O66" s="590"/>
      <c r="P66" s="399"/>
      <c r="Q66" s="479"/>
      <c r="R66" s="479"/>
      <c r="S66" s="479" t="s">
        <v>128</v>
      </c>
      <c r="T66" s="479"/>
      <c r="U66" s="479"/>
      <c r="V66" s="479"/>
      <c r="W66" s="479"/>
      <c r="X66" s="479"/>
      <c r="Y66" s="479"/>
      <c r="Z66" s="479"/>
      <c r="AA66" s="2"/>
      <c r="AB66" s="2"/>
      <c r="AC66" s="2"/>
      <c r="AD66" s="2"/>
      <c r="AE66" s="2"/>
      <c r="AF66" s="2"/>
      <c r="AG66" s="2"/>
      <c r="AH66" s="2"/>
      <c r="AI66" s="2"/>
    </row>
    <row r="67" spans="1:35" ht="18" customHeight="1" x14ac:dyDescent="0.25">
      <c r="A67" s="509"/>
      <c r="B67" s="403"/>
      <c r="C67" s="403"/>
      <c r="D67" s="398"/>
      <c r="E67" s="398"/>
      <c r="F67" s="398"/>
      <c r="G67" s="398"/>
      <c r="H67" s="122"/>
      <c r="I67" s="109" t="s">
        <v>129</v>
      </c>
      <c r="J67" s="120" t="s">
        <v>116</v>
      </c>
      <c r="K67" s="398"/>
      <c r="L67" s="398"/>
      <c r="M67" s="122"/>
      <c r="N67" s="109" t="s">
        <v>130</v>
      </c>
      <c r="O67" s="591">
        <f>O63-O63*(F69+F71)</f>
        <v>0</v>
      </c>
      <c r="P67" s="399"/>
      <c r="Q67" s="479"/>
      <c r="R67" s="479"/>
      <c r="S67" s="479"/>
      <c r="T67" s="479"/>
      <c r="U67" s="479"/>
      <c r="V67" s="479"/>
      <c r="W67" s="479"/>
      <c r="X67" s="479"/>
      <c r="Y67" s="479"/>
      <c r="Z67" s="479"/>
      <c r="AA67" s="2"/>
      <c r="AB67" s="2"/>
      <c r="AC67" s="2"/>
      <c r="AD67" s="2"/>
      <c r="AE67" s="2"/>
      <c r="AF67" s="2"/>
      <c r="AG67" s="2"/>
      <c r="AH67" s="2"/>
      <c r="AI67" s="2"/>
    </row>
    <row r="68" spans="1:35" ht="18" customHeight="1" x14ac:dyDescent="0.25">
      <c r="A68" s="509"/>
      <c r="B68" s="403"/>
      <c r="C68" s="593"/>
      <c r="D68" s="118" t="s">
        <v>131</v>
      </c>
      <c r="E68" s="118"/>
      <c r="F68" s="637"/>
      <c r="G68" s="398"/>
      <c r="H68" s="122"/>
      <c r="I68" s="109" t="s">
        <v>132</v>
      </c>
      <c r="J68" s="589">
        <f>IF(J67&lt;&gt;"Uso agrícola dir.",E60*J59/100*(1-F63),0)</f>
        <v>0</v>
      </c>
      <c r="K68" s="398"/>
      <c r="L68" s="398"/>
      <c r="M68" s="122"/>
      <c r="N68" s="109" t="s">
        <v>133</v>
      </c>
      <c r="O68" s="591">
        <f>O64-O64*(F69+F71)</f>
        <v>0</v>
      </c>
      <c r="P68" s="399"/>
      <c r="Q68" s="479"/>
      <c r="R68" s="479"/>
      <c r="S68" s="479"/>
      <c r="T68" s="479"/>
      <c r="U68" s="479"/>
      <c r="V68" s="479"/>
      <c r="W68" s="479"/>
      <c r="X68" s="479"/>
      <c r="Y68" s="479"/>
      <c r="Z68" s="479"/>
      <c r="AA68" s="2"/>
      <c r="AB68" s="2"/>
      <c r="AC68" s="2"/>
      <c r="AD68" s="2"/>
      <c r="AE68" s="2"/>
      <c r="AF68" s="2"/>
      <c r="AG68" s="2"/>
      <c r="AH68" s="2"/>
      <c r="AI68" s="2"/>
    </row>
    <row r="69" spans="1:35" ht="18" customHeight="1" x14ac:dyDescent="0.25">
      <c r="A69" s="509"/>
      <c r="B69" s="403"/>
      <c r="C69" s="594"/>
      <c r="D69" s="534" t="s">
        <v>117</v>
      </c>
      <c r="E69" s="121" t="s">
        <v>88</v>
      </c>
      <c r="F69" s="322">
        <f>IF(E69="Alta",'R-Avançado'!J19/100,IF(E69="Baixa",'R-Avançado'!J21/100,'R-Avançado'!J20/100))</f>
        <v>0.3</v>
      </c>
      <c r="G69" s="398"/>
      <c r="H69" s="398"/>
      <c r="I69" s="398"/>
      <c r="J69" s="398"/>
      <c r="K69" s="428"/>
      <c r="L69" s="398"/>
      <c r="M69" s="122"/>
      <c r="N69" s="109" t="s">
        <v>134</v>
      </c>
      <c r="O69" s="592">
        <f>IF(J59&gt;0,O62*J65/100*F66*'R-Avançado'!F23/100*'R-Avançado'!F24/100,0)</f>
        <v>0</v>
      </c>
      <c r="P69" s="399"/>
      <c r="Q69" s="479"/>
      <c r="R69" s="479"/>
      <c r="S69" s="479"/>
      <c r="T69" s="479"/>
      <c r="U69" s="479"/>
      <c r="V69" s="479"/>
      <c r="W69" s="479"/>
      <c r="X69" s="479"/>
      <c r="Y69" s="479"/>
      <c r="Z69" s="479"/>
      <c r="AA69" s="2"/>
      <c r="AB69" s="2"/>
      <c r="AC69" s="2"/>
      <c r="AD69" s="2"/>
      <c r="AE69" s="2"/>
      <c r="AF69" s="2"/>
      <c r="AG69" s="2"/>
      <c r="AH69" s="2"/>
      <c r="AI69" s="2"/>
    </row>
    <row r="70" spans="1:35" ht="18" customHeight="1" x14ac:dyDescent="0.25">
      <c r="A70" s="509"/>
      <c r="B70" s="403"/>
      <c r="C70" s="403"/>
      <c r="D70" s="530"/>
      <c r="E70" s="403"/>
      <c r="F70" s="403"/>
      <c r="G70" s="398"/>
      <c r="H70" s="398"/>
      <c r="I70" s="595"/>
      <c r="J70" s="596" t="s">
        <v>475</v>
      </c>
      <c r="K70" s="428"/>
      <c r="L70" s="398"/>
      <c r="M70" s="594"/>
      <c r="N70" s="534" t="s">
        <v>135</v>
      </c>
      <c r="O70" s="592">
        <f>IF(J59&gt;0,O62*J64/100*F65*'R-Avançado'!F23/100*'R-Avançado'!F24/100,0)</f>
        <v>0</v>
      </c>
      <c r="P70" s="399"/>
      <c r="Q70" s="479"/>
      <c r="R70" s="479"/>
      <c r="S70" s="479"/>
      <c r="T70" s="479"/>
      <c r="U70" s="479"/>
      <c r="V70" s="479"/>
      <c r="W70" s="479"/>
      <c r="X70" s="479"/>
      <c r="Y70" s="479"/>
      <c r="Z70" s="479"/>
      <c r="AA70" s="2"/>
      <c r="AB70" s="2"/>
      <c r="AC70" s="2"/>
      <c r="AD70" s="2"/>
      <c r="AE70" s="2"/>
      <c r="AF70" s="2"/>
      <c r="AG70" s="2"/>
      <c r="AH70" s="2"/>
      <c r="AI70" s="2"/>
    </row>
    <row r="71" spans="1:35" ht="18" customHeight="1" x14ac:dyDescent="0.25">
      <c r="A71" s="509"/>
      <c r="B71" s="403"/>
      <c r="C71" s="115"/>
      <c r="D71" s="449" t="s">
        <v>136</v>
      </c>
      <c r="E71" s="121" t="s">
        <v>193</v>
      </c>
      <c r="F71" s="322">
        <f>IF(E71="Alto",'R-Avançado'!M19/100,'R-Avançado'!M20/100)</f>
        <v>0.25</v>
      </c>
      <c r="G71" s="398"/>
      <c r="H71" s="398"/>
      <c r="I71" s="597"/>
      <c r="J71" s="598" t="s">
        <v>476</v>
      </c>
      <c r="K71" s="398"/>
      <c r="L71" s="398"/>
      <c r="M71" s="398"/>
      <c r="N71" s="398"/>
      <c r="O71" s="398"/>
      <c r="P71" s="399"/>
      <c r="Q71" s="479"/>
      <c r="R71" s="479"/>
      <c r="S71" s="479"/>
      <c r="T71" s="479"/>
      <c r="U71" s="479"/>
      <c r="V71" s="479"/>
      <c r="W71" s="479"/>
      <c r="X71" s="479"/>
      <c r="Y71" s="479"/>
      <c r="Z71" s="479"/>
      <c r="AA71" s="2"/>
      <c r="AB71" s="2"/>
      <c r="AC71" s="2"/>
      <c r="AD71" s="2"/>
      <c r="AE71" s="2"/>
      <c r="AF71" s="2"/>
      <c r="AG71" s="2"/>
      <c r="AH71" s="2"/>
      <c r="AI71" s="2"/>
    </row>
    <row r="72" spans="1:35" ht="18" customHeight="1" x14ac:dyDescent="0.25">
      <c r="A72" s="509"/>
      <c r="B72" s="403"/>
      <c r="C72" s="403"/>
      <c r="D72" s="398"/>
      <c r="E72" s="398"/>
      <c r="F72" s="398"/>
      <c r="G72" s="398"/>
      <c r="H72" s="398"/>
      <c r="I72" s="2702" t="s">
        <v>125</v>
      </c>
      <c r="J72" s="2703"/>
      <c r="K72" s="111"/>
      <c r="L72" s="593"/>
      <c r="M72" s="118"/>
      <c r="N72" s="118" t="s">
        <v>138</v>
      </c>
      <c r="O72" s="590"/>
      <c r="P72" s="399"/>
      <c r="Q72" s="479"/>
      <c r="R72" s="479"/>
      <c r="S72" s="479"/>
      <c r="T72" s="479"/>
      <c r="U72" s="479"/>
      <c r="V72" s="479"/>
      <c r="W72" s="479"/>
      <c r="X72" s="479"/>
      <c r="Y72" s="479"/>
      <c r="Z72" s="479"/>
      <c r="AA72" s="2"/>
      <c r="AB72" s="2"/>
      <c r="AC72" s="2"/>
      <c r="AD72" s="2"/>
      <c r="AE72" s="2"/>
      <c r="AF72" s="2"/>
      <c r="AG72" s="2"/>
      <c r="AH72" s="2"/>
      <c r="AI72" s="2"/>
    </row>
    <row r="73" spans="1:35" ht="18" customHeight="1" x14ac:dyDescent="0.25">
      <c r="A73" s="509"/>
      <c r="B73" s="403"/>
      <c r="C73" s="403"/>
      <c r="D73" s="398"/>
      <c r="E73" s="398"/>
      <c r="F73" s="398"/>
      <c r="G73" s="398"/>
      <c r="H73" s="398"/>
      <c r="I73" s="398"/>
      <c r="J73" s="398"/>
      <c r="K73" s="398"/>
      <c r="L73" s="122"/>
      <c r="M73" s="122"/>
      <c r="N73" s="109" t="s">
        <v>478</v>
      </c>
      <c r="O73" s="591">
        <f>(O63+O64)*F71</f>
        <v>0</v>
      </c>
      <c r="P73" s="399"/>
      <c r="Q73" s="479"/>
      <c r="R73" s="479"/>
      <c r="S73" s="479"/>
      <c r="T73" s="479"/>
      <c r="U73" s="479"/>
      <c r="V73" s="479"/>
      <c r="W73" s="479"/>
      <c r="X73" s="479"/>
      <c r="Y73" s="479"/>
      <c r="Z73" s="479"/>
      <c r="AA73" s="2"/>
      <c r="AB73" s="2"/>
      <c r="AC73" s="2"/>
      <c r="AD73" s="2"/>
      <c r="AE73" s="2"/>
      <c r="AF73" s="2"/>
      <c r="AG73" s="2"/>
      <c r="AH73" s="2"/>
      <c r="AI73" s="2"/>
    </row>
    <row r="74" spans="1:35" ht="18" customHeight="1" x14ac:dyDescent="0.25">
      <c r="A74" s="504"/>
      <c r="B74" s="466"/>
      <c r="C74" s="466"/>
      <c r="D74" s="399"/>
      <c r="E74" s="399"/>
      <c r="F74" s="399"/>
      <c r="G74" s="399"/>
      <c r="H74" s="399"/>
      <c r="I74" s="399"/>
      <c r="J74" s="399"/>
      <c r="K74" s="399"/>
      <c r="L74" s="84"/>
      <c r="M74" s="84"/>
      <c r="N74" s="109" t="s">
        <v>139</v>
      </c>
      <c r="O74" s="786">
        <f>O62*F63+O63*F69+O64*F69</f>
        <v>0</v>
      </c>
      <c r="P74" s="399"/>
      <c r="Q74" s="479"/>
      <c r="R74" s="479"/>
      <c r="S74" s="479"/>
      <c r="T74" s="479"/>
      <c r="U74" s="479"/>
      <c r="V74" s="479"/>
      <c r="W74" s="479"/>
      <c r="X74" s="479"/>
      <c r="Y74" s="479"/>
      <c r="Z74" s="479"/>
      <c r="AA74" s="2"/>
      <c r="AB74" s="2"/>
      <c r="AC74" s="2"/>
      <c r="AD74" s="2"/>
      <c r="AE74" s="2"/>
      <c r="AF74" s="2"/>
      <c r="AG74" s="2"/>
      <c r="AH74" s="2"/>
      <c r="AI74" s="2"/>
    </row>
    <row r="75" spans="1:35" ht="18" customHeight="1" x14ac:dyDescent="0.25">
      <c r="A75" s="504"/>
      <c r="B75" s="603"/>
      <c r="C75" s="603"/>
      <c r="D75" s="540"/>
      <c r="E75" s="503"/>
      <c r="F75" s="503"/>
      <c r="G75" s="503"/>
      <c r="H75" s="503"/>
      <c r="I75" s="503"/>
      <c r="J75" s="503"/>
      <c r="K75" s="503"/>
      <c r="L75" s="503"/>
      <c r="M75" s="503"/>
      <c r="N75" s="503"/>
      <c r="O75" s="503"/>
      <c r="P75" s="503"/>
      <c r="Q75" s="479"/>
      <c r="R75" s="479"/>
      <c r="S75" s="479"/>
      <c r="T75" s="479"/>
      <c r="U75" s="479"/>
      <c r="V75" s="479"/>
      <c r="W75" s="479"/>
      <c r="X75" s="479"/>
      <c r="Y75" s="479"/>
      <c r="Z75" s="479"/>
      <c r="AA75" s="2"/>
      <c r="AB75" s="2"/>
      <c r="AC75" s="2"/>
      <c r="AD75" s="2"/>
      <c r="AE75" s="2"/>
      <c r="AF75" s="2"/>
      <c r="AG75" s="2"/>
      <c r="AH75" s="2"/>
      <c r="AI75" s="2"/>
    </row>
    <row r="76" spans="1:35" ht="18" customHeight="1" x14ac:dyDescent="0.25">
      <c r="A76" s="504"/>
      <c r="B76" s="603"/>
      <c r="C76" s="603"/>
      <c r="D76" s="503"/>
      <c r="E76" s="503"/>
      <c r="F76" s="503"/>
      <c r="G76" s="503"/>
      <c r="H76" s="503"/>
      <c r="I76" s="503"/>
      <c r="J76" s="503"/>
      <c r="K76" s="503"/>
      <c r="L76" s="503"/>
      <c r="M76" s="503"/>
      <c r="N76" s="512"/>
      <c r="O76" s="503"/>
      <c r="P76" s="503"/>
      <c r="Q76" s="479"/>
      <c r="R76" s="479"/>
      <c r="S76" s="479"/>
      <c r="T76" s="479"/>
      <c r="U76" s="479"/>
      <c r="V76" s="479"/>
      <c r="W76" s="479"/>
      <c r="X76" s="479"/>
      <c r="Y76" s="479"/>
      <c r="Z76" s="479"/>
      <c r="AA76" s="2"/>
      <c r="AB76" s="2"/>
      <c r="AC76" s="2"/>
      <c r="AD76" s="2"/>
      <c r="AE76" s="2"/>
      <c r="AF76" s="2"/>
      <c r="AG76" s="2"/>
      <c r="AH76" s="2"/>
      <c r="AI76" s="2"/>
    </row>
    <row r="77" spans="1:35" ht="18" customHeight="1" x14ac:dyDescent="0.25">
      <c r="A77" s="504"/>
      <c r="B77" s="417"/>
      <c r="C77" s="417"/>
      <c r="D77" s="2700" t="s">
        <v>484</v>
      </c>
      <c r="E77" s="2701"/>
      <c r="F77" s="2701"/>
      <c r="G77" s="2701"/>
      <c r="H77" s="2701"/>
      <c r="I77" s="2701"/>
      <c r="J77" s="2701"/>
      <c r="K77" s="2701"/>
      <c r="L77" s="2701"/>
      <c r="M77" s="2701"/>
      <c r="N77" s="2701"/>
      <c r="O77" s="503"/>
      <c r="P77" s="503"/>
      <c r="Q77" s="479"/>
      <c r="R77" s="479"/>
      <c r="S77" s="479"/>
      <c r="T77" s="479"/>
      <c r="U77" s="479"/>
      <c r="V77" s="479"/>
      <c r="W77" s="479"/>
      <c r="X77" s="479"/>
      <c r="Y77" s="479"/>
      <c r="Z77" s="479"/>
      <c r="AA77" s="22"/>
      <c r="AB77" s="2"/>
      <c r="AC77" s="2"/>
      <c r="AD77" s="2"/>
      <c r="AE77" s="2"/>
      <c r="AF77" s="2"/>
      <c r="AG77" s="2"/>
      <c r="AH77" s="2"/>
      <c r="AI77" s="2"/>
    </row>
    <row r="78" spans="1:35" ht="18" customHeight="1" x14ac:dyDescent="0.25">
      <c r="A78" s="504"/>
      <c r="B78" s="417"/>
      <c r="C78" s="417"/>
      <c r="D78" s="2700" t="s">
        <v>25</v>
      </c>
      <c r="E78" s="2701"/>
      <c r="F78" s="2705" t="s">
        <v>49</v>
      </c>
      <c r="G78" s="2700" t="s">
        <v>426</v>
      </c>
      <c r="H78" s="2701"/>
      <c r="I78" s="2700" t="s">
        <v>427</v>
      </c>
      <c r="J78" s="2700" t="s">
        <v>51</v>
      </c>
      <c r="K78" s="2701"/>
      <c r="L78" s="2700" t="s">
        <v>428</v>
      </c>
      <c r="M78" s="2701"/>
      <c r="N78" s="2704" t="s">
        <v>52</v>
      </c>
      <c r="O78" s="503"/>
      <c r="P78" s="521"/>
      <c r="Q78" s="479"/>
      <c r="R78" s="479"/>
      <c r="S78" s="479"/>
      <c r="T78" s="479"/>
      <c r="U78" s="479"/>
      <c r="V78" s="479"/>
      <c r="W78" s="479"/>
      <c r="X78" s="479"/>
      <c r="Y78" s="479"/>
      <c r="Z78" s="479"/>
      <c r="AA78" s="2"/>
      <c r="AB78" s="2"/>
      <c r="AC78" s="2"/>
      <c r="AD78" s="2"/>
      <c r="AE78" s="2"/>
      <c r="AF78" s="2"/>
      <c r="AG78" s="2"/>
      <c r="AH78" s="2"/>
      <c r="AI78" s="2"/>
    </row>
    <row r="79" spans="1:35" ht="33" customHeight="1" x14ac:dyDescent="0.25">
      <c r="A79" s="504"/>
      <c r="B79" s="417"/>
      <c r="C79" s="541"/>
      <c r="D79" s="445" t="s">
        <v>53</v>
      </c>
      <c r="E79" s="445" t="s">
        <v>54</v>
      </c>
      <c r="F79" s="2706"/>
      <c r="G79" s="445" t="s">
        <v>55</v>
      </c>
      <c r="H79" s="445" t="s">
        <v>56</v>
      </c>
      <c r="I79" s="2701"/>
      <c r="J79" s="445" t="s">
        <v>57</v>
      </c>
      <c r="K79" s="445" t="s">
        <v>461</v>
      </c>
      <c r="L79" s="445" t="s">
        <v>429</v>
      </c>
      <c r="M79" s="446" t="s">
        <v>460</v>
      </c>
      <c r="N79" s="2701"/>
      <c r="O79" s="503"/>
      <c r="P79" s="503"/>
      <c r="Q79" s="479"/>
      <c r="R79" s="479"/>
      <c r="S79" s="479"/>
      <c r="T79" s="479"/>
      <c r="U79" s="479"/>
      <c r="V79" s="479"/>
      <c r="W79" s="479"/>
      <c r="X79" s="479"/>
      <c r="Y79" s="479"/>
      <c r="Z79" s="479"/>
      <c r="AA79" s="2"/>
      <c r="AB79" s="2"/>
      <c r="AC79" s="2"/>
      <c r="AD79" s="2"/>
      <c r="AE79" s="2"/>
      <c r="AF79" s="2"/>
      <c r="AG79" s="2"/>
      <c r="AH79" s="2"/>
      <c r="AI79" s="2"/>
    </row>
    <row r="80" spans="1:35" ht="18" customHeight="1" x14ac:dyDescent="0.25">
      <c r="A80" s="504"/>
      <c r="B80" s="417"/>
      <c r="C80" s="109" t="s">
        <v>748</v>
      </c>
      <c r="D80" s="125">
        <f t="shared" ref="D80:M80" si="5">SUM(D81:D84)</f>
        <v>31.924034999999993</v>
      </c>
      <c r="E80" s="125">
        <f t="shared" si="5"/>
        <v>1.9787625</v>
      </c>
      <c r="F80" s="125">
        <f t="shared" si="5"/>
        <v>9.3958931250000006</v>
      </c>
      <c r="G80" s="125">
        <f t="shared" si="5"/>
        <v>6.3834693750000007</v>
      </c>
      <c r="H80" s="125">
        <f t="shared" si="5"/>
        <v>3.2993212499999993</v>
      </c>
      <c r="I80" s="125">
        <f t="shared" si="5"/>
        <v>1.7213849999999997</v>
      </c>
      <c r="J80" s="125">
        <f t="shared" si="5"/>
        <v>1.6496606249999997</v>
      </c>
      <c r="K80" s="125">
        <f t="shared" si="5"/>
        <v>0.43034624999999993</v>
      </c>
      <c r="L80" s="125">
        <f t="shared" si="5"/>
        <v>7.48332</v>
      </c>
      <c r="M80" s="125">
        <f t="shared" si="5"/>
        <v>4.8412800000000011</v>
      </c>
      <c r="N80" s="599">
        <f>SUM(D80:M80)</f>
        <v>69.107473124999999</v>
      </c>
      <c r="O80" s="503"/>
      <c r="P80" s="522"/>
      <c r="Q80" s="479"/>
      <c r="R80" s="479"/>
      <c r="S80" s="479"/>
      <c r="T80" s="479"/>
      <c r="U80" s="479"/>
      <c r="V80" s="479"/>
      <c r="W80" s="479"/>
      <c r="X80" s="479"/>
      <c r="Y80" s="479"/>
      <c r="Z80" s="479"/>
      <c r="AA80" s="2"/>
      <c r="AB80" s="2"/>
      <c r="AC80" s="2"/>
      <c r="AD80" s="2"/>
      <c r="AE80" s="2"/>
      <c r="AF80" s="2"/>
      <c r="AG80" s="2"/>
      <c r="AH80" s="2"/>
      <c r="AI80" s="2"/>
    </row>
    <row r="81" spans="1:35" ht="18" customHeight="1" x14ac:dyDescent="0.25">
      <c r="A81" s="504"/>
      <c r="B81" s="417"/>
      <c r="C81" s="108" t="s">
        <v>97</v>
      </c>
      <c r="D81" s="130">
        <f t="shared" ref="D81:M81" si="6">D44</f>
        <v>31.254299999999994</v>
      </c>
      <c r="E81" s="130">
        <f t="shared" si="6"/>
        <v>1.9372499999999999</v>
      </c>
      <c r="F81" s="130">
        <f t="shared" si="6"/>
        <v>8.4593249999999998</v>
      </c>
      <c r="G81" s="130">
        <f t="shared" si="6"/>
        <v>5.7471750000000004</v>
      </c>
      <c r="H81" s="130">
        <f t="shared" si="6"/>
        <v>2.9704499999999996</v>
      </c>
      <c r="I81" s="130">
        <f t="shared" si="6"/>
        <v>1.5497999999999996</v>
      </c>
      <c r="J81" s="130">
        <f t="shared" si="6"/>
        <v>1.4852249999999998</v>
      </c>
      <c r="K81" s="130">
        <f t="shared" si="6"/>
        <v>0.38744999999999991</v>
      </c>
      <c r="L81" s="130">
        <f t="shared" si="6"/>
        <v>6.5479050000000001</v>
      </c>
      <c r="M81" s="130">
        <f t="shared" si="6"/>
        <v>4.2361200000000014</v>
      </c>
      <c r="N81" s="600">
        <f>SUM(D81:M81)</f>
        <v>64.574999999999989</v>
      </c>
      <c r="O81" s="503"/>
      <c r="P81" s="522"/>
      <c r="Q81" s="479"/>
      <c r="R81" s="479"/>
      <c r="S81" s="479"/>
      <c r="T81" s="479"/>
      <c r="U81" s="479"/>
      <c r="V81" s="479"/>
      <c r="W81" s="479"/>
      <c r="X81" s="479"/>
      <c r="Y81" s="479"/>
      <c r="Z81" s="479"/>
      <c r="AA81" s="2"/>
      <c r="AB81" s="2"/>
      <c r="AC81" s="2"/>
      <c r="AD81" s="2"/>
      <c r="AE81" s="2"/>
      <c r="AF81" s="2"/>
      <c r="AG81" s="2"/>
      <c r="AH81" s="2"/>
      <c r="AI81" s="2"/>
    </row>
    <row r="82" spans="1:35" ht="18" customHeight="1" x14ac:dyDescent="0.25">
      <c r="A82" s="504"/>
      <c r="B82" s="417"/>
      <c r="C82" s="108" t="s">
        <v>140</v>
      </c>
      <c r="D82" s="130">
        <f t="shared" ref="D82:M82" si="7">D43</f>
        <v>0.66973499999999975</v>
      </c>
      <c r="E82" s="130">
        <f t="shared" si="7"/>
        <v>4.1512500000000008E-2</v>
      </c>
      <c r="F82" s="130">
        <f t="shared" si="7"/>
        <v>0.93656812499999997</v>
      </c>
      <c r="G82" s="130">
        <f t="shared" si="7"/>
        <v>0.63629437500000008</v>
      </c>
      <c r="H82" s="130">
        <f t="shared" si="7"/>
        <v>0.32887124999999995</v>
      </c>
      <c r="I82" s="130">
        <f t="shared" si="7"/>
        <v>0.17158499999999999</v>
      </c>
      <c r="J82" s="130">
        <f t="shared" si="7"/>
        <v>0.16443562499999997</v>
      </c>
      <c r="K82" s="130">
        <f t="shared" si="7"/>
        <v>4.2896249999999997E-2</v>
      </c>
      <c r="L82" s="130">
        <f t="shared" si="7"/>
        <v>0.935415</v>
      </c>
      <c r="M82" s="130">
        <f t="shared" si="7"/>
        <v>0.60516000000000014</v>
      </c>
      <c r="N82" s="600">
        <f>SUM(D82:M82)</f>
        <v>4.5324731249999992</v>
      </c>
      <c r="O82" s="503"/>
      <c r="P82" s="523"/>
      <c r="Q82" s="479"/>
      <c r="R82" s="479"/>
      <c r="S82" s="479"/>
      <c r="T82" s="479"/>
      <c r="U82" s="479"/>
      <c r="V82" s="479"/>
      <c r="W82" s="479"/>
      <c r="X82" s="479"/>
      <c r="Y82" s="479"/>
      <c r="Z82" s="479"/>
      <c r="AA82" s="2"/>
      <c r="AB82" s="2"/>
      <c r="AC82" s="2"/>
      <c r="AD82" s="2"/>
      <c r="AE82" s="2"/>
      <c r="AF82" s="2"/>
      <c r="AG82" s="2"/>
      <c r="AH82" s="2"/>
      <c r="AI82" s="2"/>
    </row>
    <row r="83" spans="1:35" ht="18" customHeight="1" x14ac:dyDescent="0.25">
      <c r="A83" s="504"/>
      <c r="B83" s="417"/>
      <c r="C83" s="108" t="s">
        <v>141</v>
      </c>
      <c r="D83" s="130"/>
      <c r="E83" s="130"/>
      <c r="F83" s="130"/>
      <c r="G83" s="130"/>
      <c r="H83" s="130"/>
      <c r="I83" s="130"/>
      <c r="J83" s="130"/>
      <c r="K83" s="130"/>
      <c r="L83" s="130">
        <f>N34</f>
        <v>0</v>
      </c>
      <c r="M83" s="130">
        <f>N35</f>
        <v>0</v>
      </c>
      <c r="N83" s="600">
        <f>SUM(D83:M83)</f>
        <v>0</v>
      </c>
      <c r="O83" s="503"/>
      <c r="P83" s="524"/>
      <c r="Q83" s="479"/>
      <c r="R83" s="479"/>
      <c r="S83" s="479"/>
      <c r="T83" s="479"/>
      <c r="U83" s="479"/>
      <c r="V83" s="479"/>
      <c r="W83" s="479"/>
      <c r="X83" s="479"/>
      <c r="Y83" s="479"/>
      <c r="Z83" s="479"/>
      <c r="AA83" s="2"/>
      <c r="AB83" s="2"/>
      <c r="AC83" s="2"/>
      <c r="AD83" s="2"/>
      <c r="AE83" s="2"/>
      <c r="AF83" s="2"/>
      <c r="AG83" s="2"/>
      <c r="AH83" s="2"/>
      <c r="AI83" s="2"/>
    </row>
    <row r="84" spans="1:35" ht="18" customHeight="1" x14ac:dyDescent="0.25">
      <c r="A84" s="504"/>
      <c r="B84" s="417"/>
      <c r="C84" s="108" t="s">
        <v>142</v>
      </c>
      <c r="D84" s="130"/>
      <c r="E84" s="130"/>
      <c r="F84" s="130"/>
      <c r="G84" s="130"/>
      <c r="H84" s="130"/>
      <c r="I84" s="130"/>
      <c r="J84" s="130"/>
      <c r="K84" s="130"/>
      <c r="L84" s="130">
        <f>M34</f>
        <v>0</v>
      </c>
      <c r="M84" s="130">
        <f>M35</f>
        <v>0</v>
      </c>
      <c r="N84" s="600">
        <f>SUM(D84:M84)</f>
        <v>0</v>
      </c>
      <c r="O84" s="503"/>
      <c r="P84" s="503"/>
      <c r="Q84" s="479"/>
      <c r="R84" s="479"/>
      <c r="S84" s="479"/>
      <c r="T84" s="479"/>
      <c r="U84" s="479"/>
      <c r="V84" s="479"/>
      <c r="W84" s="479"/>
      <c r="X84" s="479"/>
      <c r="Y84" s="479"/>
      <c r="Z84" s="479"/>
      <c r="AA84" s="2"/>
      <c r="AB84" s="2"/>
      <c r="AC84" s="2"/>
      <c r="AD84" s="2"/>
      <c r="AE84" s="2"/>
      <c r="AF84" s="2"/>
      <c r="AG84" s="2"/>
      <c r="AH84" s="2"/>
      <c r="AI84" s="2"/>
    </row>
    <row r="85" spans="1:35" ht="1.9" customHeight="1" x14ac:dyDescent="0.25">
      <c r="A85" s="504"/>
      <c r="B85" s="417"/>
      <c r="C85" s="128"/>
      <c r="D85" s="126"/>
      <c r="E85" s="126"/>
      <c r="F85" s="127"/>
      <c r="G85" s="126"/>
      <c r="H85" s="126"/>
      <c r="I85" s="126"/>
      <c r="J85" s="126"/>
      <c r="K85" s="126"/>
      <c r="L85" s="131"/>
      <c r="M85" s="131"/>
      <c r="N85" s="131"/>
      <c r="O85" s="503"/>
      <c r="P85" s="503"/>
      <c r="Q85" s="479"/>
      <c r="R85" s="479"/>
      <c r="S85" s="479"/>
      <c r="T85" s="479"/>
      <c r="U85" s="479"/>
      <c r="V85" s="479"/>
      <c r="W85" s="479"/>
      <c r="X85" s="479"/>
      <c r="Y85" s="479"/>
      <c r="Z85" s="479"/>
      <c r="AA85" s="2"/>
      <c r="AB85" s="2"/>
      <c r="AC85" s="2"/>
      <c r="AD85" s="2"/>
      <c r="AE85" s="2"/>
      <c r="AF85" s="2"/>
      <c r="AG85" s="2"/>
      <c r="AH85" s="2"/>
      <c r="AI85" s="2"/>
    </row>
    <row r="86" spans="1:35" ht="18" customHeight="1" x14ac:dyDescent="0.25">
      <c r="A86" s="504"/>
      <c r="B86" s="417"/>
      <c r="C86" s="109" t="s">
        <v>747</v>
      </c>
      <c r="D86" s="186">
        <f t="shared" ref="D86:M86" si="8">SUM(D87:D89)</f>
        <v>0</v>
      </c>
      <c r="E86" s="186">
        <f t="shared" si="8"/>
        <v>0</v>
      </c>
      <c r="F86" s="186">
        <f t="shared" si="8"/>
        <v>0</v>
      </c>
      <c r="G86" s="186">
        <f t="shared" si="8"/>
        <v>0</v>
      </c>
      <c r="H86" s="186">
        <f t="shared" si="8"/>
        <v>0</v>
      </c>
      <c r="I86" s="186">
        <f t="shared" si="8"/>
        <v>0</v>
      </c>
      <c r="J86" s="186">
        <f t="shared" si="8"/>
        <v>0</v>
      </c>
      <c r="K86" s="186">
        <f t="shared" si="8"/>
        <v>0</v>
      </c>
      <c r="L86" s="186">
        <f t="shared" si="8"/>
        <v>0</v>
      </c>
      <c r="M86" s="186">
        <f t="shared" si="8"/>
        <v>0</v>
      </c>
      <c r="N86" s="186">
        <f>SUM(D86:M86)</f>
        <v>0</v>
      </c>
      <c r="O86" s="503"/>
      <c r="P86" s="503"/>
      <c r="Q86" s="479"/>
      <c r="R86" s="479"/>
      <c r="S86" s="479"/>
      <c r="T86" s="479"/>
      <c r="U86" s="479"/>
      <c r="V86" s="479"/>
      <c r="W86" s="479"/>
      <c r="X86" s="479"/>
      <c r="Y86" s="479"/>
      <c r="Z86" s="479"/>
      <c r="AA86" s="2"/>
      <c r="AB86" s="2"/>
      <c r="AC86" s="2"/>
      <c r="AD86" s="2"/>
      <c r="AE86" s="2"/>
      <c r="AF86" s="2"/>
      <c r="AG86" s="2"/>
      <c r="AH86" s="2"/>
      <c r="AI86" s="2"/>
    </row>
    <row r="87" spans="1:35" ht="18" customHeight="1" x14ac:dyDescent="0.25">
      <c r="A87" s="504"/>
      <c r="B87" s="417"/>
      <c r="C87" s="108" t="s">
        <v>140</v>
      </c>
      <c r="D87" s="144">
        <f>IF($E$51&gt;0,D43,0)</f>
        <v>0</v>
      </c>
      <c r="E87" s="132">
        <f>IF($E$51&gt;0,E43,0)</f>
        <v>0</v>
      </c>
      <c r="F87" s="132">
        <f>IF($E$51&gt;0,F43,0)</f>
        <v>0</v>
      </c>
      <c r="G87" s="132">
        <f>IF($E$51&gt;0,G43,0)</f>
        <v>0</v>
      </c>
      <c r="H87" s="132">
        <f>IF($E$51&gt;0,H43,0)</f>
        <v>0</v>
      </c>
      <c r="I87" s="123"/>
      <c r="J87" s="123"/>
      <c r="K87" s="123"/>
      <c r="L87" s="144">
        <f>IF($E$51&gt;0,L43,0)</f>
        <v>0</v>
      </c>
      <c r="M87" s="132"/>
      <c r="N87" s="607">
        <f>SUM(D87:M87)</f>
        <v>0</v>
      </c>
      <c r="O87" s="503"/>
      <c r="P87" s="524"/>
      <c r="Q87" s="479"/>
      <c r="R87" s="479"/>
      <c r="S87" s="479"/>
      <c r="T87" s="479"/>
      <c r="U87" s="479"/>
      <c r="V87" s="479"/>
      <c r="W87" s="479"/>
      <c r="X87" s="479"/>
      <c r="Y87" s="479"/>
      <c r="Z87" s="479"/>
      <c r="AA87" s="2"/>
      <c r="AB87" s="2"/>
      <c r="AC87" s="2"/>
      <c r="AD87" s="2"/>
      <c r="AE87" s="2"/>
      <c r="AF87" s="2"/>
      <c r="AG87" s="2"/>
      <c r="AH87" s="2"/>
      <c r="AI87" s="2"/>
    </row>
    <row r="88" spans="1:35" ht="18" customHeight="1" x14ac:dyDescent="0.25">
      <c r="A88" s="504"/>
      <c r="B88" s="417"/>
      <c r="C88" s="108" t="s">
        <v>141</v>
      </c>
      <c r="D88" s="123"/>
      <c r="E88" s="123"/>
      <c r="F88" s="124"/>
      <c r="G88" s="123"/>
      <c r="H88" s="123"/>
      <c r="I88" s="123"/>
      <c r="J88" s="123"/>
      <c r="K88" s="123"/>
      <c r="L88" s="144">
        <f>IF(E50&gt;0,N34,0)</f>
        <v>0</v>
      </c>
      <c r="M88" s="132"/>
      <c r="N88" s="607">
        <f>SUM(D88:M88)</f>
        <v>0</v>
      </c>
      <c r="O88" s="503"/>
      <c r="P88" s="503"/>
      <c r="Q88" s="479"/>
      <c r="R88" s="479"/>
      <c r="S88" s="479"/>
      <c r="T88" s="479"/>
      <c r="U88" s="479"/>
      <c r="V88" s="479"/>
      <c r="W88" s="479"/>
      <c r="X88" s="479"/>
      <c r="Y88" s="479"/>
      <c r="Z88" s="479"/>
      <c r="AA88" s="2"/>
      <c r="AB88" s="2"/>
      <c r="AC88" s="2"/>
      <c r="AD88" s="2"/>
      <c r="AE88" s="2"/>
      <c r="AF88" s="2"/>
      <c r="AG88" s="2"/>
      <c r="AH88" s="2"/>
      <c r="AI88" s="2"/>
    </row>
    <row r="89" spans="1:35" ht="18" customHeight="1" x14ac:dyDescent="0.25">
      <c r="A89" s="504"/>
      <c r="B89" s="417"/>
      <c r="C89" s="108" t="s">
        <v>142</v>
      </c>
      <c r="D89" s="123"/>
      <c r="E89" s="123"/>
      <c r="F89" s="124"/>
      <c r="G89" s="123"/>
      <c r="H89" s="123"/>
      <c r="I89" s="123"/>
      <c r="J89" s="123"/>
      <c r="K89" s="123"/>
      <c r="L89" s="144">
        <f>IF(E49&gt;0,M34,0)</f>
        <v>0</v>
      </c>
      <c r="M89" s="132"/>
      <c r="N89" s="607">
        <f>SUM(D89:M89)</f>
        <v>0</v>
      </c>
      <c r="O89" s="503"/>
      <c r="P89" s="503"/>
      <c r="Q89" s="479"/>
      <c r="R89" s="479"/>
      <c r="S89" s="479"/>
      <c r="T89" s="479"/>
      <c r="U89" s="479"/>
      <c r="V89" s="479"/>
      <c r="W89" s="479"/>
      <c r="X89" s="479"/>
      <c r="Y89" s="479"/>
      <c r="Z89" s="479"/>
      <c r="AA89" s="2"/>
      <c r="AB89" s="2"/>
      <c r="AC89" s="2"/>
      <c r="AD89" s="2"/>
      <c r="AE89" s="2"/>
      <c r="AF89" s="2"/>
      <c r="AG89" s="2"/>
      <c r="AH89" s="2"/>
      <c r="AI89" s="2"/>
    </row>
    <row r="90" spans="1:35" ht="18" customHeight="1" x14ac:dyDescent="0.25">
      <c r="A90" s="504"/>
      <c r="B90" s="417"/>
      <c r="C90" s="109" t="s">
        <v>507</v>
      </c>
      <c r="D90" s="125">
        <f t="shared" ref="D90:M90" si="9">D80-D86</f>
        <v>31.924034999999993</v>
      </c>
      <c r="E90" s="125">
        <f t="shared" si="9"/>
        <v>1.9787625</v>
      </c>
      <c r="F90" s="125">
        <f t="shared" si="9"/>
        <v>9.3958931250000006</v>
      </c>
      <c r="G90" s="125">
        <f t="shared" si="9"/>
        <v>6.3834693750000007</v>
      </c>
      <c r="H90" s="125">
        <f t="shared" si="9"/>
        <v>3.2993212499999993</v>
      </c>
      <c r="I90" s="125">
        <f t="shared" si="9"/>
        <v>1.7213849999999997</v>
      </c>
      <c r="J90" s="125">
        <f t="shared" si="9"/>
        <v>1.6496606249999997</v>
      </c>
      <c r="K90" s="125">
        <f t="shared" si="9"/>
        <v>0.43034624999999993</v>
      </c>
      <c r="L90" s="125">
        <f t="shared" si="9"/>
        <v>7.48332</v>
      </c>
      <c r="M90" s="125">
        <f t="shared" si="9"/>
        <v>4.8412800000000011</v>
      </c>
      <c r="N90" s="599">
        <f>SUM(D90:M90)</f>
        <v>69.107473124999999</v>
      </c>
      <c r="O90" s="503"/>
      <c r="P90" s="522"/>
      <c r="Q90" s="479"/>
      <c r="R90" s="479"/>
      <c r="S90" s="479"/>
      <c r="T90" s="479"/>
      <c r="U90" s="479"/>
      <c r="V90" s="479"/>
      <c r="W90" s="479"/>
      <c r="X90" s="479"/>
      <c r="Y90" s="479"/>
      <c r="Z90" s="479"/>
      <c r="AA90" s="2"/>
      <c r="AB90" s="2"/>
      <c r="AC90" s="2"/>
      <c r="AD90" s="2"/>
      <c r="AE90" s="2"/>
      <c r="AF90" s="2"/>
      <c r="AG90" s="2"/>
      <c r="AH90" s="2"/>
      <c r="AI90" s="2"/>
    </row>
    <row r="91" spans="1:35" ht="1.9" customHeight="1" x14ac:dyDescent="0.25">
      <c r="A91" s="504"/>
      <c r="B91" s="417"/>
      <c r="C91" s="447"/>
      <c r="D91" s="137"/>
      <c r="E91" s="137"/>
      <c r="F91" s="137"/>
      <c r="G91" s="137"/>
      <c r="H91" s="137"/>
      <c r="I91" s="137"/>
      <c r="J91" s="137"/>
      <c r="K91" s="137"/>
      <c r="L91" s="137"/>
      <c r="M91" s="137"/>
      <c r="N91" s="137"/>
      <c r="O91" s="503"/>
      <c r="P91" s="503"/>
      <c r="Q91" s="479"/>
      <c r="R91" s="479"/>
      <c r="S91" s="479"/>
      <c r="T91" s="479"/>
      <c r="U91" s="479"/>
      <c r="V91" s="479"/>
      <c r="W91" s="479"/>
      <c r="X91" s="479"/>
      <c r="Y91" s="479"/>
      <c r="Z91" s="479"/>
      <c r="AA91" s="2"/>
      <c r="AB91" s="2"/>
      <c r="AC91" s="2"/>
      <c r="AD91" s="2"/>
      <c r="AE91" s="2"/>
      <c r="AF91" s="2"/>
      <c r="AG91" s="2"/>
      <c r="AH91" s="2"/>
      <c r="AI91" s="2"/>
    </row>
    <row r="92" spans="1:35" ht="18" customHeight="1" x14ac:dyDescent="0.25">
      <c r="A92" s="504"/>
      <c r="B92" s="417"/>
      <c r="C92" s="108" t="s">
        <v>143</v>
      </c>
      <c r="D92" s="186">
        <f>D90-D94+D97+(IF(I29="Incineração",O32,0))</f>
        <v>35.719199999999994</v>
      </c>
      <c r="E92" s="186">
        <f>E90-E94+E97+(IF(I29="Incineração",O33,0))</f>
        <v>2.214</v>
      </c>
      <c r="F92" s="186">
        <f t="shared" ref="F92:L92" si="10">F90-F94</f>
        <v>9.3958931250000006</v>
      </c>
      <c r="G92" s="186">
        <f t="shared" si="10"/>
        <v>6.3834693750000007</v>
      </c>
      <c r="H92" s="186">
        <f t="shared" si="10"/>
        <v>3.2993212499999993</v>
      </c>
      <c r="I92" s="186">
        <f t="shared" si="10"/>
        <v>1.7213849999999997</v>
      </c>
      <c r="J92" s="186">
        <f t="shared" si="10"/>
        <v>1.6496606249999997</v>
      </c>
      <c r="K92" s="186">
        <f t="shared" si="10"/>
        <v>0.43034624999999993</v>
      </c>
      <c r="L92" s="186">
        <f t="shared" si="10"/>
        <v>7.48332</v>
      </c>
      <c r="M92" s="186">
        <f>M90-M94+M100+M101</f>
        <v>4.8412800000000011</v>
      </c>
      <c r="N92" s="186">
        <f>SUM(D92:M93)</f>
        <v>73.137875624999992</v>
      </c>
      <c r="O92" s="503"/>
      <c r="P92" s="503"/>
      <c r="Q92" s="479"/>
      <c r="R92" s="479"/>
      <c r="S92" s="479"/>
      <c r="T92" s="479"/>
      <c r="U92" s="479"/>
      <c r="V92" s="479"/>
      <c r="W92" s="479"/>
      <c r="X92" s="479"/>
      <c r="Y92" s="479"/>
      <c r="Z92" s="479"/>
      <c r="AA92" s="2"/>
      <c r="AB92" s="2"/>
      <c r="AC92" s="2"/>
      <c r="AD92" s="2"/>
      <c r="AE92" s="2"/>
      <c r="AF92" s="2"/>
      <c r="AG92" s="2"/>
      <c r="AH92" s="2"/>
      <c r="AI92" s="2"/>
    </row>
    <row r="93" spans="1:35" ht="1.9" customHeight="1" x14ac:dyDescent="0.25">
      <c r="A93" s="504"/>
      <c r="B93" s="417"/>
      <c r="C93" s="447"/>
      <c r="D93" s="223"/>
      <c r="E93" s="223"/>
      <c r="F93" s="223"/>
      <c r="G93" s="223"/>
      <c r="H93" s="223"/>
      <c r="I93" s="223"/>
      <c r="J93" s="223"/>
      <c r="K93" s="223"/>
      <c r="L93" s="223"/>
      <c r="M93" s="223"/>
      <c r="N93" s="608"/>
      <c r="O93" s="503"/>
      <c r="P93" s="503"/>
      <c r="Q93" s="479"/>
      <c r="R93" s="479"/>
      <c r="S93" s="479"/>
      <c r="T93" s="479"/>
      <c r="U93" s="479"/>
      <c r="V93" s="479"/>
      <c r="W93" s="479"/>
      <c r="X93" s="479"/>
      <c r="Y93" s="479"/>
      <c r="Z93" s="479"/>
      <c r="AA93" s="2"/>
      <c r="AB93" s="2"/>
      <c r="AC93" s="2"/>
      <c r="AD93" s="2"/>
      <c r="AE93" s="2"/>
      <c r="AF93" s="2"/>
      <c r="AG93" s="2"/>
      <c r="AH93" s="2"/>
      <c r="AI93" s="2"/>
    </row>
    <row r="94" spans="1:35" ht="18" customHeight="1" x14ac:dyDescent="0.25">
      <c r="A94" s="504"/>
      <c r="B94" s="417"/>
      <c r="C94" s="108" t="s">
        <v>144</v>
      </c>
      <c r="D94" s="186">
        <f t="shared" ref="D94:L94" si="11">SUM(D95:D99)</f>
        <v>0</v>
      </c>
      <c r="E94" s="186">
        <f t="shared" si="11"/>
        <v>0</v>
      </c>
      <c r="F94" s="186">
        <f t="shared" si="11"/>
        <v>0</v>
      </c>
      <c r="G94" s="186">
        <f t="shared" si="11"/>
        <v>0</v>
      </c>
      <c r="H94" s="186">
        <f t="shared" si="11"/>
        <v>0</v>
      </c>
      <c r="I94" s="186">
        <f t="shared" si="11"/>
        <v>0</v>
      </c>
      <c r="J94" s="186">
        <f t="shared" si="11"/>
        <v>0</v>
      </c>
      <c r="K94" s="186">
        <f t="shared" si="11"/>
        <v>0</v>
      </c>
      <c r="L94" s="186">
        <f t="shared" si="11"/>
        <v>0</v>
      </c>
      <c r="M94" s="186">
        <f>SUM(M95:M101)</f>
        <v>14.627575124999996</v>
      </c>
      <c r="N94" s="186">
        <f t="shared" ref="N94:N101" si="12">SUM(D94:M94)</f>
        <v>14.627575124999996</v>
      </c>
      <c r="O94" s="503"/>
      <c r="P94" s="524"/>
      <c r="Q94" s="479"/>
      <c r="R94" s="479"/>
      <c r="S94" s="479"/>
      <c r="T94" s="479"/>
      <c r="U94" s="479"/>
      <c r="V94" s="479"/>
      <c r="W94" s="479"/>
      <c r="X94" s="479"/>
      <c r="Y94" s="479"/>
      <c r="Z94" s="479"/>
      <c r="AA94" s="2"/>
      <c r="AB94" s="2"/>
      <c r="AC94" s="2"/>
      <c r="AD94" s="2"/>
      <c r="AE94" s="2"/>
      <c r="AF94" s="2"/>
      <c r="AG94" s="2"/>
      <c r="AH94" s="2"/>
      <c r="AI94" s="2"/>
    </row>
    <row r="95" spans="1:35" ht="18" hidden="1" customHeight="1" x14ac:dyDescent="0.25">
      <c r="A95" s="504"/>
      <c r="B95" s="417"/>
      <c r="C95" s="108" t="s">
        <v>97</v>
      </c>
      <c r="D95" s="130">
        <f t="shared" ref="D95:K95" si="13">IF($H$106&lt;&gt;"Sim",D81,0)</f>
        <v>0</v>
      </c>
      <c r="E95" s="130">
        <f t="shared" si="13"/>
        <v>0</v>
      </c>
      <c r="F95" s="130">
        <f t="shared" si="13"/>
        <v>0</v>
      </c>
      <c r="G95" s="130">
        <f t="shared" si="13"/>
        <v>0</v>
      </c>
      <c r="H95" s="130">
        <f t="shared" si="13"/>
        <v>0</v>
      </c>
      <c r="I95" s="130">
        <f t="shared" si="13"/>
        <v>0</v>
      </c>
      <c r="J95" s="130">
        <f t="shared" si="13"/>
        <v>0</v>
      </c>
      <c r="K95" s="130">
        <f t="shared" si="13"/>
        <v>0</v>
      </c>
      <c r="L95" s="130">
        <f>IF(H106&lt;&gt;"Sim",L81,0)</f>
        <v>0</v>
      </c>
      <c r="M95" s="130">
        <f>IF(H106&lt;&gt;"Sim",M81,0)</f>
        <v>0</v>
      </c>
      <c r="N95" s="600">
        <f t="shared" si="12"/>
        <v>0</v>
      </c>
      <c r="O95" s="503"/>
      <c r="P95" s="524"/>
      <c r="Q95" s="479"/>
      <c r="R95" s="479"/>
      <c r="S95" s="479"/>
      <c r="T95" s="479"/>
      <c r="U95" s="479"/>
      <c r="V95" s="479"/>
      <c r="W95" s="479"/>
      <c r="X95" s="479"/>
      <c r="Y95" s="479"/>
      <c r="Z95" s="479"/>
      <c r="AA95" s="2"/>
      <c r="AB95" s="2"/>
      <c r="AC95" s="2"/>
      <c r="AD95" s="2"/>
      <c r="AE95" s="2"/>
      <c r="AF95" s="2"/>
      <c r="AG95" s="2"/>
      <c r="AH95" s="2"/>
      <c r="AI95" s="2"/>
    </row>
    <row r="96" spans="1:35" ht="18" hidden="1" customHeight="1" x14ac:dyDescent="0.25">
      <c r="A96" s="504"/>
      <c r="B96" s="417"/>
      <c r="C96" s="108" t="s">
        <v>140</v>
      </c>
      <c r="D96" s="130">
        <f t="shared" ref="D96:K96" si="14">IF($E$110&gt;0,0,D82-D86)</f>
        <v>0</v>
      </c>
      <c r="E96" s="130">
        <f t="shared" si="14"/>
        <v>0</v>
      </c>
      <c r="F96" s="130">
        <f t="shared" si="14"/>
        <v>0</v>
      </c>
      <c r="G96" s="130">
        <f t="shared" si="14"/>
        <v>0</v>
      </c>
      <c r="H96" s="130">
        <f t="shared" si="14"/>
        <v>0</v>
      </c>
      <c r="I96" s="130">
        <f t="shared" si="14"/>
        <v>0</v>
      </c>
      <c r="J96" s="130">
        <f t="shared" si="14"/>
        <v>0</v>
      </c>
      <c r="K96" s="130">
        <f t="shared" si="14"/>
        <v>0</v>
      </c>
      <c r="L96" s="130">
        <f>IF(OR($I$28="Incineração",I28="CDR"),0,L43)</f>
        <v>0</v>
      </c>
      <c r="M96" s="130">
        <f>IF($I$28="Incineração",0,M43)</f>
        <v>0</v>
      </c>
      <c r="N96" s="600">
        <f t="shared" si="12"/>
        <v>0</v>
      </c>
      <c r="O96" s="503"/>
      <c r="P96" s="524"/>
      <c r="Q96" s="479"/>
      <c r="R96" s="479"/>
      <c r="S96" s="479"/>
      <c r="T96" s="479"/>
      <c r="U96" s="479"/>
      <c r="V96" s="479"/>
      <c r="W96" s="479"/>
      <c r="X96" s="479"/>
      <c r="Y96" s="479"/>
      <c r="Z96" s="479"/>
      <c r="AA96" s="2"/>
      <c r="AB96" s="2"/>
      <c r="AC96" s="2"/>
      <c r="AD96" s="2"/>
      <c r="AE96" s="2"/>
      <c r="AF96" s="2"/>
      <c r="AG96" s="2"/>
      <c r="AH96" s="2"/>
      <c r="AI96" s="2"/>
    </row>
    <row r="97" spans="1:35" ht="18" hidden="1" customHeight="1" x14ac:dyDescent="0.25">
      <c r="A97" s="504"/>
      <c r="B97" s="417"/>
      <c r="C97" s="108" t="s">
        <v>145</v>
      </c>
      <c r="D97" s="130">
        <f>IF(I29="Aterro sanitário",O32,0)</f>
        <v>0</v>
      </c>
      <c r="E97" s="130">
        <f>IF(I29="Aterro sanitário",O33,0)</f>
        <v>0</v>
      </c>
      <c r="F97" s="130"/>
      <c r="G97" s="130"/>
      <c r="H97" s="130"/>
      <c r="I97" s="130"/>
      <c r="J97" s="130"/>
      <c r="K97" s="130"/>
      <c r="L97" s="130"/>
      <c r="M97" s="130"/>
      <c r="N97" s="600">
        <f t="shared" si="12"/>
        <v>0</v>
      </c>
      <c r="O97" s="503"/>
      <c r="P97" s="524"/>
      <c r="Q97" s="479"/>
      <c r="R97" s="479"/>
      <c r="S97" s="479"/>
      <c r="T97" s="479"/>
      <c r="U97" s="479"/>
      <c r="V97" s="479"/>
      <c r="W97" s="479"/>
      <c r="X97" s="479"/>
      <c r="Y97" s="479"/>
      <c r="Z97" s="479"/>
      <c r="AA97" s="2"/>
      <c r="AB97" s="2"/>
      <c r="AC97" s="2"/>
      <c r="AD97" s="2"/>
      <c r="AE97" s="2"/>
      <c r="AF97" s="2"/>
      <c r="AG97" s="2"/>
      <c r="AH97" s="2"/>
      <c r="AI97" s="2"/>
    </row>
    <row r="98" spans="1:35" ht="18" hidden="1" customHeight="1" x14ac:dyDescent="0.25">
      <c r="A98" s="504"/>
      <c r="B98" s="417"/>
      <c r="C98" s="108" t="s">
        <v>141</v>
      </c>
      <c r="D98" s="130"/>
      <c r="E98" s="130"/>
      <c r="F98" s="130"/>
      <c r="G98" s="130"/>
      <c r="H98" s="130"/>
      <c r="I98" s="130"/>
      <c r="J98" s="130"/>
      <c r="K98" s="130"/>
      <c r="L98" s="130">
        <f>IF(OR($E$34="Incineração",$E$34="CDR"),0,$N$34)</f>
        <v>0</v>
      </c>
      <c r="M98" s="130">
        <f>IF($E$34="Incineração",0,$N$35)</f>
        <v>0</v>
      </c>
      <c r="N98" s="600">
        <f t="shared" si="12"/>
        <v>0</v>
      </c>
      <c r="O98" s="503"/>
      <c r="P98" s="524"/>
      <c r="Q98" s="479"/>
      <c r="R98" s="479"/>
      <c r="S98" s="479"/>
      <c r="T98" s="479"/>
      <c r="U98" s="479"/>
      <c r="V98" s="479"/>
      <c r="W98" s="479"/>
      <c r="X98" s="479"/>
      <c r="Y98" s="479"/>
      <c r="Z98" s="479"/>
      <c r="AA98" s="2"/>
      <c r="AB98" s="2"/>
      <c r="AC98" s="2"/>
      <c r="AD98" s="2"/>
      <c r="AE98" s="2"/>
      <c r="AF98" s="2"/>
      <c r="AG98" s="2"/>
      <c r="AH98" s="2"/>
      <c r="AI98" s="2"/>
    </row>
    <row r="99" spans="1:35" ht="18" hidden="1" customHeight="1" x14ac:dyDescent="0.25">
      <c r="A99" s="504"/>
      <c r="B99" s="417"/>
      <c r="C99" s="108" t="s">
        <v>142</v>
      </c>
      <c r="D99" s="130"/>
      <c r="E99" s="130"/>
      <c r="F99" s="130"/>
      <c r="G99" s="130"/>
      <c r="H99" s="130"/>
      <c r="I99" s="130"/>
      <c r="J99" s="130"/>
      <c r="K99" s="130"/>
      <c r="L99" s="130">
        <f>IF(OR($E$30="Incineração",$E$30="CDR"),0,M34)</f>
        <v>0</v>
      </c>
      <c r="M99" s="130">
        <f>IF($E$30="Incineração",0,$M$35)</f>
        <v>0</v>
      </c>
      <c r="N99" s="600">
        <f t="shared" si="12"/>
        <v>0</v>
      </c>
      <c r="O99" s="503"/>
      <c r="P99" s="524"/>
      <c r="Q99" s="479"/>
      <c r="R99" s="479"/>
      <c r="S99" s="479"/>
      <c r="T99" s="479"/>
      <c r="U99" s="479"/>
      <c r="V99" s="479"/>
      <c r="W99" s="479"/>
      <c r="X99" s="479"/>
      <c r="Y99" s="479"/>
      <c r="Z99" s="479"/>
      <c r="AA99" s="2"/>
      <c r="AB99" s="2"/>
      <c r="AC99" s="2"/>
      <c r="AD99" s="2"/>
      <c r="AE99" s="2"/>
      <c r="AF99" s="2"/>
      <c r="AG99" s="2"/>
      <c r="AH99" s="2"/>
      <c r="AI99" s="2"/>
    </row>
    <row r="100" spans="1:35" ht="18" hidden="1" customHeight="1" x14ac:dyDescent="0.25">
      <c r="A100" s="504"/>
      <c r="B100" s="417"/>
      <c r="C100" s="108" t="s">
        <v>146</v>
      </c>
      <c r="D100" s="130"/>
      <c r="E100" s="130"/>
      <c r="F100" s="130"/>
      <c r="G100" s="130"/>
      <c r="H100" s="130"/>
      <c r="I100" s="130"/>
      <c r="J100" s="130"/>
      <c r="K100" s="130"/>
      <c r="L100" s="130"/>
      <c r="M100" s="130">
        <f>O73+O53</f>
        <v>0</v>
      </c>
      <c r="N100" s="600">
        <f t="shared" si="12"/>
        <v>0</v>
      </c>
      <c r="O100" s="503"/>
      <c r="P100" s="524"/>
      <c r="Q100" s="479"/>
      <c r="R100" s="479"/>
      <c r="S100" s="479"/>
      <c r="T100" s="479"/>
      <c r="U100" s="479"/>
      <c r="V100" s="479"/>
      <c r="W100" s="479"/>
      <c r="X100" s="479"/>
      <c r="Y100" s="479"/>
      <c r="Z100" s="479"/>
      <c r="AA100" s="2"/>
      <c r="AB100" s="2"/>
      <c r="AC100" s="2"/>
      <c r="AD100" s="2"/>
      <c r="AE100" s="2"/>
      <c r="AF100" s="2"/>
      <c r="AG100" s="2"/>
      <c r="AH100" s="2"/>
      <c r="AI100" s="2"/>
    </row>
    <row r="101" spans="1:35" ht="18" hidden="1" customHeight="1" x14ac:dyDescent="0.25">
      <c r="A101" s="504"/>
      <c r="B101" s="417"/>
      <c r="C101" s="108" t="s">
        <v>147</v>
      </c>
      <c r="D101" s="130"/>
      <c r="E101" s="130"/>
      <c r="F101" s="130"/>
      <c r="G101" s="130"/>
      <c r="H101" s="130"/>
      <c r="I101" s="130"/>
      <c r="J101" s="130"/>
      <c r="K101" s="130"/>
      <c r="L101" s="130"/>
      <c r="M101" s="130">
        <f>O110</f>
        <v>14.627575124999996</v>
      </c>
      <c r="N101" s="600">
        <f t="shared" si="12"/>
        <v>14.627575124999996</v>
      </c>
      <c r="O101" s="503"/>
      <c r="P101" s="503"/>
      <c r="Q101" s="479"/>
      <c r="R101" s="479"/>
      <c r="S101" s="479"/>
      <c r="T101" s="479"/>
      <c r="U101" s="479"/>
      <c r="V101" s="479"/>
      <c r="W101" s="479"/>
      <c r="X101" s="479"/>
      <c r="Y101" s="479"/>
      <c r="Z101" s="479"/>
      <c r="AA101" s="2"/>
      <c r="AB101" s="2"/>
      <c r="AC101" s="2"/>
      <c r="AD101" s="2"/>
      <c r="AE101" s="2"/>
      <c r="AF101" s="2"/>
      <c r="AG101" s="2"/>
      <c r="AH101" s="2"/>
      <c r="AI101" s="2"/>
    </row>
    <row r="102" spans="1:35" ht="18" customHeight="1" x14ac:dyDescent="0.25">
      <c r="A102" s="504"/>
      <c r="B102" s="606"/>
      <c r="C102" s="604"/>
      <c r="D102" s="503"/>
      <c r="E102" s="503"/>
      <c r="F102" s="503"/>
      <c r="G102" s="503"/>
      <c r="H102" s="503"/>
      <c r="I102" s="503"/>
      <c r="J102" s="503"/>
      <c r="K102" s="503"/>
      <c r="L102" s="503"/>
      <c r="M102" s="503"/>
      <c r="N102" s="503"/>
      <c r="O102" s="503"/>
      <c r="P102" s="503"/>
      <c r="Q102" s="479"/>
      <c r="R102" s="479"/>
      <c r="S102" s="479"/>
      <c r="T102" s="479"/>
      <c r="U102" s="479"/>
      <c r="V102" s="479"/>
      <c r="W102" s="479"/>
      <c r="X102" s="479"/>
      <c r="Y102" s="479"/>
      <c r="Z102" s="479"/>
      <c r="AA102" s="2"/>
      <c r="AB102" s="2"/>
      <c r="AC102" s="2"/>
      <c r="AD102" s="2"/>
      <c r="AE102" s="2"/>
      <c r="AF102" s="2"/>
      <c r="AG102" s="2"/>
      <c r="AH102" s="2"/>
      <c r="AI102" s="2"/>
    </row>
    <row r="103" spans="1:35" ht="18" customHeight="1" x14ac:dyDescent="0.25">
      <c r="A103" s="504"/>
      <c r="B103" s="503"/>
      <c r="C103" s="544"/>
      <c r="D103" s="542"/>
      <c r="E103" s="542"/>
      <c r="F103" s="542"/>
      <c r="G103" s="542"/>
      <c r="H103" s="542"/>
      <c r="I103" s="542"/>
      <c r="J103" s="542"/>
      <c r="K103" s="542"/>
      <c r="L103" s="542"/>
      <c r="M103" s="542"/>
      <c r="N103" s="542"/>
      <c r="O103" s="503"/>
      <c r="P103" s="503"/>
      <c r="Q103" s="479"/>
      <c r="R103" s="479"/>
      <c r="S103" s="479"/>
      <c r="T103" s="479"/>
      <c r="U103" s="479"/>
      <c r="V103" s="479"/>
      <c r="W103" s="479"/>
      <c r="X103" s="479"/>
      <c r="Y103" s="479"/>
      <c r="Z103" s="479"/>
      <c r="AA103" s="2"/>
      <c r="AB103" s="2"/>
      <c r="AC103" s="2"/>
      <c r="AD103" s="2"/>
      <c r="AE103" s="2"/>
      <c r="AF103" s="2"/>
      <c r="AG103" s="2"/>
      <c r="AH103" s="2"/>
      <c r="AI103" s="2"/>
    </row>
    <row r="104" spans="1:35" ht="18" customHeight="1" x14ac:dyDescent="0.25">
      <c r="A104" s="505"/>
      <c r="B104" s="601"/>
      <c r="C104" s="101" t="s">
        <v>148</v>
      </c>
      <c r="D104" s="100"/>
      <c r="E104" s="100"/>
      <c r="F104" s="100"/>
      <c r="G104" s="100"/>
      <c r="H104" s="503"/>
      <c r="I104" s="503"/>
      <c r="J104" s="503"/>
      <c r="K104" s="503"/>
      <c r="L104" s="503"/>
      <c r="M104" s="503"/>
      <c r="N104" s="503"/>
      <c r="O104" s="503"/>
      <c r="P104" s="503"/>
      <c r="Q104" s="479"/>
      <c r="R104" s="479"/>
      <c r="S104" s="479"/>
      <c r="T104" s="479"/>
      <c r="U104" s="479"/>
      <c r="V104" s="479"/>
      <c r="W104" s="479"/>
      <c r="X104" s="479"/>
      <c r="Y104" s="479"/>
      <c r="Z104" s="479"/>
      <c r="AA104" s="2"/>
      <c r="AB104" s="2"/>
      <c r="AC104" s="2"/>
      <c r="AD104" s="2"/>
      <c r="AE104" s="2"/>
      <c r="AF104" s="2"/>
      <c r="AG104" s="2"/>
      <c r="AH104" s="2"/>
      <c r="AI104" s="2"/>
    </row>
    <row r="105" spans="1:35" ht="18" customHeight="1" x14ac:dyDescent="0.25">
      <c r="A105" s="510"/>
      <c r="B105" s="616"/>
      <c r="C105" s="639"/>
      <c r="D105" s="640" t="s">
        <v>63</v>
      </c>
      <c r="E105" s="515"/>
      <c r="F105" s="515"/>
      <c r="G105" s="515"/>
      <c r="H105" s="515"/>
      <c r="I105" s="515"/>
      <c r="J105" s="543"/>
      <c r="K105" s="515"/>
      <c r="L105" s="515"/>
      <c r="M105" s="515"/>
      <c r="N105" s="515"/>
      <c r="O105" s="515"/>
      <c r="P105" s="503"/>
      <c r="Q105" s="479"/>
      <c r="R105" s="479"/>
      <c r="S105" s="479"/>
      <c r="T105" s="479"/>
      <c r="U105" s="479"/>
      <c r="V105" s="479"/>
      <c r="W105" s="479"/>
      <c r="X105" s="479"/>
      <c r="Y105" s="479"/>
      <c r="Z105" s="479"/>
      <c r="AA105" s="2"/>
      <c r="AB105" s="2"/>
      <c r="AC105" s="2"/>
      <c r="AD105" s="2"/>
      <c r="AE105" s="2"/>
      <c r="AF105" s="2"/>
      <c r="AG105" s="2"/>
      <c r="AH105" s="2"/>
      <c r="AI105" s="2"/>
    </row>
    <row r="106" spans="1:35" ht="18" customHeight="1" x14ac:dyDescent="0.25">
      <c r="A106" s="504"/>
      <c r="B106" s="503"/>
      <c r="C106" s="515"/>
      <c r="D106" s="515"/>
      <c r="E106" s="515"/>
      <c r="F106" s="133"/>
      <c r="G106" s="134" t="s">
        <v>149</v>
      </c>
      <c r="H106" s="617" t="s">
        <v>6</v>
      </c>
      <c r="I106" s="515"/>
      <c r="J106" s="515"/>
      <c r="K106" s="515"/>
      <c r="L106" s="182"/>
      <c r="M106" s="143"/>
      <c r="N106" s="117" t="s">
        <v>150</v>
      </c>
      <c r="O106" s="613"/>
      <c r="P106" s="503"/>
      <c r="Q106" s="479"/>
      <c r="R106" s="479"/>
      <c r="S106" s="479"/>
      <c r="T106" s="479"/>
      <c r="U106" s="479"/>
      <c r="V106" s="479"/>
      <c r="W106" s="479"/>
      <c r="X106" s="479"/>
      <c r="Y106" s="479"/>
      <c r="Z106" s="479"/>
      <c r="AA106" s="2"/>
      <c r="AB106" s="2"/>
      <c r="AC106" s="2"/>
      <c r="AD106" s="2"/>
      <c r="AE106" s="2"/>
      <c r="AF106" s="2"/>
      <c r="AG106" s="2"/>
      <c r="AH106" s="2"/>
      <c r="AI106" s="2"/>
    </row>
    <row r="107" spans="1:35" ht="18" customHeight="1" x14ac:dyDescent="0.25">
      <c r="A107" s="504"/>
      <c r="B107" s="503"/>
      <c r="C107" s="450"/>
      <c r="D107" s="109" t="s">
        <v>151</v>
      </c>
      <c r="E107" s="223">
        <f>IF(AND(H106="Sim", I24="Sim"),N15-I27,IF(AND(H106="Sim", I24="Não"),N15,0))</f>
        <v>64.574999999999989</v>
      </c>
      <c r="F107" s="546" t="str">
        <f>IF(AND(H106="Sim",E107=0),"Valor '0,00', mesmo com 'Sim' porque não há mistos sem triagem disponíveis","")</f>
        <v/>
      </c>
      <c r="G107" s="515"/>
      <c r="H107" s="515"/>
      <c r="I107" s="515"/>
      <c r="J107" s="515"/>
      <c r="K107" s="515"/>
      <c r="L107" s="611"/>
      <c r="M107" s="549"/>
      <c r="N107" s="116" t="s">
        <v>482</v>
      </c>
      <c r="O107" s="614">
        <f>IF(E112&gt;0,K112*J90*(E110/E112+E107/E112)*(E110+E107)/E112,0)</f>
        <v>1.3255693748766675</v>
      </c>
      <c r="P107" s="503"/>
      <c r="Q107" s="479"/>
      <c r="R107" s="479"/>
      <c r="S107" s="479"/>
      <c r="T107" s="479"/>
      <c r="U107" s="479"/>
      <c r="V107" s="479"/>
      <c r="W107" s="479"/>
      <c r="X107" s="479"/>
      <c r="Y107" s="479"/>
      <c r="Z107" s="479"/>
      <c r="AA107" s="2"/>
      <c r="AB107" s="2"/>
      <c r="AC107" s="2"/>
      <c r="AD107" s="2"/>
      <c r="AE107" s="2"/>
      <c r="AF107" s="2"/>
      <c r="AG107" s="2"/>
      <c r="AH107" s="2"/>
      <c r="AI107" s="2"/>
    </row>
    <row r="108" spans="1:35" ht="18" customHeight="1" x14ac:dyDescent="0.25">
      <c r="A108" s="504"/>
      <c r="B108" s="503"/>
      <c r="C108" s="450"/>
      <c r="D108" s="109" t="s">
        <v>479</v>
      </c>
      <c r="E108" s="223">
        <f>IF(E30="Incineração",M34+M35,0)</f>
        <v>0</v>
      </c>
      <c r="F108" s="546" t="str">
        <f>IF(AND(H106="Sim",E107=0),"Neste caso assinale 'Não' acima.","")</f>
        <v/>
      </c>
      <c r="G108" s="515"/>
      <c r="H108" s="547"/>
      <c r="I108" s="515"/>
      <c r="J108" s="545"/>
      <c r="K108" s="515"/>
      <c r="L108" s="611"/>
      <c r="M108" s="549"/>
      <c r="N108" s="116" t="s">
        <v>152</v>
      </c>
      <c r="O108" s="614">
        <f>IF(E112&gt;0,K90*K112*(E107/E112+E110/E112)*(E107+E110)/E112,0)</f>
        <v>0.34580070648956546</v>
      </c>
      <c r="P108" s="503"/>
      <c r="Q108" s="479"/>
      <c r="R108" s="479"/>
      <c r="S108" s="479"/>
      <c r="T108" s="479"/>
      <c r="U108" s="479"/>
      <c r="V108" s="479"/>
      <c r="W108" s="479"/>
      <c r="X108" s="479"/>
      <c r="Y108" s="479"/>
      <c r="Z108" s="479"/>
      <c r="AA108" s="2"/>
      <c r="AB108" s="2"/>
      <c r="AC108" s="2"/>
      <c r="AD108" s="2"/>
      <c r="AE108" s="2"/>
      <c r="AF108" s="2"/>
      <c r="AG108" s="2"/>
      <c r="AH108" s="2"/>
      <c r="AI108" s="2"/>
    </row>
    <row r="109" spans="1:35" ht="18" customHeight="1" x14ac:dyDescent="0.25">
      <c r="A109" s="504"/>
      <c r="B109" s="503"/>
      <c r="C109" s="450"/>
      <c r="D109" s="109" t="s">
        <v>480</v>
      </c>
      <c r="E109" s="223">
        <f>IF(E34="Incineração",N34+N35,0)</f>
        <v>0</v>
      </c>
      <c r="F109" s="2698" t="str">
        <f>IF(AND(E112&gt;0,E112&lt;500),"Cap. mín. é 500 t/d.  Rever envios à incineração em H106, E30, E34 ou I28","")</f>
        <v>Cap. mín. é 500 t/d.  Rever envios à incineração em H106, E30, E34 ou I28</v>
      </c>
      <c r="G109" s="789"/>
      <c r="H109" s="137"/>
      <c r="I109" s="109" t="s">
        <v>153</v>
      </c>
      <c r="J109" s="187">
        <f>'R-Avançado'!F28</f>
        <v>22.68</v>
      </c>
      <c r="K109" s="255"/>
      <c r="L109" s="249"/>
      <c r="M109" s="129"/>
      <c r="N109" s="116" t="s">
        <v>154</v>
      </c>
      <c r="O109" s="614">
        <f>E112*J111/100*J113/100</f>
        <v>0</v>
      </c>
      <c r="P109" s="503"/>
      <c r="Q109" s="479"/>
      <c r="R109" s="479"/>
      <c r="S109" s="479"/>
      <c r="T109" s="479"/>
      <c r="U109" s="479"/>
      <c r="V109" s="479"/>
      <c r="W109" s="479"/>
      <c r="X109" s="479"/>
      <c r="Y109" s="479"/>
      <c r="Z109" s="479"/>
      <c r="AA109" s="2"/>
      <c r="AB109" s="2"/>
      <c r="AC109" s="2"/>
      <c r="AD109" s="2"/>
      <c r="AE109" s="2"/>
      <c r="AF109" s="2"/>
      <c r="AG109" s="2"/>
      <c r="AH109" s="2"/>
      <c r="AI109" s="2"/>
    </row>
    <row r="110" spans="1:35" ht="18" customHeight="1" x14ac:dyDescent="0.25">
      <c r="A110" s="504"/>
      <c r="B110" s="503"/>
      <c r="C110" s="450"/>
      <c r="D110" s="109" t="s">
        <v>481</v>
      </c>
      <c r="E110" s="223">
        <f>IF(I28="Incineração",N43,0)</f>
        <v>4.5324731249999992</v>
      </c>
      <c r="F110" s="2699"/>
      <c r="G110" s="550"/>
      <c r="H110" s="550"/>
      <c r="I110" s="550"/>
      <c r="J110" s="554"/>
      <c r="K110" s="609"/>
      <c r="L110" s="611"/>
      <c r="M110" s="549"/>
      <c r="N110" s="116" t="s">
        <v>155</v>
      </c>
      <c r="O110" s="614">
        <f>(E112*J111/100)*(1-J113/100)</f>
        <v>14.627575124999996</v>
      </c>
      <c r="P110" s="503"/>
      <c r="Q110" s="479"/>
      <c r="R110" s="479"/>
      <c r="S110" s="479"/>
      <c r="T110" s="479"/>
      <c r="U110" s="479"/>
      <c r="V110" s="479"/>
      <c r="W110" s="479"/>
      <c r="X110" s="479"/>
      <c r="Y110" s="479"/>
      <c r="Z110" s="479"/>
      <c r="AA110" s="2"/>
      <c r="AB110" s="2"/>
      <c r="AC110" s="2"/>
      <c r="AD110" s="2"/>
      <c r="AE110" s="2"/>
      <c r="AF110" s="2"/>
      <c r="AG110" s="2"/>
      <c r="AH110" s="2"/>
      <c r="AI110" s="2"/>
    </row>
    <row r="111" spans="1:35" ht="18" customHeight="1" x14ac:dyDescent="0.25">
      <c r="A111" s="504"/>
      <c r="B111" s="503"/>
      <c r="C111" s="636"/>
      <c r="D111" s="109" t="s">
        <v>473</v>
      </c>
      <c r="E111" s="113">
        <f>IF(AND(I29&lt;&gt;"Biosecagem CDR",I29&lt;&gt;"Aterro sanitário",I29&lt;&gt;"Tratam. biológico"),L32,0)</f>
        <v>4.0304024999999992</v>
      </c>
      <c r="F111" s="2699"/>
      <c r="G111" s="611"/>
      <c r="H111" s="552"/>
      <c r="I111" s="109" t="s">
        <v>156</v>
      </c>
      <c r="J111" s="187">
        <f>'R-Avançado'!F29</f>
        <v>20</v>
      </c>
      <c r="K111" s="610"/>
      <c r="L111" s="611"/>
      <c r="M111" s="549"/>
      <c r="N111" s="116" t="s">
        <v>134</v>
      </c>
      <c r="O111" s="615">
        <f>E112*E114*J109/100</f>
        <v>44664.032370212975</v>
      </c>
      <c r="P111" s="503"/>
      <c r="Q111" s="479"/>
      <c r="R111" s="479"/>
      <c r="S111" s="479"/>
      <c r="T111" s="479"/>
      <c r="U111" s="479"/>
      <c r="V111" s="479"/>
      <c r="W111" s="479"/>
      <c r="X111" s="479"/>
      <c r="Y111" s="479"/>
      <c r="Z111" s="479"/>
      <c r="AA111" s="2"/>
      <c r="AB111" s="2"/>
      <c r="AC111" s="2"/>
      <c r="AD111" s="2"/>
      <c r="AE111" s="2"/>
      <c r="AF111" s="2"/>
      <c r="AG111" s="2"/>
      <c r="AH111" s="2"/>
      <c r="AI111" s="2"/>
    </row>
    <row r="112" spans="1:35" ht="18" customHeight="1" x14ac:dyDescent="0.25">
      <c r="A112" s="504"/>
      <c r="B112" s="503"/>
      <c r="C112" s="450"/>
      <c r="D112" s="109" t="s">
        <v>157</v>
      </c>
      <c r="E112" s="186">
        <f>SUM(E107:E111)</f>
        <v>73.137875624999978</v>
      </c>
      <c r="F112" s="2699"/>
      <c r="G112" s="611"/>
      <c r="H112" s="552"/>
      <c r="I112" s="109" t="s">
        <v>158</v>
      </c>
      <c r="J112" s="138" t="s">
        <v>6</v>
      </c>
      <c r="K112" s="778">
        <f>IF(J112="Sim",'R-Avançado'!F30/100,0)</f>
        <v>0.9</v>
      </c>
      <c r="L112" s="779"/>
      <c r="M112" s="549"/>
      <c r="N112" s="549"/>
      <c r="O112" s="550"/>
      <c r="P112" s="503"/>
      <c r="Q112" s="479"/>
      <c r="R112" s="479"/>
      <c r="S112" s="479"/>
      <c r="T112" s="479"/>
      <c r="U112" s="479"/>
      <c r="V112" s="479"/>
      <c r="W112" s="479"/>
      <c r="X112" s="479"/>
      <c r="Y112" s="479"/>
      <c r="Z112" s="479"/>
      <c r="AA112" s="2"/>
      <c r="AB112" s="2"/>
      <c r="AC112" s="2"/>
      <c r="AD112" s="2"/>
      <c r="AE112" s="2"/>
      <c r="AF112" s="2"/>
      <c r="AG112" s="2"/>
      <c r="AH112" s="2"/>
      <c r="AI112" s="2"/>
    </row>
    <row r="113" spans="1:35" ht="18" customHeight="1" x14ac:dyDescent="0.25">
      <c r="A113" s="504"/>
      <c r="B113" s="503"/>
      <c r="C113" s="549"/>
      <c r="D113" s="500"/>
      <c r="E113" s="550"/>
      <c r="F113" s="2699"/>
      <c r="G113" s="137"/>
      <c r="H113" s="137"/>
      <c r="I113" s="109" t="s">
        <v>159</v>
      </c>
      <c r="J113" s="138">
        <v>0</v>
      </c>
      <c r="K113" s="610"/>
      <c r="L113" s="611"/>
      <c r="M113" s="549"/>
      <c r="N113" s="116" t="s">
        <v>160</v>
      </c>
      <c r="O113" s="612">
        <f>E112*(1-J111/100)-O107-O108</f>
        <v>56.838930418633758</v>
      </c>
      <c r="P113" s="503"/>
      <c r="Q113" s="479"/>
      <c r="R113" s="479"/>
      <c r="S113" s="479"/>
      <c r="T113" s="479"/>
      <c r="U113" s="479"/>
      <c r="V113" s="479"/>
      <c r="W113" s="479"/>
      <c r="X113" s="479"/>
      <c r="Y113" s="479"/>
      <c r="Z113" s="479"/>
      <c r="AA113" s="2"/>
      <c r="AB113" s="2"/>
      <c r="AC113" s="2"/>
      <c r="AD113" s="2"/>
      <c r="AE113" s="2"/>
      <c r="AF113" s="2"/>
      <c r="AG113" s="2"/>
      <c r="AH113" s="2"/>
      <c r="AI113" s="2"/>
    </row>
    <row r="114" spans="1:35" ht="18" customHeight="1" x14ac:dyDescent="0.25">
      <c r="A114" s="504"/>
      <c r="B114" s="503"/>
      <c r="C114" s="450"/>
      <c r="D114" s="109" t="s">
        <v>161</v>
      </c>
      <c r="E114" s="553">
        <f>IF(E112&gt;0,277.78*((D92*'R-Avançado'!E36+E92*'R-Avançado'!F36+F92*'R-Avançado'!G36+G92*'R-Avançado'!H36+H92*'R-Avançado'!I36+I92*'R-Avançado'!J36+J92*'R-Avançado'!K36+K92*'R-Avançado'!L36+L92*'R-Avançado'!M36+M92*'R-Avançado'!N36)/N92),0)</f>
        <v>2692.6043171769215</v>
      </c>
      <c r="F114" s="2699"/>
      <c r="G114" s="515"/>
      <c r="H114" s="515"/>
      <c r="I114" s="547"/>
      <c r="J114" s="515"/>
      <c r="K114" s="542"/>
      <c r="L114" s="515"/>
      <c r="M114" s="548"/>
      <c r="N114" s="515"/>
      <c r="O114" s="515"/>
      <c r="P114" s="503"/>
      <c r="Q114" s="479"/>
      <c r="R114" s="479"/>
      <c r="S114" s="479"/>
      <c r="T114" s="479"/>
      <c r="U114" s="479"/>
      <c r="V114" s="479"/>
      <c r="W114" s="479"/>
      <c r="X114" s="479"/>
      <c r="Y114" s="479"/>
      <c r="Z114" s="479"/>
      <c r="AA114" s="2"/>
      <c r="AB114" s="2"/>
      <c r="AC114" s="2"/>
      <c r="AD114" s="2"/>
      <c r="AE114" s="2"/>
      <c r="AF114" s="2"/>
      <c r="AG114" s="2"/>
      <c r="AH114" s="2"/>
      <c r="AI114" s="2"/>
    </row>
    <row r="115" spans="1:35" ht="18" customHeight="1" x14ac:dyDescent="0.25">
      <c r="A115" s="504"/>
      <c r="B115" s="503"/>
      <c r="C115" s="515"/>
      <c r="D115" s="496"/>
      <c r="E115" s="515"/>
      <c r="F115" s="2699"/>
      <c r="G115" s="515"/>
      <c r="H115" s="515"/>
      <c r="I115" s="515"/>
      <c r="J115" s="515"/>
      <c r="K115" s="515"/>
      <c r="L115" s="515"/>
      <c r="M115" s="515"/>
      <c r="N115" s="515"/>
      <c r="O115" s="515"/>
      <c r="P115" s="503"/>
      <c r="Q115" s="479"/>
      <c r="R115" s="479"/>
      <c r="S115" s="479"/>
      <c r="T115" s="479"/>
      <c r="U115" s="479"/>
      <c r="V115" s="479"/>
      <c r="W115" s="479"/>
      <c r="X115" s="479"/>
      <c r="Y115" s="479"/>
      <c r="Z115" s="479"/>
      <c r="AA115" s="2"/>
      <c r="AB115" s="2"/>
      <c r="AC115" s="2"/>
      <c r="AD115" s="2"/>
      <c r="AE115" s="2"/>
      <c r="AF115" s="2"/>
      <c r="AG115" s="2"/>
      <c r="AH115" s="2"/>
      <c r="AI115" s="2"/>
    </row>
    <row r="116" spans="1:35" ht="18" customHeight="1" x14ac:dyDescent="0.25">
      <c r="A116" s="504"/>
      <c r="B116" s="503"/>
      <c r="C116" s="408"/>
      <c r="D116" s="408"/>
      <c r="E116" s="515"/>
      <c r="F116" s="515"/>
      <c r="G116" s="515"/>
      <c r="H116" s="515"/>
      <c r="I116" s="515"/>
      <c r="J116" s="515"/>
      <c r="K116" s="515"/>
      <c r="L116" s="515"/>
      <c r="M116" s="515"/>
      <c r="N116" s="515"/>
      <c r="O116" s="515"/>
      <c r="P116" s="503"/>
      <c r="Q116" s="479"/>
      <c r="R116" s="479"/>
      <c r="S116" s="479"/>
      <c r="T116" s="479"/>
      <c r="U116" s="479"/>
      <c r="V116" s="479"/>
      <c r="W116" s="479"/>
      <c r="X116" s="479"/>
      <c r="Y116" s="479"/>
      <c r="Z116" s="479"/>
      <c r="AA116" s="2"/>
      <c r="AB116" s="2"/>
      <c r="AC116" s="2"/>
      <c r="AD116" s="2"/>
      <c r="AE116" s="2"/>
      <c r="AF116" s="2"/>
      <c r="AG116" s="2"/>
      <c r="AH116" s="2"/>
      <c r="AI116" s="2"/>
    </row>
    <row r="117" spans="1:35" ht="18" customHeight="1" x14ac:dyDescent="0.25">
      <c r="A117" s="505"/>
      <c r="B117" s="601"/>
      <c r="C117" s="101" t="s">
        <v>162</v>
      </c>
      <c r="D117" s="100"/>
      <c r="E117" s="100"/>
      <c r="F117" s="100"/>
      <c r="G117" s="100"/>
      <c r="H117" s="408"/>
      <c r="I117" s="408"/>
      <c r="J117" s="515"/>
      <c r="K117" s="515"/>
      <c r="L117" s="515"/>
      <c r="M117" s="515"/>
      <c r="N117" s="515"/>
      <c r="O117" s="515"/>
      <c r="P117" s="503"/>
      <c r="Q117" s="479"/>
      <c r="R117" s="479"/>
      <c r="S117" s="479"/>
      <c r="T117" s="479"/>
      <c r="U117" s="479"/>
      <c r="V117" s="479"/>
      <c r="W117" s="479"/>
      <c r="X117" s="479"/>
      <c r="Y117" s="479"/>
      <c r="Z117" s="479"/>
      <c r="AA117" s="2"/>
      <c r="AB117" s="2"/>
      <c r="AC117" s="2"/>
      <c r="AD117" s="2"/>
      <c r="AE117" s="2"/>
      <c r="AF117" s="2"/>
      <c r="AG117" s="2"/>
      <c r="AH117" s="2"/>
      <c r="AI117" s="2"/>
    </row>
    <row r="118" spans="1:35" ht="18" customHeight="1" x14ac:dyDescent="0.25">
      <c r="A118" s="511"/>
      <c r="B118" s="511"/>
      <c r="C118" s="618"/>
      <c r="D118" s="619" t="s">
        <v>64</v>
      </c>
      <c r="E118" s="620"/>
      <c r="F118" s="515"/>
      <c r="G118" s="515"/>
      <c r="H118" s="234"/>
      <c r="I118" s="143" t="s">
        <v>238</v>
      </c>
      <c r="J118" s="233"/>
      <c r="K118" s="515"/>
      <c r="L118" s="515"/>
      <c r="M118" s="515"/>
      <c r="N118" s="515"/>
      <c r="O118" s="515"/>
      <c r="P118" s="503"/>
      <c r="Q118" s="479"/>
      <c r="R118" s="479"/>
      <c r="S118" s="479"/>
      <c r="T118" s="479"/>
      <c r="U118" s="479"/>
      <c r="V118" s="479"/>
      <c r="W118" s="479"/>
      <c r="X118" s="479"/>
      <c r="Y118" s="479"/>
      <c r="Z118" s="479"/>
      <c r="AA118" s="2"/>
      <c r="AB118" s="2"/>
      <c r="AC118" s="2"/>
      <c r="AD118" s="2"/>
      <c r="AE118" s="2"/>
      <c r="AF118" s="2"/>
      <c r="AG118" s="2"/>
      <c r="AH118" s="2"/>
      <c r="AI118" s="2"/>
    </row>
    <row r="119" spans="1:35" ht="18" customHeight="1" x14ac:dyDescent="0.25">
      <c r="A119" s="504"/>
      <c r="B119" s="503"/>
      <c r="C119" s="450"/>
      <c r="D119" s="109" t="s">
        <v>163</v>
      </c>
      <c r="E119" s="186">
        <f>N94</f>
        <v>14.627575124999996</v>
      </c>
      <c r="F119" s="515"/>
      <c r="G119" s="515"/>
      <c r="H119" s="551"/>
      <c r="I119" s="534" t="s">
        <v>164</v>
      </c>
      <c r="J119" s="624">
        <f>IF(AND(E122="Rota atual",E123="Disp. Inadequada"),100,0)</f>
        <v>0</v>
      </c>
      <c r="K119" s="515"/>
      <c r="L119" s="234"/>
      <c r="M119" s="135"/>
      <c r="N119" s="117" t="s">
        <v>165</v>
      </c>
      <c r="O119" s="233"/>
      <c r="P119" s="503"/>
      <c r="Q119" s="479"/>
      <c r="R119" s="479"/>
      <c r="S119" s="479"/>
      <c r="T119" s="479"/>
      <c r="U119" s="479"/>
      <c r="V119" s="479"/>
      <c r="W119" s="479"/>
      <c r="X119" s="479"/>
      <c r="Y119" s="479"/>
      <c r="Z119" s="479"/>
      <c r="AA119" s="2"/>
      <c r="AB119" s="2"/>
      <c r="AC119" s="2"/>
      <c r="AD119" s="2"/>
      <c r="AE119" s="2"/>
      <c r="AF119" s="2"/>
      <c r="AG119" s="2"/>
      <c r="AH119" s="2"/>
      <c r="AI119" s="2"/>
    </row>
    <row r="120" spans="1:35" ht="18" customHeight="1" x14ac:dyDescent="0.25">
      <c r="A120" s="504"/>
      <c r="B120" s="503"/>
      <c r="C120" s="408"/>
      <c r="D120" s="401"/>
      <c r="E120" s="515"/>
      <c r="F120" s="515"/>
      <c r="G120" s="515"/>
      <c r="H120" s="450"/>
      <c r="I120" s="109" t="s">
        <v>166</v>
      </c>
      <c r="J120" s="455">
        <f>IF(J119=0,100-J121-J119,0)</f>
        <v>100</v>
      </c>
      <c r="K120" s="515"/>
      <c r="L120" s="137"/>
      <c r="M120" s="137"/>
      <c r="N120" s="109" t="s">
        <v>167</v>
      </c>
      <c r="O120" s="617" t="s">
        <v>7</v>
      </c>
      <c r="P120" s="503"/>
      <c r="Q120" s="479"/>
      <c r="R120" s="479" t="s">
        <v>168</v>
      </c>
      <c r="S120" s="479" t="s">
        <v>169</v>
      </c>
      <c r="T120" s="479" t="s">
        <v>170</v>
      </c>
      <c r="U120" s="479"/>
      <c r="V120" s="479"/>
      <c r="W120" s="479"/>
      <c r="X120" s="479"/>
      <c r="Y120" s="479"/>
      <c r="Z120" s="479"/>
      <c r="AA120" s="2"/>
      <c r="AB120" s="2"/>
      <c r="AC120" s="2"/>
      <c r="AD120" s="2"/>
      <c r="AE120" s="2"/>
      <c r="AF120" s="2"/>
      <c r="AG120" s="2"/>
      <c r="AH120" s="2"/>
      <c r="AI120" s="2"/>
    </row>
    <row r="121" spans="1:35" ht="18" customHeight="1" x14ac:dyDescent="0.25">
      <c r="A121" s="504"/>
      <c r="B121" s="503"/>
      <c r="C121" s="450"/>
      <c r="D121" s="109" t="s">
        <v>483</v>
      </c>
      <c r="E121" s="617" t="s">
        <v>168</v>
      </c>
      <c r="F121" s="515"/>
      <c r="G121" s="515"/>
      <c r="H121" s="450"/>
      <c r="I121" s="109" t="s">
        <v>171</v>
      </c>
      <c r="J121" s="625">
        <v>0</v>
      </c>
      <c r="K121" s="515"/>
      <c r="L121" s="611"/>
      <c r="M121" s="552"/>
      <c r="N121" s="109" t="s">
        <v>172</v>
      </c>
      <c r="O121" s="625">
        <v>120</v>
      </c>
      <c r="P121" s="503"/>
      <c r="Q121" s="479"/>
      <c r="R121" s="479" t="s">
        <v>173</v>
      </c>
      <c r="S121" s="479" t="s">
        <v>174</v>
      </c>
      <c r="T121" s="479" t="s">
        <v>64</v>
      </c>
      <c r="U121" s="479"/>
      <c r="V121" s="479"/>
      <c r="W121" s="479"/>
      <c r="X121" s="479"/>
      <c r="Y121" s="479"/>
      <c r="Z121" s="479"/>
      <c r="AA121" s="2"/>
      <c r="AB121" s="2"/>
      <c r="AC121" s="2"/>
      <c r="AD121" s="2"/>
      <c r="AE121" s="2"/>
      <c r="AF121" s="2"/>
      <c r="AG121" s="2"/>
      <c r="AH121" s="2"/>
      <c r="AI121" s="2"/>
    </row>
    <row r="122" spans="1:35" ht="18" customHeight="1" x14ac:dyDescent="0.25">
      <c r="A122" s="504"/>
      <c r="B122" s="503"/>
      <c r="C122" s="450"/>
      <c r="D122" s="109" t="s">
        <v>446</v>
      </c>
      <c r="E122" s="617" t="s">
        <v>174</v>
      </c>
      <c r="F122" s="515"/>
      <c r="G122" s="515"/>
      <c r="H122" s="408"/>
      <c r="I122" s="790" t="str">
        <f>IF(AND((J119+J121)&gt;100,J119=100),"                   Erro: rever valor! J121 deve ser zero","")</f>
        <v/>
      </c>
      <c r="J122" s="515"/>
      <c r="K122" s="515"/>
      <c r="L122" s="137"/>
      <c r="M122" s="137"/>
      <c r="N122" s="109" t="s">
        <v>175</v>
      </c>
      <c r="O122" s="625">
        <v>100</v>
      </c>
      <c r="P122" s="503"/>
      <c r="Q122" s="479"/>
      <c r="R122" s="479"/>
      <c r="S122" s="479"/>
      <c r="T122" s="479"/>
      <c r="U122" s="479"/>
      <c r="V122" s="479"/>
      <c r="W122" s="479"/>
      <c r="X122" s="479"/>
      <c r="Y122" s="479"/>
      <c r="Z122" s="479"/>
      <c r="AA122" s="2"/>
      <c r="AB122" s="2"/>
      <c r="AC122" s="2"/>
      <c r="AD122" s="2"/>
      <c r="AE122" s="2"/>
      <c r="AF122" s="2"/>
      <c r="AG122" s="2"/>
      <c r="AH122" s="2"/>
      <c r="AI122" s="2"/>
    </row>
    <row r="123" spans="1:35" ht="18" customHeight="1" x14ac:dyDescent="0.25">
      <c r="A123" s="504"/>
      <c r="B123" s="503"/>
      <c r="C123" s="408"/>
      <c r="D123" s="496" t="str">
        <f>IF(E122="Rota Atual","qual o tipo de disposição final atual? ","")</f>
        <v/>
      </c>
      <c r="E123" s="842" t="s">
        <v>170</v>
      </c>
      <c r="F123" s="515"/>
      <c r="G123" s="515"/>
      <c r="H123" s="450"/>
      <c r="I123" s="109" t="s">
        <v>124</v>
      </c>
      <c r="J123" s="625" t="s">
        <v>7</v>
      </c>
      <c r="K123" s="515"/>
      <c r="L123" s="550"/>
      <c r="M123" s="550"/>
      <c r="N123" s="550"/>
      <c r="O123" s="550"/>
      <c r="P123" s="503"/>
      <c r="Q123" s="479"/>
      <c r="R123" s="479" t="s">
        <v>176</v>
      </c>
      <c r="S123" s="479"/>
      <c r="T123" s="479"/>
      <c r="U123" s="479"/>
      <c r="V123" s="479"/>
      <c r="W123" s="479"/>
      <c r="X123" s="479"/>
      <c r="Y123" s="479"/>
      <c r="Z123" s="479"/>
      <c r="AA123" s="2"/>
      <c r="AB123" s="2"/>
      <c r="AC123" s="2"/>
      <c r="AD123" s="2"/>
      <c r="AE123" s="2"/>
      <c r="AF123" s="2"/>
      <c r="AG123" s="2"/>
      <c r="AH123" s="2"/>
      <c r="AI123" s="2"/>
    </row>
    <row r="124" spans="1:35" ht="18" customHeight="1" x14ac:dyDescent="0.25">
      <c r="A124" s="504"/>
      <c r="B124" s="503"/>
      <c r="C124" s="408"/>
      <c r="D124" s="401"/>
      <c r="E124" s="515"/>
      <c r="F124" s="515"/>
      <c r="G124" s="515"/>
      <c r="H124" s="450"/>
      <c r="I124" s="109" t="s">
        <v>122</v>
      </c>
      <c r="J124" s="624" t="str">
        <f>IF(J123="Não","Sim","Não")</f>
        <v>Sim</v>
      </c>
      <c r="K124" s="515"/>
      <c r="L124" s="611"/>
      <c r="M124" s="552"/>
      <c r="N124" s="109" t="s">
        <v>177</v>
      </c>
      <c r="O124" s="186">
        <f>IF(O120&lt;&gt;"Sim",0,IF(AND(O122=0,O120="Sim"),E119,E119*O122/100))</f>
        <v>0</v>
      </c>
      <c r="P124" s="503"/>
      <c r="Q124" s="479"/>
      <c r="R124" s="479" t="s">
        <v>118</v>
      </c>
      <c r="S124" s="479"/>
      <c r="T124" s="479"/>
      <c r="U124" s="479"/>
      <c r="V124" s="479"/>
      <c r="W124" s="479"/>
      <c r="X124" s="479"/>
      <c r="Y124" s="479"/>
      <c r="Z124" s="479"/>
      <c r="AA124" s="2"/>
      <c r="AB124" s="2"/>
      <c r="AC124" s="2"/>
      <c r="AD124" s="2"/>
      <c r="AE124" s="2"/>
      <c r="AF124" s="2"/>
      <c r="AG124" s="2"/>
      <c r="AH124" s="2"/>
      <c r="AI124" s="2"/>
    </row>
    <row r="125" spans="1:35" ht="18" customHeight="1" x14ac:dyDescent="0.25">
      <c r="A125" s="504"/>
      <c r="B125" s="503"/>
      <c r="C125" s="450"/>
      <c r="D125" s="109" t="s">
        <v>178</v>
      </c>
      <c r="E125" s="621">
        <f>D94*'R-Avançado'!E37+E94*'R-Avançado'!F37+F94*'R-Avançado'!G37+G94*'R-Avançado'!H37+H94*'R-Avançado'!I37+I94*'R-Avançado'!J37+J94*'R-Avançado'!K37+K94*'R-Avançado'!L37+L94*'R-Avançado'!M37+M94*'R-Avançado'!N37</f>
        <v>0</v>
      </c>
      <c r="F125" s="515"/>
      <c r="G125" s="515"/>
      <c r="H125" s="408"/>
      <c r="I125" s="408"/>
      <c r="J125" s="515"/>
      <c r="K125" s="515"/>
      <c r="L125" s="515"/>
      <c r="M125" s="515"/>
      <c r="N125" s="496"/>
      <c r="O125" s="515"/>
      <c r="P125" s="503"/>
      <c r="Q125" s="479"/>
      <c r="R125" s="479" t="s">
        <v>88</v>
      </c>
      <c r="S125" s="479"/>
      <c r="T125" s="479"/>
      <c r="U125" s="479"/>
      <c r="V125" s="479"/>
      <c r="W125" s="479"/>
      <c r="X125" s="479"/>
      <c r="Y125" s="479"/>
      <c r="Z125" s="479"/>
      <c r="AA125" s="2"/>
      <c r="AB125" s="2"/>
      <c r="AC125" s="2"/>
      <c r="AD125" s="2"/>
      <c r="AE125" s="2"/>
      <c r="AF125" s="2"/>
      <c r="AG125" s="2"/>
      <c r="AH125" s="2"/>
      <c r="AI125" s="2"/>
    </row>
    <row r="126" spans="1:35" ht="18" customHeight="1" x14ac:dyDescent="0.25">
      <c r="A126" s="504"/>
      <c r="B126" s="503"/>
      <c r="C126" s="450"/>
      <c r="D126" s="109" t="s">
        <v>179</v>
      </c>
      <c r="E126" s="553">
        <f>D94*'R-Avançado'!E38+E94*'R-Avançado'!F38+F94*'R-Avançado'!G38+G94*'R-Avançado'!H38+H94*'R-Avançado'!I38+I94*'R-Avançado'!J38+J94*'R-Avançado'!K38+K94*'R-Avançado'!L38+L94*'R-Avançado'!M38+M94*'R-Avançado'!N38</f>
        <v>10.239302587499997</v>
      </c>
      <c r="F126" s="515"/>
      <c r="G126" s="515"/>
      <c r="H126" s="234"/>
      <c r="I126" s="143" t="s">
        <v>150</v>
      </c>
      <c r="J126" s="233"/>
      <c r="K126" s="515"/>
      <c r="L126" s="515"/>
      <c r="M126" s="515"/>
      <c r="N126" s="496"/>
      <c r="O126" s="515"/>
      <c r="P126" s="503"/>
      <c r="Q126" s="479"/>
      <c r="R126" s="479" t="s">
        <v>180</v>
      </c>
      <c r="S126" s="479"/>
      <c r="T126" s="479"/>
      <c r="U126" s="479"/>
      <c r="V126" s="479"/>
      <c r="W126" s="479"/>
      <c r="X126" s="479"/>
      <c r="Y126" s="479"/>
      <c r="Z126" s="479"/>
      <c r="AA126" s="2"/>
      <c r="AB126" s="2"/>
      <c r="AC126" s="2"/>
      <c r="AD126" s="2"/>
      <c r="AE126" s="2"/>
      <c r="AF126" s="2"/>
      <c r="AG126" s="2"/>
      <c r="AH126" s="2"/>
      <c r="AI126" s="2"/>
    </row>
    <row r="127" spans="1:35" ht="18" customHeight="1" x14ac:dyDescent="0.25">
      <c r="A127" s="504"/>
      <c r="B127" s="503"/>
      <c r="C127" s="514"/>
      <c r="D127" s="790" t="str">
        <f>IF(OR(AND(F128=0,AND(E122="Rota atual",E123&lt;&gt;"Disp. Inadequada")), AND(F128=0,E122="Rota futura")),"Atenção, escolha eficiência de captação Alta, Média ou Baixa!","")</f>
        <v/>
      </c>
      <c r="E127" s="515"/>
      <c r="F127" s="515"/>
      <c r="G127" s="515"/>
      <c r="H127" s="450"/>
      <c r="I127" s="109" t="s">
        <v>134</v>
      </c>
      <c r="J127" s="615">
        <f>IF(AND(J123&lt;&gt;"Não",J121&gt;0,J119&lt;&gt;100),E129*'R-Avançado'!O28*'R-Avançado'!O29/100*J121/100*0.2777778,0)</f>
        <v>0</v>
      </c>
      <c r="K127" s="515"/>
      <c r="L127" s="515"/>
      <c r="M127" s="515"/>
      <c r="N127" s="515"/>
      <c r="O127" s="515"/>
      <c r="P127" s="503"/>
      <c r="Q127" s="479"/>
      <c r="R127" s="479"/>
      <c r="S127" s="479"/>
      <c r="T127" s="479"/>
      <c r="U127" s="479"/>
      <c r="V127" s="479"/>
      <c r="W127" s="479"/>
      <c r="X127" s="479"/>
      <c r="Y127" s="479"/>
      <c r="Z127" s="479"/>
      <c r="AA127" s="2"/>
      <c r="AB127" s="2"/>
      <c r="AC127" s="2"/>
      <c r="AD127" s="2"/>
      <c r="AE127" s="2"/>
      <c r="AF127" s="2"/>
      <c r="AG127" s="2"/>
      <c r="AH127" s="2"/>
      <c r="AI127" s="2"/>
    </row>
    <row r="128" spans="1:35" ht="18" customHeight="1" x14ac:dyDescent="0.25">
      <c r="A128" s="504"/>
      <c r="B128" s="503"/>
      <c r="C128" s="450"/>
      <c r="D128" s="109" t="s">
        <v>181</v>
      </c>
      <c r="E128" s="140" t="s">
        <v>118</v>
      </c>
      <c r="F128" s="250">
        <f>IF(E128="Alta",'R-Avançado'!H29/100,IF(E128="Baixa",'R-Avançado'!J29/100,IF(E128="Sem captação",0,'R-Avançado'!I29/100)))</f>
        <v>0.3</v>
      </c>
      <c r="G128" s="133"/>
      <c r="H128" s="450"/>
      <c r="I128" s="109" t="s">
        <v>182</v>
      </c>
      <c r="J128" s="615">
        <f>IF(AND(J124&lt;&gt;"Não",J121&gt;0,J119&lt;&gt;100),E129*'R-Avançado'!O30/100*J121/100*0.2777778,0)</f>
        <v>0</v>
      </c>
      <c r="K128" s="515"/>
      <c r="L128" s="515"/>
      <c r="M128" s="515"/>
      <c r="N128" s="515"/>
      <c r="O128" s="515"/>
      <c r="P128" s="503"/>
      <c r="Q128" s="479"/>
      <c r="R128" s="479"/>
      <c r="S128" s="479"/>
      <c r="T128" s="479"/>
      <c r="U128" s="479"/>
      <c r="V128" s="479"/>
      <c r="W128" s="479"/>
      <c r="X128" s="479"/>
      <c r="Y128" s="479"/>
      <c r="Z128" s="479"/>
      <c r="AA128" s="2"/>
      <c r="AB128" s="2"/>
      <c r="AC128" s="2"/>
      <c r="AD128" s="2"/>
      <c r="AE128" s="2"/>
      <c r="AF128" s="2"/>
      <c r="AG128" s="2"/>
      <c r="AH128" s="2"/>
      <c r="AI128" s="2"/>
    </row>
    <row r="129" spans="1:35" ht="18" customHeight="1" x14ac:dyDescent="0.25">
      <c r="A129" s="504"/>
      <c r="B129" s="503"/>
      <c r="C129" s="623"/>
      <c r="D129" s="109" t="s">
        <v>183</v>
      </c>
      <c r="E129" s="188">
        <f>E125*F128</f>
        <v>0</v>
      </c>
      <c r="F129" s="622"/>
      <c r="G129" s="503"/>
      <c r="H129" s="503"/>
      <c r="I129" s="555"/>
      <c r="J129" s="503"/>
      <c r="K129" s="503"/>
      <c r="L129" s="503"/>
      <c r="M129" s="503"/>
      <c r="N129" s="503"/>
      <c r="O129" s="503"/>
      <c r="P129" s="503"/>
      <c r="Q129" s="479"/>
      <c r="R129" s="479"/>
      <c r="S129" s="479"/>
      <c r="T129" s="479"/>
      <c r="U129" s="479"/>
      <c r="V129" s="479"/>
      <c r="W129" s="479"/>
      <c r="X129" s="479"/>
      <c r="Y129" s="479"/>
      <c r="Z129" s="479"/>
      <c r="AA129" s="2"/>
      <c r="AB129" s="2"/>
      <c r="AC129" s="2"/>
      <c r="AD129" s="2"/>
      <c r="AE129" s="2"/>
      <c r="AF129" s="2"/>
      <c r="AG129" s="2"/>
      <c r="AH129" s="2"/>
      <c r="AI129" s="2"/>
    </row>
    <row r="130" spans="1:35" ht="18" customHeight="1" x14ac:dyDescent="0.25">
      <c r="A130" s="504"/>
      <c r="B130" s="503"/>
      <c r="C130" s="503"/>
      <c r="D130" s="503"/>
      <c r="E130" s="503"/>
      <c r="F130" s="503"/>
      <c r="G130" s="503"/>
      <c r="H130" s="503"/>
      <c r="I130" s="503"/>
      <c r="J130" s="503"/>
      <c r="K130" s="503"/>
      <c r="L130" s="503"/>
      <c r="M130" s="503"/>
      <c r="N130" s="503"/>
      <c r="O130" s="503"/>
      <c r="P130" s="503"/>
      <c r="Q130" s="479"/>
      <c r="R130" s="479"/>
      <c r="S130" s="479"/>
      <c r="T130" s="479"/>
      <c r="U130" s="479"/>
      <c r="V130" s="479"/>
      <c r="W130" s="479"/>
      <c r="X130" s="479"/>
      <c r="Y130" s="479"/>
      <c r="Z130" s="479"/>
      <c r="AA130" s="2"/>
      <c r="AB130" s="2"/>
      <c r="AC130" s="2"/>
      <c r="AD130" s="2"/>
      <c r="AE130" s="2"/>
      <c r="AF130" s="2"/>
      <c r="AG130" s="2"/>
      <c r="AH130" s="2"/>
      <c r="AI130" s="2"/>
    </row>
    <row r="131" spans="1:35" ht="25.9" customHeight="1" x14ac:dyDescent="0.25">
      <c r="A131" s="504"/>
      <c r="B131" s="503"/>
      <c r="C131" s="503"/>
      <c r="D131" s="512"/>
      <c r="E131" s="503"/>
      <c r="F131" s="503"/>
      <c r="G131" s="503"/>
      <c r="H131" s="503"/>
      <c r="I131" s="503"/>
      <c r="J131" s="503"/>
      <c r="K131" s="503"/>
      <c r="L131" s="503"/>
      <c r="M131" s="503"/>
      <c r="N131" s="503"/>
      <c r="O131" s="503"/>
      <c r="P131" s="503"/>
      <c r="Q131" s="479"/>
      <c r="R131" s="479"/>
      <c r="S131" s="479"/>
      <c r="T131" s="479"/>
      <c r="U131" s="479"/>
      <c r="V131" s="479"/>
      <c r="W131" s="479"/>
      <c r="X131" s="479"/>
      <c r="Y131" s="479"/>
      <c r="Z131" s="479"/>
      <c r="AA131" s="2"/>
      <c r="AB131" s="2"/>
      <c r="AC131" s="2"/>
      <c r="AD131" s="2"/>
      <c r="AE131" s="2"/>
      <c r="AF131" s="2"/>
      <c r="AG131" s="2"/>
      <c r="AH131" s="2"/>
      <c r="AI131" s="2"/>
    </row>
    <row r="132" spans="1:35" ht="25.9" customHeight="1" x14ac:dyDescent="0.25">
      <c r="A132" s="504"/>
      <c r="B132" s="503"/>
      <c r="C132" s="630" t="s">
        <v>689</v>
      </c>
      <c r="D132" s="631"/>
      <c r="E132" s="631"/>
      <c r="F132" s="626"/>
      <c r="G132" s="503"/>
      <c r="H132" s="503"/>
      <c r="I132" s="503"/>
      <c r="J132" s="503"/>
      <c r="K132" s="503"/>
      <c r="L132" s="503"/>
      <c r="M132" s="503"/>
      <c r="N132" s="503"/>
      <c r="O132" s="503"/>
      <c r="P132" s="503"/>
      <c r="Q132" s="479"/>
      <c r="R132" s="479"/>
      <c r="S132" s="479"/>
      <c r="T132" s="479"/>
      <c r="U132" s="479"/>
      <c r="V132" s="479"/>
      <c r="W132" s="479"/>
      <c r="X132" s="479"/>
      <c r="Y132" s="479"/>
      <c r="Z132" s="479"/>
      <c r="AA132" s="2"/>
      <c r="AB132" s="2"/>
      <c r="AC132" s="2"/>
      <c r="AD132" s="2"/>
      <c r="AE132" s="2"/>
      <c r="AF132" s="2"/>
      <c r="AG132" s="2"/>
      <c r="AH132" s="2"/>
      <c r="AI132" s="2"/>
    </row>
    <row r="133" spans="1:35" ht="12.4" customHeight="1" x14ac:dyDescent="0.25">
      <c r="A133" s="504"/>
      <c r="B133" s="503"/>
      <c r="C133" s="626"/>
      <c r="D133" s="626"/>
      <c r="E133" s="626"/>
      <c r="F133" s="626"/>
      <c r="G133" s="503"/>
      <c r="H133" s="503"/>
      <c r="I133" s="503"/>
      <c r="J133" s="503"/>
      <c r="K133" s="503"/>
      <c r="L133" s="503"/>
      <c r="M133" s="503"/>
      <c r="N133" s="503"/>
      <c r="O133" s="503"/>
      <c r="P133" s="503"/>
      <c r="Q133" s="479"/>
      <c r="R133" s="479"/>
      <c r="S133" s="479"/>
      <c r="T133" s="479"/>
      <c r="U133" s="479"/>
      <c r="V133" s="479"/>
      <c r="W133" s="479"/>
      <c r="X133" s="479"/>
      <c r="Y133" s="479"/>
      <c r="Z133" s="479"/>
      <c r="AA133" s="2"/>
      <c r="AB133" s="2"/>
      <c r="AC133" s="2"/>
      <c r="AD133" s="2"/>
      <c r="AE133" s="2"/>
      <c r="AF133" s="2"/>
      <c r="AG133" s="2"/>
      <c r="AH133" s="2"/>
      <c r="AI133" s="2"/>
    </row>
    <row r="134" spans="1:35" ht="25.9" customHeight="1" x14ac:dyDescent="0.25">
      <c r="A134" s="504"/>
      <c r="B134" s="503"/>
      <c r="C134" s="626"/>
      <c r="D134" s="632" t="s">
        <v>690</v>
      </c>
      <c r="E134" s="626"/>
      <c r="F134" s="626"/>
      <c r="G134" s="503"/>
      <c r="H134" s="503"/>
      <c r="I134" s="503"/>
      <c r="J134" s="503"/>
      <c r="K134" s="503"/>
      <c r="L134" s="503"/>
      <c r="M134" s="503"/>
      <c r="N134" s="503"/>
      <c r="O134" s="503"/>
      <c r="P134" s="503"/>
      <c r="Q134" s="479"/>
      <c r="R134" s="479"/>
      <c r="S134" s="479"/>
      <c r="T134" s="479"/>
      <c r="U134" s="479"/>
      <c r="V134" s="479"/>
      <c r="W134" s="479"/>
      <c r="X134" s="479"/>
      <c r="Y134" s="479"/>
      <c r="Z134" s="479"/>
      <c r="AA134" s="2"/>
      <c r="AB134" s="2"/>
      <c r="AC134" s="2"/>
      <c r="AD134" s="2"/>
      <c r="AE134" s="2"/>
      <c r="AF134" s="2"/>
      <c r="AG134" s="2"/>
      <c r="AH134" s="2"/>
      <c r="AI134" s="2"/>
    </row>
    <row r="135" spans="1:35" ht="6.4" customHeight="1" x14ac:dyDescent="0.25">
      <c r="A135" s="504"/>
      <c r="B135" s="503"/>
      <c r="C135" s="626"/>
      <c r="D135" s="626"/>
      <c r="E135" s="626"/>
      <c r="F135" s="626"/>
      <c r="G135" s="503"/>
      <c r="H135" s="503"/>
      <c r="I135" s="503"/>
      <c r="J135" s="503"/>
      <c r="K135" s="503"/>
      <c r="L135" s="503"/>
      <c r="M135" s="503"/>
      <c r="N135" s="503"/>
      <c r="O135" s="503"/>
      <c r="P135" s="503"/>
      <c r="Q135" s="479"/>
      <c r="R135" s="479"/>
      <c r="S135" s="479"/>
      <c r="T135" s="479"/>
      <c r="U135" s="479"/>
      <c r="V135" s="479"/>
      <c r="W135" s="479"/>
      <c r="X135" s="479"/>
      <c r="Y135" s="479"/>
      <c r="Z135" s="479"/>
      <c r="AA135" s="2"/>
      <c r="AB135" s="2"/>
      <c r="AC135" s="2"/>
      <c r="AD135" s="2"/>
      <c r="AE135" s="2"/>
      <c r="AF135" s="2"/>
      <c r="AG135" s="2"/>
      <c r="AH135" s="2"/>
      <c r="AI135" s="2"/>
    </row>
    <row r="136" spans="1:35" ht="25.9" customHeight="1" x14ac:dyDescent="0.25">
      <c r="A136" s="504"/>
      <c r="B136" s="503"/>
      <c r="C136" s="513"/>
      <c r="D136" s="632" t="s">
        <v>691</v>
      </c>
      <c r="E136" s="626"/>
      <c r="F136" s="513"/>
      <c r="G136" s="503"/>
      <c r="H136" s="503"/>
      <c r="I136" s="503"/>
      <c r="J136" s="503"/>
      <c r="K136" s="503"/>
      <c r="L136" s="503"/>
      <c r="M136" s="503"/>
      <c r="N136" s="503"/>
      <c r="O136" s="503"/>
      <c r="P136" s="503"/>
      <c r="Q136" s="479"/>
      <c r="R136" s="479"/>
      <c r="S136" s="479"/>
      <c r="T136" s="479"/>
      <c r="U136" s="479"/>
      <c r="V136" s="479"/>
      <c r="W136" s="479"/>
      <c r="X136" s="479"/>
      <c r="Y136" s="479"/>
      <c r="Z136" s="479"/>
      <c r="AA136" s="2"/>
      <c r="AB136" s="2"/>
      <c r="AC136" s="2"/>
      <c r="AD136" s="2"/>
      <c r="AE136" s="2"/>
      <c r="AF136" s="2"/>
      <c r="AG136" s="2"/>
      <c r="AH136" s="2"/>
      <c r="AI136" s="2"/>
    </row>
    <row r="137" spans="1:35" ht="25.9" customHeight="1" x14ac:dyDescent="0.25">
      <c r="A137" s="503" t="str">
        <f>IF(AND(SUM(A116:A124)&lt;&gt;100)*(SUM(A116:A124)&lt;&gt;0)," Atenção: O total deve fechar 100%"," ")</f>
        <v xml:space="preserve"> </v>
      </c>
      <c r="B137" s="503"/>
      <c r="C137" s="503"/>
      <c r="D137" s="503"/>
      <c r="E137" s="503"/>
      <c r="F137" s="503"/>
      <c r="G137" s="503"/>
      <c r="H137" s="503"/>
      <c r="I137" s="503"/>
      <c r="J137" s="503"/>
      <c r="K137" s="503"/>
      <c r="L137" s="503"/>
      <c r="M137" s="503"/>
      <c r="N137" s="503"/>
      <c r="O137" s="503"/>
      <c r="P137" s="503"/>
      <c r="Q137" s="503"/>
      <c r="R137" s="503"/>
      <c r="S137" s="503"/>
      <c r="T137" s="503"/>
      <c r="U137" s="503"/>
      <c r="V137" s="503"/>
      <c r="W137" s="503"/>
      <c r="X137" s="503"/>
      <c r="Y137" s="503"/>
      <c r="Z137" s="503"/>
      <c r="AA137" s="2"/>
      <c r="AB137" s="2"/>
      <c r="AC137" s="2"/>
      <c r="AD137" s="2"/>
      <c r="AE137" s="2"/>
      <c r="AF137" s="2"/>
      <c r="AG137" s="2"/>
      <c r="AH137" s="2"/>
      <c r="AI137" s="2"/>
    </row>
    <row r="138" spans="1:35" ht="12.75" customHeight="1" x14ac:dyDescent="0.25">
      <c r="A138" s="503"/>
      <c r="B138" s="503"/>
      <c r="C138" s="503"/>
      <c r="D138" s="503"/>
      <c r="E138" s="503"/>
      <c r="F138" s="503"/>
      <c r="G138" s="503"/>
      <c r="H138" s="503"/>
      <c r="I138" s="503"/>
      <c r="J138" s="503"/>
      <c r="K138" s="503"/>
      <c r="L138" s="503"/>
      <c r="M138" s="503"/>
      <c r="N138" s="503"/>
      <c r="O138" s="503"/>
      <c r="P138" s="503"/>
      <c r="Q138" s="503"/>
      <c r="R138" s="503"/>
      <c r="S138" s="503"/>
      <c r="T138" s="503"/>
      <c r="U138" s="503"/>
      <c r="V138" s="503"/>
      <c r="W138" s="503"/>
      <c r="X138" s="503"/>
      <c r="Y138" s="503"/>
      <c r="Z138" s="503"/>
      <c r="AA138" s="2"/>
      <c r="AB138" s="2"/>
      <c r="AC138" s="2"/>
      <c r="AD138" s="2"/>
      <c r="AE138" s="2"/>
      <c r="AF138" s="2"/>
      <c r="AG138" s="2"/>
      <c r="AH138" s="2"/>
      <c r="AI138" s="2"/>
    </row>
    <row r="139" spans="1:35" ht="12.75" customHeight="1" x14ac:dyDescent="0.25">
      <c r="A139" s="503"/>
      <c r="B139" s="503"/>
      <c r="C139" s="503"/>
      <c r="D139" s="503"/>
      <c r="E139" s="503"/>
      <c r="F139" s="503"/>
      <c r="G139" s="503"/>
      <c r="H139" s="503"/>
      <c r="I139" s="503"/>
      <c r="J139" s="503"/>
      <c r="K139" s="503"/>
      <c r="L139" s="503"/>
      <c r="M139" s="503"/>
      <c r="N139" s="503"/>
      <c r="O139" s="503"/>
      <c r="P139" s="503"/>
      <c r="Q139" s="503"/>
      <c r="R139" s="503"/>
      <c r="S139" s="503"/>
      <c r="T139" s="503"/>
      <c r="U139" s="503"/>
      <c r="V139" s="503"/>
      <c r="W139" s="503"/>
      <c r="X139" s="503"/>
      <c r="Y139" s="503"/>
      <c r="Z139" s="503"/>
      <c r="AA139" s="2"/>
      <c r="AB139" s="2"/>
      <c r="AC139" s="2"/>
      <c r="AD139" s="2"/>
      <c r="AE139" s="2"/>
      <c r="AF139" s="2"/>
      <c r="AG139" s="2"/>
      <c r="AH139" s="2"/>
      <c r="AI139" s="2"/>
    </row>
    <row r="140" spans="1:35" ht="12.75" customHeight="1" x14ac:dyDescent="0.25">
      <c r="A140" s="503"/>
      <c r="B140" s="503"/>
      <c r="C140" s="503"/>
      <c r="D140" s="503"/>
      <c r="E140" s="503"/>
      <c r="F140" s="503"/>
      <c r="G140" s="503"/>
      <c r="H140" s="503"/>
      <c r="I140" s="503"/>
      <c r="J140" s="503"/>
      <c r="K140" s="503"/>
      <c r="L140" s="503"/>
      <c r="M140" s="503"/>
      <c r="N140" s="503"/>
      <c r="O140" s="503"/>
      <c r="P140" s="503"/>
      <c r="Q140" s="503"/>
      <c r="R140" s="503"/>
      <c r="S140" s="503"/>
      <c r="T140" s="503"/>
      <c r="U140" s="503"/>
      <c r="V140" s="503"/>
      <c r="W140" s="503"/>
      <c r="X140" s="503"/>
      <c r="Y140" s="503"/>
      <c r="Z140" s="503"/>
      <c r="AA140" s="2"/>
      <c r="AB140" s="2"/>
      <c r="AC140" s="2"/>
      <c r="AD140" s="2"/>
      <c r="AE140" s="2"/>
      <c r="AF140" s="2"/>
      <c r="AG140" s="2"/>
      <c r="AH140" s="2"/>
      <c r="AI140" s="2"/>
    </row>
    <row r="141" spans="1:35" ht="12.75" customHeight="1" x14ac:dyDescent="0.25">
      <c r="A141" s="503"/>
      <c r="B141" s="503"/>
      <c r="C141" s="503"/>
      <c r="D141" s="503"/>
      <c r="E141" s="503"/>
      <c r="F141" s="503"/>
      <c r="G141" s="503"/>
      <c r="H141" s="503"/>
      <c r="I141" s="503"/>
      <c r="J141" s="503"/>
      <c r="K141" s="503"/>
      <c r="L141" s="503"/>
      <c r="M141" s="503"/>
      <c r="N141" s="503"/>
      <c r="O141" s="503"/>
      <c r="P141" s="503"/>
      <c r="Q141" s="503"/>
      <c r="R141" s="503"/>
      <c r="S141" s="503"/>
      <c r="T141" s="503"/>
      <c r="U141" s="503"/>
      <c r="V141" s="503"/>
      <c r="W141" s="503"/>
      <c r="X141" s="503"/>
      <c r="Y141" s="503"/>
      <c r="Z141" s="503"/>
      <c r="AA141" s="2"/>
      <c r="AB141" s="2"/>
      <c r="AC141" s="2"/>
      <c r="AD141" s="2"/>
      <c r="AE141" s="2"/>
      <c r="AF141" s="2"/>
      <c r="AG141" s="2"/>
      <c r="AH141" s="2"/>
      <c r="AI141" s="2"/>
    </row>
    <row r="142" spans="1:35" ht="12.75" customHeight="1" x14ac:dyDescent="0.25">
      <c r="A142" s="503"/>
      <c r="B142" s="503"/>
      <c r="C142" s="503"/>
      <c r="D142" s="503"/>
      <c r="E142" s="503"/>
      <c r="F142" s="503"/>
      <c r="G142" s="503"/>
      <c r="H142" s="503"/>
      <c r="I142" s="503"/>
      <c r="J142" s="503"/>
      <c r="K142" s="503"/>
      <c r="L142" s="503"/>
      <c r="M142" s="503"/>
      <c r="N142" s="503"/>
      <c r="O142" s="503"/>
      <c r="P142" s="503"/>
      <c r="Q142" s="503"/>
      <c r="R142" s="503"/>
      <c r="S142" s="503"/>
      <c r="T142" s="503"/>
      <c r="U142" s="503"/>
      <c r="V142" s="503"/>
      <c r="W142" s="503"/>
      <c r="X142" s="503"/>
      <c r="Y142" s="503"/>
      <c r="Z142" s="503"/>
      <c r="AA142" s="2"/>
      <c r="AB142" s="2"/>
      <c r="AC142" s="2"/>
      <c r="AD142" s="2"/>
      <c r="AE142" s="2"/>
      <c r="AF142" s="2"/>
      <c r="AG142" s="2"/>
      <c r="AH142" s="2"/>
      <c r="AI142" s="2"/>
    </row>
    <row r="143" spans="1:35" ht="12.75" customHeight="1" x14ac:dyDescent="0.25">
      <c r="A143" s="503"/>
      <c r="B143" s="503"/>
      <c r="C143" s="503"/>
      <c r="D143" s="503"/>
      <c r="E143" s="503"/>
      <c r="F143" s="503"/>
      <c r="G143" s="503"/>
      <c r="H143" s="503"/>
      <c r="I143" s="503"/>
      <c r="J143" s="503"/>
      <c r="K143" s="503"/>
      <c r="L143" s="503"/>
      <c r="M143" s="503"/>
      <c r="N143" s="503"/>
      <c r="O143" s="503"/>
      <c r="P143" s="503"/>
      <c r="Q143" s="503"/>
      <c r="R143" s="503"/>
      <c r="S143" s="503"/>
      <c r="T143" s="503"/>
      <c r="U143" s="503"/>
      <c r="V143" s="503"/>
      <c r="W143" s="503"/>
      <c r="X143" s="503"/>
      <c r="Y143" s="503"/>
      <c r="Z143" s="503"/>
      <c r="AA143" s="2"/>
      <c r="AB143" s="2"/>
      <c r="AC143" s="2"/>
      <c r="AD143" s="2"/>
      <c r="AE143" s="2"/>
      <c r="AF143" s="2"/>
      <c r="AG143" s="2"/>
      <c r="AH143" s="2"/>
      <c r="AI143" s="2"/>
    </row>
    <row r="144" spans="1:35" ht="12.75" customHeight="1" x14ac:dyDescent="0.25">
      <c r="A144" s="503"/>
      <c r="B144" s="503"/>
      <c r="C144" s="503"/>
      <c r="D144" s="503"/>
      <c r="E144" s="503"/>
      <c r="F144" s="503"/>
      <c r="G144" s="503"/>
      <c r="H144" s="503"/>
      <c r="I144" s="503"/>
      <c r="J144" s="503"/>
      <c r="K144" s="503"/>
      <c r="L144" s="503"/>
      <c r="M144" s="503"/>
      <c r="N144" s="503"/>
      <c r="O144" s="503"/>
      <c r="P144" s="503"/>
      <c r="Q144" s="503"/>
      <c r="R144" s="503"/>
      <c r="S144" s="503"/>
      <c r="T144" s="503"/>
      <c r="U144" s="503"/>
      <c r="V144" s="503"/>
      <c r="W144" s="503"/>
      <c r="X144" s="503"/>
      <c r="Y144" s="503"/>
      <c r="Z144" s="503"/>
      <c r="AA144" s="2"/>
      <c r="AB144" s="2"/>
      <c r="AC144" s="2"/>
      <c r="AD144" s="2"/>
      <c r="AE144" s="2"/>
      <c r="AF144" s="2"/>
      <c r="AG144" s="2"/>
      <c r="AH144" s="2"/>
      <c r="AI144" s="2"/>
    </row>
    <row r="145" spans="1:35" ht="14.25" customHeight="1" x14ac:dyDescent="0.25">
      <c r="A145" s="503"/>
      <c r="B145" s="503"/>
      <c r="C145" s="503"/>
      <c r="D145" s="503"/>
      <c r="E145" s="503"/>
      <c r="F145" s="503"/>
      <c r="G145" s="503"/>
      <c r="H145" s="503"/>
      <c r="I145" s="503"/>
      <c r="J145" s="503"/>
      <c r="K145" s="503"/>
      <c r="L145" s="503"/>
      <c r="M145" s="503"/>
      <c r="N145" s="503"/>
      <c r="O145" s="503"/>
      <c r="P145" s="503"/>
      <c r="Q145" s="503"/>
      <c r="R145" s="503"/>
      <c r="S145" s="503"/>
      <c r="T145" s="503"/>
      <c r="U145" s="503"/>
      <c r="V145" s="503"/>
      <c r="W145" s="503"/>
      <c r="X145" s="503"/>
      <c r="Y145" s="503"/>
      <c r="Z145" s="503"/>
      <c r="AA145" s="2"/>
      <c r="AB145" s="2"/>
      <c r="AC145" s="2"/>
      <c r="AD145" s="2"/>
      <c r="AE145" s="2"/>
      <c r="AF145" s="2"/>
      <c r="AG145" s="2"/>
      <c r="AH145" s="2"/>
      <c r="AI145" s="2"/>
    </row>
    <row r="146" spans="1:35" ht="12.75" customHeight="1" x14ac:dyDescent="0.25">
      <c r="A146" s="503"/>
      <c r="B146" s="503"/>
      <c r="C146" s="503"/>
      <c r="D146" s="503"/>
      <c r="E146" s="503"/>
      <c r="F146" s="503"/>
      <c r="G146" s="503"/>
      <c r="H146" s="503"/>
      <c r="I146" s="503"/>
      <c r="J146" s="503"/>
      <c r="K146" s="503"/>
      <c r="L146" s="503"/>
      <c r="M146" s="503"/>
      <c r="N146" s="503"/>
      <c r="O146" s="503"/>
      <c r="P146" s="503"/>
      <c r="Q146" s="503"/>
      <c r="R146" s="503"/>
      <c r="S146" s="503"/>
      <c r="T146" s="503"/>
      <c r="U146" s="503"/>
      <c r="V146" s="503"/>
      <c r="W146" s="503"/>
      <c r="X146" s="503"/>
      <c r="Y146" s="503"/>
      <c r="Z146" s="503"/>
      <c r="AA146" s="2"/>
      <c r="AB146" s="2"/>
      <c r="AC146" s="2"/>
      <c r="AD146" s="2"/>
      <c r="AE146" s="2"/>
      <c r="AF146" s="2"/>
      <c r="AG146" s="2"/>
      <c r="AH146" s="2"/>
      <c r="AI146" s="2"/>
    </row>
    <row r="147" spans="1:35" ht="12.75" customHeight="1" x14ac:dyDescent="0.25">
      <c r="A147" s="503"/>
      <c r="B147" s="503"/>
      <c r="C147" s="503"/>
      <c r="D147" s="503"/>
      <c r="E147" s="503"/>
      <c r="F147" s="503"/>
      <c r="G147" s="503"/>
      <c r="H147" s="503"/>
      <c r="I147" s="503"/>
      <c r="J147" s="503"/>
      <c r="K147" s="503"/>
      <c r="L147" s="503"/>
      <c r="M147" s="503"/>
      <c r="N147" s="503"/>
      <c r="O147" s="503"/>
      <c r="P147" s="503"/>
      <c r="Q147" s="503"/>
      <c r="R147" s="503"/>
      <c r="S147" s="503"/>
      <c r="T147" s="503"/>
      <c r="U147" s="503"/>
      <c r="V147" s="503"/>
      <c r="W147" s="503"/>
      <c r="X147" s="503"/>
      <c r="Y147" s="503"/>
      <c r="Z147" s="503"/>
      <c r="AA147" s="2"/>
      <c r="AB147" s="2"/>
      <c r="AC147" s="2"/>
      <c r="AD147" s="2"/>
      <c r="AE147" s="2"/>
      <c r="AF147" s="2"/>
      <c r="AG147" s="2"/>
      <c r="AH147" s="2"/>
      <c r="AI147" s="2"/>
    </row>
    <row r="148" spans="1:35" ht="12.75" customHeight="1" x14ac:dyDescent="0.25">
      <c r="A148" s="503"/>
      <c r="B148" s="503"/>
      <c r="C148" s="503"/>
      <c r="D148" s="503"/>
      <c r="E148" s="503"/>
      <c r="F148" s="503"/>
      <c r="G148" s="503"/>
      <c r="H148" s="503"/>
      <c r="I148" s="503"/>
      <c r="J148" s="503"/>
      <c r="K148" s="503"/>
      <c r="L148" s="503"/>
      <c r="M148" s="503"/>
      <c r="N148" s="503"/>
      <c r="O148" s="503"/>
      <c r="P148" s="503"/>
      <c r="Q148" s="503"/>
      <c r="R148" s="503"/>
      <c r="S148" s="503"/>
      <c r="T148" s="503"/>
      <c r="U148" s="503"/>
      <c r="V148" s="503"/>
      <c r="W148" s="503"/>
      <c r="X148" s="503"/>
      <c r="Y148" s="503"/>
      <c r="Z148" s="503"/>
      <c r="AA148" s="2"/>
      <c r="AB148" s="2"/>
      <c r="AC148" s="2"/>
      <c r="AD148" s="2"/>
      <c r="AE148" s="2"/>
      <c r="AF148" s="2"/>
      <c r="AG148" s="2"/>
      <c r="AH148" s="2"/>
      <c r="AI148" s="2"/>
    </row>
    <row r="149" spans="1:35" ht="12.75" customHeight="1" x14ac:dyDescent="0.25">
      <c r="A149" s="503"/>
      <c r="B149" s="503"/>
      <c r="C149" s="503"/>
      <c r="D149" s="503"/>
      <c r="E149" s="503"/>
      <c r="F149" s="503"/>
      <c r="G149" s="503"/>
      <c r="H149" s="503"/>
      <c r="I149" s="503"/>
      <c r="J149" s="503"/>
      <c r="K149" s="503"/>
      <c r="L149" s="503"/>
      <c r="M149" s="503"/>
      <c r="N149" s="503"/>
      <c r="O149" s="503"/>
      <c r="P149" s="503"/>
      <c r="Q149" s="503"/>
      <c r="R149" s="503"/>
      <c r="S149" s="503"/>
      <c r="T149" s="503"/>
      <c r="U149" s="503"/>
      <c r="V149" s="503"/>
      <c r="W149" s="503"/>
      <c r="X149" s="503"/>
      <c r="Y149" s="503"/>
      <c r="Z149" s="503"/>
      <c r="AA149" s="2"/>
      <c r="AB149" s="2"/>
      <c r="AC149" s="2"/>
      <c r="AD149" s="2"/>
      <c r="AE149" s="2"/>
      <c r="AF149" s="2"/>
      <c r="AG149" s="2"/>
      <c r="AH149" s="2"/>
      <c r="AI149" s="2"/>
    </row>
    <row r="150" spans="1:35" ht="12.75" customHeight="1" x14ac:dyDescent="0.25">
      <c r="A150" s="503"/>
      <c r="B150" s="503"/>
      <c r="C150" s="503"/>
      <c r="D150" s="503"/>
      <c r="E150" s="503"/>
      <c r="F150" s="503"/>
      <c r="G150" s="503"/>
      <c r="H150" s="503"/>
      <c r="I150" s="503"/>
      <c r="J150" s="503"/>
      <c r="K150" s="503"/>
      <c r="L150" s="503"/>
      <c r="M150" s="503"/>
      <c r="N150" s="503"/>
      <c r="O150" s="503"/>
      <c r="P150" s="503"/>
      <c r="Q150" s="503"/>
      <c r="R150" s="503"/>
      <c r="S150" s="503"/>
      <c r="T150" s="503"/>
      <c r="U150" s="503"/>
      <c r="V150" s="503"/>
      <c r="W150" s="503"/>
      <c r="X150" s="503"/>
      <c r="Y150" s="503"/>
      <c r="Z150" s="503"/>
      <c r="AA150" s="2"/>
      <c r="AB150" s="2"/>
      <c r="AC150" s="2"/>
      <c r="AD150" s="2"/>
      <c r="AE150" s="2"/>
      <c r="AF150" s="2"/>
      <c r="AG150" s="2"/>
      <c r="AH150" s="2"/>
      <c r="AI150" s="2"/>
    </row>
    <row r="151" spans="1:35" ht="12.75" customHeight="1" x14ac:dyDescent="0.25">
      <c r="A151" s="2"/>
      <c r="Q151" s="2"/>
      <c r="R151" s="2"/>
      <c r="S151" s="2"/>
      <c r="T151" s="2"/>
      <c r="U151" s="2"/>
      <c r="V151" s="2"/>
      <c r="W151" s="2"/>
      <c r="X151" s="2"/>
      <c r="Y151" s="2"/>
      <c r="Z151" s="2"/>
      <c r="AA151" s="2"/>
      <c r="AB151" s="2"/>
      <c r="AC151" s="2"/>
      <c r="AD151" s="2"/>
      <c r="AE151" s="2"/>
      <c r="AF151" s="2"/>
      <c r="AG151" s="2"/>
      <c r="AH151" s="2"/>
      <c r="AI151" s="2"/>
    </row>
    <row r="152" spans="1:35" ht="12.75" customHeight="1" x14ac:dyDescent="0.25">
      <c r="A152" s="2"/>
      <c r="Q152" s="2"/>
      <c r="R152" s="2"/>
      <c r="S152" s="2"/>
      <c r="T152" s="2"/>
      <c r="U152" s="2"/>
      <c r="V152" s="2"/>
      <c r="W152" s="2"/>
      <c r="X152" s="2"/>
      <c r="Y152" s="2"/>
      <c r="Z152" s="2"/>
      <c r="AA152" s="2"/>
      <c r="AB152" s="2"/>
      <c r="AC152" s="2"/>
      <c r="AD152" s="2"/>
      <c r="AE152" s="2"/>
      <c r="AF152" s="2"/>
      <c r="AG152" s="2"/>
      <c r="AH152" s="2"/>
      <c r="AI152" s="2"/>
    </row>
    <row r="153" spans="1:35" ht="12.75" customHeight="1" x14ac:dyDescent="0.25">
      <c r="A153" s="2"/>
      <c r="Q153" s="2"/>
      <c r="R153" s="2"/>
      <c r="S153" s="2"/>
      <c r="T153" s="2"/>
      <c r="U153" s="2"/>
      <c r="V153" s="2"/>
      <c r="W153" s="2"/>
      <c r="X153" s="2"/>
      <c r="Y153" s="2"/>
      <c r="Z153" s="2"/>
      <c r="AA153" s="2"/>
      <c r="AB153" s="2"/>
      <c r="AC153" s="2"/>
      <c r="AD153" s="2"/>
      <c r="AE153" s="2"/>
      <c r="AF153" s="2"/>
      <c r="AG153" s="2"/>
      <c r="AH153" s="2"/>
      <c r="AI153" s="2"/>
    </row>
    <row r="154" spans="1:35" ht="12.75" customHeight="1" x14ac:dyDescent="0.25">
      <c r="A154" s="2"/>
      <c r="Q154" s="2"/>
      <c r="R154" s="2"/>
      <c r="S154" s="2"/>
      <c r="T154" s="2"/>
      <c r="U154" s="2"/>
      <c r="V154" s="2"/>
      <c r="W154" s="2"/>
      <c r="X154" s="2"/>
      <c r="Y154" s="2"/>
      <c r="Z154" s="2"/>
      <c r="AA154" s="2"/>
      <c r="AB154" s="2"/>
      <c r="AC154" s="2"/>
      <c r="AD154" s="2"/>
      <c r="AE154" s="2"/>
      <c r="AF154" s="2"/>
      <c r="AG154" s="2"/>
      <c r="AH154" s="2"/>
      <c r="AI154" s="2"/>
    </row>
    <row r="155" spans="1:35" ht="12.75" customHeight="1" x14ac:dyDescent="0.25">
      <c r="A155" s="2"/>
      <c r="Q155" s="2"/>
      <c r="R155" s="2"/>
      <c r="S155" s="2"/>
      <c r="T155" s="2"/>
      <c r="U155" s="2"/>
      <c r="V155" s="2"/>
      <c r="W155" s="2"/>
      <c r="X155" s="2"/>
      <c r="Y155" s="2"/>
      <c r="Z155" s="2"/>
      <c r="AA155" s="2"/>
      <c r="AB155" s="2"/>
      <c r="AC155" s="2"/>
      <c r="AD155" s="2"/>
      <c r="AE155" s="2"/>
      <c r="AF155" s="2"/>
      <c r="AG155" s="2"/>
      <c r="AH155" s="2"/>
      <c r="AI155" s="2"/>
    </row>
    <row r="156" spans="1:35" ht="12.75" customHeight="1" x14ac:dyDescent="0.25">
      <c r="A156" s="2"/>
      <c r="Q156" s="2"/>
      <c r="R156" s="2"/>
      <c r="S156" s="2"/>
      <c r="T156" s="2"/>
      <c r="U156" s="2"/>
      <c r="V156" s="2"/>
      <c r="W156" s="2"/>
      <c r="X156" s="2"/>
      <c r="Y156" s="2"/>
      <c r="Z156" s="2"/>
      <c r="AA156" s="2"/>
      <c r="AB156" s="2"/>
      <c r="AC156" s="2"/>
      <c r="AD156" s="2"/>
      <c r="AE156" s="2"/>
      <c r="AF156" s="2"/>
      <c r="AG156" s="2"/>
      <c r="AH156" s="2"/>
      <c r="AI156" s="2"/>
    </row>
    <row r="157" spans="1:35" ht="12.75" customHeight="1" x14ac:dyDescent="0.25">
      <c r="A157" s="2"/>
      <c r="Q157" s="2"/>
      <c r="R157" s="2"/>
      <c r="S157" s="2"/>
      <c r="T157" s="2"/>
      <c r="U157" s="2"/>
      <c r="V157" s="2"/>
      <c r="W157" s="2"/>
      <c r="X157" s="2"/>
      <c r="Y157" s="2"/>
      <c r="Z157" s="2"/>
      <c r="AA157" s="2"/>
      <c r="AB157" s="2"/>
      <c r="AC157" s="2"/>
      <c r="AD157" s="2"/>
      <c r="AE157" s="2"/>
      <c r="AF157" s="2"/>
      <c r="AG157" s="2"/>
      <c r="AH157" s="2"/>
      <c r="AI157" s="2"/>
    </row>
    <row r="158" spans="1:35" ht="12.75" customHeight="1" x14ac:dyDescent="0.25">
      <c r="A158" s="2"/>
      <c r="Q158" s="2"/>
      <c r="R158" s="2"/>
      <c r="S158" s="2"/>
      <c r="T158" s="2"/>
      <c r="U158" s="2"/>
      <c r="V158" s="2"/>
      <c r="W158" s="2"/>
      <c r="X158" s="2"/>
      <c r="Y158" s="2"/>
      <c r="Z158" s="2"/>
      <c r="AA158" s="2"/>
      <c r="AB158" s="2"/>
      <c r="AC158" s="2"/>
      <c r="AD158" s="2"/>
      <c r="AE158" s="2"/>
      <c r="AF158" s="2"/>
      <c r="AG158" s="2"/>
      <c r="AH158" s="2"/>
      <c r="AI158" s="2"/>
    </row>
    <row r="159" spans="1:35" ht="12.75" customHeight="1" x14ac:dyDescent="0.25">
      <c r="A159" s="2"/>
      <c r="Q159" s="2"/>
      <c r="R159" s="2"/>
      <c r="S159" s="2"/>
      <c r="T159" s="2"/>
      <c r="U159" s="2"/>
      <c r="V159" s="2"/>
      <c r="W159" s="2"/>
      <c r="X159" s="2"/>
      <c r="Y159" s="2"/>
      <c r="Z159" s="2"/>
      <c r="AA159" s="2"/>
      <c r="AB159" s="2"/>
      <c r="AC159" s="2"/>
      <c r="AD159" s="2"/>
      <c r="AE159" s="2"/>
      <c r="AF159" s="2"/>
      <c r="AG159" s="2"/>
      <c r="AH159" s="2"/>
      <c r="AI159" s="2"/>
    </row>
    <row r="160" spans="1:35" ht="12.75" customHeight="1" x14ac:dyDescent="0.25">
      <c r="A160" s="2"/>
      <c r="Q160" s="2"/>
      <c r="R160" s="2"/>
      <c r="S160" s="2"/>
      <c r="T160" s="2"/>
      <c r="U160" s="2"/>
      <c r="V160" s="2"/>
      <c r="W160" s="2"/>
      <c r="X160" s="2"/>
      <c r="Y160" s="2"/>
      <c r="Z160" s="2"/>
      <c r="AA160" s="2"/>
      <c r="AB160" s="2"/>
      <c r="AC160" s="2"/>
      <c r="AD160" s="2"/>
      <c r="AE160" s="2"/>
      <c r="AF160" s="2"/>
      <c r="AG160" s="2"/>
      <c r="AH160" s="2"/>
      <c r="AI160" s="2"/>
    </row>
    <row r="161" spans="1:35" ht="12.75" customHeight="1" x14ac:dyDescent="0.25">
      <c r="A161" s="2"/>
      <c r="Q161" s="2"/>
      <c r="R161" s="2"/>
      <c r="S161" s="2"/>
      <c r="T161" s="2"/>
      <c r="U161" s="2"/>
      <c r="V161" s="2"/>
      <c r="W161" s="2"/>
      <c r="X161" s="2"/>
      <c r="Y161" s="2"/>
      <c r="Z161" s="2"/>
      <c r="AA161" s="2"/>
      <c r="AB161" s="2"/>
      <c r="AC161" s="2"/>
      <c r="AD161" s="2"/>
      <c r="AE161" s="2"/>
      <c r="AF161" s="2"/>
      <c r="AG161" s="2"/>
      <c r="AH161" s="2"/>
      <c r="AI161" s="2"/>
    </row>
    <row r="162" spans="1:35" ht="13.5" customHeight="1" x14ac:dyDescent="0.25">
      <c r="A162" s="2"/>
      <c r="Q162" s="2"/>
      <c r="R162" s="2"/>
      <c r="S162" s="2"/>
      <c r="T162" s="2"/>
      <c r="U162" s="2"/>
      <c r="V162" s="2"/>
      <c r="W162" s="2"/>
      <c r="X162" s="2"/>
      <c r="Y162" s="2"/>
      <c r="Z162" s="2"/>
      <c r="AA162" s="2"/>
      <c r="AB162" s="2"/>
      <c r="AC162" s="2"/>
      <c r="AD162" s="2"/>
      <c r="AE162" s="2"/>
      <c r="AF162" s="2"/>
      <c r="AG162" s="2"/>
      <c r="AH162" s="2"/>
      <c r="AI162" s="2"/>
    </row>
    <row r="163" spans="1:35" ht="12.75" customHeight="1" x14ac:dyDescent="0.25">
      <c r="A163" s="2"/>
      <c r="Q163" s="2"/>
      <c r="R163" s="2"/>
      <c r="S163" s="2"/>
      <c r="T163" s="2"/>
      <c r="U163" s="2"/>
      <c r="V163" s="2"/>
      <c r="W163" s="2"/>
      <c r="X163" s="2"/>
      <c r="Y163" s="2"/>
      <c r="Z163" s="2"/>
      <c r="AA163" s="2"/>
      <c r="AB163" s="2"/>
      <c r="AC163" s="2"/>
      <c r="AD163" s="2"/>
      <c r="AE163" s="2"/>
      <c r="AF163" s="2"/>
      <c r="AG163" s="2"/>
      <c r="AH163" s="2"/>
      <c r="AI163" s="2"/>
    </row>
    <row r="164" spans="1:35" ht="12.75" customHeight="1" x14ac:dyDescent="0.25">
      <c r="A164" s="2"/>
      <c r="Q164" s="2"/>
      <c r="R164" s="2"/>
      <c r="S164" s="2"/>
      <c r="T164" s="2"/>
      <c r="U164" s="2"/>
      <c r="V164" s="2"/>
      <c r="W164" s="2"/>
      <c r="X164" s="2"/>
      <c r="Y164" s="2"/>
      <c r="Z164" s="2"/>
      <c r="AA164" s="2"/>
      <c r="AB164" s="2"/>
      <c r="AC164" s="2"/>
      <c r="AD164" s="2"/>
      <c r="AE164" s="2"/>
      <c r="AF164" s="2"/>
      <c r="AG164" s="2"/>
      <c r="AH164" s="2"/>
      <c r="AI164" s="2"/>
    </row>
    <row r="165" spans="1:35" ht="12.75" customHeight="1" x14ac:dyDescent="0.25">
      <c r="A165" s="2"/>
      <c r="Q165" s="2"/>
      <c r="R165" s="2"/>
      <c r="S165" s="2"/>
      <c r="T165" s="2"/>
      <c r="U165" s="2"/>
      <c r="V165" s="2"/>
      <c r="W165" s="2"/>
      <c r="X165" s="2"/>
      <c r="Y165" s="2"/>
      <c r="Z165" s="2"/>
      <c r="AA165" s="2"/>
      <c r="AB165" s="2"/>
      <c r="AC165" s="2"/>
      <c r="AD165" s="2"/>
      <c r="AE165" s="2"/>
      <c r="AF165" s="2"/>
      <c r="AG165" s="2"/>
      <c r="AH165" s="2"/>
      <c r="AI165" s="2"/>
    </row>
    <row r="166" spans="1:35" ht="12.75" customHeight="1" x14ac:dyDescent="0.25">
      <c r="A166" s="2"/>
      <c r="Q166" s="2"/>
      <c r="R166" s="2"/>
      <c r="S166" s="2"/>
      <c r="T166" s="2"/>
      <c r="U166" s="2"/>
      <c r="V166" s="2"/>
      <c r="W166" s="2"/>
      <c r="X166" s="2"/>
      <c r="Y166" s="2"/>
      <c r="Z166" s="2"/>
      <c r="AA166" s="2"/>
      <c r="AB166" s="2"/>
      <c r="AC166" s="2"/>
      <c r="AD166" s="2"/>
      <c r="AE166" s="2"/>
      <c r="AF166" s="2"/>
      <c r="AG166" s="2"/>
      <c r="AH166" s="2"/>
      <c r="AI166" s="2"/>
    </row>
    <row r="167" spans="1:35" ht="12.75" customHeight="1" x14ac:dyDescent="0.25">
      <c r="A167" s="2"/>
      <c r="Q167" s="2"/>
      <c r="R167" s="2"/>
      <c r="S167" s="2"/>
      <c r="T167" s="2"/>
      <c r="U167" s="2"/>
      <c r="V167" s="2"/>
      <c r="W167" s="2"/>
      <c r="X167" s="2"/>
      <c r="Y167" s="2"/>
      <c r="Z167" s="2"/>
      <c r="AA167" s="2"/>
      <c r="AB167" s="2"/>
      <c r="AC167" s="2"/>
      <c r="AD167" s="2"/>
      <c r="AE167" s="2"/>
      <c r="AF167" s="2"/>
      <c r="AG167" s="2"/>
      <c r="AH167" s="2"/>
      <c r="AI167" s="2"/>
    </row>
    <row r="168" spans="1:35" ht="12.75" customHeight="1" x14ac:dyDescent="0.25">
      <c r="A168" s="2"/>
      <c r="Q168" s="2"/>
      <c r="R168" s="2"/>
      <c r="S168" s="2"/>
      <c r="T168" s="2"/>
      <c r="U168" s="2"/>
      <c r="V168" s="2"/>
      <c r="W168" s="2"/>
      <c r="X168" s="2"/>
      <c r="Y168" s="2"/>
      <c r="Z168" s="2"/>
      <c r="AA168" s="2"/>
      <c r="AB168" s="2"/>
      <c r="AC168" s="2"/>
      <c r="AD168" s="2"/>
      <c r="AE168" s="2"/>
      <c r="AF168" s="2"/>
      <c r="AG168" s="2"/>
      <c r="AH168" s="2"/>
      <c r="AI168" s="2"/>
    </row>
    <row r="169" spans="1:35" ht="12.75" customHeight="1" x14ac:dyDescent="0.25">
      <c r="A169" s="2"/>
      <c r="Q169" s="2"/>
      <c r="R169" s="2"/>
      <c r="S169" s="2"/>
      <c r="T169" s="2"/>
      <c r="U169" s="2"/>
      <c r="V169" s="2"/>
      <c r="W169" s="2"/>
      <c r="X169" s="2"/>
      <c r="Y169" s="2"/>
      <c r="Z169" s="2"/>
      <c r="AA169" s="2"/>
      <c r="AB169" s="2"/>
      <c r="AC169" s="2"/>
      <c r="AD169" s="2"/>
      <c r="AE169" s="2"/>
      <c r="AF169" s="2"/>
      <c r="AG169" s="2"/>
      <c r="AH169" s="2"/>
      <c r="AI169" s="2"/>
    </row>
    <row r="170" spans="1:35" ht="12.75" customHeight="1" x14ac:dyDescent="0.25">
      <c r="A170" s="2"/>
      <c r="Q170" s="2"/>
      <c r="R170" s="2"/>
      <c r="S170" s="2"/>
      <c r="T170" s="2"/>
      <c r="U170" s="2"/>
      <c r="V170" s="2"/>
      <c r="W170" s="2"/>
      <c r="X170" s="2"/>
      <c r="Y170" s="2"/>
      <c r="Z170" s="2"/>
      <c r="AA170" s="2"/>
      <c r="AB170" s="2"/>
      <c r="AC170" s="2"/>
      <c r="AD170" s="2"/>
      <c r="AE170" s="2"/>
      <c r="AF170" s="2"/>
      <c r="AG170" s="2"/>
      <c r="AH170" s="2"/>
      <c r="AI170" s="2"/>
    </row>
    <row r="171" spans="1:35" ht="12.75" customHeight="1" x14ac:dyDescent="0.25">
      <c r="A171" s="2"/>
      <c r="Q171" s="2"/>
      <c r="R171" s="2"/>
      <c r="S171" s="2"/>
      <c r="T171" s="2"/>
      <c r="U171" s="2"/>
      <c r="V171" s="2"/>
      <c r="W171" s="2"/>
      <c r="X171" s="2"/>
      <c r="Y171" s="2"/>
      <c r="Z171" s="2"/>
      <c r="AA171" s="2"/>
      <c r="AB171" s="2"/>
      <c r="AC171" s="2"/>
      <c r="AD171" s="2"/>
      <c r="AE171" s="2"/>
      <c r="AF171" s="2"/>
      <c r="AG171" s="2"/>
      <c r="AH171" s="2"/>
      <c r="AI171" s="2"/>
    </row>
    <row r="172" spans="1:35" ht="13.5" customHeight="1" x14ac:dyDescent="0.25">
      <c r="A172" s="2"/>
      <c r="Q172" s="2"/>
      <c r="R172" s="2"/>
      <c r="S172" s="2"/>
      <c r="T172" s="2"/>
      <c r="U172" s="2"/>
      <c r="V172" s="2"/>
      <c r="W172" s="2"/>
      <c r="X172" s="2"/>
      <c r="Y172" s="2"/>
      <c r="Z172" s="2"/>
      <c r="AA172" s="2"/>
      <c r="AB172" s="2"/>
      <c r="AC172" s="2"/>
      <c r="AD172" s="2"/>
      <c r="AE172" s="2"/>
      <c r="AF172" s="2"/>
      <c r="AG172" s="2"/>
      <c r="AH172" s="2"/>
      <c r="AI172" s="2"/>
    </row>
    <row r="173" spans="1:35" ht="12.75" customHeight="1" x14ac:dyDescent="0.25">
      <c r="A173" s="2"/>
      <c r="Q173" s="2"/>
      <c r="R173" s="2"/>
      <c r="S173" s="2"/>
      <c r="T173" s="2"/>
      <c r="U173" s="2"/>
      <c r="V173" s="2"/>
      <c r="W173" s="2"/>
      <c r="X173" s="2"/>
      <c r="Y173" s="2"/>
      <c r="Z173" s="2"/>
      <c r="AA173" s="2"/>
      <c r="AB173" s="2"/>
      <c r="AC173" s="2"/>
      <c r="AD173" s="2"/>
      <c r="AE173" s="2"/>
      <c r="AF173" s="2"/>
      <c r="AG173" s="2"/>
      <c r="AH173" s="2"/>
      <c r="AI173" s="2"/>
    </row>
    <row r="174" spans="1:35" ht="12.75" customHeight="1" x14ac:dyDescent="0.25">
      <c r="A174" s="2"/>
      <c r="Q174" s="2"/>
      <c r="R174" s="2"/>
      <c r="S174" s="2"/>
      <c r="T174" s="2"/>
      <c r="U174" s="2"/>
      <c r="V174" s="2"/>
      <c r="W174" s="2"/>
      <c r="X174" s="2"/>
      <c r="Y174" s="2"/>
      <c r="Z174" s="2"/>
      <c r="AA174" s="2"/>
      <c r="AB174" s="2"/>
      <c r="AC174" s="2"/>
      <c r="AD174" s="2"/>
      <c r="AE174" s="2"/>
      <c r="AF174" s="2"/>
      <c r="AG174" s="2"/>
      <c r="AH174" s="2"/>
      <c r="AI174" s="2"/>
    </row>
    <row r="175" spans="1:35" ht="13.5" customHeight="1" x14ac:dyDescent="0.25">
      <c r="A175" s="2"/>
      <c r="Q175" s="2"/>
      <c r="R175" s="2"/>
      <c r="S175" s="2"/>
      <c r="T175" s="2"/>
      <c r="U175" s="2"/>
      <c r="V175" s="2"/>
      <c r="W175" s="2"/>
      <c r="X175" s="2"/>
      <c r="Y175" s="2"/>
      <c r="Z175" s="2"/>
      <c r="AA175" s="2"/>
      <c r="AB175" s="2"/>
      <c r="AC175" s="2"/>
      <c r="AD175" s="2"/>
      <c r="AE175" s="2"/>
      <c r="AF175" s="2"/>
      <c r="AG175" s="2"/>
      <c r="AH175" s="2"/>
      <c r="AI175" s="2"/>
    </row>
    <row r="176" spans="1:35" ht="12.75" customHeight="1" x14ac:dyDescent="0.25">
      <c r="A176" s="2"/>
      <c r="Q176" s="2"/>
      <c r="R176" s="2"/>
      <c r="S176" s="2"/>
      <c r="T176" s="2"/>
      <c r="U176" s="2"/>
      <c r="V176" s="2"/>
      <c r="W176" s="2"/>
      <c r="X176" s="2"/>
      <c r="Y176" s="2"/>
      <c r="Z176" s="2"/>
      <c r="AA176" s="2"/>
      <c r="AB176" s="2"/>
      <c r="AC176" s="2"/>
      <c r="AD176" s="2"/>
      <c r="AE176" s="2"/>
      <c r="AF176" s="2"/>
      <c r="AG176" s="2"/>
      <c r="AH176" s="2"/>
      <c r="AI176" s="2"/>
    </row>
    <row r="177" spans="1:35" ht="12.75" customHeight="1" x14ac:dyDescent="0.25">
      <c r="A177" s="2"/>
      <c r="Q177" s="2"/>
      <c r="R177" s="2"/>
      <c r="S177" s="2"/>
      <c r="T177" s="2"/>
      <c r="U177" s="2"/>
      <c r="V177" s="2"/>
      <c r="W177" s="2"/>
      <c r="X177" s="2"/>
      <c r="Y177" s="2"/>
      <c r="Z177" s="2"/>
      <c r="AA177" s="2"/>
      <c r="AB177" s="2"/>
      <c r="AC177" s="2"/>
      <c r="AD177" s="2"/>
      <c r="AE177" s="2"/>
      <c r="AF177" s="2"/>
      <c r="AG177" s="2"/>
      <c r="AH177" s="2"/>
      <c r="AI177" s="2"/>
    </row>
    <row r="178" spans="1:35" ht="12.75" customHeight="1" x14ac:dyDescent="0.25">
      <c r="A178" s="2"/>
      <c r="Q178" s="2"/>
      <c r="R178" s="2"/>
      <c r="S178" s="2"/>
      <c r="T178" s="2"/>
      <c r="U178" s="2"/>
      <c r="V178" s="2"/>
      <c r="W178" s="2"/>
      <c r="X178" s="2"/>
      <c r="Y178" s="2"/>
      <c r="Z178" s="2"/>
      <c r="AA178" s="2"/>
      <c r="AB178" s="2"/>
      <c r="AC178" s="2"/>
      <c r="AD178" s="2"/>
      <c r="AE178" s="2"/>
      <c r="AF178" s="2"/>
      <c r="AG178" s="2"/>
      <c r="AH178" s="2"/>
      <c r="AI178" s="2"/>
    </row>
    <row r="179" spans="1:35" ht="12.75" customHeight="1" x14ac:dyDescent="0.25">
      <c r="A179" s="2"/>
      <c r="Q179" s="2"/>
      <c r="R179" s="2"/>
      <c r="S179" s="2"/>
      <c r="T179" s="2"/>
      <c r="U179" s="2"/>
      <c r="V179" s="2"/>
      <c r="W179" s="2"/>
      <c r="X179" s="2"/>
      <c r="Y179" s="2"/>
      <c r="Z179" s="2"/>
      <c r="AA179" s="2"/>
      <c r="AB179" s="2"/>
      <c r="AC179" s="2"/>
      <c r="AD179" s="2"/>
      <c r="AE179" s="2"/>
      <c r="AF179" s="2"/>
      <c r="AG179" s="2"/>
      <c r="AH179" s="2"/>
      <c r="AI179" s="2"/>
    </row>
    <row r="180" spans="1:35" ht="12.75" customHeight="1" x14ac:dyDescent="0.25">
      <c r="A180" s="2"/>
      <c r="Q180" s="2"/>
      <c r="R180" s="2"/>
      <c r="S180" s="2"/>
      <c r="T180" s="2"/>
      <c r="U180" s="2"/>
      <c r="V180" s="2"/>
      <c r="W180" s="2"/>
      <c r="X180" s="2"/>
      <c r="Y180" s="2"/>
      <c r="Z180" s="2"/>
      <c r="AA180" s="2"/>
      <c r="AB180" s="2"/>
      <c r="AC180" s="2"/>
      <c r="AD180" s="2"/>
      <c r="AE180" s="2"/>
      <c r="AF180" s="2"/>
      <c r="AG180" s="2"/>
      <c r="AH180" s="2"/>
      <c r="AI180" s="2"/>
    </row>
    <row r="181" spans="1:35" ht="12.75" customHeight="1" x14ac:dyDescent="0.25">
      <c r="A181" s="2"/>
      <c r="Q181" s="2"/>
      <c r="R181" s="2"/>
      <c r="S181" s="2"/>
      <c r="T181" s="2"/>
      <c r="U181" s="2"/>
      <c r="V181" s="2"/>
      <c r="W181" s="2"/>
      <c r="X181" s="2"/>
      <c r="Y181" s="2"/>
      <c r="Z181" s="2"/>
      <c r="AA181" s="2"/>
      <c r="AB181" s="2"/>
      <c r="AC181" s="2"/>
      <c r="AD181" s="2"/>
      <c r="AE181" s="2"/>
      <c r="AF181" s="2"/>
      <c r="AG181" s="2"/>
      <c r="AH181" s="2"/>
      <c r="AI181" s="2"/>
    </row>
    <row r="182" spans="1:35" ht="12.75" customHeight="1" x14ac:dyDescent="0.25">
      <c r="A182" s="2"/>
      <c r="Q182" s="2"/>
      <c r="R182" s="2"/>
      <c r="S182" s="2"/>
      <c r="T182" s="2"/>
      <c r="U182" s="2"/>
      <c r="V182" s="2"/>
      <c r="W182" s="2"/>
      <c r="X182" s="2"/>
      <c r="Y182" s="2"/>
      <c r="Z182" s="2"/>
      <c r="AA182" s="2"/>
      <c r="AB182" s="2"/>
      <c r="AC182" s="2"/>
      <c r="AD182" s="2"/>
      <c r="AE182" s="2"/>
      <c r="AF182" s="2"/>
      <c r="AG182" s="2"/>
      <c r="AH182" s="2"/>
      <c r="AI182" s="2"/>
    </row>
    <row r="183" spans="1:35" ht="13.5" customHeight="1" x14ac:dyDescent="0.25">
      <c r="A183" s="2"/>
      <c r="Q183" s="2"/>
      <c r="R183" s="2"/>
      <c r="S183" s="2"/>
      <c r="T183" s="2"/>
      <c r="U183" s="2"/>
      <c r="V183" s="2"/>
      <c r="W183" s="2"/>
      <c r="X183" s="2"/>
      <c r="Y183" s="2"/>
      <c r="Z183" s="2"/>
      <c r="AA183" s="2"/>
      <c r="AB183" s="2"/>
      <c r="AC183" s="2"/>
      <c r="AD183" s="2"/>
      <c r="AE183" s="2"/>
      <c r="AF183" s="2"/>
      <c r="AG183" s="2"/>
      <c r="AH183" s="2"/>
      <c r="AI183" s="2"/>
    </row>
  </sheetData>
  <mergeCells count="38">
    <mergeCell ref="F5:H6"/>
    <mergeCell ref="G39:H39"/>
    <mergeCell ref="I39:I40"/>
    <mergeCell ref="J39:K39"/>
    <mergeCell ref="L39:M39"/>
    <mergeCell ref="J26:J27"/>
    <mergeCell ref="F39:F40"/>
    <mergeCell ref="F28:F30"/>
    <mergeCell ref="F32:F34"/>
    <mergeCell ref="D38:N38"/>
    <mergeCell ref="D39:E39"/>
    <mergeCell ref="N39:N40"/>
    <mergeCell ref="N5:P5"/>
    <mergeCell ref="B8:F8"/>
    <mergeCell ref="C10:C12"/>
    <mergeCell ref="D11:E11"/>
    <mergeCell ref="F11:F12"/>
    <mergeCell ref="I11:I12"/>
    <mergeCell ref="L11:M11"/>
    <mergeCell ref="G11:H11"/>
    <mergeCell ref="D10:N10"/>
    <mergeCell ref="J11:K11"/>
    <mergeCell ref="D2:E2"/>
    <mergeCell ref="D3:E3"/>
    <mergeCell ref="N61:O61"/>
    <mergeCell ref="G31:I31"/>
    <mergeCell ref="F109:F115"/>
    <mergeCell ref="D77:N77"/>
    <mergeCell ref="I72:J72"/>
    <mergeCell ref="D78:E78"/>
    <mergeCell ref="I78:I79"/>
    <mergeCell ref="N78:N79"/>
    <mergeCell ref="F78:F79"/>
    <mergeCell ref="L78:M78"/>
    <mergeCell ref="N6:P6"/>
    <mergeCell ref="N11:N12"/>
    <mergeCell ref="G78:H78"/>
    <mergeCell ref="J78:K78"/>
  </mergeCells>
  <conditionalFormatting sqref="I34">
    <cfRule type="expression" dxfId="621" priority="12">
      <formula>$I$27&gt;0</formula>
    </cfRule>
  </conditionalFormatting>
  <conditionalFormatting sqref="I33">
    <cfRule type="expression" dxfId="620" priority="13">
      <formula>$E$33&gt;0</formula>
    </cfRule>
  </conditionalFormatting>
  <conditionalFormatting sqref="I32">
    <cfRule type="expression" dxfId="619" priority="14">
      <formula>$E$29&gt;0</formula>
    </cfRule>
  </conditionalFormatting>
  <conditionalFormatting sqref="E30">
    <cfRule type="expression" dxfId="618" priority="15">
      <formula>$E$29&gt;0</formula>
    </cfRule>
  </conditionalFormatting>
  <conditionalFormatting sqref="E34">
    <cfRule type="expression" dxfId="617" priority="16">
      <formula>$E$33&gt;0</formula>
    </cfRule>
  </conditionalFormatting>
  <conditionalFormatting sqref="I28:I29">
    <cfRule type="expression" dxfId="616" priority="17">
      <formula>$I$24="Sim"</formula>
    </cfRule>
  </conditionalFormatting>
  <conditionalFormatting sqref="I27">
    <cfRule type="expression" dxfId="615" priority="19">
      <formula>$I$24="Sim"</formula>
    </cfRule>
  </conditionalFormatting>
  <conditionalFormatting sqref="I25">
    <cfRule type="expression" dxfId="614" priority="20">
      <formula>$I$24="Sim"</formula>
    </cfRule>
  </conditionalFormatting>
  <conditionalFormatting sqref="I25">
    <cfRule type="expression" dxfId="613" priority="21">
      <formula>$C$34&lt;&gt;""</formula>
    </cfRule>
  </conditionalFormatting>
  <conditionalFormatting sqref="I26">
    <cfRule type="expression" dxfId="612" priority="5">
      <formula>$J$26&lt;&gt;""</formula>
    </cfRule>
    <cfRule type="expression" dxfId="611" priority="22">
      <formula>$I$24="Sim"</formula>
    </cfRule>
  </conditionalFormatting>
  <conditionalFormatting sqref="E49">
    <cfRule type="expression" dxfId="610" priority="23">
      <formula>$E$49&gt;0</formula>
    </cfRule>
  </conditionalFormatting>
  <conditionalFormatting sqref="E50">
    <cfRule type="expression" dxfId="609" priority="24">
      <formula>$E$50&gt;0</formula>
    </cfRule>
  </conditionalFormatting>
  <conditionalFormatting sqref="E51">
    <cfRule type="expression" dxfId="608" priority="25">
      <formula>$E$51&gt;0</formula>
    </cfRule>
  </conditionalFormatting>
  <conditionalFormatting sqref="E52">
    <cfRule type="expression" dxfId="607" priority="26">
      <formula>$E$52&gt;0</formula>
    </cfRule>
  </conditionalFormatting>
  <conditionalFormatting sqref="E58">
    <cfRule type="expression" dxfId="606" priority="27">
      <formula>$E$58&gt;0</formula>
    </cfRule>
  </conditionalFormatting>
  <conditionalFormatting sqref="E59">
    <cfRule type="expression" dxfId="605" priority="28">
      <formula>$E$59&gt;0</formula>
    </cfRule>
  </conditionalFormatting>
  <conditionalFormatting sqref="E60">
    <cfRule type="expression" dxfId="604" priority="29">
      <formula>$E$60&gt;0</formula>
    </cfRule>
  </conditionalFormatting>
  <conditionalFormatting sqref="E63:E64">
    <cfRule type="expression" dxfId="603" priority="30">
      <formula>$O$62&gt;0</formula>
    </cfRule>
  </conditionalFormatting>
  <conditionalFormatting sqref="E69 E71">
    <cfRule type="expression" dxfId="602" priority="31">
      <formula>$E$60&gt;0</formula>
    </cfRule>
  </conditionalFormatting>
  <conditionalFormatting sqref="J59:J60">
    <cfRule type="expression" dxfId="601" priority="32">
      <formula>$E$60&gt;0</formula>
    </cfRule>
  </conditionalFormatting>
  <conditionalFormatting sqref="J59:J60">
    <cfRule type="expression" dxfId="600" priority="33">
      <formula>SUM($J$59:$J$60)&gt;100</formula>
    </cfRule>
  </conditionalFormatting>
  <conditionalFormatting sqref="J64 J67">
    <cfRule type="expression" dxfId="599" priority="34">
      <formula>$O$62&gt;0</formula>
    </cfRule>
  </conditionalFormatting>
  <conditionalFormatting sqref="J61">
    <cfRule type="expression" dxfId="598" priority="35">
      <formula>$J$62&lt;&gt;""</formula>
    </cfRule>
  </conditionalFormatting>
  <conditionalFormatting sqref="I72:J72">
    <cfRule type="expression" dxfId="597" priority="36">
      <formula>$O$64&gt;0</formula>
    </cfRule>
  </conditionalFormatting>
  <conditionalFormatting sqref="H106">
    <cfRule type="expression" dxfId="596" priority="37">
      <formula>AND($E$112=0,($I$25*(100-$I$26)/100)&lt;500)</formula>
    </cfRule>
  </conditionalFormatting>
  <conditionalFormatting sqref="E123">
    <cfRule type="expression" dxfId="595" priority="38">
      <formula>OR($E$122="Rota Futura",$E$122="")</formula>
    </cfRule>
  </conditionalFormatting>
  <conditionalFormatting sqref="E123">
    <cfRule type="expression" dxfId="594" priority="39">
      <formula>$E$122="Rota Atual"</formula>
    </cfRule>
  </conditionalFormatting>
  <conditionalFormatting sqref="E107">
    <cfRule type="expression" dxfId="593" priority="40">
      <formula>$E$107&gt;0</formula>
    </cfRule>
  </conditionalFormatting>
  <conditionalFormatting sqref="E108">
    <cfRule type="expression" dxfId="592" priority="41">
      <formula>$E$108&gt;0</formula>
    </cfRule>
  </conditionalFormatting>
  <conditionalFormatting sqref="E109">
    <cfRule type="expression" dxfId="591" priority="42">
      <formula>$E$109&gt;0</formula>
    </cfRule>
  </conditionalFormatting>
  <conditionalFormatting sqref="E110">
    <cfRule type="expression" dxfId="590" priority="43">
      <formula>$E$110&gt;0</formula>
    </cfRule>
  </conditionalFormatting>
  <conditionalFormatting sqref="J121">
    <cfRule type="expression" dxfId="589" priority="3">
      <formula>I122&lt;&gt;""</formula>
    </cfRule>
    <cfRule type="expression" dxfId="588" priority="44">
      <formula>$J$119&lt;&gt;100</formula>
    </cfRule>
  </conditionalFormatting>
  <conditionalFormatting sqref="J123">
    <cfRule type="expression" dxfId="587" priority="45">
      <formula>$J$121&gt;0</formula>
    </cfRule>
  </conditionalFormatting>
  <conditionalFormatting sqref="J112:J113">
    <cfRule type="expression" dxfId="586" priority="46">
      <formula>$E$112&gt;0</formula>
    </cfRule>
  </conditionalFormatting>
  <conditionalFormatting sqref="O121:O122">
    <cfRule type="expression" dxfId="585" priority="47">
      <formula>$O$120="Sim"</formula>
    </cfRule>
  </conditionalFormatting>
  <conditionalFormatting sqref="N13">
    <cfRule type="expression" dxfId="584" priority="48">
      <formula>AND(N12="Sim",O17="Sim",SUM(N13+O18)&gt;#REF!)</formula>
    </cfRule>
  </conditionalFormatting>
  <conditionalFormatting sqref="E25">
    <cfRule type="expression" dxfId="583" priority="6">
      <formula>OR($F$28&lt;&gt;"",$F$32&lt;&gt;"")</formula>
    </cfRule>
    <cfRule type="expression" dxfId="582" priority="11">
      <formula>$N$13&gt;0</formula>
    </cfRule>
  </conditionalFormatting>
  <conditionalFormatting sqref="J2">
    <cfRule type="expression" dxfId="581" priority="9">
      <formula>$I$24="Sim"</formula>
    </cfRule>
  </conditionalFormatting>
  <conditionalFormatting sqref="E128">
    <cfRule type="expression" dxfId="580" priority="8">
      <formula>AND($E$123="Disp. Inadequada",$E$122="Rota atual")</formula>
    </cfRule>
  </conditionalFormatting>
  <conditionalFormatting sqref="L49">
    <cfRule type="expression" dxfId="579" priority="7">
      <formula>$I$49&gt;0</formula>
    </cfRule>
  </conditionalFormatting>
  <conditionalFormatting sqref="J59">
    <cfRule type="expression" dxfId="578" priority="4">
      <formula>$N$59&lt;&gt;""</formula>
    </cfRule>
  </conditionalFormatting>
  <conditionalFormatting sqref="I35">
    <cfRule type="expression" dxfId="577" priority="2">
      <formula>$I$27&gt;0</formula>
    </cfRule>
  </conditionalFormatting>
  <conditionalFormatting sqref="E111">
    <cfRule type="expression" dxfId="576" priority="1">
      <formula>$E$59&gt;0</formula>
    </cfRule>
  </conditionalFormatting>
  <dataValidations xWindow="658" yWindow="802" count="15">
    <dataValidation type="list" allowBlank="1" showErrorMessage="1" sqref="E123" xr:uid="{00000000-0002-0000-0200-000000000000}">
      <formula1>$T$120:$T$121</formula1>
    </dataValidation>
    <dataValidation type="list" allowBlank="1" showErrorMessage="1" sqref="I24 H106 J112 O120 J123" xr:uid="{00000000-0002-0000-0200-000001000000}">
      <formula1>$R$12:$R$13</formula1>
    </dataValidation>
    <dataValidation type="decimal" allowBlank="1" showErrorMessage="1" error="Erro - Valor deve estar entre 0 e 100%" prompt="Erro - Valor deve estar entre 0 e 100%" sqref="L49 E25 I26" xr:uid="{00000000-0002-0000-0200-000002000000}">
      <formula1>0</formula1>
      <formula2>100</formula2>
    </dataValidation>
    <dataValidation type="list" allowBlank="1" showErrorMessage="1" sqref="I28 E30 E34" xr:uid="{00000000-0002-0000-0200-000003000000}">
      <formula1>$S$13:$S$15</formula1>
    </dataValidation>
    <dataValidation type="list" allowBlank="1" showErrorMessage="1" sqref="J67" xr:uid="{00000000-0002-0000-0200-000004000000}">
      <formula1>$S$61:$S$62</formula1>
    </dataValidation>
    <dataValidation type="list" allowBlank="1" showErrorMessage="1" sqref="E121" xr:uid="{00000000-0002-0000-0200-000005000000}">
      <formula1>$R$120:$R$121</formula1>
    </dataValidation>
    <dataValidation type="list" allowBlank="1" showErrorMessage="1" sqref="I29" xr:uid="{00000000-0002-0000-0200-000006000000}">
      <formula1>$T$12:$T$15</formula1>
    </dataValidation>
    <dataValidation type="list" allowBlank="1" showErrorMessage="1" sqref="E122" xr:uid="{00000000-0002-0000-0200-000007000000}">
      <formula1>$S$120:$S$121</formula1>
    </dataValidation>
    <dataValidation type="decimal" allowBlank="1" showErrorMessage="1" error="Valor deve estar entre 0 e 100%" prompt="Valor deve estar entre 0 e 100%" sqref="J113" xr:uid="{00000000-0002-0000-0200-000008000000}">
      <formula1>0</formula1>
      <formula2>100</formula2>
    </dataValidation>
    <dataValidation type="decimal" allowBlank="1" showErrorMessage="1" error="Valor deve ser maior que 0% e menor que 100%." prompt="Valor deve ser maior que 0% e menor que 100%." sqref="O122" xr:uid="{00000000-0002-0000-0200-000009000000}">
      <formula1>1</formula1>
      <formula2>100</formula2>
    </dataValidation>
    <dataValidation type="list" allowBlank="1" showErrorMessage="1" sqref="I72" xr:uid="{00000000-0002-0000-0200-00000A000000}">
      <formula1>$S$65:$S$66</formula1>
    </dataValidation>
    <dataValidation type="list" allowBlank="1" showInputMessage="1" showErrorMessage="1" prompt="Selecione a opção 'Sem captacão' apenas para simualção de ROTA ATUAL, em E122, e tipo de disposição final, em E123, 'Disposição inadequada'." sqref="E128" xr:uid="{00000000-0002-0000-0200-00000B000000}">
      <formula1>$R$123:$R$126</formula1>
    </dataValidation>
    <dataValidation type="decimal" allowBlank="1" showErrorMessage="1" error="Valor deve esatr entre 0 e 100%." prompt="Valor deve esatr entre 0 e 100%." sqref="J60" xr:uid="{00000000-0002-0000-0200-00000C000000}">
      <formula1>0</formula1>
      <formula2>100</formula2>
    </dataValidation>
    <dataValidation type="decimal" allowBlank="1" showErrorMessage="1" error="Valor deve estar entre 0 e 100%." prompt="Valor deve estar entre 0 e 100%." sqref="J59" xr:uid="{00000000-0002-0000-0200-00000D000000}">
      <formula1>0</formula1>
      <formula2>100</formula2>
    </dataValidation>
    <dataValidation type="decimal" allowBlank="1" showInputMessage="1" showErrorMessage="1" error="Valor deve estar entre 0 e 100%" sqref="J121" xr:uid="{00000000-0002-0000-0200-00000E000000}">
      <formula1>0</formula1>
      <formula2>100</formula2>
    </dataValidation>
  </dataValidations>
  <pageMargins left="0.511811024" right="0.511811024" top="0.78740157499999996" bottom="0.78740157499999996" header="0" footer="0"/>
  <pageSetup paperSize="9" fitToWidth="0" orientation="portrait" r:id="rId1"/>
  <drawing r:id="rId2"/>
  <legacyDrawing r:id="rId3"/>
  <extLst>
    <ext xmlns:x14="http://schemas.microsoft.com/office/spreadsheetml/2009/9/main" uri="{CCE6A557-97BC-4b89-ADB6-D9C93CAAB3DF}">
      <x14:dataValidations xmlns:xm="http://schemas.microsoft.com/office/excel/2006/main" xWindow="658" yWindow="802" count="4">
        <x14:dataValidation type="list" allowBlank="1" showErrorMessage="1" xr:uid="{00000000-0002-0000-0200-00000F000000}">
          <x14:formula1>
            <xm:f>'R-Avançado'!$H$19:$H$21</xm:f>
          </x14:formula1>
          <xm:sqref>E69 E63</xm:sqref>
        </x14:dataValidation>
        <x14:dataValidation type="list" allowBlank="1" showErrorMessage="1" xr:uid="{00000000-0002-0000-0200-000010000000}">
          <x14:formula1>
            <xm:f>'R-Avançado'!$D$19:$D$21</xm:f>
          </x14:formula1>
          <xm:sqref>E64</xm:sqref>
        </x14:dataValidation>
        <x14:dataValidation type="list" allowBlank="1" showErrorMessage="1" xr:uid="{00000000-0002-0000-0200-000011000000}">
          <x14:formula1>
            <xm:f>'R-Avançado'!$L$19:$L$20</xm:f>
          </x14:formula1>
          <xm:sqref>E71</xm:sqref>
        </x14:dataValidation>
        <x14:dataValidation type="list" allowBlank="1" showErrorMessage="1" xr:uid="{00000000-0002-0000-0200-000012000000}">
          <x14:formula1>
            <xm:f>'R-Avançado'!$D$12:$D$13</xm:f>
          </x14:formula1>
          <xm:sqref>I32:I35</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8">
    <tabColor rgb="FFC5E0B3"/>
  </sheetPr>
  <dimension ref="A1:U102"/>
  <sheetViews>
    <sheetView defaultGridColor="0" colorId="23" zoomScale="80" zoomScaleNormal="80" workbookViewId="0">
      <selection activeCell="F14" sqref="F14"/>
    </sheetView>
  </sheetViews>
  <sheetFormatPr defaultColWidth="14.42578125" defaultRowHeight="15" customHeight="1" x14ac:dyDescent="0.25"/>
  <cols>
    <col min="1" max="1" width="0.28515625" style="152" customWidth="1"/>
    <col min="2" max="2" width="4.42578125" style="152" customWidth="1"/>
    <col min="3" max="3" width="8.42578125" style="152" customWidth="1"/>
    <col min="4" max="4" width="17.28515625" style="152" customWidth="1"/>
    <col min="5" max="6" width="18.42578125" style="152" customWidth="1"/>
    <col min="7" max="13" width="15.7109375" style="152" customWidth="1"/>
    <col min="14" max="14" width="17.28515625" style="152" customWidth="1"/>
    <col min="15" max="15" width="15.7109375" style="152" customWidth="1"/>
    <col min="16" max="16" width="3.42578125" style="152" customWidth="1"/>
  </cols>
  <sheetData>
    <row r="1" spans="1:21" ht="15" customHeight="1" x14ac:dyDescent="0.25">
      <c r="B1" s="433"/>
      <c r="C1" s="433"/>
      <c r="D1" s="433"/>
      <c r="E1" s="433"/>
      <c r="F1" s="433"/>
      <c r="G1" s="433"/>
      <c r="H1" s="433"/>
      <c r="I1" s="433"/>
      <c r="J1" s="433"/>
      <c r="K1" s="433"/>
      <c r="L1" s="433"/>
      <c r="M1" s="433"/>
      <c r="N1" s="433"/>
      <c r="O1" s="433"/>
      <c r="P1" s="433"/>
      <c r="Q1" s="433"/>
      <c r="R1" s="433"/>
      <c r="S1" s="433"/>
      <c r="T1" s="433"/>
      <c r="U1" s="433"/>
    </row>
    <row r="2" spans="1:21" ht="15" customHeight="1" x14ac:dyDescent="0.25">
      <c r="B2" s="433"/>
      <c r="C2" s="193" t="s">
        <v>436</v>
      </c>
      <c r="D2" s="2719" t="str">
        <f>IF('R-Entrada'!D2&lt;&gt;0,'R-Entrada'!D2,"")</f>
        <v>CIRSOP - Consórcio RSU Oeste Paulista</v>
      </c>
      <c r="E2" s="2720"/>
      <c r="F2" s="433"/>
      <c r="G2" s="433"/>
      <c r="H2" s="433"/>
      <c r="I2" s="433"/>
      <c r="J2" s="433"/>
      <c r="K2" s="433"/>
      <c r="L2" s="433"/>
      <c r="M2" s="433"/>
      <c r="N2" s="433"/>
      <c r="O2" s="433"/>
      <c r="P2" s="433"/>
      <c r="Q2" s="433"/>
      <c r="R2" s="433"/>
      <c r="S2" s="433"/>
      <c r="T2" s="433"/>
      <c r="U2" s="433"/>
    </row>
    <row r="3" spans="1:21" ht="15" customHeight="1" x14ac:dyDescent="0.25">
      <c r="B3" s="433"/>
      <c r="C3" s="415" t="s">
        <v>437</v>
      </c>
      <c r="D3" s="2719" t="str">
        <f>IF('R-Entrada'!D3&lt;&gt;0,'R-Entrada'!D3,"")</f>
        <v>Biodigestão c/ Prod. E. Elétrica</v>
      </c>
      <c r="E3" s="2720"/>
      <c r="F3" s="433"/>
      <c r="G3" s="433"/>
      <c r="H3" s="433"/>
      <c r="I3" s="433"/>
      <c r="J3" s="433"/>
      <c r="K3" s="433"/>
      <c r="L3" s="433"/>
      <c r="M3" s="433"/>
      <c r="N3" s="433"/>
      <c r="O3" s="433"/>
      <c r="P3" s="433"/>
      <c r="Q3" s="433"/>
      <c r="R3" s="433"/>
      <c r="S3" s="433"/>
      <c r="T3" s="433"/>
      <c r="U3" s="433"/>
    </row>
    <row r="4" spans="1:21" ht="14.25" customHeight="1" x14ac:dyDescent="0.25">
      <c r="A4" s="433"/>
      <c r="B4" s="433"/>
      <c r="C4" s="433"/>
      <c r="D4" s="433"/>
      <c r="E4" s="433"/>
      <c r="F4" s="433"/>
      <c r="G4" s="433"/>
      <c r="H4" s="433"/>
      <c r="I4" s="433"/>
      <c r="J4" s="433"/>
      <c r="K4" s="433"/>
      <c r="L4" s="433"/>
      <c r="M4" s="433"/>
      <c r="N4" s="433"/>
      <c r="O4" s="433"/>
      <c r="P4" s="433"/>
      <c r="Q4" s="433"/>
      <c r="R4" s="433"/>
      <c r="S4" s="433"/>
      <c r="T4" s="433"/>
      <c r="U4" s="433"/>
    </row>
    <row r="5" spans="1:21" ht="25.5" customHeight="1" x14ac:dyDescent="0.25">
      <c r="A5" s="641"/>
      <c r="B5" s="189"/>
      <c r="C5" s="190" t="s">
        <v>485</v>
      </c>
      <c r="D5" s="189"/>
      <c r="E5" s="189"/>
      <c r="F5" s="189"/>
      <c r="G5" s="189"/>
      <c r="H5" s="189"/>
      <c r="I5" s="191"/>
      <c r="J5" s="655"/>
      <c r="K5" s="433"/>
      <c r="L5" s="433"/>
      <c r="M5" s="433"/>
      <c r="N5" s="2721" t="s">
        <v>424</v>
      </c>
      <c r="O5" s="2722"/>
      <c r="P5" s="433"/>
      <c r="Q5" s="433"/>
      <c r="R5" s="433"/>
      <c r="S5" s="433"/>
      <c r="T5" s="433"/>
      <c r="U5" s="433"/>
    </row>
    <row r="6" spans="1:21" ht="18.399999999999999" customHeight="1" x14ac:dyDescent="0.25">
      <c r="A6" s="433"/>
      <c r="B6" s="433"/>
      <c r="C6" s="433"/>
      <c r="D6" s="433"/>
      <c r="E6" s="433"/>
      <c r="F6" s="433"/>
      <c r="G6" s="433"/>
      <c r="H6" s="433"/>
      <c r="I6" s="433"/>
      <c r="J6" s="433"/>
      <c r="K6" s="433"/>
      <c r="L6" s="433"/>
      <c r="M6" s="433"/>
      <c r="N6" s="2674" t="str">
        <f>Apresentação!I2</f>
        <v>RC-RSU V.1.0 - 15/10/2020</v>
      </c>
      <c r="O6" s="2722"/>
      <c r="P6" s="433"/>
      <c r="Q6" s="433"/>
      <c r="R6" s="433"/>
      <c r="S6" s="433"/>
      <c r="T6" s="433"/>
      <c r="U6" s="433"/>
    </row>
    <row r="7" spans="1:21" ht="18" customHeight="1" x14ac:dyDescent="0.25">
      <c r="A7" s="616"/>
      <c r="B7" s="639"/>
      <c r="C7" s="1382" t="s">
        <v>184</v>
      </c>
      <c r="D7" s="643"/>
      <c r="E7" s="655"/>
      <c r="F7" s="655"/>
      <c r="G7" s="655"/>
      <c r="H7" s="655"/>
      <c r="I7" s="433"/>
      <c r="J7" s="644" t="s">
        <v>99</v>
      </c>
      <c r="K7" s="393"/>
      <c r="L7" s="394"/>
      <c r="M7" s="448"/>
      <c r="N7" s="433"/>
      <c r="O7" s="433"/>
      <c r="P7" s="433"/>
      <c r="Q7" s="433"/>
      <c r="R7" s="433"/>
      <c r="S7" s="433"/>
      <c r="T7" s="433"/>
      <c r="U7" s="433"/>
    </row>
    <row r="8" spans="1:21" ht="18" customHeight="1" x14ac:dyDescent="0.25">
      <c r="A8" s="616"/>
      <c r="B8" s="1411"/>
      <c r="C8" s="1412"/>
      <c r="D8" s="643"/>
      <c r="E8" s="2734" t="s">
        <v>864</v>
      </c>
      <c r="F8" s="2735"/>
      <c r="G8" s="2735"/>
      <c r="H8" s="2736"/>
      <c r="I8" s="433"/>
      <c r="J8" s="2739"/>
      <c r="K8" s="2740"/>
      <c r="L8" s="2737" t="s">
        <v>185</v>
      </c>
      <c r="M8" s="2737" t="s">
        <v>486</v>
      </c>
      <c r="N8" s="433"/>
      <c r="O8" s="433"/>
      <c r="P8" s="433"/>
      <c r="Q8" s="433"/>
      <c r="R8" s="433"/>
      <c r="S8" s="433"/>
      <c r="T8" s="433"/>
      <c r="U8" s="433"/>
    </row>
    <row r="9" spans="1:21" ht="18" customHeight="1" x14ac:dyDescent="0.25">
      <c r="A9" s="433"/>
      <c r="B9" s="433"/>
      <c r="C9" s="433"/>
      <c r="D9" s="2745"/>
      <c r="E9" s="675" t="s">
        <v>25</v>
      </c>
      <c r="F9" s="2734" t="s">
        <v>865</v>
      </c>
      <c r="G9" s="2735"/>
      <c r="H9" s="2736"/>
      <c r="I9" s="433"/>
      <c r="J9" s="2741"/>
      <c r="K9" s="2742"/>
      <c r="L9" s="2738"/>
      <c r="M9" s="2738"/>
      <c r="N9" s="433"/>
      <c r="O9" s="433"/>
      <c r="P9" s="433"/>
      <c r="Q9" s="433"/>
      <c r="R9" s="433"/>
      <c r="S9" s="433"/>
      <c r="T9" s="433"/>
      <c r="U9" s="433"/>
    </row>
    <row r="10" spans="1:21" ht="18" customHeight="1" x14ac:dyDescent="0.25">
      <c r="A10" s="433"/>
      <c r="B10" s="433"/>
      <c r="C10" s="433"/>
      <c r="D10" s="2746"/>
      <c r="E10" s="456" t="s">
        <v>679</v>
      </c>
      <c r="F10" s="456" t="s">
        <v>679</v>
      </c>
      <c r="G10" s="456" t="s">
        <v>680</v>
      </c>
      <c r="H10" s="456" t="s">
        <v>508</v>
      </c>
      <c r="I10" s="433"/>
      <c r="J10" s="2743"/>
      <c r="K10" s="2744"/>
      <c r="L10" s="2738"/>
      <c r="M10" s="2738"/>
      <c r="N10" s="433"/>
      <c r="O10" s="433"/>
      <c r="P10" s="433"/>
      <c r="Q10" s="433"/>
      <c r="R10" s="433"/>
      <c r="S10" s="433"/>
      <c r="T10" s="433"/>
      <c r="U10" s="433"/>
    </row>
    <row r="11" spans="1:21" ht="18" customHeight="1" x14ac:dyDescent="0.25">
      <c r="A11" s="433"/>
      <c r="B11" s="433"/>
      <c r="C11" s="433"/>
      <c r="D11" s="109" t="s">
        <v>186</v>
      </c>
      <c r="E11" s="836">
        <f>IF('R-Definição'!I35="Alta",E12,E13)</f>
        <v>85</v>
      </c>
      <c r="F11" s="836">
        <f>IF('R-Definição'!I34="Alta",F12,F13)</f>
        <v>22.5</v>
      </c>
      <c r="G11" s="836">
        <f>IF('R-Definição'!I33="Alta",G12,G13)</f>
        <v>50</v>
      </c>
      <c r="H11" s="836">
        <f>IF('R-Definição'!I32="Alta",H12,H13)</f>
        <v>35</v>
      </c>
      <c r="I11" s="433"/>
      <c r="J11" s="2729" t="s">
        <v>487</v>
      </c>
      <c r="K11" s="2729"/>
      <c r="L11" s="195">
        <v>2.5</v>
      </c>
      <c r="M11" s="195">
        <v>50</v>
      </c>
      <c r="N11" s="433"/>
      <c r="O11" s="433"/>
      <c r="P11" s="433"/>
      <c r="Q11" s="433"/>
      <c r="R11" s="433"/>
      <c r="S11" s="433"/>
      <c r="T11" s="433"/>
      <c r="U11" s="433"/>
    </row>
    <row r="12" spans="1:21" ht="18" customHeight="1" x14ac:dyDescent="0.25">
      <c r="A12" s="433"/>
      <c r="B12" s="433"/>
      <c r="C12" s="433"/>
      <c r="D12" s="109" t="s">
        <v>176</v>
      </c>
      <c r="E12" s="195">
        <v>97.5</v>
      </c>
      <c r="F12" s="195">
        <v>50</v>
      </c>
      <c r="G12" s="195">
        <v>90</v>
      </c>
      <c r="H12" s="195">
        <v>70</v>
      </c>
      <c r="I12" s="433"/>
      <c r="J12" s="2729" t="s">
        <v>488</v>
      </c>
      <c r="K12" s="2729"/>
      <c r="L12" s="195">
        <v>27.5</v>
      </c>
      <c r="M12" s="195">
        <v>30</v>
      </c>
      <c r="N12" s="433"/>
      <c r="O12" s="433"/>
      <c r="P12" s="433"/>
      <c r="Q12" s="433"/>
      <c r="R12" s="433"/>
      <c r="S12" s="433"/>
      <c r="T12" s="433"/>
      <c r="U12" s="433"/>
    </row>
    <row r="13" spans="1:21" ht="18" customHeight="1" x14ac:dyDescent="0.25">
      <c r="A13" s="433"/>
      <c r="B13" s="433"/>
      <c r="C13" s="433"/>
      <c r="D13" s="109" t="s">
        <v>88</v>
      </c>
      <c r="E13" s="195">
        <v>85</v>
      </c>
      <c r="F13" s="195">
        <v>22.5</v>
      </c>
      <c r="G13" s="195">
        <v>50</v>
      </c>
      <c r="H13" s="195">
        <v>35</v>
      </c>
      <c r="I13" s="433"/>
      <c r="J13" s="433"/>
      <c r="K13" s="433"/>
      <c r="L13" s="433"/>
      <c r="N13" s="433"/>
      <c r="O13" s="433"/>
      <c r="P13" s="433"/>
      <c r="Q13" s="433"/>
      <c r="R13" s="433"/>
      <c r="S13" s="433"/>
      <c r="T13" s="433"/>
      <c r="U13" s="433"/>
    </row>
    <row r="14" spans="1:21" ht="18" customHeight="1" x14ac:dyDescent="0.25">
      <c r="A14" s="433"/>
      <c r="B14" s="433"/>
      <c r="C14" s="433"/>
      <c r="E14" s="433"/>
      <c r="F14" s="433"/>
      <c r="G14" s="650"/>
      <c r="H14" s="433"/>
      <c r="I14" s="433"/>
      <c r="J14" s="433"/>
      <c r="K14" s="433"/>
      <c r="L14" s="433"/>
      <c r="M14" s="433"/>
      <c r="N14" s="433"/>
      <c r="O14" s="433"/>
      <c r="P14" s="433"/>
      <c r="Q14" s="433"/>
      <c r="R14" s="433"/>
      <c r="S14" s="433"/>
      <c r="T14" s="433"/>
      <c r="U14" s="433"/>
    </row>
    <row r="15" spans="1:21" ht="18" customHeight="1" x14ac:dyDescent="0.25">
      <c r="A15" s="616"/>
      <c r="B15" s="639"/>
      <c r="C15" s="394" t="s">
        <v>187</v>
      </c>
      <c r="D15" s="452"/>
      <c r="E15" s="658"/>
      <c r="F15" s="658"/>
      <c r="G15" s="648"/>
      <c r="H15" s="433"/>
      <c r="I15" s="433"/>
      <c r="J15" s="433"/>
      <c r="K15" s="433"/>
      <c r="L15" s="433"/>
      <c r="M15" s="433"/>
      <c r="N15" s="433"/>
      <c r="O15" s="433"/>
      <c r="P15" s="433"/>
      <c r="Q15" s="433"/>
      <c r="R15" s="433"/>
      <c r="S15" s="433"/>
      <c r="T15" s="433"/>
      <c r="U15" s="433"/>
    </row>
    <row r="16" spans="1:21" ht="18" customHeight="1" x14ac:dyDescent="0.25">
      <c r="A16" s="433"/>
      <c r="B16" s="652"/>
      <c r="C16" s="656"/>
      <c r="D16" s="654" t="s">
        <v>188</v>
      </c>
      <c r="E16" s="393"/>
      <c r="F16" s="645"/>
      <c r="G16" s="433"/>
      <c r="H16" s="644" t="s">
        <v>189</v>
      </c>
      <c r="I16" s="393"/>
      <c r="J16" s="645"/>
      <c r="K16" s="433"/>
      <c r="L16" s="644" t="s">
        <v>131</v>
      </c>
      <c r="M16" s="448"/>
      <c r="N16" s="433"/>
      <c r="O16" s="433"/>
      <c r="P16" s="433"/>
      <c r="Q16" s="433"/>
      <c r="R16" s="433"/>
      <c r="S16" s="433"/>
      <c r="T16" s="433"/>
      <c r="U16" s="433"/>
    </row>
    <row r="17" spans="1:21" ht="18" customHeight="1" x14ac:dyDescent="0.25">
      <c r="A17" s="433"/>
      <c r="B17" s="433"/>
      <c r="C17" s="657"/>
      <c r="D17" s="2747" t="s">
        <v>190</v>
      </c>
      <c r="E17" s="453" t="s">
        <v>191</v>
      </c>
      <c r="F17" s="453" t="s">
        <v>905</v>
      </c>
      <c r="G17" s="433"/>
      <c r="H17" s="2749"/>
      <c r="I17" s="2749" t="s">
        <v>192</v>
      </c>
      <c r="J17" s="2701"/>
      <c r="K17" s="433"/>
      <c r="L17" s="2748" t="s">
        <v>692</v>
      </c>
      <c r="M17" s="2713"/>
      <c r="N17" s="433"/>
      <c r="O17" s="433"/>
      <c r="P17" s="433"/>
      <c r="Q17" s="433"/>
      <c r="R17" s="433"/>
      <c r="S17" s="433"/>
      <c r="T17" s="433"/>
      <c r="U17" s="433"/>
    </row>
    <row r="18" spans="1:21" ht="18" customHeight="1" x14ac:dyDescent="0.25">
      <c r="A18" s="433"/>
      <c r="B18" s="433"/>
      <c r="C18" s="657"/>
      <c r="D18" s="2701"/>
      <c r="E18" s="453" t="s">
        <v>968</v>
      </c>
      <c r="F18" s="453" t="s">
        <v>904</v>
      </c>
      <c r="G18" s="433"/>
      <c r="H18" s="2701"/>
      <c r="I18" s="453" t="s">
        <v>188</v>
      </c>
      <c r="J18" s="646" t="s">
        <v>131</v>
      </c>
      <c r="K18" s="433"/>
      <c r="L18" s="2713"/>
      <c r="M18" s="2713"/>
      <c r="N18" s="433"/>
      <c r="O18" s="433"/>
      <c r="P18" s="433"/>
      <c r="Q18" s="433"/>
      <c r="R18" s="433"/>
      <c r="S18" s="433"/>
      <c r="T18" s="433"/>
      <c r="U18" s="433"/>
    </row>
    <row r="19" spans="1:21" ht="18" customHeight="1" x14ac:dyDescent="0.25">
      <c r="A19" s="433"/>
      <c r="B19" s="433"/>
      <c r="C19" s="1537"/>
      <c r="D19" s="109" t="s">
        <v>193</v>
      </c>
      <c r="E19" s="1374">
        <v>120</v>
      </c>
      <c r="F19" s="1374">
        <v>425</v>
      </c>
      <c r="G19" s="1537"/>
      <c r="H19" s="109" t="s">
        <v>176</v>
      </c>
      <c r="I19" s="195">
        <v>25</v>
      </c>
      <c r="J19" s="195">
        <v>50</v>
      </c>
      <c r="K19" s="433"/>
      <c r="L19" s="109" t="s">
        <v>193</v>
      </c>
      <c r="M19" s="195">
        <v>25</v>
      </c>
      <c r="N19" s="433"/>
      <c r="O19" s="433"/>
      <c r="P19" s="433"/>
      <c r="Q19" s="433"/>
      <c r="R19" s="433"/>
      <c r="S19" s="433"/>
      <c r="T19" s="433"/>
      <c r="U19" s="433"/>
    </row>
    <row r="20" spans="1:21" ht="18" customHeight="1" x14ac:dyDescent="0.25">
      <c r="A20" s="433"/>
      <c r="B20" s="433"/>
      <c r="C20" s="1537"/>
      <c r="D20" s="109" t="s">
        <v>121</v>
      </c>
      <c r="E20" s="1486">
        <v>100</v>
      </c>
      <c r="F20" s="1486">
        <v>400</v>
      </c>
      <c r="G20" s="1537"/>
      <c r="H20" s="109" t="s">
        <v>118</v>
      </c>
      <c r="I20" s="195">
        <v>20</v>
      </c>
      <c r="J20" s="195">
        <v>40</v>
      </c>
      <c r="K20" s="433"/>
      <c r="L20" s="109" t="s">
        <v>137</v>
      </c>
      <c r="M20" s="195">
        <v>10</v>
      </c>
      <c r="N20" s="433"/>
      <c r="O20" s="433"/>
      <c r="P20" s="433"/>
      <c r="Q20" s="433"/>
      <c r="R20" s="433"/>
      <c r="S20" s="433"/>
      <c r="T20" s="433"/>
      <c r="U20" s="433"/>
    </row>
    <row r="21" spans="1:21" ht="18" customHeight="1" x14ac:dyDescent="0.25">
      <c r="A21" s="433"/>
      <c r="B21" s="433"/>
      <c r="C21" s="1537"/>
      <c r="D21" s="109" t="s">
        <v>137</v>
      </c>
      <c r="E21" s="1486">
        <v>80</v>
      </c>
      <c r="F21" s="1486">
        <v>375</v>
      </c>
      <c r="G21" s="1537"/>
      <c r="H21" s="109" t="s">
        <v>88</v>
      </c>
      <c r="I21" s="195">
        <v>15</v>
      </c>
      <c r="J21" s="195">
        <v>30</v>
      </c>
      <c r="K21" s="433"/>
      <c r="L21" s="433"/>
      <c r="M21" s="650"/>
      <c r="N21" s="648"/>
      <c r="O21" s="433"/>
      <c r="P21" s="433"/>
      <c r="Q21" s="433"/>
      <c r="R21" s="433"/>
      <c r="S21" s="433"/>
      <c r="T21" s="433"/>
      <c r="U21" s="433"/>
    </row>
    <row r="22" spans="1:21" ht="18" customHeight="1" x14ac:dyDescent="0.25">
      <c r="A22" s="433"/>
      <c r="B22" s="433"/>
      <c r="C22" s="433"/>
      <c r="D22" s="433"/>
      <c r="E22" s="433"/>
      <c r="F22" s="433"/>
      <c r="G22" s="433"/>
      <c r="H22" s="433"/>
      <c r="I22" s="433"/>
      <c r="J22" s="433"/>
      <c r="K22" s="433"/>
      <c r="L22" s="433"/>
      <c r="M22" s="650"/>
      <c r="N22" s="648"/>
      <c r="O22" s="433"/>
      <c r="P22" s="433"/>
      <c r="Q22" s="433"/>
      <c r="R22" s="433"/>
      <c r="S22" s="433"/>
      <c r="T22" s="433"/>
      <c r="U22" s="433"/>
    </row>
    <row r="23" spans="1:21" ht="18" customHeight="1" x14ac:dyDescent="0.25">
      <c r="A23" s="433"/>
      <c r="B23" s="433"/>
      <c r="C23" s="433"/>
      <c r="D23" s="2727" t="s">
        <v>693</v>
      </c>
      <c r="E23" s="2728"/>
      <c r="F23" s="1375">
        <v>65</v>
      </c>
      <c r="G23" s="433"/>
      <c r="H23" s="433"/>
      <c r="I23" s="433"/>
      <c r="J23" s="433"/>
      <c r="K23" s="433"/>
      <c r="L23" s="433"/>
      <c r="M23" s="650"/>
      <c r="N23" s="648"/>
      <c r="O23" s="433"/>
      <c r="P23" s="433"/>
      <c r="Q23" s="433"/>
      <c r="R23" s="433"/>
      <c r="S23" s="433"/>
      <c r="T23" s="433"/>
      <c r="U23" s="433"/>
    </row>
    <row r="24" spans="1:21" ht="18" customHeight="1" x14ac:dyDescent="0.25">
      <c r="A24" s="433"/>
      <c r="B24" s="433"/>
      <c r="C24" s="433"/>
      <c r="D24" s="2727" t="s">
        <v>489</v>
      </c>
      <c r="E24" s="2728"/>
      <c r="F24" s="1375">
        <v>96.5</v>
      </c>
      <c r="G24" s="433"/>
      <c r="H24" s="433"/>
      <c r="I24" s="433"/>
      <c r="J24" s="433"/>
      <c r="K24" s="433"/>
      <c r="L24" s="433"/>
      <c r="M24" s="650"/>
      <c r="N24" s="648"/>
      <c r="O24" s="433"/>
      <c r="P24" s="433"/>
      <c r="Q24" s="433"/>
      <c r="R24" s="433"/>
      <c r="S24" s="433"/>
      <c r="T24" s="433"/>
      <c r="U24" s="433"/>
    </row>
    <row r="25" spans="1:21" ht="18" customHeight="1" x14ac:dyDescent="0.25">
      <c r="A25" s="433"/>
      <c r="B25" s="433"/>
      <c r="C25" s="433"/>
      <c r="D25" s="194"/>
      <c r="E25" s="648"/>
      <c r="F25" s="650"/>
      <c r="G25" s="433"/>
      <c r="H25" s="433"/>
      <c r="I25" s="433"/>
      <c r="J25" s="650"/>
      <c r="K25" s="433"/>
      <c r="L25" s="433"/>
      <c r="M25" s="433"/>
      <c r="N25" s="648"/>
      <c r="O25" s="433"/>
      <c r="P25" s="433"/>
      <c r="Q25" s="433"/>
      <c r="R25" s="433"/>
      <c r="S25" s="433"/>
      <c r="T25" s="433"/>
      <c r="U25" s="433"/>
    </row>
    <row r="26" spans="1:21" ht="18" customHeight="1" x14ac:dyDescent="0.25">
      <c r="A26" s="642"/>
      <c r="B26" s="647"/>
      <c r="C26" s="394" t="s">
        <v>63</v>
      </c>
      <c r="D26" s="448"/>
      <c r="E26" s="433"/>
      <c r="F26" s="433"/>
      <c r="G26" s="433"/>
      <c r="H26" s="644" t="s">
        <v>64</v>
      </c>
      <c r="I26" s="393"/>
      <c r="J26" s="645"/>
      <c r="K26" s="433"/>
      <c r="L26" s="644" t="s">
        <v>64</v>
      </c>
      <c r="M26" s="393"/>
      <c r="N26" s="394"/>
      <c r="O26" s="645"/>
      <c r="P26" s="433"/>
      <c r="Q26" s="433"/>
      <c r="R26" s="433"/>
      <c r="S26" s="433"/>
      <c r="T26" s="433"/>
      <c r="U26" s="433"/>
    </row>
    <row r="27" spans="1:21" ht="18" customHeight="1" x14ac:dyDescent="0.25">
      <c r="A27" s="433"/>
      <c r="B27" s="652"/>
      <c r="C27" s="2731"/>
      <c r="D27" s="2732"/>
      <c r="E27" s="2732"/>
      <c r="F27" s="306" t="s">
        <v>194</v>
      </c>
      <c r="G27" s="433"/>
      <c r="H27" s="2733" t="s">
        <v>490</v>
      </c>
      <c r="I27" s="2713"/>
      <c r="J27" s="2713"/>
      <c r="K27" s="433"/>
      <c r="L27" s="2730"/>
      <c r="M27" s="2701"/>
      <c r="N27" s="2701"/>
      <c r="O27" s="453" t="s">
        <v>240</v>
      </c>
      <c r="P27" s="433"/>
      <c r="Q27" s="433"/>
      <c r="R27" s="433"/>
      <c r="S27" s="433"/>
      <c r="T27" s="433"/>
      <c r="U27" s="433"/>
    </row>
    <row r="28" spans="1:21" ht="18" customHeight="1" x14ac:dyDescent="0.25">
      <c r="A28" s="433"/>
      <c r="B28" s="433"/>
      <c r="C28" s="2727" t="s">
        <v>694</v>
      </c>
      <c r="D28" s="2728"/>
      <c r="E28" s="2728"/>
      <c r="F28" s="1484">
        <f>((0.54+0.09)/2.5)*100*1*90%</f>
        <v>22.68</v>
      </c>
      <c r="G28" s="433"/>
      <c r="H28" s="200" t="s">
        <v>176</v>
      </c>
      <c r="I28" s="200" t="s">
        <v>118</v>
      </c>
      <c r="J28" s="200" t="s">
        <v>88</v>
      </c>
      <c r="K28" s="433"/>
      <c r="L28" s="109"/>
      <c r="M28" s="217"/>
      <c r="N28" s="109" t="s">
        <v>491</v>
      </c>
      <c r="O28" s="1376">
        <v>16.8</v>
      </c>
      <c r="P28" s="433"/>
      <c r="Q28" s="433"/>
      <c r="R28" s="433"/>
      <c r="S28" s="433"/>
      <c r="T28" s="433"/>
      <c r="U28" s="433"/>
    </row>
    <row r="29" spans="1:21" ht="18" customHeight="1" x14ac:dyDescent="0.25">
      <c r="A29" s="433"/>
      <c r="B29" s="433"/>
      <c r="C29" s="2727" t="s">
        <v>195</v>
      </c>
      <c r="D29" s="2728"/>
      <c r="E29" s="2728"/>
      <c r="F29" s="199">
        <v>20</v>
      </c>
      <c r="G29" s="433"/>
      <c r="H29" s="199">
        <v>50</v>
      </c>
      <c r="I29" s="199">
        <v>30</v>
      </c>
      <c r="J29" s="199">
        <v>10</v>
      </c>
      <c r="K29" s="433"/>
      <c r="L29" s="2729" t="s">
        <v>492</v>
      </c>
      <c r="M29" s="2724"/>
      <c r="N29" s="2724"/>
      <c r="O29" s="1376">
        <v>35</v>
      </c>
      <c r="P29" s="433"/>
      <c r="Q29" s="433"/>
      <c r="R29" s="433"/>
      <c r="S29" s="433"/>
      <c r="T29" s="433"/>
      <c r="U29" s="433"/>
    </row>
    <row r="30" spans="1:21" ht="18" customHeight="1" x14ac:dyDescent="0.25">
      <c r="A30" s="433"/>
      <c r="B30" s="433"/>
      <c r="C30" s="2727" t="s">
        <v>158</v>
      </c>
      <c r="D30" s="2728"/>
      <c r="E30" s="2728"/>
      <c r="F30" s="199">
        <v>90</v>
      </c>
      <c r="G30" s="433"/>
      <c r="H30" s="158"/>
      <c r="I30" s="198"/>
      <c r="J30" s="158"/>
      <c r="K30" s="433"/>
      <c r="L30" s="2729" t="s">
        <v>695</v>
      </c>
      <c r="M30" s="2724"/>
      <c r="N30" s="2724"/>
      <c r="O30" s="1377">
        <v>60</v>
      </c>
      <c r="P30" s="433"/>
      <c r="Q30" s="433"/>
      <c r="R30" s="433"/>
      <c r="S30" s="433"/>
      <c r="T30" s="433"/>
      <c r="U30" s="433"/>
    </row>
    <row r="31" spans="1:21" ht="18" customHeight="1" x14ac:dyDescent="0.25">
      <c r="A31" s="433"/>
      <c r="B31" s="433"/>
      <c r="C31" s="649"/>
      <c r="D31" s="649"/>
      <c r="E31" s="649"/>
      <c r="F31" s="650"/>
      <c r="G31" s="433"/>
      <c r="H31" s="433"/>
      <c r="I31" s="433"/>
      <c r="J31" s="433"/>
      <c r="K31" s="433"/>
      <c r="L31" s="651"/>
      <c r="M31" s="651"/>
      <c r="N31" s="651"/>
      <c r="O31" s="648"/>
      <c r="P31" s="433"/>
      <c r="Q31" s="433"/>
      <c r="R31" s="433"/>
      <c r="S31" s="433"/>
      <c r="T31" s="433"/>
      <c r="U31" s="433"/>
    </row>
    <row r="32" spans="1:21" ht="18" customHeight="1" x14ac:dyDescent="0.25">
      <c r="A32" s="433"/>
      <c r="B32" s="647"/>
      <c r="C32" s="394" t="s">
        <v>196</v>
      </c>
      <c r="D32" s="393"/>
      <c r="E32" s="393"/>
      <c r="F32" s="393"/>
      <c r="G32" s="393"/>
      <c r="H32" s="393"/>
      <c r="I32" s="393"/>
      <c r="J32" s="393"/>
      <c r="K32" s="393"/>
      <c r="L32" s="393"/>
      <c r="M32" s="393"/>
      <c r="N32" s="448"/>
      <c r="O32" s="433"/>
      <c r="P32" s="433"/>
      <c r="Q32" s="433"/>
      <c r="R32" s="433"/>
      <c r="S32" s="433"/>
      <c r="T32" s="433"/>
      <c r="U32" s="433"/>
    </row>
    <row r="33" spans="1:21" ht="18" customHeight="1" x14ac:dyDescent="0.25">
      <c r="A33" s="433"/>
      <c r="B33" s="2725"/>
      <c r="C33" s="2726"/>
      <c r="D33" s="2726"/>
      <c r="E33" s="2675" t="s">
        <v>197</v>
      </c>
      <c r="F33" s="2713"/>
      <c r="G33" s="2713"/>
      <c r="H33" s="2713"/>
      <c r="I33" s="2713"/>
      <c r="J33" s="2713"/>
      <c r="K33" s="2713"/>
      <c r="L33" s="2713"/>
      <c r="M33" s="2713"/>
      <c r="N33" s="2713"/>
      <c r="O33" s="433"/>
      <c r="P33" s="433"/>
      <c r="Q33" s="433"/>
      <c r="R33" s="433"/>
      <c r="S33" s="433"/>
      <c r="T33" s="433"/>
      <c r="U33" s="433"/>
    </row>
    <row r="34" spans="1:21" ht="18" customHeight="1" x14ac:dyDescent="0.25">
      <c r="A34" s="433"/>
      <c r="B34" s="2726"/>
      <c r="C34" s="2726"/>
      <c r="D34" s="2726"/>
      <c r="E34" s="2675" t="s">
        <v>25</v>
      </c>
      <c r="F34" s="2713"/>
      <c r="G34" s="2690" t="s">
        <v>49</v>
      </c>
      <c r="H34" s="2675" t="s">
        <v>426</v>
      </c>
      <c r="I34" s="2713"/>
      <c r="J34" s="2675" t="s">
        <v>427</v>
      </c>
      <c r="K34" s="2675" t="s">
        <v>51</v>
      </c>
      <c r="L34" s="2713"/>
      <c r="M34" s="2675" t="s">
        <v>428</v>
      </c>
      <c r="N34" s="2713"/>
      <c r="O34" s="433"/>
      <c r="P34" s="433"/>
      <c r="Q34" s="433"/>
      <c r="R34" s="433"/>
      <c r="S34" s="433"/>
      <c r="T34" s="433"/>
      <c r="U34" s="433"/>
    </row>
    <row r="35" spans="1:21" ht="18" customHeight="1" x14ac:dyDescent="0.25">
      <c r="A35" s="433"/>
      <c r="B35" s="2726"/>
      <c r="C35" s="2726"/>
      <c r="D35" s="2726"/>
      <c r="E35" s="441" t="s">
        <v>53</v>
      </c>
      <c r="F35" s="441" t="s">
        <v>430</v>
      </c>
      <c r="G35" s="2713"/>
      <c r="H35" s="441" t="s">
        <v>55</v>
      </c>
      <c r="I35" s="441" t="s">
        <v>56</v>
      </c>
      <c r="J35" s="2713"/>
      <c r="K35" s="441" t="s">
        <v>57</v>
      </c>
      <c r="L35" s="441" t="s">
        <v>461</v>
      </c>
      <c r="M35" s="441" t="s">
        <v>429</v>
      </c>
      <c r="N35" s="441" t="s">
        <v>460</v>
      </c>
      <c r="O35" s="433"/>
      <c r="P35" s="433"/>
      <c r="Q35" s="433"/>
      <c r="R35" s="433"/>
      <c r="S35" s="433"/>
      <c r="T35" s="433"/>
      <c r="U35" s="433"/>
    </row>
    <row r="36" spans="1:21" ht="18" customHeight="1" x14ac:dyDescent="0.25">
      <c r="A36" s="433"/>
      <c r="B36" s="2729" t="s">
        <v>431</v>
      </c>
      <c r="C36" s="2724"/>
      <c r="D36" s="2724"/>
      <c r="E36" s="201">
        <v>5.5</v>
      </c>
      <c r="F36" s="201">
        <v>3.7</v>
      </c>
      <c r="G36" s="201">
        <v>16.899999999999999</v>
      </c>
      <c r="H36" s="201">
        <v>25</v>
      </c>
      <c r="I36" s="201">
        <v>28</v>
      </c>
      <c r="J36" s="201">
        <v>0</v>
      </c>
      <c r="K36" s="201">
        <v>0</v>
      </c>
      <c r="L36" s="201">
        <v>0</v>
      </c>
      <c r="M36" s="201">
        <v>12.5</v>
      </c>
      <c r="N36" s="201">
        <v>0</v>
      </c>
      <c r="O36" s="433"/>
      <c r="P36" s="433"/>
      <c r="Q36" s="433"/>
      <c r="R36" s="433"/>
      <c r="S36" s="433"/>
      <c r="T36" s="433"/>
      <c r="U36" s="433"/>
    </row>
    <row r="37" spans="1:21" ht="18" customHeight="1" x14ac:dyDescent="0.25">
      <c r="A37" s="433"/>
      <c r="B37" s="2729" t="s">
        <v>696</v>
      </c>
      <c r="C37" s="2724"/>
      <c r="D37" s="2724"/>
      <c r="E37" s="201">
        <v>250</v>
      </c>
      <c r="F37" s="201">
        <v>250</v>
      </c>
      <c r="G37" s="201">
        <v>150</v>
      </c>
      <c r="H37" s="201">
        <v>0</v>
      </c>
      <c r="I37" s="201">
        <v>0</v>
      </c>
      <c r="J37" s="201">
        <v>0</v>
      </c>
      <c r="K37" s="201">
        <v>0</v>
      </c>
      <c r="L37" s="201">
        <v>0</v>
      </c>
      <c r="M37" s="201">
        <v>100</v>
      </c>
      <c r="N37" s="201">
        <v>0</v>
      </c>
      <c r="O37" s="433"/>
      <c r="P37" s="433"/>
      <c r="Q37" s="433"/>
      <c r="R37" s="433"/>
      <c r="S37" s="433"/>
      <c r="T37" s="433"/>
      <c r="U37" s="433"/>
    </row>
    <row r="38" spans="1:21" ht="18" customHeight="1" x14ac:dyDescent="0.25">
      <c r="A38" s="433"/>
      <c r="B38" s="2723" t="s">
        <v>741</v>
      </c>
      <c r="C38" s="2724"/>
      <c r="D38" s="2724"/>
      <c r="E38" s="202">
        <v>1.1100000000000001</v>
      </c>
      <c r="F38" s="202">
        <v>1.1100000000000001</v>
      </c>
      <c r="G38" s="202">
        <v>1.05</v>
      </c>
      <c r="H38" s="202">
        <v>1.04</v>
      </c>
      <c r="I38" s="202">
        <v>1.04</v>
      </c>
      <c r="J38" s="202">
        <v>0.51</v>
      </c>
      <c r="K38" s="202">
        <v>0.32</v>
      </c>
      <c r="L38" s="202">
        <v>0.93</v>
      </c>
      <c r="M38" s="202">
        <v>1.1100000000000001</v>
      </c>
      <c r="N38" s="202">
        <v>0.7</v>
      </c>
      <c r="O38" s="433"/>
      <c r="P38" s="433"/>
      <c r="Q38" s="433"/>
      <c r="R38" s="433"/>
      <c r="S38" s="433"/>
      <c r="T38" s="433"/>
      <c r="U38" s="433"/>
    </row>
    <row r="39" spans="1:21" ht="18" customHeight="1" x14ac:dyDescent="0.25">
      <c r="A39" s="433"/>
      <c r="B39" s="433"/>
      <c r="C39" s="433"/>
      <c r="D39" s="433" t="s">
        <v>432</v>
      </c>
      <c r="E39" s="433"/>
      <c r="F39" s="433"/>
      <c r="G39" s="433"/>
      <c r="H39" s="433"/>
      <c r="I39" s="433"/>
      <c r="J39" s="433"/>
      <c r="K39" s="433"/>
      <c r="L39" s="433"/>
      <c r="M39" s="433"/>
      <c r="N39" s="433"/>
      <c r="O39" s="433"/>
      <c r="P39" s="433"/>
      <c r="Q39" s="433"/>
      <c r="R39" s="433"/>
      <c r="S39" s="433"/>
      <c r="T39" s="433"/>
      <c r="U39" s="433"/>
    </row>
    <row r="40" spans="1:21" ht="18" customHeight="1" x14ac:dyDescent="0.25">
      <c r="A40" s="433"/>
      <c r="B40" s="433"/>
      <c r="C40" s="433"/>
      <c r="D40" s="433"/>
      <c r="E40" s="433"/>
      <c r="F40" s="433"/>
      <c r="G40" s="433"/>
      <c r="H40" s="433"/>
      <c r="I40" s="433"/>
      <c r="J40" s="433"/>
      <c r="K40" s="433"/>
      <c r="L40" s="433"/>
      <c r="M40" s="433"/>
      <c r="N40" s="433"/>
      <c r="O40" s="433"/>
      <c r="P40" s="433"/>
      <c r="Q40" s="433"/>
      <c r="R40" s="433"/>
      <c r="S40" s="433"/>
      <c r="T40" s="433"/>
      <c r="U40" s="433"/>
    </row>
    <row r="41" spans="1:21" ht="14.25" customHeight="1" x14ac:dyDescent="0.25">
      <c r="A41" s="433"/>
      <c r="B41" s="433"/>
      <c r="C41" s="433"/>
      <c r="D41" s="433"/>
      <c r="E41" s="433"/>
      <c r="F41" s="433"/>
      <c r="G41" s="433"/>
      <c r="H41" s="433"/>
      <c r="I41" s="433"/>
      <c r="J41" s="433"/>
      <c r="K41" s="433"/>
      <c r="L41" s="433"/>
      <c r="M41" s="433"/>
      <c r="N41" s="433"/>
      <c r="O41" s="433"/>
      <c r="P41" s="433"/>
      <c r="Q41" s="433"/>
      <c r="R41" s="433"/>
      <c r="S41" s="433"/>
      <c r="T41" s="433"/>
      <c r="U41" s="433"/>
    </row>
    <row r="42" spans="1:21" ht="14.25" customHeight="1" x14ac:dyDescent="0.25">
      <c r="A42" s="433"/>
      <c r="B42" s="433"/>
      <c r="C42" s="433"/>
      <c r="D42" s="433"/>
      <c r="E42" s="433"/>
      <c r="F42" s="433"/>
      <c r="G42" s="433"/>
      <c r="H42" s="433"/>
      <c r="I42" s="433"/>
      <c r="J42" s="433"/>
      <c r="K42" s="433"/>
      <c r="L42" s="433"/>
      <c r="M42" s="433"/>
      <c r="N42" s="433"/>
      <c r="O42" s="433"/>
      <c r="P42" s="433"/>
      <c r="Q42" s="433"/>
      <c r="R42" s="433"/>
      <c r="S42" s="433"/>
      <c r="T42" s="433"/>
      <c r="U42" s="433"/>
    </row>
    <row r="43" spans="1:21" ht="14.25" customHeight="1" x14ac:dyDescent="0.25">
      <c r="A43" s="433"/>
      <c r="B43" s="433"/>
      <c r="C43" s="433"/>
      <c r="D43" s="433"/>
      <c r="E43" s="433"/>
      <c r="F43" s="433"/>
      <c r="G43" s="433"/>
      <c r="H43" s="433"/>
      <c r="I43" s="433"/>
      <c r="J43" s="433"/>
      <c r="K43" s="433"/>
      <c r="L43" s="433"/>
      <c r="M43" s="433"/>
      <c r="N43" s="433"/>
      <c r="O43" s="433"/>
      <c r="P43" s="433"/>
      <c r="Q43" s="433"/>
      <c r="R43" s="433"/>
      <c r="S43" s="433"/>
      <c r="T43" s="433"/>
      <c r="U43" s="433"/>
    </row>
    <row r="44" spans="1:21" ht="14.25" customHeight="1" x14ac:dyDescent="0.25">
      <c r="A44" s="433"/>
      <c r="B44" s="433"/>
      <c r="C44" s="433"/>
      <c r="D44" s="433"/>
      <c r="E44" s="433"/>
      <c r="F44" s="433"/>
      <c r="G44" s="433"/>
      <c r="H44" s="433"/>
      <c r="I44" s="433"/>
      <c r="J44" s="433"/>
      <c r="K44" s="433"/>
      <c r="L44" s="433"/>
      <c r="M44" s="433"/>
      <c r="N44" s="433"/>
      <c r="O44" s="433"/>
      <c r="P44" s="433"/>
      <c r="Q44" s="433"/>
      <c r="R44" s="433"/>
      <c r="S44" s="433"/>
      <c r="T44" s="433"/>
      <c r="U44" s="433"/>
    </row>
    <row r="45" spans="1:21" ht="14.25" customHeight="1" x14ac:dyDescent="0.25">
      <c r="A45" s="433"/>
      <c r="B45" s="433"/>
      <c r="C45" s="433"/>
      <c r="D45" s="433"/>
      <c r="E45" s="433"/>
      <c r="F45" s="433"/>
      <c r="G45" s="433"/>
      <c r="H45" s="433"/>
      <c r="I45" s="433"/>
      <c r="J45" s="433"/>
      <c r="K45" s="433"/>
      <c r="L45" s="433"/>
      <c r="M45" s="433"/>
      <c r="N45" s="433"/>
      <c r="O45" s="433"/>
      <c r="P45" s="433"/>
      <c r="Q45" s="433"/>
      <c r="R45" s="433"/>
      <c r="S45" s="433"/>
      <c r="T45" s="433"/>
      <c r="U45" s="433"/>
    </row>
    <row r="46" spans="1:21" ht="14.25" customHeight="1" x14ac:dyDescent="0.25">
      <c r="A46" s="433"/>
      <c r="B46" s="433"/>
      <c r="C46" s="433"/>
      <c r="D46" s="433"/>
      <c r="E46" s="433"/>
      <c r="F46" s="433"/>
      <c r="G46" s="433"/>
      <c r="H46" s="433"/>
      <c r="I46" s="433"/>
      <c r="J46" s="433"/>
      <c r="K46" s="433"/>
      <c r="L46" s="433"/>
      <c r="M46" s="433"/>
      <c r="N46" s="433"/>
      <c r="O46" s="433"/>
      <c r="P46" s="433"/>
      <c r="Q46" s="433"/>
    </row>
    <row r="47" spans="1:21" ht="14.25" customHeight="1" x14ac:dyDescent="0.25">
      <c r="A47" s="433"/>
      <c r="B47" s="433"/>
      <c r="C47" s="433"/>
      <c r="D47" s="433"/>
      <c r="E47" s="433"/>
      <c r="F47" s="433"/>
      <c r="G47" s="433"/>
      <c r="H47" s="433"/>
      <c r="I47" s="433"/>
      <c r="J47" s="433"/>
      <c r="K47" s="433"/>
      <c r="L47" s="433"/>
      <c r="M47" s="433"/>
      <c r="N47" s="433"/>
      <c r="O47" s="433"/>
      <c r="P47" s="433"/>
      <c r="Q47" s="433"/>
    </row>
    <row r="48" spans="1:21" ht="14.25" customHeight="1" x14ac:dyDescent="0.25">
      <c r="A48" s="433"/>
      <c r="B48" s="433"/>
      <c r="C48" s="433"/>
      <c r="D48" s="433"/>
      <c r="E48" s="433"/>
      <c r="F48" s="433"/>
      <c r="G48" s="433"/>
      <c r="H48" s="433"/>
      <c r="I48" s="433"/>
      <c r="J48" s="433"/>
      <c r="K48" s="433"/>
      <c r="L48" s="433"/>
      <c r="M48" s="433"/>
      <c r="N48" s="433"/>
      <c r="O48" s="433"/>
      <c r="P48" s="433"/>
      <c r="Q48" s="433"/>
    </row>
    <row r="49" spans="1:17" ht="14.25" customHeight="1" x14ac:dyDescent="0.25">
      <c r="A49" s="433"/>
      <c r="B49" s="433"/>
      <c r="C49" s="433"/>
      <c r="D49" s="433"/>
      <c r="E49" s="433"/>
      <c r="F49" s="433"/>
      <c r="G49" s="433"/>
      <c r="H49" s="433"/>
      <c r="I49" s="433"/>
      <c r="J49" s="433"/>
      <c r="K49" s="433"/>
      <c r="L49" s="433"/>
      <c r="M49" s="433"/>
      <c r="N49" s="433"/>
      <c r="O49" s="433"/>
      <c r="P49" s="433"/>
      <c r="Q49" s="433"/>
    </row>
    <row r="50" spans="1:17" ht="14.25" customHeight="1" x14ac:dyDescent="0.25">
      <c r="A50" s="433"/>
      <c r="B50" s="433"/>
      <c r="C50" s="433"/>
      <c r="D50" s="433"/>
      <c r="E50" s="433"/>
      <c r="F50" s="433"/>
      <c r="G50" s="433"/>
      <c r="H50" s="433"/>
      <c r="I50" s="433"/>
      <c r="J50" s="433"/>
      <c r="K50" s="433"/>
      <c r="L50" s="433"/>
      <c r="M50" s="433"/>
      <c r="N50" s="433"/>
      <c r="O50" s="433"/>
      <c r="P50" s="433"/>
      <c r="Q50" s="433"/>
    </row>
    <row r="51" spans="1:17" ht="14.25" customHeight="1" x14ac:dyDescent="0.25">
      <c r="A51" s="433"/>
      <c r="B51" s="433"/>
      <c r="C51" s="433"/>
      <c r="D51" s="433"/>
      <c r="E51" s="433"/>
      <c r="F51" s="433"/>
      <c r="G51" s="433"/>
      <c r="H51" s="433"/>
      <c r="I51" s="433"/>
      <c r="J51" s="433"/>
      <c r="K51" s="433"/>
      <c r="L51" s="433"/>
      <c r="M51" s="433"/>
      <c r="N51" s="433"/>
      <c r="O51" s="433"/>
      <c r="P51" s="433"/>
      <c r="Q51" s="433"/>
    </row>
    <row r="52" spans="1:17" ht="14.25" customHeight="1" x14ac:dyDescent="0.25">
      <c r="A52" s="433"/>
      <c r="B52" s="433"/>
      <c r="C52" s="433"/>
      <c r="D52" s="433"/>
      <c r="E52" s="433"/>
      <c r="F52" s="433"/>
      <c r="G52" s="433"/>
      <c r="H52" s="433"/>
      <c r="I52" s="433"/>
      <c r="J52" s="433"/>
      <c r="K52" s="433"/>
      <c r="L52" s="433"/>
      <c r="M52" s="433"/>
      <c r="N52" s="433"/>
      <c r="O52" s="433"/>
      <c r="P52" s="433"/>
      <c r="Q52" s="433"/>
    </row>
    <row r="53" spans="1:17" ht="14.25" customHeight="1" x14ac:dyDescent="0.25"/>
    <row r="54" spans="1:17" ht="14.25" customHeight="1" x14ac:dyDescent="0.25"/>
    <row r="55" spans="1:17" ht="14.25" customHeight="1" x14ac:dyDescent="0.25"/>
    <row r="56" spans="1:17" ht="14.25" customHeight="1" x14ac:dyDescent="0.25"/>
    <row r="57" spans="1:17" ht="14.25" customHeight="1" x14ac:dyDescent="0.25"/>
    <row r="58" spans="1:17" ht="14.25" customHeight="1" x14ac:dyDescent="0.25"/>
    <row r="59" spans="1:17" ht="14.25" customHeight="1" x14ac:dyDescent="0.25"/>
    <row r="60" spans="1:17" ht="14.25" customHeight="1" x14ac:dyDescent="0.25"/>
    <row r="61" spans="1:17" ht="14.25" customHeight="1" x14ac:dyDescent="0.25"/>
    <row r="62" spans="1:17" ht="14.25" customHeight="1" x14ac:dyDescent="0.25"/>
    <row r="63" spans="1:17" ht="14.25" customHeight="1" x14ac:dyDescent="0.25"/>
    <row r="64" spans="1:17" ht="14.25" customHeight="1" x14ac:dyDescent="0.25"/>
    <row r="65" ht="14.25" customHeight="1" x14ac:dyDescent="0.25"/>
    <row r="66" ht="14.25" customHeight="1" x14ac:dyDescent="0.25"/>
    <row r="67" ht="14.25" customHeight="1" x14ac:dyDescent="0.25"/>
    <row r="68" ht="14.25" customHeight="1" x14ac:dyDescent="0.25"/>
    <row r="69" ht="14.25" customHeight="1" x14ac:dyDescent="0.25"/>
    <row r="70" ht="14.25" customHeight="1" x14ac:dyDescent="0.25"/>
    <row r="71" ht="14.25" customHeight="1" x14ac:dyDescent="0.25"/>
    <row r="72" ht="14.25" customHeight="1" x14ac:dyDescent="0.25"/>
    <row r="73" ht="14.25" customHeight="1" x14ac:dyDescent="0.25"/>
    <row r="74" ht="14.25" customHeight="1" x14ac:dyDescent="0.25"/>
    <row r="75" ht="14.25" customHeight="1" x14ac:dyDescent="0.25"/>
    <row r="76" ht="14.25" customHeight="1" x14ac:dyDescent="0.25"/>
    <row r="77" ht="14.25" customHeight="1" x14ac:dyDescent="0.25"/>
    <row r="78" ht="14.25" customHeight="1" x14ac:dyDescent="0.25"/>
    <row r="79" ht="14.25" customHeight="1" x14ac:dyDescent="0.25"/>
    <row r="80" ht="14.25" customHeight="1" x14ac:dyDescent="0.25"/>
    <row r="81" ht="14.25" customHeight="1" x14ac:dyDescent="0.25"/>
    <row r="82" ht="14.25" customHeight="1" x14ac:dyDescent="0.25"/>
    <row r="83" ht="14.25" customHeight="1" x14ac:dyDescent="0.25"/>
    <row r="84" ht="14.25" customHeight="1" x14ac:dyDescent="0.25"/>
    <row r="85" ht="14.25" customHeight="1" x14ac:dyDescent="0.25"/>
    <row r="86" ht="14.25" customHeight="1" x14ac:dyDescent="0.25"/>
    <row r="87" ht="14.25" customHeight="1" x14ac:dyDescent="0.25"/>
    <row r="88" ht="14.25" customHeight="1" x14ac:dyDescent="0.25"/>
    <row r="89" ht="14.25" customHeight="1" x14ac:dyDescent="0.25"/>
    <row r="90" ht="14.25" customHeight="1" x14ac:dyDescent="0.25"/>
    <row r="91" ht="14.25" customHeight="1" x14ac:dyDescent="0.25"/>
    <row r="92" ht="14.25" customHeight="1" x14ac:dyDescent="0.25"/>
    <row r="93" ht="14.25" customHeight="1" x14ac:dyDescent="0.25"/>
    <row r="94" ht="14.25" customHeight="1" x14ac:dyDescent="0.25"/>
    <row r="95" ht="14.25" customHeight="1" x14ac:dyDescent="0.25"/>
    <row r="96" ht="14.25" customHeight="1" x14ac:dyDescent="0.25"/>
    <row r="97" ht="14.25" customHeight="1" x14ac:dyDescent="0.25"/>
    <row r="98" ht="14.25" customHeight="1" x14ac:dyDescent="0.25"/>
    <row r="99" ht="14.25" customHeight="1" x14ac:dyDescent="0.25"/>
    <row r="100" ht="14.25" customHeight="1" x14ac:dyDescent="0.25"/>
    <row r="101" ht="14.25" customHeight="1" x14ac:dyDescent="0.25"/>
    <row r="102" ht="14.25" customHeight="1" x14ac:dyDescent="0.25"/>
  </sheetData>
  <mergeCells count="37">
    <mergeCell ref="D9:D10"/>
    <mergeCell ref="D17:D18"/>
    <mergeCell ref="L17:M18"/>
    <mergeCell ref="I17:J17"/>
    <mergeCell ref="D24:E24"/>
    <mergeCell ref="H17:H18"/>
    <mergeCell ref="H27:J27"/>
    <mergeCell ref="F9:H9"/>
    <mergeCell ref="M8:M10"/>
    <mergeCell ref="J11:K11"/>
    <mergeCell ref="J12:K12"/>
    <mergeCell ref="L8:L10"/>
    <mergeCell ref="J8:K10"/>
    <mergeCell ref="E8:H8"/>
    <mergeCell ref="K34:L34"/>
    <mergeCell ref="L29:N29"/>
    <mergeCell ref="E33:N33"/>
    <mergeCell ref="C30:E30"/>
    <mergeCell ref="L30:N30"/>
    <mergeCell ref="H34:I34"/>
    <mergeCell ref="J34:J35"/>
    <mergeCell ref="D2:E2"/>
    <mergeCell ref="D3:E3"/>
    <mergeCell ref="N5:O5"/>
    <mergeCell ref="N6:O6"/>
    <mergeCell ref="B38:D38"/>
    <mergeCell ref="B33:D35"/>
    <mergeCell ref="C28:E28"/>
    <mergeCell ref="C29:E29"/>
    <mergeCell ref="B36:D36"/>
    <mergeCell ref="B37:D37"/>
    <mergeCell ref="L27:N27"/>
    <mergeCell ref="C27:E27"/>
    <mergeCell ref="D23:E23"/>
    <mergeCell ref="M34:N34"/>
    <mergeCell ref="E34:F34"/>
    <mergeCell ref="G34:G35"/>
  </mergeCells>
  <conditionalFormatting sqref="F28:F29">
    <cfRule type="expression" dxfId="575" priority="1">
      <formula>$G$98&gt;0</formula>
    </cfRule>
  </conditionalFormatting>
  <conditionalFormatting sqref="F30">
    <cfRule type="expression" dxfId="574" priority="2">
      <formula>$F$114&gt;0</formula>
    </cfRule>
  </conditionalFormatting>
  <conditionalFormatting sqref="H28:J29">
    <cfRule type="expression" dxfId="573" priority="3">
      <formula>$G$98&gt;0</formula>
    </cfRule>
  </conditionalFormatting>
  <conditionalFormatting sqref="O28:O29">
    <cfRule type="expression" dxfId="572" priority="4">
      <formula>$G$98&gt;0</formula>
    </cfRule>
  </conditionalFormatting>
  <conditionalFormatting sqref="I30">
    <cfRule type="expression" dxfId="571" priority="5">
      <formula>$G$98&gt;0</formula>
    </cfRule>
  </conditionalFormatting>
  <pageMargins left="0.511811024" right="0.511811024" top="0.78740157499999996" bottom="0.78740157499999996" header="0" footer="0"/>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9"/>
  <dimension ref="B1:BQ100"/>
  <sheetViews>
    <sheetView showGridLines="0" topLeftCell="A10" zoomScale="80" zoomScaleNormal="80" workbookViewId="0">
      <selection activeCell="AO37" sqref="AO37"/>
    </sheetView>
  </sheetViews>
  <sheetFormatPr defaultColWidth="14.42578125" defaultRowHeight="15" customHeight="1" x14ac:dyDescent="0.25"/>
  <cols>
    <col min="1" max="1" width="1.42578125" customWidth="1"/>
    <col min="2" max="2" width="1" customWidth="1"/>
    <col min="3" max="3" width="8.42578125" customWidth="1"/>
    <col min="4" max="4" width="0.42578125" customWidth="1"/>
    <col min="5" max="5" width="1.85546875" customWidth="1"/>
    <col min="6" max="6" width="8.42578125" customWidth="1"/>
    <col min="7" max="7" width="3.42578125" customWidth="1"/>
    <col min="8" max="8" width="5.7109375" customWidth="1"/>
    <col min="9" max="9" width="4.28515625" customWidth="1"/>
    <col min="10" max="10" width="4.7109375" customWidth="1"/>
    <col min="11" max="11" width="0.42578125" customWidth="1"/>
    <col min="12" max="12" width="1.42578125" customWidth="1"/>
    <col min="13" max="13" width="3" customWidth="1"/>
    <col min="14" max="14" width="8.28515625" customWidth="1"/>
    <col min="15" max="15" width="1.42578125" customWidth="1"/>
    <col min="16" max="16" width="0.42578125" customWidth="1"/>
    <col min="17" max="17" width="6.28515625" customWidth="1"/>
    <col min="18" max="18" width="4.42578125" customWidth="1"/>
    <col min="19" max="19" width="0.7109375" customWidth="1"/>
    <col min="20" max="20" width="8.7109375" customWidth="1"/>
    <col min="21" max="21" width="0.7109375" customWidth="1"/>
    <col min="22" max="22" width="3.42578125" customWidth="1"/>
    <col min="23" max="23" width="4.7109375" customWidth="1"/>
    <col min="24" max="24" width="1.7109375" customWidth="1"/>
    <col min="25" max="25" width="4.42578125" customWidth="1"/>
    <col min="26" max="26" width="5" customWidth="1"/>
    <col min="27" max="27" width="4.28515625" customWidth="1"/>
    <col min="28" max="28" width="4" customWidth="1"/>
    <col min="29" max="29" width="2.42578125" customWidth="1"/>
    <col min="30" max="30" width="3.42578125" customWidth="1"/>
    <col min="31" max="31" width="5.28515625" customWidth="1"/>
    <col min="32" max="32" width="5.7109375" customWidth="1"/>
    <col min="33" max="33" width="2.42578125" customWidth="1"/>
    <col min="34" max="34" width="1.42578125" customWidth="1"/>
    <col min="35" max="35" width="2.42578125" customWidth="1"/>
    <col min="36" max="36" width="1.42578125" customWidth="1"/>
    <col min="37" max="37" width="6.7109375" customWidth="1"/>
    <col min="38" max="38" width="4" customWidth="1"/>
    <col min="39" max="39" width="5" customWidth="1"/>
    <col min="40" max="40" width="1.42578125" customWidth="1"/>
    <col min="41" max="41" width="12.28515625" customWidth="1"/>
    <col min="42" max="42" width="3.42578125" customWidth="1"/>
    <col min="43" max="43" width="11.7109375" customWidth="1"/>
    <col min="44" max="44" width="2.85546875" customWidth="1"/>
    <col min="45" max="45" width="10.28515625" customWidth="1"/>
    <col min="46" max="46" width="1.42578125" customWidth="1"/>
    <col min="47" max="53" width="8.42578125" customWidth="1"/>
  </cols>
  <sheetData>
    <row r="1" spans="2:69" s="152" customFormat="1" ht="24" customHeight="1" thickTop="1" x14ac:dyDescent="0.25">
      <c r="B1" s="2778" t="s">
        <v>744</v>
      </c>
      <c r="C1" s="2779"/>
      <c r="D1" s="2779"/>
      <c r="E1" s="2779"/>
      <c r="F1" s="2779"/>
      <c r="G1" s="2779"/>
      <c r="H1" s="2779"/>
      <c r="I1" s="2779"/>
      <c r="J1" s="2779"/>
      <c r="K1" s="2779"/>
      <c r="L1" s="2779"/>
      <c r="M1" s="2779"/>
      <c r="N1" s="2779"/>
      <c r="O1" s="2779"/>
      <c r="P1" s="2780"/>
      <c r="Q1" s="2780"/>
      <c r="R1" s="2765" t="s">
        <v>198</v>
      </c>
      <c r="S1" s="2766"/>
      <c r="T1" s="2766"/>
      <c r="U1" s="2766"/>
      <c r="V1" s="2771" t="str">
        <f>IF('R-Entrada'!D3&lt;&gt;0,'R-Entrada'!D3,"")</f>
        <v>Biodigestão c/ Prod. E. Elétrica</v>
      </c>
      <c r="W1" s="2772"/>
      <c r="X1" s="2772"/>
      <c r="Y1" s="2772"/>
      <c r="Z1" s="2772"/>
      <c r="AA1" s="2772"/>
      <c r="AB1" s="2773"/>
      <c r="AC1" s="2765" t="s">
        <v>4</v>
      </c>
      <c r="AD1" s="2766"/>
      <c r="AE1" s="2766"/>
      <c r="AF1" s="2766"/>
      <c r="AG1" s="2771" t="str">
        <f>IF('R-Entrada'!D2&lt;&gt;0,'R-Entrada'!D2,"")</f>
        <v>CIRSOP - Consórcio RSU Oeste Paulista</v>
      </c>
      <c r="AH1" s="2772"/>
      <c r="AI1" s="2772"/>
      <c r="AJ1" s="2772"/>
      <c r="AK1" s="2772"/>
      <c r="AL1" s="2772"/>
      <c r="AM1" s="2772"/>
      <c r="AN1" s="2772"/>
      <c r="AO1" s="2772"/>
      <c r="AP1" s="2772"/>
      <c r="AQ1" s="2772"/>
      <c r="AR1" s="2773"/>
      <c r="AS1" s="841" t="s">
        <v>738</v>
      </c>
      <c r="AT1" s="838"/>
      <c r="AV1" s="153"/>
    </row>
    <row r="2" spans="2:69" s="152" customFormat="1" ht="3" customHeight="1" x14ac:dyDescent="0.25">
      <c r="B2" s="2774"/>
      <c r="C2" s="2756"/>
      <c r="D2" s="2756"/>
      <c r="E2" s="2756"/>
      <c r="F2" s="2756"/>
      <c r="G2" s="2756"/>
      <c r="H2" s="2756"/>
      <c r="I2" s="2757"/>
      <c r="J2" s="154"/>
      <c r="K2" s="2769"/>
      <c r="L2" s="2756"/>
      <c r="M2" s="2756"/>
      <c r="N2" s="2756"/>
      <c r="O2" s="2756"/>
      <c r="P2" s="2756"/>
      <c r="Q2" s="2756"/>
      <c r="R2" s="2756"/>
      <c r="S2" s="2756"/>
      <c r="T2" s="2756"/>
      <c r="U2" s="2756"/>
      <c r="V2" s="2756"/>
      <c r="W2" s="2756"/>
      <c r="X2" s="2756"/>
      <c r="Y2" s="2756"/>
      <c r="Z2" s="2756"/>
      <c r="AA2" s="2756"/>
      <c r="AB2" s="2756"/>
      <c r="AC2" s="2756"/>
      <c r="AD2" s="2756"/>
      <c r="AE2" s="2756"/>
      <c r="AF2" s="2756"/>
      <c r="AG2" s="2756"/>
      <c r="AH2" s="2756"/>
      <c r="AI2" s="2756"/>
      <c r="AJ2" s="2757"/>
      <c r="AK2" s="2769"/>
      <c r="AL2" s="2756"/>
      <c r="AM2" s="2756"/>
      <c r="AN2" s="2756"/>
      <c r="AO2" s="2756"/>
      <c r="AP2" s="2756"/>
      <c r="AQ2" s="2756"/>
      <c r="AR2" s="2756"/>
      <c r="AS2" s="2756"/>
      <c r="AT2" s="2770"/>
      <c r="AU2" s="153"/>
    </row>
    <row r="3" spans="2:69" s="152" customFormat="1" ht="16.899999999999999" customHeight="1" x14ac:dyDescent="0.25">
      <c r="B3" s="155"/>
      <c r="C3" s="146">
        <f>'R-Entrada'!E14</f>
        <v>73.8</v>
      </c>
      <c r="D3" s="156"/>
      <c r="E3" s="2755" t="s">
        <v>199</v>
      </c>
      <c r="F3" s="2756"/>
      <c r="G3" s="2756"/>
      <c r="H3" s="2757"/>
      <c r="I3" s="156"/>
      <c r="J3" s="154"/>
      <c r="K3" s="156"/>
      <c r="L3" s="156"/>
      <c r="M3" s="154"/>
      <c r="N3" s="154"/>
      <c r="O3" s="154"/>
      <c r="P3" s="156"/>
      <c r="Q3" s="156"/>
      <c r="R3" s="156"/>
      <c r="S3" s="156"/>
      <c r="T3" s="156"/>
      <c r="U3" s="156"/>
      <c r="V3" s="156"/>
      <c r="W3" s="156"/>
      <c r="X3" s="156"/>
      <c r="Y3" s="156"/>
      <c r="Z3" s="156"/>
      <c r="AA3" s="156"/>
      <c r="AB3" s="156"/>
      <c r="AC3" s="156"/>
      <c r="AD3" s="156"/>
      <c r="AE3" s="156"/>
      <c r="AF3" s="156"/>
      <c r="AG3" s="156"/>
      <c r="AH3" s="156"/>
      <c r="AI3" s="156"/>
      <c r="AJ3" s="156"/>
      <c r="AK3" s="156"/>
      <c r="AL3" s="156"/>
      <c r="AM3" s="156"/>
      <c r="AN3" s="156"/>
      <c r="AO3" s="156"/>
      <c r="AP3" s="156"/>
      <c r="AQ3" s="156"/>
      <c r="AR3" s="156"/>
      <c r="AS3" s="156"/>
      <c r="AT3" s="157"/>
      <c r="AU3" s="153"/>
      <c r="AV3" s="158"/>
      <c r="AW3" s="158"/>
      <c r="AX3" s="158"/>
      <c r="AY3" s="158"/>
      <c r="AZ3" s="158"/>
      <c r="BA3" s="158"/>
    </row>
    <row r="4" spans="2:69" s="152" customFormat="1" ht="1.9" customHeight="1" x14ac:dyDescent="0.25">
      <c r="B4" s="155"/>
      <c r="C4" s="156"/>
      <c r="D4" s="156"/>
      <c r="E4" s="156"/>
      <c r="F4" s="156"/>
      <c r="G4" s="156"/>
      <c r="H4" s="156"/>
      <c r="I4" s="156"/>
      <c r="J4" s="154"/>
      <c r="K4" s="156"/>
      <c r="L4" s="156"/>
      <c r="M4" s="154"/>
      <c r="N4" s="154"/>
      <c r="O4" s="154"/>
      <c r="P4" s="156"/>
      <c r="Q4" s="156"/>
      <c r="R4" s="156"/>
      <c r="S4" s="156"/>
      <c r="T4" s="156"/>
      <c r="U4" s="156"/>
      <c r="V4" s="156"/>
      <c r="W4" s="156"/>
      <c r="X4" s="156"/>
      <c r="Y4" s="156"/>
      <c r="Z4" s="156"/>
      <c r="AA4" s="156"/>
      <c r="AB4" s="156"/>
      <c r="AC4" s="156"/>
      <c r="AD4" s="156"/>
      <c r="AE4" s="156"/>
      <c r="AF4" s="156"/>
      <c r="AG4" s="156"/>
      <c r="AH4" s="156"/>
      <c r="AI4" s="156"/>
      <c r="AJ4" s="156"/>
      <c r="AK4" s="156"/>
      <c r="AL4" s="156"/>
      <c r="AM4" s="156"/>
      <c r="AN4" s="156"/>
      <c r="AO4" s="156"/>
      <c r="AP4" s="156"/>
      <c r="AQ4" s="156"/>
      <c r="AR4" s="156"/>
      <c r="AS4" s="156"/>
      <c r="AT4" s="157"/>
      <c r="AU4" s="153"/>
      <c r="AV4" s="158"/>
      <c r="AW4" s="158"/>
      <c r="AX4" s="158"/>
      <c r="AY4" s="158"/>
      <c r="AZ4" s="158"/>
      <c r="BA4" s="158"/>
    </row>
    <row r="5" spans="2:69" s="152" customFormat="1" ht="16.899999999999999" customHeight="1" x14ac:dyDescent="0.25">
      <c r="B5" s="159"/>
      <c r="C5" s="146">
        <f>'R-Entrada'!E44</f>
        <v>0</v>
      </c>
      <c r="D5" s="154"/>
      <c r="E5" s="2755" t="s">
        <v>200</v>
      </c>
      <c r="F5" s="2756"/>
      <c r="G5" s="2756"/>
      <c r="H5" s="2757"/>
      <c r="I5" s="154"/>
      <c r="J5" s="154"/>
      <c r="K5" s="154"/>
      <c r="L5" s="154"/>
      <c r="M5" s="154"/>
      <c r="N5" s="154"/>
      <c r="O5" s="154"/>
      <c r="P5" s="154"/>
      <c r="Q5" s="154"/>
      <c r="R5" s="154"/>
      <c r="S5" s="154"/>
      <c r="T5" s="154"/>
      <c r="U5" s="154"/>
      <c r="V5" s="154"/>
      <c r="W5" s="154"/>
      <c r="X5" s="154"/>
      <c r="Y5" s="154"/>
      <c r="Z5" s="154"/>
      <c r="AA5" s="154"/>
      <c r="AB5" s="2775" t="s">
        <v>424</v>
      </c>
      <c r="AC5" s="2717"/>
      <c r="AD5" s="2717"/>
      <c r="AE5" s="2717"/>
      <c r="AF5" s="2717"/>
      <c r="AG5" s="2717"/>
      <c r="AH5" s="2717"/>
      <c r="AI5" s="2717"/>
      <c r="AJ5" s="2717"/>
      <c r="AK5" s="2717"/>
      <c r="AL5" s="154"/>
      <c r="AM5" s="154"/>
      <c r="AN5" s="154"/>
      <c r="AO5" s="154"/>
      <c r="AP5" s="154"/>
      <c r="AQ5" s="154"/>
      <c r="AR5" s="154"/>
      <c r="AS5" s="154"/>
      <c r="AT5" s="160"/>
      <c r="AU5" s="153"/>
      <c r="AV5" s="158"/>
      <c r="AW5" s="158"/>
      <c r="AX5" s="158"/>
      <c r="AY5" s="158"/>
      <c r="AZ5" s="158"/>
      <c r="BA5" s="158"/>
    </row>
    <row r="6" spans="2:69" s="152" customFormat="1" ht="1.9" customHeight="1" x14ac:dyDescent="0.25">
      <c r="B6" s="159"/>
      <c r="C6" s="154"/>
      <c r="D6" s="154"/>
      <c r="E6" s="154"/>
      <c r="F6" s="154"/>
      <c r="G6" s="154"/>
      <c r="H6" s="154"/>
      <c r="I6" s="154"/>
      <c r="J6" s="154"/>
      <c r="K6" s="154"/>
      <c r="L6" s="154"/>
      <c r="M6" s="154"/>
      <c r="N6" s="154"/>
      <c r="O6" s="154"/>
      <c r="P6" s="154"/>
      <c r="Q6" s="154"/>
      <c r="R6" s="154"/>
      <c r="S6" s="154"/>
      <c r="T6" s="154"/>
      <c r="U6" s="154"/>
      <c r="V6" s="154"/>
      <c r="W6" s="154"/>
      <c r="X6" s="154"/>
      <c r="Y6" s="154"/>
      <c r="Z6" s="154"/>
      <c r="AA6" s="154"/>
      <c r="AB6" s="777"/>
      <c r="AC6" s="777"/>
      <c r="AD6" s="777"/>
      <c r="AE6" s="777"/>
      <c r="AF6" s="777"/>
      <c r="AG6" s="777"/>
      <c r="AH6" s="777"/>
      <c r="AI6" s="777"/>
      <c r="AJ6" s="777"/>
      <c r="AK6" s="777"/>
      <c r="AL6" s="154"/>
      <c r="AM6" s="154"/>
      <c r="AN6" s="154"/>
      <c r="AO6" s="154"/>
      <c r="AP6" s="154"/>
      <c r="AQ6" s="154"/>
      <c r="AR6" s="154"/>
      <c r="AS6" s="154"/>
      <c r="AT6" s="160"/>
      <c r="AU6" s="153"/>
      <c r="AV6" s="161"/>
      <c r="AW6" s="162"/>
      <c r="AX6" s="158"/>
      <c r="AY6" s="158"/>
      <c r="AZ6" s="158"/>
      <c r="BA6" s="158"/>
    </row>
    <row r="7" spans="2:69" s="152" customFormat="1" ht="16.899999999999999" customHeight="1" x14ac:dyDescent="0.2">
      <c r="B7" s="159"/>
      <c r="C7" s="146">
        <f>'R-Entrada'!E45</f>
        <v>0</v>
      </c>
      <c r="D7" s="154"/>
      <c r="E7" s="2755" t="s">
        <v>58</v>
      </c>
      <c r="F7" s="2756"/>
      <c r="G7" s="2756"/>
      <c r="H7" s="2757"/>
      <c r="I7" s="154"/>
      <c r="J7" s="154"/>
      <c r="K7" s="154"/>
      <c r="L7" s="154"/>
      <c r="M7" s="154"/>
      <c r="N7" s="154"/>
      <c r="O7" s="154"/>
      <c r="P7" s="154"/>
      <c r="Q7" s="154"/>
      <c r="R7" s="154"/>
      <c r="S7" s="154"/>
      <c r="T7" s="154"/>
      <c r="U7" s="154"/>
      <c r="V7" s="154"/>
      <c r="W7" s="154"/>
      <c r="X7" s="154"/>
      <c r="Y7" s="154"/>
      <c r="Z7" s="154"/>
      <c r="AA7" s="154"/>
      <c r="AB7" s="2776" t="str">
        <f>Apresentação!I2</f>
        <v>RC-RSU V.1.0 - 15/10/2020</v>
      </c>
      <c r="AC7" s="2777"/>
      <c r="AD7" s="2777"/>
      <c r="AE7" s="2777"/>
      <c r="AF7" s="2777"/>
      <c r="AG7" s="2777"/>
      <c r="AH7" s="2777"/>
      <c r="AI7" s="2777"/>
      <c r="AJ7" s="2777"/>
      <c r="AK7" s="2777"/>
      <c r="AL7" s="154"/>
      <c r="AM7" s="154"/>
      <c r="AN7" s="154"/>
      <c r="AO7" s="154"/>
      <c r="AP7" s="154"/>
      <c r="AQ7" s="154"/>
      <c r="AR7" s="154"/>
      <c r="AS7" s="154"/>
      <c r="AT7" s="160"/>
      <c r="AU7" s="153"/>
      <c r="AV7" s="161"/>
      <c r="AW7" s="162"/>
      <c r="AX7" s="158"/>
      <c r="AY7" s="158"/>
      <c r="AZ7" s="158"/>
      <c r="BA7" s="158"/>
      <c r="BB7" s="158"/>
      <c r="BC7" s="158"/>
      <c r="BD7" s="158"/>
      <c r="BE7" s="158"/>
      <c r="BF7" s="158"/>
      <c r="BG7" s="158"/>
      <c r="BH7" s="158"/>
      <c r="BI7" s="158"/>
      <c r="BJ7" s="158"/>
      <c r="BK7" s="158"/>
      <c r="BL7" s="158"/>
      <c r="BM7" s="158"/>
      <c r="BN7" s="158"/>
      <c r="BO7" s="158"/>
      <c r="BP7" s="158"/>
      <c r="BQ7" s="158"/>
    </row>
    <row r="8" spans="2:69" s="152" customFormat="1" ht="1.1499999999999999" customHeight="1" x14ac:dyDescent="0.25">
      <c r="B8" s="159"/>
      <c r="C8" s="154"/>
      <c r="D8" s="154"/>
      <c r="E8" s="154"/>
      <c r="F8" s="154"/>
      <c r="G8" s="154"/>
      <c r="H8" s="154"/>
      <c r="I8" s="154"/>
      <c r="J8" s="154"/>
      <c r="K8" s="154"/>
      <c r="L8" s="154"/>
      <c r="M8" s="154"/>
      <c r="N8" s="154"/>
      <c r="O8" s="154"/>
      <c r="P8" s="154"/>
      <c r="Q8" s="154"/>
      <c r="R8" s="154"/>
      <c r="S8" s="154"/>
      <c r="T8" s="154"/>
      <c r="U8" s="154"/>
      <c r="V8" s="154"/>
      <c r="W8" s="154"/>
      <c r="X8" s="154"/>
      <c r="Y8" s="154"/>
      <c r="Z8" s="154"/>
      <c r="AA8" s="154"/>
      <c r="AB8" s="154"/>
      <c r="AC8" s="154"/>
      <c r="AD8" s="154"/>
      <c r="AE8" s="154"/>
      <c r="AF8" s="154"/>
      <c r="AG8" s="154"/>
      <c r="AH8" s="154"/>
      <c r="AI8" s="154"/>
      <c r="AJ8" s="154"/>
      <c r="AK8" s="154"/>
      <c r="AL8" s="154"/>
      <c r="AM8" s="154"/>
      <c r="AN8" s="154"/>
      <c r="AO8" s="154"/>
      <c r="AP8" s="154"/>
      <c r="AQ8" s="154"/>
      <c r="AR8" s="154"/>
      <c r="AS8" s="154"/>
      <c r="AT8" s="160"/>
      <c r="AU8" s="153"/>
      <c r="AV8" s="158"/>
      <c r="AW8" s="158"/>
      <c r="AX8" s="158"/>
      <c r="AY8" s="158"/>
      <c r="AZ8" s="158"/>
      <c r="BA8" s="158"/>
      <c r="BB8" s="158"/>
      <c r="BC8" s="158"/>
      <c r="BD8" s="158"/>
      <c r="BE8" s="158"/>
      <c r="BF8" s="158"/>
      <c r="BG8" s="158"/>
      <c r="BH8" s="158"/>
      <c r="BI8" s="158"/>
      <c r="BJ8" s="158"/>
      <c r="BK8" s="158"/>
      <c r="BL8" s="158"/>
      <c r="BM8" s="158"/>
      <c r="BN8" s="158"/>
      <c r="BO8" s="158"/>
      <c r="BP8" s="158"/>
      <c r="BQ8" s="158"/>
    </row>
    <row r="9" spans="2:69" s="152" customFormat="1" ht="16.899999999999999" customHeight="1" x14ac:dyDescent="0.25">
      <c r="B9" s="159"/>
      <c r="C9" s="146">
        <f>'R-Entrada'!E46</f>
        <v>73.8</v>
      </c>
      <c r="D9" s="154"/>
      <c r="E9" s="2755" t="s">
        <v>201</v>
      </c>
      <c r="F9" s="2756"/>
      <c r="G9" s="2756"/>
      <c r="H9" s="2757"/>
      <c r="I9" s="154"/>
      <c r="J9" s="154"/>
      <c r="K9" s="154"/>
      <c r="L9" s="154"/>
      <c r="M9" s="154"/>
      <c r="N9" s="154"/>
      <c r="O9" s="154"/>
      <c r="P9" s="154"/>
      <c r="Q9" s="154"/>
      <c r="R9" s="154"/>
      <c r="S9" s="154"/>
      <c r="T9" s="154"/>
      <c r="U9" s="154"/>
      <c r="V9" s="154"/>
      <c r="W9" s="154"/>
      <c r="X9" s="154"/>
      <c r="Y9" s="154"/>
      <c r="Z9" s="154"/>
      <c r="AA9" s="154"/>
      <c r="AB9" s="154"/>
      <c r="AC9" s="154"/>
      <c r="AD9" s="154"/>
      <c r="AE9" s="154"/>
      <c r="AF9" s="154"/>
      <c r="AG9" s="154"/>
      <c r="AH9" s="154"/>
      <c r="AI9" s="154"/>
      <c r="AJ9" s="154"/>
      <c r="AK9" s="154"/>
      <c r="AL9" s="154"/>
      <c r="AM9" s="154"/>
      <c r="AN9" s="147"/>
      <c r="AO9" s="147"/>
      <c r="AP9" s="147"/>
      <c r="AQ9" s="147"/>
      <c r="AR9" s="147"/>
      <c r="AS9" s="147"/>
      <c r="AT9" s="160"/>
      <c r="AU9" s="153"/>
      <c r="AV9" s="158"/>
      <c r="AW9" s="158"/>
      <c r="AX9" s="158"/>
      <c r="AY9" s="158"/>
      <c r="AZ9" s="158"/>
      <c r="BA9" s="158"/>
      <c r="BB9" s="158"/>
      <c r="BC9" s="158"/>
      <c r="BD9" s="158"/>
      <c r="BE9" s="158"/>
      <c r="BF9" s="158"/>
      <c r="BG9" s="158"/>
      <c r="BH9" s="158"/>
      <c r="BI9" s="158"/>
      <c r="BJ9" s="158"/>
      <c r="BK9" s="158"/>
      <c r="BL9" s="158"/>
      <c r="BM9" s="158"/>
      <c r="BN9" s="158"/>
      <c r="BO9" s="158"/>
      <c r="BP9" s="158"/>
      <c r="BQ9" s="158"/>
    </row>
    <row r="10" spans="2:69" s="152" customFormat="1" ht="1.9" customHeight="1" x14ac:dyDescent="0.25">
      <c r="B10" s="159"/>
      <c r="C10" s="154"/>
      <c r="D10" s="154"/>
      <c r="E10" s="154"/>
      <c r="F10" s="154"/>
      <c r="G10" s="154"/>
      <c r="H10" s="154"/>
      <c r="I10" s="154"/>
      <c r="J10" s="154"/>
      <c r="K10" s="154"/>
      <c r="L10" s="154"/>
      <c r="M10" s="154"/>
      <c r="N10" s="154"/>
      <c r="O10" s="154"/>
      <c r="P10" s="154"/>
      <c r="Q10" s="154"/>
      <c r="R10" s="154"/>
      <c r="S10" s="154"/>
      <c r="T10" s="154"/>
      <c r="U10" s="154"/>
      <c r="V10" s="154"/>
      <c r="W10" s="154"/>
      <c r="X10" s="154"/>
      <c r="Y10" s="154"/>
      <c r="Z10" s="154"/>
      <c r="AA10" s="154"/>
      <c r="AB10" s="154"/>
      <c r="AC10" s="154"/>
      <c r="AD10" s="154"/>
      <c r="AE10" s="154"/>
      <c r="AF10" s="154"/>
      <c r="AG10" s="154"/>
      <c r="AH10" s="154"/>
      <c r="AI10" s="154"/>
      <c r="AJ10" s="154"/>
      <c r="AK10" s="154"/>
      <c r="AL10" s="154"/>
      <c r="AM10" s="154"/>
      <c r="AN10" s="147"/>
      <c r="AO10" s="147"/>
      <c r="AP10" s="147"/>
      <c r="AQ10" s="147"/>
      <c r="AR10" s="147"/>
      <c r="AS10" s="147"/>
      <c r="AT10" s="160"/>
      <c r="AU10" s="153"/>
      <c r="AV10" s="158"/>
      <c r="AW10" s="158"/>
      <c r="AX10" s="158"/>
      <c r="AY10" s="158"/>
      <c r="AZ10" s="158"/>
      <c r="BA10" s="158"/>
      <c r="BB10" s="158"/>
      <c r="BC10" s="158"/>
      <c r="BD10" s="158"/>
      <c r="BE10" s="158"/>
      <c r="BF10" s="158"/>
      <c r="BG10" s="158"/>
      <c r="BH10" s="158"/>
      <c r="BI10" s="158"/>
      <c r="BJ10" s="158"/>
      <c r="BK10" s="158"/>
      <c r="BL10" s="158"/>
      <c r="BM10" s="158"/>
      <c r="BN10" s="158"/>
      <c r="BO10" s="158"/>
      <c r="BP10" s="158"/>
      <c r="BQ10" s="158"/>
    </row>
    <row r="11" spans="2:69" s="152" customFormat="1" ht="16.899999999999999" customHeight="1" x14ac:dyDescent="0.25">
      <c r="B11" s="159"/>
      <c r="C11" s="146">
        <f>'R-Entrada'!E47</f>
        <v>73.8</v>
      </c>
      <c r="D11" s="154"/>
      <c r="E11" s="2767" t="s">
        <v>745</v>
      </c>
      <c r="F11" s="2768"/>
      <c r="G11" s="2768"/>
      <c r="H11" s="2768"/>
      <c r="I11" s="154"/>
      <c r="J11" s="154"/>
      <c r="K11" s="154"/>
      <c r="L11" s="154"/>
      <c r="M11" s="154"/>
      <c r="N11" s="154"/>
      <c r="O11" s="154"/>
      <c r="P11" s="154"/>
      <c r="Q11" s="154"/>
      <c r="R11" s="154"/>
      <c r="S11" s="154"/>
      <c r="T11" s="154"/>
      <c r="U11" s="154"/>
      <c r="V11" s="154"/>
      <c r="W11" s="154"/>
      <c r="X11" s="154"/>
      <c r="Y11" s="154"/>
      <c r="Z11" s="154"/>
      <c r="AA11" s="154"/>
      <c r="AB11" s="154"/>
      <c r="AC11" s="154"/>
      <c r="AD11" s="154"/>
      <c r="AE11" s="154"/>
      <c r="AF11" s="154"/>
      <c r="AG11" s="154"/>
      <c r="AH11" s="154"/>
      <c r="AI11" s="154"/>
      <c r="AJ11" s="154"/>
      <c r="AK11" s="154"/>
      <c r="AL11" s="154"/>
      <c r="AM11" s="154"/>
      <c r="AN11" s="147"/>
      <c r="AO11" s="2760" t="s">
        <v>202</v>
      </c>
      <c r="AP11" s="147"/>
      <c r="AQ11" s="2760" t="s">
        <v>203</v>
      </c>
      <c r="AR11" s="147"/>
      <c r="AS11" s="2760" t="s">
        <v>64</v>
      </c>
      <c r="AT11" s="160"/>
      <c r="AU11" s="153"/>
      <c r="AV11" s="161"/>
      <c r="AW11" s="162"/>
      <c r="AX11" s="161"/>
      <c r="AY11" s="162"/>
      <c r="AZ11" s="158"/>
      <c r="BA11" s="158"/>
      <c r="BB11" s="158"/>
      <c r="BC11" s="158"/>
      <c r="BD11" s="158"/>
      <c r="BE11" s="158"/>
      <c r="BF11" s="158"/>
      <c r="BG11" s="158"/>
      <c r="BH11" s="158"/>
      <c r="BI11" s="158"/>
      <c r="BJ11" s="158"/>
      <c r="BK11" s="158"/>
      <c r="BL11" s="158"/>
      <c r="BM11" s="158"/>
      <c r="BN11" s="158"/>
      <c r="BO11" s="158"/>
      <c r="BP11" s="158"/>
      <c r="BQ11" s="158"/>
    </row>
    <row r="12" spans="2:69" s="152" customFormat="1" ht="4.1500000000000004" customHeight="1" x14ac:dyDescent="0.25">
      <c r="B12" s="159"/>
      <c r="C12" s="154"/>
      <c r="D12" s="154"/>
      <c r="E12" s="154"/>
      <c r="F12" s="154"/>
      <c r="G12" s="154"/>
      <c r="H12" s="154"/>
      <c r="I12" s="154"/>
      <c r="J12" s="154"/>
      <c r="K12" s="154"/>
      <c r="L12" s="154"/>
      <c r="M12" s="154"/>
      <c r="N12" s="154"/>
      <c r="O12" s="154"/>
      <c r="P12" s="154"/>
      <c r="Q12" s="154"/>
      <c r="R12" s="154"/>
      <c r="S12" s="154"/>
      <c r="T12" s="154"/>
      <c r="U12" s="154"/>
      <c r="V12" s="154"/>
      <c r="W12" s="154"/>
      <c r="X12" s="154"/>
      <c r="Y12" s="154"/>
      <c r="Z12" s="154"/>
      <c r="AA12" s="154"/>
      <c r="AB12" s="154"/>
      <c r="AC12" s="154"/>
      <c r="AD12" s="154"/>
      <c r="AE12" s="154"/>
      <c r="AF12" s="154"/>
      <c r="AG12" s="154"/>
      <c r="AH12" s="154"/>
      <c r="AI12" s="154"/>
      <c r="AJ12" s="154"/>
      <c r="AK12" s="154"/>
      <c r="AL12" s="154"/>
      <c r="AM12" s="154"/>
      <c r="AN12" s="147"/>
      <c r="AO12" s="2763"/>
      <c r="AP12" s="147"/>
      <c r="AQ12" s="2761"/>
      <c r="AR12" s="147"/>
      <c r="AS12" s="2761"/>
      <c r="AT12" s="160"/>
      <c r="AU12" s="153"/>
      <c r="AV12" s="161"/>
      <c r="AW12" s="162"/>
      <c r="AX12" s="161"/>
      <c r="AY12" s="162"/>
      <c r="AZ12" s="158"/>
      <c r="BA12" s="158"/>
      <c r="BB12" s="158"/>
      <c r="BC12" s="158"/>
      <c r="BD12" s="158"/>
      <c r="BE12" s="158"/>
      <c r="BF12" s="158"/>
      <c r="BG12" s="158"/>
      <c r="BH12" s="158"/>
      <c r="BI12" s="158"/>
      <c r="BJ12" s="158"/>
      <c r="BK12" s="158"/>
      <c r="BL12" s="158"/>
      <c r="BM12" s="158"/>
      <c r="BN12" s="158"/>
      <c r="BO12" s="158"/>
      <c r="BP12" s="158"/>
      <c r="BQ12" s="158"/>
    </row>
    <row r="13" spans="2:69" s="152" customFormat="1" ht="6.4" customHeight="1" x14ac:dyDescent="0.25">
      <c r="B13" s="159"/>
      <c r="C13" s="154"/>
      <c r="D13" s="154"/>
      <c r="E13" s="154"/>
      <c r="F13" s="154"/>
      <c r="G13" s="154"/>
      <c r="H13" s="154"/>
      <c r="I13" s="154"/>
      <c r="J13" s="154"/>
      <c r="K13" s="154"/>
      <c r="L13" s="154"/>
      <c r="M13" s="154"/>
      <c r="N13" s="154"/>
      <c r="O13" s="154"/>
      <c r="P13" s="154"/>
      <c r="Q13" s="154"/>
      <c r="R13" s="154"/>
      <c r="S13" s="154"/>
      <c r="T13" s="154"/>
      <c r="U13" s="154"/>
      <c r="V13" s="154"/>
      <c r="W13" s="154"/>
      <c r="X13" s="154"/>
      <c r="Y13" s="154"/>
      <c r="Z13" s="154"/>
      <c r="AA13" s="154"/>
      <c r="AB13" s="154"/>
      <c r="AC13" s="154"/>
      <c r="AD13" s="154"/>
      <c r="AE13" s="154"/>
      <c r="AF13" s="154"/>
      <c r="AG13" s="154"/>
      <c r="AH13" s="154"/>
      <c r="AI13" s="154"/>
      <c r="AJ13" s="154"/>
      <c r="AK13" s="154"/>
      <c r="AL13" s="154"/>
      <c r="AM13" s="154"/>
      <c r="AN13" s="147"/>
      <c r="AO13" s="2764"/>
      <c r="AP13" s="147"/>
      <c r="AQ13" s="2762"/>
      <c r="AR13" s="147"/>
      <c r="AS13" s="2762"/>
      <c r="AT13" s="160"/>
      <c r="AU13" s="163"/>
      <c r="AV13" s="158"/>
      <c r="AW13" s="158"/>
      <c r="AX13" s="158"/>
      <c r="AY13" s="158"/>
      <c r="AZ13" s="158"/>
      <c r="BA13" s="158"/>
      <c r="BB13" s="158"/>
      <c r="BC13" s="158"/>
      <c r="BD13" s="158"/>
      <c r="BE13" s="158"/>
      <c r="BF13" s="158"/>
      <c r="BG13" s="158"/>
      <c r="BH13" s="158"/>
      <c r="BI13" s="158"/>
      <c r="BJ13" s="158"/>
      <c r="BK13" s="158"/>
      <c r="BL13" s="158"/>
      <c r="BM13" s="158"/>
      <c r="BN13" s="158"/>
      <c r="BO13" s="158"/>
      <c r="BP13" s="158"/>
      <c r="BQ13" s="158"/>
    </row>
    <row r="14" spans="2:69" s="152" customFormat="1" ht="7.15" customHeight="1" x14ac:dyDescent="0.25">
      <c r="B14" s="159"/>
      <c r="C14" s="154"/>
      <c r="D14" s="154"/>
      <c r="E14" s="154"/>
      <c r="F14" s="154"/>
      <c r="G14" s="154"/>
      <c r="H14" s="154"/>
      <c r="I14" s="154"/>
      <c r="J14" s="154"/>
      <c r="K14" s="154"/>
      <c r="L14" s="154"/>
      <c r="M14" s="154"/>
      <c r="N14" s="154"/>
      <c r="O14" s="154"/>
      <c r="P14" s="154"/>
      <c r="Q14" s="154"/>
      <c r="R14" s="154"/>
      <c r="S14" s="154"/>
      <c r="T14" s="154"/>
      <c r="U14" s="154"/>
      <c r="V14" s="154"/>
      <c r="W14" s="154"/>
      <c r="X14" s="154"/>
      <c r="Y14" s="154"/>
      <c r="Z14" s="154"/>
      <c r="AA14" s="154"/>
      <c r="AB14" s="154"/>
      <c r="AC14" s="154"/>
      <c r="AD14" s="154"/>
      <c r="AE14" s="154"/>
      <c r="AF14" s="154"/>
      <c r="AG14" s="154"/>
      <c r="AH14" s="154"/>
      <c r="AI14" s="154"/>
      <c r="AJ14" s="154"/>
      <c r="AK14" s="154"/>
      <c r="AL14" s="154"/>
      <c r="AM14" s="154"/>
      <c r="AN14" s="147"/>
      <c r="AO14" s="147"/>
      <c r="AP14" s="147"/>
      <c r="AQ14" s="147"/>
      <c r="AR14" s="147"/>
      <c r="AS14" s="147"/>
      <c r="AT14" s="160"/>
      <c r="AU14" s="153"/>
      <c r="AV14" s="158"/>
      <c r="AW14" s="158"/>
      <c r="AX14" s="158"/>
      <c r="AY14" s="158"/>
      <c r="AZ14" s="158"/>
      <c r="BA14" s="158"/>
      <c r="BB14" s="158"/>
      <c r="BC14" s="158"/>
      <c r="BD14" s="158"/>
      <c r="BE14" s="158"/>
      <c r="BF14" s="158"/>
      <c r="BG14" s="158"/>
      <c r="BH14" s="158"/>
      <c r="BI14" s="158"/>
      <c r="BJ14" s="158"/>
      <c r="BK14" s="158"/>
      <c r="BL14" s="158"/>
      <c r="BM14" s="158"/>
      <c r="BN14" s="158"/>
      <c r="BO14" s="158"/>
      <c r="BP14" s="158"/>
      <c r="BQ14" s="158"/>
    </row>
    <row r="15" spans="2:69" s="152" customFormat="1" ht="16.899999999999999" customHeight="1" x14ac:dyDescent="0.25">
      <c r="B15" s="159"/>
      <c r="C15" s="148"/>
      <c r="D15" s="154"/>
      <c r="E15" s="154"/>
      <c r="F15" s="146">
        <f>'R-Resumo Bal. Massa'!D19</f>
        <v>0</v>
      </c>
      <c r="G15" s="154"/>
      <c r="H15" s="154"/>
      <c r="I15" s="2758" t="s">
        <v>742</v>
      </c>
      <c r="J15" s="2756"/>
      <c r="K15" s="2756"/>
      <c r="L15" s="2756"/>
      <c r="M15" s="2756"/>
      <c r="N15" s="2756"/>
      <c r="O15" s="2757"/>
      <c r="P15" s="154"/>
      <c r="Q15" s="154"/>
      <c r="R15" s="154"/>
      <c r="S15" s="154"/>
      <c r="T15" s="154"/>
      <c r="U15" s="154"/>
      <c r="V15" s="154"/>
      <c r="W15" s="154"/>
      <c r="X15" s="154"/>
      <c r="Y15" s="154"/>
      <c r="Z15" s="154"/>
      <c r="AA15" s="154"/>
      <c r="AB15" s="154"/>
      <c r="AC15" s="154"/>
      <c r="AD15" s="154"/>
      <c r="AE15" s="154"/>
      <c r="AF15" s="154"/>
      <c r="AG15" s="154"/>
      <c r="AH15" s="154"/>
      <c r="AI15" s="154"/>
      <c r="AJ15" s="154"/>
      <c r="AK15" s="154"/>
      <c r="AL15" s="154"/>
      <c r="AM15" s="154"/>
      <c r="AN15" s="147"/>
      <c r="AO15" s="146">
        <f>'R-Resumo Bal. Massa'!E64</f>
        <v>0</v>
      </c>
      <c r="AP15" s="147"/>
      <c r="AQ15" s="147"/>
      <c r="AR15" s="147"/>
      <c r="AS15" s="147"/>
      <c r="AT15" s="160"/>
      <c r="AU15" s="153"/>
      <c r="AV15" s="158"/>
      <c r="AW15" s="158"/>
      <c r="AX15" s="158"/>
      <c r="AY15" s="158"/>
      <c r="AZ15" s="158"/>
      <c r="BA15" s="158"/>
      <c r="BB15" s="158"/>
      <c r="BC15" s="158"/>
      <c r="BD15" s="158"/>
      <c r="BE15" s="158"/>
      <c r="BF15" s="158"/>
      <c r="BG15" s="158"/>
      <c r="BH15" s="158"/>
      <c r="BI15" s="158"/>
      <c r="BJ15" s="158"/>
      <c r="BK15" s="158"/>
      <c r="BL15" s="158"/>
      <c r="BM15" s="158"/>
      <c r="BN15" s="158"/>
      <c r="BO15" s="158"/>
      <c r="BP15" s="158"/>
      <c r="BQ15" s="158"/>
    </row>
    <row r="16" spans="2:69" s="152" customFormat="1" ht="4.9000000000000004" customHeight="1" x14ac:dyDescent="0.25">
      <c r="B16" s="159"/>
      <c r="C16" s="154"/>
      <c r="D16" s="154"/>
      <c r="E16" s="154"/>
      <c r="F16" s="154"/>
      <c r="G16" s="154"/>
      <c r="H16" s="154"/>
      <c r="I16" s="154"/>
      <c r="J16" s="154"/>
      <c r="K16" s="154"/>
      <c r="L16" s="154"/>
      <c r="M16" s="154"/>
      <c r="N16" s="154"/>
      <c r="O16" s="154"/>
      <c r="P16" s="154"/>
      <c r="Q16" s="154"/>
      <c r="R16" s="154"/>
      <c r="S16" s="154"/>
      <c r="T16" s="154"/>
      <c r="U16" s="154"/>
      <c r="V16" s="154"/>
      <c r="W16" s="154"/>
      <c r="X16" s="154"/>
      <c r="Y16" s="154"/>
      <c r="Z16" s="154"/>
      <c r="AA16" s="154"/>
      <c r="AB16" s="154"/>
      <c r="AC16" s="154"/>
      <c r="AD16" s="154"/>
      <c r="AE16" s="154"/>
      <c r="AF16" s="154"/>
      <c r="AG16" s="154"/>
      <c r="AH16" s="154"/>
      <c r="AI16" s="154"/>
      <c r="AJ16" s="154"/>
      <c r="AK16" s="154"/>
      <c r="AL16" s="154"/>
      <c r="AM16" s="154"/>
      <c r="AN16" s="147"/>
      <c r="AO16" s="147"/>
      <c r="AP16" s="147"/>
      <c r="AQ16" s="147"/>
      <c r="AR16" s="147"/>
      <c r="AS16" s="147"/>
      <c r="AT16" s="160"/>
      <c r="AU16" s="153"/>
      <c r="AV16" s="158"/>
      <c r="AW16" s="158"/>
      <c r="AX16" s="158"/>
      <c r="AY16" s="158"/>
      <c r="AZ16" s="158"/>
      <c r="BA16" s="158"/>
      <c r="BB16" s="158"/>
      <c r="BC16" s="158"/>
      <c r="BD16" s="158"/>
      <c r="BE16" s="158"/>
      <c r="BF16" s="158"/>
      <c r="BG16" s="158"/>
      <c r="BH16" s="158"/>
      <c r="BI16" s="158"/>
      <c r="BJ16" s="158"/>
      <c r="BK16" s="158"/>
      <c r="BL16" s="158"/>
      <c r="BM16" s="158"/>
      <c r="BN16" s="158"/>
      <c r="BO16" s="158"/>
      <c r="BP16" s="158"/>
      <c r="BQ16" s="158"/>
    </row>
    <row r="17" spans="2:69" s="152" customFormat="1" ht="16.899999999999999" customHeight="1" x14ac:dyDescent="0.25">
      <c r="B17" s="159"/>
      <c r="C17" s="154"/>
      <c r="D17" s="154"/>
      <c r="E17" s="154"/>
      <c r="F17" s="154"/>
      <c r="G17" s="154"/>
      <c r="H17" s="154"/>
      <c r="I17" s="154"/>
      <c r="J17" s="154"/>
      <c r="K17" s="154"/>
      <c r="L17" s="154"/>
      <c r="M17" s="154"/>
      <c r="N17" s="154"/>
      <c r="O17" s="154"/>
      <c r="P17" s="154"/>
      <c r="Q17" s="154"/>
      <c r="R17" s="154"/>
      <c r="S17" s="154"/>
      <c r="T17" s="154"/>
      <c r="U17" s="154"/>
      <c r="V17" s="154"/>
      <c r="W17" s="154"/>
      <c r="X17" s="154"/>
      <c r="Y17" s="154"/>
      <c r="Z17" s="154"/>
      <c r="AA17" s="154"/>
      <c r="AB17" s="154"/>
      <c r="AC17" s="154"/>
      <c r="AD17" s="154"/>
      <c r="AE17" s="154"/>
      <c r="AF17" s="154"/>
      <c r="AG17" s="154"/>
      <c r="AH17" s="154"/>
      <c r="AI17" s="154"/>
      <c r="AJ17" s="154"/>
      <c r="AK17" s="154"/>
      <c r="AL17" s="154"/>
      <c r="AM17" s="154"/>
      <c r="AN17" s="147"/>
      <c r="AO17" s="147"/>
      <c r="AP17" s="147"/>
      <c r="AQ17" s="147"/>
      <c r="AR17" s="147"/>
      <c r="AS17" s="146">
        <f>'R-Definição'!N99</f>
        <v>0</v>
      </c>
      <c r="AT17" s="160"/>
      <c r="AU17" s="164"/>
      <c r="AV17" s="165"/>
      <c r="AW17" s="166"/>
      <c r="AX17" s="165"/>
      <c r="AY17" s="158"/>
      <c r="AZ17" s="158"/>
      <c r="BA17" s="158"/>
      <c r="BB17" s="158"/>
      <c r="BC17" s="158"/>
      <c r="BD17" s="158"/>
      <c r="BE17" s="158"/>
      <c r="BF17" s="158"/>
      <c r="BG17" s="158"/>
      <c r="BH17" s="158"/>
      <c r="BI17" s="158"/>
      <c r="BJ17" s="158"/>
      <c r="BK17" s="158"/>
      <c r="BL17" s="158"/>
      <c r="BM17" s="158"/>
      <c r="BN17" s="158"/>
      <c r="BO17" s="158"/>
      <c r="BP17" s="158"/>
      <c r="BQ17" s="158"/>
    </row>
    <row r="18" spans="2:69" s="152" customFormat="1" ht="3" customHeight="1" x14ac:dyDescent="0.25">
      <c r="B18" s="159"/>
      <c r="C18" s="154"/>
      <c r="D18" s="154"/>
      <c r="E18" s="154"/>
      <c r="F18" s="154"/>
      <c r="G18" s="154"/>
      <c r="H18" s="154"/>
      <c r="I18" s="154"/>
      <c r="J18" s="154"/>
      <c r="K18" s="154"/>
      <c r="L18" s="154"/>
      <c r="M18" s="154"/>
      <c r="N18" s="154"/>
      <c r="O18" s="154"/>
      <c r="P18" s="154"/>
      <c r="Q18" s="154"/>
      <c r="R18" s="154"/>
      <c r="S18" s="154"/>
      <c r="T18" s="154"/>
      <c r="U18" s="154"/>
      <c r="V18" s="154"/>
      <c r="W18" s="154"/>
      <c r="X18" s="154"/>
      <c r="Y18" s="154"/>
      <c r="Z18" s="154"/>
      <c r="AA18" s="154"/>
      <c r="AB18" s="154"/>
      <c r="AC18" s="154"/>
      <c r="AD18" s="154"/>
      <c r="AE18" s="154"/>
      <c r="AF18" s="154"/>
      <c r="AG18" s="154"/>
      <c r="AH18" s="154"/>
      <c r="AI18" s="154"/>
      <c r="AJ18" s="154"/>
      <c r="AK18" s="154"/>
      <c r="AL18" s="154"/>
      <c r="AM18" s="154"/>
      <c r="AN18" s="147"/>
      <c r="AO18" s="147"/>
      <c r="AP18" s="147"/>
      <c r="AQ18" s="147"/>
      <c r="AR18" s="147"/>
      <c r="AS18" s="147"/>
      <c r="AT18" s="160"/>
      <c r="AU18" s="153"/>
      <c r="AV18" s="158"/>
      <c r="AW18" s="158"/>
      <c r="AX18" s="158"/>
      <c r="AY18" s="158"/>
      <c r="AZ18" s="158"/>
      <c r="BA18" s="158"/>
      <c r="BB18" s="158"/>
      <c r="BC18" s="158"/>
      <c r="BD18" s="158"/>
      <c r="BE18" s="158"/>
      <c r="BF18" s="158"/>
      <c r="BG18" s="158"/>
      <c r="BH18" s="158"/>
      <c r="BI18" s="158"/>
      <c r="BJ18" s="158"/>
      <c r="BK18" s="158"/>
      <c r="BL18" s="158"/>
      <c r="BM18" s="158"/>
      <c r="BN18" s="158"/>
      <c r="BO18" s="158"/>
      <c r="BP18" s="158"/>
      <c r="BQ18" s="158"/>
    </row>
    <row r="19" spans="2:69" s="152" customFormat="1" ht="16.899999999999999" customHeight="1" x14ac:dyDescent="0.25">
      <c r="B19" s="159"/>
      <c r="C19" s="148"/>
      <c r="D19" s="154"/>
      <c r="E19" s="154"/>
      <c r="F19" s="146">
        <f>'R-Resumo Bal. Massa'!D20</f>
        <v>0</v>
      </c>
      <c r="G19" s="154"/>
      <c r="H19" s="154"/>
      <c r="I19" s="154"/>
      <c r="J19" s="154"/>
      <c r="K19" s="154"/>
      <c r="L19" s="2758" t="s">
        <v>743</v>
      </c>
      <c r="M19" s="2756"/>
      <c r="N19" s="2756"/>
      <c r="O19" s="2756"/>
      <c r="P19" s="2756"/>
      <c r="Q19" s="2756"/>
      <c r="R19" s="2757"/>
      <c r="S19" s="154"/>
      <c r="T19" s="154"/>
      <c r="U19" s="154"/>
      <c r="V19" s="154"/>
      <c r="W19" s="154"/>
      <c r="X19" s="154"/>
      <c r="Y19" s="154"/>
      <c r="Z19" s="154"/>
      <c r="AA19" s="154"/>
      <c r="AB19" s="154"/>
      <c r="AC19" s="154"/>
      <c r="AD19" s="154"/>
      <c r="AE19" s="154"/>
      <c r="AF19" s="154"/>
      <c r="AG19" s="154"/>
      <c r="AH19" s="154"/>
      <c r="AI19" s="154"/>
      <c r="AJ19" s="154"/>
      <c r="AK19" s="154"/>
      <c r="AL19" s="154"/>
      <c r="AM19" s="154"/>
      <c r="AN19" s="147"/>
      <c r="AO19" s="146">
        <f>'R-Resumo Bal. Massa'!F64</f>
        <v>0</v>
      </c>
      <c r="AP19" s="147"/>
      <c r="AQ19" s="147"/>
      <c r="AR19" s="147"/>
      <c r="AS19" s="147"/>
      <c r="AT19" s="160"/>
      <c r="AU19" s="153"/>
      <c r="AV19" s="161"/>
      <c r="AW19" s="162"/>
      <c r="AX19" s="161"/>
      <c r="AY19" s="162"/>
      <c r="AZ19" s="158"/>
      <c r="BA19" s="158"/>
      <c r="BB19" s="158"/>
      <c r="BC19" s="158"/>
      <c r="BD19" s="158"/>
      <c r="BE19" s="158"/>
      <c r="BF19" s="158"/>
      <c r="BG19" s="158"/>
      <c r="BH19" s="158"/>
      <c r="BI19" s="158"/>
      <c r="BJ19" s="158"/>
      <c r="BK19" s="158"/>
      <c r="BL19" s="158"/>
      <c r="BM19" s="158"/>
      <c r="BN19" s="158"/>
      <c r="BO19" s="158"/>
      <c r="BP19" s="158"/>
      <c r="BQ19" s="158"/>
    </row>
    <row r="20" spans="2:69" s="152" customFormat="1" ht="4.1500000000000004" customHeight="1" x14ac:dyDescent="0.25">
      <c r="B20" s="159"/>
      <c r="C20" s="154"/>
      <c r="D20" s="154"/>
      <c r="E20" s="154"/>
      <c r="F20" s="154"/>
      <c r="G20" s="154"/>
      <c r="H20" s="154"/>
      <c r="I20" s="154"/>
      <c r="J20" s="154"/>
      <c r="K20" s="154"/>
      <c r="L20" s="154"/>
      <c r="M20" s="154"/>
      <c r="N20" s="154"/>
      <c r="O20" s="154"/>
      <c r="P20" s="154"/>
      <c r="Q20" s="154"/>
      <c r="R20" s="154"/>
      <c r="S20" s="154"/>
      <c r="T20" s="154"/>
      <c r="U20" s="154"/>
      <c r="V20" s="154"/>
      <c r="W20" s="154"/>
      <c r="X20" s="154"/>
      <c r="Y20" s="154"/>
      <c r="Z20" s="154"/>
      <c r="AA20" s="154"/>
      <c r="AB20" s="154"/>
      <c r="AC20" s="154"/>
      <c r="AD20" s="154"/>
      <c r="AE20" s="154"/>
      <c r="AF20" s="154"/>
      <c r="AG20" s="154"/>
      <c r="AH20" s="154"/>
      <c r="AI20" s="154"/>
      <c r="AJ20" s="154"/>
      <c r="AK20" s="154"/>
      <c r="AL20" s="154"/>
      <c r="AM20" s="154"/>
      <c r="AN20" s="147"/>
      <c r="AO20" s="147"/>
      <c r="AP20" s="147"/>
      <c r="AQ20" s="147"/>
      <c r="AR20" s="147"/>
      <c r="AS20" s="147"/>
      <c r="AT20" s="160"/>
      <c r="AU20" s="153"/>
      <c r="AV20" s="161"/>
      <c r="AW20" s="162"/>
      <c r="AX20" s="161"/>
      <c r="AY20" s="162"/>
      <c r="AZ20" s="158"/>
      <c r="BA20" s="158"/>
      <c r="BB20" s="158"/>
      <c r="BC20" s="158"/>
      <c r="BD20" s="158"/>
      <c r="BE20" s="158"/>
      <c r="BF20" s="158"/>
      <c r="BG20" s="158"/>
      <c r="BH20" s="158"/>
      <c r="BI20" s="158"/>
      <c r="BJ20" s="158"/>
      <c r="BK20" s="158"/>
      <c r="BL20" s="158"/>
      <c r="BM20" s="158"/>
      <c r="BN20" s="158"/>
      <c r="BO20" s="158"/>
      <c r="BP20" s="158"/>
      <c r="BQ20" s="158"/>
    </row>
    <row r="21" spans="2:69" s="152" customFormat="1" ht="16.899999999999999" customHeight="1" x14ac:dyDescent="0.25">
      <c r="B21" s="159"/>
      <c r="C21" s="154"/>
      <c r="D21" s="154"/>
      <c r="E21" s="154"/>
      <c r="F21" s="154"/>
      <c r="G21" s="154"/>
      <c r="H21" s="154"/>
      <c r="I21" s="154"/>
      <c r="J21" s="154"/>
      <c r="K21" s="154"/>
      <c r="L21" s="154"/>
      <c r="M21" s="154"/>
      <c r="N21" s="154"/>
      <c r="O21" s="154"/>
      <c r="P21" s="154"/>
      <c r="Q21" s="154"/>
      <c r="R21" s="154"/>
      <c r="S21" s="154"/>
      <c r="T21" s="154"/>
      <c r="U21" s="154"/>
      <c r="V21" s="154"/>
      <c r="W21" s="154"/>
      <c r="X21" s="154"/>
      <c r="Y21" s="154"/>
      <c r="Z21" s="154"/>
      <c r="AA21" s="154"/>
      <c r="AB21" s="154"/>
      <c r="AC21" s="154"/>
      <c r="AD21" s="154"/>
      <c r="AE21" s="154"/>
      <c r="AF21" s="154"/>
      <c r="AG21" s="154"/>
      <c r="AH21" s="154"/>
      <c r="AI21" s="154"/>
      <c r="AJ21" s="154"/>
      <c r="AK21" s="154"/>
      <c r="AL21" s="154"/>
      <c r="AM21" s="154"/>
      <c r="AN21" s="147"/>
      <c r="AO21" s="147"/>
      <c r="AP21" s="147"/>
      <c r="AQ21" s="147"/>
      <c r="AR21" s="147"/>
      <c r="AS21" s="146">
        <f>'R-Definição'!N98</f>
        <v>0</v>
      </c>
      <c r="AT21" s="160"/>
      <c r="AU21" s="164"/>
      <c r="AV21" s="161"/>
      <c r="AW21" s="162"/>
      <c r="AX21" s="161"/>
      <c r="AY21" s="162"/>
      <c r="AZ21" s="158"/>
      <c r="BA21" s="158"/>
      <c r="BB21" s="158"/>
      <c r="BC21" s="158"/>
      <c r="BD21" s="158"/>
      <c r="BE21" s="158"/>
      <c r="BF21" s="158"/>
      <c r="BG21" s="158"/>
      <c r="BH21" s="158"/>
      <c r="BI21" s="158"/>
      <c r="BJ21" s="158"/>
      <c r="BK21" s="158"/>
      <c r="BL21" s="158"/>
      <c r="BM21" s="158"/>
      <c r="BN21" s="158"/>
      <c r="BO21" s="158"/>
      <c r="BP21" s="158"/>
      <c r="BQ21" s="158"/>
    </row>
    <row r="22" spans="2:69" s="152" customFormat="1" ht="4.1500000000000004" customHeight="1" x14ac:dyDescent="0.25">
      <c r="B22" s="159"/>
      <c r="C22" s="154"/>
      <c r="D22" s="154"/>
      <c r="E22" s="154"/>
      <c r="F22" s="154"/>
      <c r="G22" s="154"/>
      <c r="H22" s="154"/>
      <c r="I22" s="154"/>
      <c r="J22" s="154"/>
      <c r="K22" s="154"/>
      <c r="L22" s="154"/>
      <c r="M22" s="154"/>
      <c r="N22" s="154"/>
      <c r="O22" s="154"/>
      <c r="P22" s="154"/>
      <c r="Q22" s="154"/>
      <c r="R22" s="154"/>
      <c r="S22" s="154"/>
      <c r="T22" s="154"/>
      <c r="U22" s="154"/>
      <c r="V22" s="154"/>
      <c r="W22" s="154"/>
      <c r="X22" s="154"/>
      <c r="Y22" s="154"/>
      <c r="Z22" s="154"/>
      <c r="AA22" s="154"/>
      <c r="AB22" s="154"/>
      <c r="AC22" s="154"/>
      <c r="AD22" s="154"/>
      <c r="AE22" s="154"/>
      <c r="AF22" s="154"/>
      <c r="AG22" s="154"/>
      <c r="AH22" s="154"/>
      <c r="AI22" s="154"/>
      <c r="AJ22" s="154"/>
      <c r="AK22" s="154"/>
      <c r="AL22" s="154"/>
      <c r="AM22" s="154"/>
      <c r="AN22" s="147"/>
      <c r="AO22" s="147"/>
      <c r="AP22" s="147"/>
      <c r="AQ22" s="147"/>
      <c r="AR22" s="147"/>
      <c r="AS22" s="147"/>
      <c r="AT22" s="160"/>
      <c r="AU22" s="153"/>
      <c r="AV22" s="161"/>
      <c r="AW22" s="162"/>
      <c r="AX22" s="161"/>
      <c r="AY22" s="162"/>
      <c r="AZ22" s="158"/>
      <c r="BA22" s="158"/>
      <c r="BB22" s="158"/>
      <c r="BC22" s="162"/>
      <c r="BD22" s="158"/>
      <c r="BE22" s="158"/>
      <c r="BF22" s="158"/>
      <c r="BG22" s="158"/>
      <c r="BH22" s="158"/>
      <c r="BI22" s="158"/>
      <c r="BJ22" s="158"/>
      <c r="BK22" s="158"/>
      <c r="BL22" s="158"/>
      <c r="BM22" s="158"/>
      <c r="BN22" s="158"/>
      <c r="BO22" s="158"/>
      <c r="BP22" s="158"/>
      <c r="BQ22" s="158"/>
    </row>
    <row r="23" spans="2:69" s="152" customFormat="1" ht="16.899999999999999" customHeight="1" x14ac:dyDescent="0.25">
      <c r="B23" s="159"/>
      <c r="C23" s="148"/>
      <c r="D23" s="154"/>
      <c r="E23" s="154"/>
      <c r="F23" s="146">
        <f>'R-Resumo Bal. Massa'!D21</f>
        <v>9.2249999999999979</v>
      </c>
      <c r="G23" s="154"/>
      <c r="H23" s="154"/>
      <c r="I23" s="154"/>
      <c r="J23" s="154"/>
      <c r="K23" s="154"/>
      <c r="L23" s="154"/>
      <c r="M23" s="154"/>
      <c r="N23" s="154"/>
      <c r="O23" s="154"/>
      <c r="P23" s="154"/>
      <c r="Q23" s="2758" t="s">
        <v>746</v>
      </c>
      <c r="R23" s="2756"/>
      <c r="S23" s="2756"/>
      <c r="T23" s="2756"/>
      <c r="U23" s="2756"/>
      <c r="V23" s="2756"/>
      <c r="W23" s="2757"/>
      <c r="X23" s="154"/>
      <c r="Y23" s="154"/>
      <c r="Z23" s="154"/>
      <c r="AA23" s="154"/>
      <c r="AB23" s="154"/>
      <c r="AC23" s="154"/>
      <c r="AD23" s="154"/>
      <c r="AE23" s="154"/>
      <c r="AF23" s="154"/>
      <c r="AG23" s="154"/>
      <c r="AH23" s="154"/>
      <c r="AI23" s="154"/>
      <c r="AJ23" s="154"/>
      <c r="AK23" s="154"/>
      <c r="AL23" s="154"/>
      <c r="AM23" s="154"/>
      <c r="AN23" s="147"/>
      <c r="AO23" s="146">
        <f>'R-Resumo Bal. Massa'!G64</f>
        <v>0.6621243750000001</v>
      </c>
      <c r="AP23" s="147"/>
      <c r="AQ23" s="147"/>
      <c r="AR23" s="147"/>
      <c r="AS23" s="147"/>
      <c r="AT23" s="160"/>
      <c r="AU23" s="153"/>
      <c r="AV23" s="158"/>
      <c r="AW23" s="158"/>
      <c r="AX23" s="158"/>
      <c r="AY23" s="158"/>
      <c r="AZ23" s="158"/>
      <c r="BA23" s="158"/>
      <c r="BB23" s="158"/>
      <c r="BC23" s="158"/>
      <c r="BD23" s="158"/>
      <c r="BE23" s="158"/>
      <c r="BF23" s="158"/>
      <c r="BG23" s="158"/>
      <c r="BH23" s="158"/>
      <c r="BI23" s="158"/>
      <c r="BJ23" s="158"/>
      <c r="BK23" s="158"/>
      <c r="BL23" s="158"/>
      <c r="BM23" s="158"/>
      <c r="BN23" s="158"/>
      <c r="BO23" s="158"/>
      <c r="BP23" s="158"/>
      <c r="BQ23" s="158"/>
    </row>
    <row r="24" spans="2:69" s="152" customFormat="1" ht="7.15" customHeight="1" x14ac:dyDescent="0.25">
      <c r="B24" s="159"/>
      <c r="C24" s="148"/>
      <c r="D24" s="154"/>
      <c r="E24" s="154"/>
      <c r="F24" s="154"/>
      <c r="G24" s="154"/>
      <c r="H24" s="154"/>
      <c r="I24" s="154"/>
      <c r="J24" s="154"/>
      <c r="K24" s="154"/>
      <c r="L24" s="154"/>
      <c r="M24" s="154"/>
      <c r="N24" s="154"/>
      <c r="O24" s="154"/>
      <c r="P24" s="154"/>
      <c r="Q24" s="154"/>
      <c r="R24" s="154"/>
      <c r="S24" s="154"/>
      <c r="T24" s="154"/>
      <c r="U24" s="154"/>
      <c r="V24" s="154"/>
      <c r="W24" s="154"/>
      <c r="X24" s="154"/>
      <c r="Y24" s="154"/>
      <c r="Z24" s="154"/>
      <c r="AA24" s="154"/>
      <c r="AB24" s="154"/>
      <c r="AC24" s="154"/>
      <c r="AD24" s="154"/>
      <c r="AE24" s="154"/>
      <c r="AF24" s="154"/>
      <c r="AG24" s="154"/>
      <c r="AH24" s="154"/>
      <c r="AI24" s="154"/>
      <c r="AJ24" s="154"/>
      <c r="AK24" s="154"/>
      <c r="AL24" s="154"/>
      <c r="AM24" s="154"/>
      <c r="AN24" s="147"/>
      <c r="AO24" s="147"/>
      <c r="AP24" s="147"/>
      <c r="AQ24" s="147"/>
      <c r="AR24" s="147"/>
      <c r="AS24" s="147"/>
      <c r="AT24" s="160"/>
      <c r="AU24" s="153"/>
      <c r="AV24" s="158"/>
      <c r="AW24" s="158"/>
      <c r="AX24" s="158"/>
      <c r="AY24" s="158"/>
      <c r="AZ24" s="158"/>
      <c r="BA24" s="158"/>
      <c r="BB24" s="158"/>
      <c r="BC24" s="158"/>
      <c r="BD24" s="158"/>
      <c r="BE24" s="158"/>
      <c r="BF24" s="158"/>
      <c r="BG24" s="158"/>
      <c r="BH24" s="158"/>
      <c r="BI24" s="158"/>
      <c r="BJ24" s="158"/>
      <c r="BK24" s="158"/>
      <c r="BL24" s="158"/>
      <c r="BM24" s="158"/>
      <c r="BN24" s="158"/>
      <c r="BO24" s="158"/>
      <c r="BP24" s="158"/>
      <c r="BQ24" s="158"/>
    </row>
    <row r="25" spans="2:69" s="152" customFormat="1" ht="16.899999999999999" customHeight="1" x14ac:dyDescent="0.25">
      <c r="B25" s="159"/>
      <c r="C25" s="148"/>
      <c r="D25" s="154"/>
      <c r="E25" s="154"/>
      <c r="F25" s="154"/>
      <c r="G25" s="154"/>
      <c r="H25" s="154"/>
      <c r="I25" s="154"/>
      <c r="J25" s="2759">
        <f>F15+F19+F23-AO15-AO19-AO23-AS17-AS21-AS25-S25</f>
        <v>4.5324731249999992</v>
      </c>
      <c r="K25" s="2753"/>
      <c r="L25" s="2753"/>
      <c r="M25" s="2754"/>
      <c r="N25" s="154"/>
      <c r="O25" s="154"/>
      <c r="P25" s="154"/>
      <c r="Q25" s="154"/>
      <c r="R25" s="154"/>
      <c r="S25" s="2752">
        <f>IF('R-Definição'!I29&lt;&gt;"Aterro sanitário",'R-Resumo Bal. Massa'!F22,0)</f>
        <v>4.0304024999999992</v>
      </c>
      <c r="T25" s="2754"/>
      <c r="U25" s="154"/>
      <c r="V25" s="154"/>
      <c r="W25" s="154"/>
      <c r="X25" s="154"/>
      <c r="Y25" s="154"/>
      <c r="Z25" s="154"/>
      <c r="AA25" s="154"/>
      <c r="AB25" s="154"/>
      <c r="AC25" s="154"/>
      <c r="AD25" s="154"/>
      <c r="AE25" s="154"/>
      <c r="AF25" s="154"/>
      <c r="AG25" s="154"/>
      <c r="AH25" s="154"/>
      <c r="AI25" s="154"/>
      <c r="AJ25" s="154"/>
      <c r="AK25" s="154"/>
      <c r="AL25" s="154"/>
      <c r="AM25" s="154"/>
      <c r="AN25" s="147"/>
      <c r="AO25" s="147"/>
      <c r="AP25" s="147"/>
      <c r="AQ25" s="147"/>
      <c r="AR25" s="147"/>
      <c r="AS25" s="146">
        <f>'R-Definição'!N96+'R-Definição'!N97</f>
        <v>0</v>
      </c>
      <c r="AT25" s="160"/>
      <c r="AU25" s="164"/>
      <c r="AV25" s="166"/>
      <c r="AW25" s="166"/>
      <c r="AX25" s="158"/>
      <c r="AY25" s="158"/>
      <c r="AZ25" s="158"/>
      <c r="BA25" s="158"/>
      <c r="BB25" s="158"/>
      <c r="BC25" s="158"/>
      <c r="BD25" s="158"/>
      <c r="BE25" s="158"/>
      <c r="BF25" s="158"/>
      <c r="BG25" s="158"/>
      <c r="BH25" s="158"/>
      <c r="BI25" s="158"/>
      <c r="BJ25" s="158"/>
      <c r="BK25" s="158"/>
      <c r="BL25" s="158"/>
      <c r="BM25" s="158"/>
      <c r="BN25" s="158"/>
      <c r="BO25" s="158"/>
      <c r="BP25" s="158"/>
      <c r="BQ25" s="158"/>
    </row>
    <row r="26" spans="2:69" s="152" customFormat="1" ht="4.9000000000000004" customHeight="1" x14ac:dyDescent="0.25">
      <c r="B26" s="159"/>
      <c r="C26" s="148"/>
      <c r="D26" s="154"/>
      <c r="E26" s="154"/>
      <c r="F26" s="154"/>
      <c r="G26" s="154"/>
      <c r="H26" s="154"/>
      <c r="I26" s="154"/>
      <c r="J26" s="154"/>
      <c r="K26" s="154"/>
      <c r="L26" s="154"/>
      <c r="M26" s="154"/>
      <c r="N26" s="154"/>
      <c r="O26" s="154"/>
      <c r="P26" s="154"/>
      <c r="Q26" s="154"/>
      <c r="R26" s="154"/>
      <c r="S26" s="154"/>
      <c r="T26" s="154"/>
      <c r="U26" s="154"/>
      <c r="V26" s="154"/>
      <c r="W26" s="154"/>
      <c r="X26" s="154"/>
      <c r="Y26" s="154"/>
      <c r="Z26" s="154"/>
      <c r="AA26" s="154"/>
      <c r="AB26" s="154"/>
      <c r="AC26" s="154"/>
      <c r="AD26" s="154"/>
      <c r="AE26" s="154"/>
      <c r="AF26" s="154"/>
      <c r="AG26" s="154"/>
      <c r="AH26" s="154"/>
      <c r="AI26" s="154"/>
      <c r="AJ26" s="154"/>
      <c r="AK26" s="154"/>
      <c r="AL26" s="154"/>
      <c r="AM26" s="154"/>
      <c r="AN26" s="147"/>
      <c r="AO26" s="147"/>
      <c r="AP26" s="147"/>
      <c r="AQ26" s="147"/>
      <c r="AR26" s="147"/>
      <c r="AS26" s="147"/>
      <c r="AT26" s="160"/>
      <c r="AU26" s="153"/>
      <c r="AV26" s="158"/>
      <c r="AW26" s="158"/>
      <c r="AX26" s="158"/>
      <c r="AY26" s="158"/>
      <c r="AZ26" s="158"/>
      <c r="BA26" s="158"/>
      <c r="BB26" s="158"/>
      <c r="BC26" s="158"/>
      <c r="BD26" s="158"/>
      <c r="BE26" s="158"/>
      <c r="BF26" s="158"/>
      <c r="BG26" s="158"/>
      <c r="BH26" s="158"/>
      <c r="BI26" s="158"/>
      <c r="BJ26" s="158"/>
      <c r="BK26" s="158"/>
      <c r="BL26" s="158"/>
      <c r="BM26" s="158"/>
      <c r="BN26" s="158"/>
      <c r="BO26" s="158"/>
      <c r="BP26" s="158"/>
      <c r="BQ26" s="158"/>
    </row>
    <row r="27" spans="2:69" s="152" customFormat="1" ht="16.899999999999999" customHeight="1" x14ac:dyDescent="0.25">
      <c r="B27" s="159"/>
      <c r="C27" s="154"/>
      <c r="D27" s="154"/>
      <c r="E27" s="154"/>
      <c r="F27" s="167"/>
      <c r="G27" s="154"/>
      <c r="H27" s="154"/>
      <c r="I27" s="154"/>
      <c r="J27" s="154"/>
      <c r="K27" s="154"/>
      <c r="L27" s="154"/>
      <c r="M27" s="154"/>
      <c r="N27" s="146">
        <f>'R-Resumo Bal. Massa'!D29-'R-Resumo Bal. Massa'!D28</f>
        <v>0</v>
      </c>
      <c r="O27" s="154"/>
      <c r="P27" s="154"/>
      <c r="Q27" s="154"/>
      <c r="R27" s="154"/>
      <c r="S27" s="154"/>
      <c r="T27" s="154"/>
      <c r="U27" s="154"/>
      <c r="V27" s="2752">
        <f>'R-Resumo Bal. Massa'!B25</f>
        <v>0</v>
      </c>
      <c r="W27" s="2754"/>
      <c r="X27" s="154"/>
      <c r="Y27" s="2781" t="s">
        <v>99</v>
      </c>
      <c r="Z27" s="2756"/>
      <c r="AA27" s="2756"/>
      <c r="AB27" s="2757"/>
      <c r="AC27" s="154"/>
      <c r="AD27" s="154"/>
      <c r="AE27" s="154"/>
      <c r="AF27" s="154"/>
      <c r="AG27" s="154"/>
      <c r="AH27" s="154"/>
      <c r="AI27" s="154"/>
      <c r="AJ27" s="154"/>
      <c r="AK27" s="154"/>
      <c r="AL27" s="154"/>
      <c r="AM27" s="154"/>
      <c r="AN27" s="147"/>
      <c r="AO27" s="146">
        <f>'R-Resumo Bal. Massa'!E29</f>
        <v>0</v>
      </c>
      <c r="AP27" s="147"/>
      <c r="AQ27" s="147"/>
      <c r="AR27" s="147"/>
      <c r="AS27" s="147"/>
      <c r="AT27" s="160"/>
      <c r="AU27" s="153"/>
      <c r="AW27" s="168"/>
    </row>
    <row r="28" spans="2:69" s="152" customFormat="1" ht="3" customHeight="1" x14ac:dyDescent="0.25">
      <c r="B28" s="159"/>
      <c r="C28" s="154"/>
      <c r="D28" s="154"/>
      <c r="E28" s="154"/>
      <c r="F28" s="154"/>
      <c r="G28" s="154"/>
      <c r="H28" s="154"/>
      <c r="I28" s="154"/>
      <c r="J28" s="154"/>
      <c r="K28" s="154"/>
      <c r="L28" s="154"/>
      <c r="M28" s="154"/>
      <c r="N28" s="154"/>
      <c r="O28" s="154"/>
      <c r="P28" s="154"/>
      <c r="Q28" s="154"/>
      <c r="R28" s="154"/>
      <c r="S28" s="154"/>
      <c r="T28" s="154"/>
      <c r="U28" s="154"/>
      <c r="V28" s="154"/>
      <c r="W28" s="154"/>
      <c r="X28" s="154"/>
      <c r="Y28" s="154"/>
      <c r="Z28" s="154"/>
      <c r="AA28" s="154"/>
      <c r="AB28" s="154"/>
      <c r="AC28" s="154"/>
      <c r="AD28" s="154"/>
      <c r="AE28" s="154"/>
      <c r="AF28" s="154"/>
      <c r="AG28" s="154"/>
      <c r="AH28" s="154"/>
      <c r="AI28" s="154"/>
      <c r="AJ28" s="154"/>
      <c r="AK28" s="154"/>
      <c r="AL28" s="154"/>
      <c r="AM28" s="154"/>
      <c r="AN28" s="147"/>
      <c r="AO28" s="147"/>
      <c r="AP28" s="147"/>
      <c r="AQ28" s="147"/>
      <c r="AR28" s="147"/>
      <c r="AS28" s="147"/>
      <c r="AT28" s="160"/>
      <c r="AU28" s="153"/>
    </row>
    <row r="29" spans="2:69" s="152" customFormat="1" ht="16.899999999999999" customHeight="1" x14ac:dyDescent="0.25">
      <c r="B29" s="159"/>
      <c r="C29" s="154"/>
      <c r="D29" s="154"/>
      <c r="E29" s="154"/>
      <c r="F29" s="147"/>
      <c r="G29" s="154"/>
      <c r="H29" s="154"/>
      <c r="I29" s="154"/>
      <c r="J29" s="154"/>
      <c r="K29" s="154"/>
      <c r="L29" s="154"/>
      <c r="M29" s="154"/>
      <c r="N29" s="154"/>
      <c r="O29" s="154"/>
      <c r="P29" s="154"/>
      <c r="Q29" s="154"/>
      <c r="R29" s="154"/>
      <c r="S29" s="2752">
        <f>'R-Definição'!E59</f>
        <v>0</v>
      </c>
      <c r="T29" s="2754"/>
      <c r="U29" s="154"/>
      <c r="V29" s="154"/>
      <c r="W29" s="154"/>
      <c r="X29" s="154"/>
      <c r="Y29" s="154"/>
      <c r="Z29" s="154"/>
      <c r="AA29" s="154"/>
      <c r="AB29" s="154"/>
      <c r="AC29" s="154"/>
      <c r="AD29" s="154"/>
      <c r="AE29" s="154"/>
      <c r="AF29" s="154"/>
      <c r="AG29" s="154"/>
      <c r="AH29" s="154"/>
      <c r="AI29" s="154"/>
      <c r="AJ29" s="154"/>
      <c r="AK29" s="154"/>
      <c r="AL29" s="154"/>
      <c r="AM29" s="154"/>
      <c r="AN29" s="147"/>
      <c r="AO29" s="147"/>
      <c r="AP29" s="147"/>
      <c r="AQ29" s="146">
        <f>'R-Resumo Bal. Massa'!H29</f>
        <v>0</v>
      </c>
      <c r="AR29" s="147"/>
      <c r="AS29" s="147"/>
      <c r="AT29" s="160"/>
      <c r="AU29" s="153"/>
    </row>
    <row r="30" spans="2:69" s="152" customFormat="1" ht="6" customHeight="1" x14ac:dyDescent="0.25">
      <c r="B30" s="159"/>
      <c r="C30" s="154"/>
      <c r="D30" s="154"/>
      <c r="E30" s="154"/>
      <c r="F30" s="154"/>
      <c r="G30" s="154"/>
      <c r="H30" s="154"/>
      <c r="I30" s="154"/>
      <c r="J30" s="154"/>
      <c r="K30" s="154"/>
      <c r="L30" s="154"/>
      <c r="M30" s="154"/>
      <c r="N30" s="154"/>
      <c r="O30" s="154"/>
      <c r="P30" s="154"/>
      <c r="Q30" s="154"/>
      <c r="R30" s="154"/>
      <c r="S30" s="154"/>
      <c r="T30" s="154"/>
      <c r="U30" s="154"/>
      <c r="V30" s="154"/>
      <c r="W30" s="154"/>
      <c r="X30" s="154"/>
      <c r="Y30" s="154"/>
      <c r="Z30" s="154"/>
      <c r="AA30" s="154"/>
      <c r="AB30" s="154"/>
      <c r="AC30" s="154"/>
      <c r="AD30" s="154"/>
      <c r="AE30" s="154"/>
      <c r="AF30" s="154"/>
      <c r="AG30" s="154"/>
      <c r="AH30" s="154"/>
      <c r="AI30" s="154"/>
      <c r="AJ30" s="154"/>
      <c r="AK30" s="154"/>
      <c r="AL30" s="154"/>
      <c r="AM30" s="154"/>
      <c r="AN30" s="147"/>
      <c r="AO30" s="147"/>
      <c r="AP30" s="147"/>
      <c r="AQ30" s="147"/>
      <c r="AR30" s="147"/>
      <c r="AS30" s="147"/>
      <c r="AT30" s="160"/>
      <c r="AU30" s="153"/>
    </row>
    <row r="31" spans="2:69" s="152" customFormat="1" ht="16.899999999999999" customHeight="1" x14ac:dyDescent="0.25">
      <c r="B31" s="159"/>
      <c r="C31" s="154"/>
      <c r="D31" s="154"/>
      <c r="E31" s="154"/>
      <c r="F31" s="154"/>
      <c r="G31" s="154"/>
      <c r="H31" s="154"/>
      <c r="I31" s="154"/>
      <c r="J31" s="2752">
        <f>SUM('R-Resumo Bal. Massa'!D40:D42)</f>
        <v>4.5324731249999992</v>
      </c>
      <c r="K31" s="2753"/>
      <c r="L31" s="2753"/>
      <c r="M31" s="2754"/>
      <c r="N31" s="154"/>
      <c r="O31" s="154"/>
      <c r="P31" s="154"/>
      <c r="Q31" s="154"/>
      <c r="R31" s="154"/>
      <c r="S31" s="154"/>
      <c r="T31" s="154"/>
      <c r="U31" s="154"/>
      <c r="V31" s="154"/>
      <c r="W31" s="154"/>
      <c r="X31" s="154"/>
      <c r="Y31" s="154"/>
      <c r="Z31" s="154"/>
      <c r="AA31" s="154"/>
      <c r="AB31" s="154"/>
      <c r="AC31" s="154"/>
      <c r="AD31" s="154"/>
      <c r="AE31" s="154"/>
      <c r="AF31" s="154"/>
      <c r="AG31" s="154"/>
      <c r="AH31" s="154"/>
      <c r="AI31" s="154"/>
      <c r="AJ31" s="154"/>
      <c r="AK31" s="154"/>
      <c r="AL31" s="154"/>
      <c r="AM31" s="154"/>
      <c r="AN31" s="147"/>
      <c r="AO31" s="147"/>
      <c r="AP31" s="147"/>
      <c r="AQ31" s="147"/>
      <c r="AR31" s="147"/>
      <c r="AS31" s="146">
        <f>'R-Resumo Bal. Massa'!G29</f>
        <v>0</v>
      </c>
      <c r="AT31" s="160"/>
      <c r="AU31" s="153"/>
      <c r="AV31" s="168"/>
    </row>
    <row r="32" spans="2:69" s="152" customFormat="1" ht="4.1500000000000004" customHeight="1" x14ac:dyDescent="0.25">
      <c r="B32" s="159"/>
      <c r="C32" s="154"/>
      <c r="D32" s="154"/>
      <c r="E32" s="154"/>
      <c r="F32" s="154"/>
      <c r="G32" s="154"/>
      <c r="H32" s="154"/>
      <c r="I32" s="154"/>
      <c r="J32" s="154"/>
      <c r="K32" s="154"/>
      <c r="L32" s="154"/>
      <c r="M32" s="154"/>
      <c r="N32" s="154"/>
      <c r="O32" s="154"/>
      <c r="P32" s="154"/>
      <c r="Q32" s="154"/>
      <c r="R32" s="154"/>
      <c r="S32" s="154"/>
      <c r="T32" s="154"/>
      <c r="U32" s="154"/>
      <c r="V32" s="154"/>
      <c r="W32" s="154"/>
      <c r="X32" s="154"/>
      <c r="Y32" s="154"/>
      <c r="Z32" s="154"/>
      <c r="AA32" s="154"/>
      <c r="AB32" s="154"/>
      <c r="AC32" s="154"/>
      <c r="AD32" s="154"/>
      <c r="AE32" s="154"/>
      <c r="AF32" s="154"/>
      <c r="AG32" s="154"/>
      <c r="AH32" s="154"/>
      <c r="AI32" s="154"/>
      <c r="AJ32" s="154"/>
      <c r="AK32" s="154"/>
      <c r="AL32" s="154"/>
      <c r="AM32" s="154"/>
      <c r="AN32" s="147"/>
      <c r="AO32" s="147"/>
      <c r="AP32" s="147"/>
      <c r="AQ32" s="147"/>
      <c r="AR32" s="147"/>
      <c r="AS32" s="147"/>
      <c r="AT32" s="160"/>
      <c r="AU32" s="153"/>
      <c r="AV32" s="169"/>
      <c r="AW32" s="170"/>
      <c r="AX32" s="169"/>
      <c r="AY32" s="170"/>
      <c r="AZ32" s="169"/>
      <c r="BA32" s="170"/>
    </row>
    <row r="33" spans="2:53" s="152" customFormat="1" ht="16.899999999999999" customHeight="1" x14ac:dyDescent="0.25">
      <c r="B33" s="159"/>
      <c r="C33" s="154"/>
      <c r="D33" s="154"/>
      <c r="E33" s="154"/>
      <c r="F33" s="146">
        <f>'R-Resumo Bal. Massa'!D14</f>
        <v>0</v>
      </c>
      <c r="G33" s="154"/>
      <c r="H33" s="154"/>
      <c r="I33" s="154"/>
      <c r="J33" s="154"/>
      <c r="K33" s="154"/>
      <c r="L33" s="154"/>
      <c r="M33" s="154"/>
      <c r="N33" s="154"/>
      <c r="O33" s="154"/>
      <c r="P33" s="154"/>
      <c r="Q33" s="154"/>
      <c r="R33" s="154"/>
      <c r="S33" s="2752">
        <f>'R-Resumo Bal. Massa'!D36</f>
        <v>0</v>
      </c>
      <c r="T33" s="2754"/>
      <c r="U33" s="154"/>
      <c r="V33" s="154"/>
      <c r="W33" s="154"/>
      <c r="X33" s="154"/>
      <c r="Y33" s="2752">
        <f>'R-Definição'!E60*'R-Definição'!J59/100</f>
        <v>0</v>
      </c>
      <c r="Z33" s="2754"/>
      <c r="AA33" s="154"/>
      <c r="AB33" s="2784" t="s">
        <v>114</v>
      </c>
      <c r="AC33" s="2785"/>
      <c r="AD33" s="2785"/>
      <c r="AE33" s="2785"/>
      <c r="AF33" s="2786"/>
      <c r="AG33" s="154"/>
      <c r="AH33" s="154"/>
      <c r="AI33" s="154"/>
      <c r="AJ33" s="154"/>
      <c r="AK33" s="154"/>
      <c r="AL33" s="154"/>
      <c r="AM33" s="154"/>
      <c r="AN33" s="147"/>
      <c r="AO33" s="147"/>
      <c r="AP33" s="147"/>
      <c r="AQ33" s="146">
        <f>'R-Definição'!O62*'R-Definição'!F63</f>
        <v>0</v>
      </c>
      <c r="AR33" s="147"/>
      <c r="AS33" s="147"/>
      <c r="AT33" s="160"/>
      <c r="AU33" s="153"/>
      <c r="AV33" s="169"/>
      <c r="AW33" s="170"/>
      <c r="AX33" s="169"/>
      <c r="AY33" s="170"/>
    </row>
    <row r="34" spans="2:53" s="152" customFormat="1" ht="7.15" customHeight="1" x14ac:dyDescent="0.25">
      <c r="B34" s="159"/>
      <c r="C34" s="154"/>
      <c r="D34" s="154"/>
      <c r="E34" s="154"/>
      <c r="F34" s="154"/>
      <c r="G34" s="154"/>
      <c r="H34" s="154"/>
      <c r="I34" s="154"/>
      <c r="J34" s="154"/>
      <c r="K34" s="154"/>
      <c r="L34" s="154"/>
      <c r="M34" s="154"/>
      <c r="N34" s="154"/>
      <c r="O34" s="154"/>
      <c r="P34" s="154"/>
      <c r="Q34" s="154"/>
      <c r="R34" s="154"/>
      <c r="S34" s="154"/>
      <c r="T34" s="154"/>
      <c r="U34" s="154"/>
      <c r="V34" s="154"/>
      <c r="W34" s="154"/>
      <c r="X34" s="154"/>
      <c r="Y34" s="154"/>
      <c r="Z34" s="154"/>
      <c r="AA34" s="154"/>
      <c r="AB34" s="154"/>
      <c r="AC34" s="154"/>
      <c r="AD34" s="154"/>
      <c r="AE34" s="154"/>
      <c r="AF34" s="154"/>
      <c r="AG34" s="154"/>
      <c r="AH34" s="154"/>
      <c r="AI34" s="154"/>
      <c r="AJ34" s="154"/>
      <c r="AK34" s="154"/>
      <c r="AL34" s="154"/>
      <c r="AM34" s="154"/>
      <c r="AN34" s="147"/>
      <c r="AO34" s="147"/>
      <c r="AP34" s="147"/>
      <c r="AQ34" s="147"/>
      <c r="AR34" s="147"/>
      <c r="AS34" s="147"/>
      <c r="AT34" s="160"/>
      <c r="AU34" s="153"/>
      <c r="AV34" s="169"/>
      <c r="AW34" s="170"/>
      <c r="AX34" s="169"/>
      <c r="AY34" s="170"/>
    </row>
    <row r="35" spans="2:53" s="152" customFormat="1" ht="13.9" customHeight="1" x14ac:dyDescent="0.25">
      <c r="B35" s="159"/>
      <c r="C35" s="154"/>
      <c r="D35" s="154"/>
      <c r="E35" s="154"/>
      <c r="F35" s="154"/>
      <c r="G35" s="154"/>
      <c r="H35" s="154"/>
      <c r="I35" s="154"/>
      <c r="J35" s="154"/>
      <c r="K35" s="154"/>
      <c r="L35" s="154"/>
      <c r="M35" s="154"/>
      <c r="N35" s="154"/>
      <c r="O35" s="154"/>
      <c r="P35" s="154"/>
      <c r="Q35" s="154"/>
      <c r="R35" s="154"/>
      <c r="S35" s="154"/>
      <c r="T35" s="154"/>
      <c r="U35" s="154"/>
      <c r="V35" s="154"/>
      <c r="W35" s="154"/>
      <c r="X35" s="154"/>
      <c r="Y35" s="154"/>
      <c r="Z35" s="154"/>
      <c r="AA35" s="154"/>
      <c r="AB35" s="154"/>
      <c r="AC35" s="154"/>
      <c r="AD35" s="2752">
        <f>'R-Definição'!J68</f>
        <v>0</v>
      </c>
      <c r="AE35" s="2754"/>
      <c r="AF35" s="154"/>
      <c r="AG35" s="154"/>
      <c r="AH35" s="154"/>
      <c r="AI35" s="154"/>
      <c r="AJ35" s="154"/>
      <c r="AK35" s="154"/>
      <c r="AL35" s="154"/>
      <c r="AM35" s="154"/>
      <c r="AN35" s="147"/>
      <c r="AO35" s="147"/>
      <c r="AP35" s="147"/>
      <c r="AQ35" s="147"/>
      <c r="AR35" s="147"/>
      <c r="AS35" s="147"/>
      <c r="AT35" s="160"/>
      <c r="AU35" s="153"/>
      <c r="AV35" s="168"/>
      <c r="AW35" s="171"/>
    </row>
    <row r="36" spans="2:53" s="152" customFormat="1" ht="7.15" customHeight="1" x14ac:dyDescent="0.25">
      <c r="B36" s="159"/>
      <c r="C36" s="154"/>
      <c r="D36" s="154"/>
      <c r="E36" s="154"/>
      <c r="F36" s="154"/>
      <c r="G36" s="154"/>
      <c r="H36" s="154"/>
      <c r="I36" s="154"/>
      <c r="J36" s="154"/>
      <c r="K36" s="154"/>
      <c r="L36" s="154"/>
      <c r="M36" s="154"/>
      <c r="N36" s="154"/>
      <c r="O36" s="154"/>
      <c r="P36" s="154"/>
      <c r="Q36" s="154"/>
      <c r="R36" s="154"/>
      <c r="S36" s="154"/>
      <c r="T36" s="154"/>
      <c r="U36" s="154"/>
      <c r="V36" s="154"/>
      <c r="W36" s="154"/>
      <c r="X36" s="154"/>
      <c r="Y36" s="154"/>
      <c r="Z36" s="154"/>
      <c r="AA36" s="154"/>
      <c r="AB36" s="154"/>
      <c r="AC36" s="154"/>
      <c r="AD36" s="154"/>
      <c r="AE36" s="154"/>
      <c r="AF36" s="154"/>
      <c r="AG36" s="154"/>
      <c r="AH36" s="154"/>
      <c r="AI36" s="154"/>
      <c r="AJ36" s="154"/>
      <c r="AK36" s="154"/>
      <c r="AL36" s="154"/>
      <c r="AM36" s="154"/>
      <c r="AN36" s="147"/>
      <c r="AO36" s="147"/>
      <c r="AP36" s="147"/>
      <c r="AQ36" s="147"/>
      <c r="AR36" s="147"/>
      <c r="AS36" s="147"/>
      <c r="AT36" s="160"/>
      <c r="AU36" s="153"/>
    </row>
    <row r="37" spans="2:53" s="152" customFormat="1" ht="18" customHeight="1" x14ac:dyDescent="0.25">
      <c r="B37" s="159"/>
      <c r="C37" s="154"/>
      <c r="D37" s="154"/>
      <c r="E37" s="154"/>
      <c r="F37" s="154"/>
      <c r="G37" s="154"/>
      <c r="H37" s="154"/>
      <c r="I37" s="154"/>
      <c r="J37" s="154"/>
      <c r="K37" s="154"/>
      <c r="L37" s="154"/>
      <c r="M37" s="154"/>
      <c r="N37" s="154"/>
      <c r="O37" s="154"/>
      <c r="P37" s="172"/>
      <c r="Q37" s="154"/>
      <c r="R37" s="154"/>
      <c r="S37" s="2752">
        <f>'R-Resumo Bal. Massa'!D35</f>
        <v>0</v>
      </c>
      <c r="T37" s="2754"/>
      <c r="U37" s="154"/>
      <c r="V37" s="154"/>
      <c r="W37" s="154"/>
      <c r="X37" s="154"/>
      <c r="Y37" s="154"/>
      <c r="Z37" s="154"/>
      <c r="AA37" s="154"/>
      <c r="AB37" s="154"/>
      <c r="AC37" s="154"/>
      <c r="AD37" s="2781" t="s">
        <v>131</v>
      </c>
      <c r="AE37" s="2756"/>
      <c r="AF37" s="2756"/>
      <c r="AG37" s="2757"/>
      <c r="AH37" s="154"/>
      <c r="AI37" s="154"/>
      <c r="AJ37" s="154"/>
      <c r="AK37" s="154"/>
      <c r="AL37" s="154"/>
      <c r="AM37" s="154"/>
      <c r="AN37" s="147"/>
      <c r="AO37" s="146">
        <f>'R-Resumo Bal. Massa'!F36-'R-Resumo Bal. Massa'!F33</f>
        <v>0</v>
      </c>
      <c r="AP37" s="147"/>
      <c r="AQ37" s="147"/>
      <c r="AR37" s="147"/>
      <c r="AS37" s="147"/>
      <c r="AT37" s="160"/>
      <c r="AU37" s="153"/>
      <c r="AV37" s="169"/>
      <c r="AW37" s="170"/>
    </row>
    <row r="38" spans="2:53" s="152" customFormat="1" ht="7.15" customHeight="1" x14ac:dyDescent="0.25">
      <c r="B38" s="159"/>
      <c r="C38" s="154"/>
      <c r="D38" s="154"/>
      <c r="E38" s="154"/>
      <c r="F38" s="154"/>
      <c r="G38" s="154"/>
      <c r="H38" s="154"/>
      <c r="I38" s="154"/>
      <c r="J38" s="154"/>
      <c r="K38" s="154"/>
      <c r="L38" s="154"/>
      <c r="M38" s="154"/>
      <c r="N38" s="154"/>
      <c r="O38" s="154"/>
      <c r="P38" s="154"/>
      <c r="Q38" s="154"/>
      <c r="R38" s="154"/>
      <c r="S38" s="154"/>
      <c r="T38" s="154"/>
      <c r="U38" s="154"/>
      <c r="V38" s="154"/>
      <c r="W38" s="154"/>
      <c r="X38" s="154"/>
      <c r="Y38" s="154"/>
      <c r="Z38" s="154"/>
      <c r="AA38" s="154"/>
      <c r="AB38" s="154"/>
      <c r="AC38" s="154"/>
      <c r="AD38" s="154"/>
      <c r="AE38" s="154"/>
      <c r="AF38" s="154"/>
      <c r="AG38" s="154"/>
      <c r="AH38" s="154"/>
      <c r="AI38" s="154"/>
      <c r="AJ38" s="154"/>
      <c r="AK38" s="154"/>
      <c r="AL38" s="154"/>
      <c r="AM38" s="154"/>
      <c r="AN38" s="147"/>
      <c r="AO38" s="147"/>
      <c r="AP38" s="147"/>
      <c r="AQ38" s="147"/>
      <c r="AR38" s="147"/>
      <c r="AS38" s="147"/>
      <c r="AT38" s="160"/>
      <c r="AU38" s="153"/>
      <c r="AV38" s="169"/>
      <c r="AW38" s="170"/>
    </row>
    <row r="39" spans="2:53" s="152" customFormat="1" ht="16.899999999999999" customHeight="1" x14ac:dyDescent="0.25">
      <c r="B39" s="159"/>
      <c r="C39" s="154"/>
      <c r="D39" s="154"/>
      <c r="E39" s="154"/>
      <c r="F39" s="154"/>
      <c r="G39" s="154"/>
      <c r="H39" s="154"/>
      <c r="I39" s="154"/>
      <c r="J39" s="154"/>
      <c r="K39" s="154"/>
      <c r="L39" s="154"/>
      <c r="M39" s="154"/>
      <c r="N39" s="154"/>
      <c r="O39" s="154"/>
      <c r="P39" s="154"/>
      <c r="Q39" s="154"/>
      <c r="R39" s="154"/>
      <c r="S39" s="154"/>
      <c r="T39" s="154"/>
      <c r="U39" s="154"/>
      <c r="V39" s="154"/>
      <c r="W39" s="154"/>
      <c r="X39" s="154"/>
      <c r="Y39" s="148"/>
      <c r="Z39" s="154"/>
      <c r="AA39" s="154"/>
      <c r="AB39" s="154"/>
      <c r="AC39" s="154"/>
      <c r="AD39" s="154"/>
      <c r="AE39" s="154"/>
      <c r="AF39" s="154"/>
      <c r="AG39" s="154"/>
      <c r="AH39" s="154"/>
      <c r="AI39" s="154"/>
      <c r="AJ39" s="154"/>
      <c r="AK39" s="154"/>
      <c r="AL39" s="154"/>
      <c r="AM39" s="154"/>
      <c r="AN39" s="147"/>
      <c r="AO39" s="147"/>
      <c r="AP39" s="147"/>
      <c r="AQ39" s="146">
        <f>'R-Definição'!O63*'R-Definição'!F69+'R-Definição'!O64*'R-Definição'!F69</f>
        <v>0</v>
      </c>
      <c r="AR39" s="147"/>
      <c r="AS39" s="147"/>
      <c r="AT39" s="160"/>
      <c r="AU39" s="153"/>
      <c r="AV39" s="169"/>
      <c r="AW39" s="170"/>
    </row>
    <row r="40" spans="2:53" s="152" customFormat="1" ht="7.15" customHeight="1" x14ac:dyDescent="0.25">
      <c r="B40" s="159"/>
      <c r="C40" s="154"/>
      <c r="D40" s="154"/>
      <c r="E40" s="154"/>
      <c r="F40" s="154"/>
      <c r="G40" s="154"/>
      <c r="H40" s="154"/>
      <c r="I40" s="154"/>
      <c r="J40" s="154"/>
      <c r="K40" s="154"/>
      <c r="L40" s="154"/>
      <c r="M40" s="154"/>
      <c r="N40" s="154"/>
      <c r="O40" s="154"/>
      <c r="P40" s="154"/>
      <c r="Q40" s="154"/>
      <c r="R40" s="154"/>
      <c r="S40" s="154"/>
      <c r="T40" s="154"/>
      <c r="U40" s="154"/>
      <c r="V40" s="154"/>
      <c r="W40" s="154"/>
      <c r="X40" s="154"/>
      <c r="Y40" s="154"/>
      <c r="Z40" s="154"/>
      <c r="AA40" s="154"/>
      <c r="AB40" s="154"/>
      <c r="AC40" s="154"/>
      <c r="AD40" s="154"/>
      <c r="AE40" s="154"/>
      <c r="AF40" s="154"/>
      <c r="AG40" s="154"/>
      <c r="AH40" s="154"/>
      <c r="AI40" s="154"/>
      <c r="AJ40" s="154"/>
      <c r="AK40" s="154"/>
      <c r="AL40" s="154"/>
      <c r="AM40" s="154"/>
      <c r="AN40" s="147"/>
      <c r="AO40" s="147"/>
      <c r="AP40" s="147"/>
      <c r="AQ40" s="147"/>
      <c r="AR40" s="147"/>
      <c r="AS40" s="147"/>
      <c r="AT40" s="160"/>
      <c r="AV40" s="169"/>
      <c r="AW40" s="170"/>
      <c r="AX40" s="169"/>
      <c r="AY40" s="170"/>
      <c r="AZ40" s="169"/>
      <c r="BA40" s="170"/>
    </row>
    <row r="41" spans="2:53" s="152" customFormat="1" ht="16.899999999999999" customHeight="1" x14ac:dyDescent="0.25">
      <c r="B41" s="159"/>
      <c r="C41" s="154"/>
      <c r="D41" s="154"/>
      <c r="E41" s="154"/>
      <c r="F41" s="154"/>
      <c r="G41" s="154"/>
      <c r="H41" s="154"/>
      <c r="I41" s="154"/>
      <c r="J41" s="154"/>
      <c r="K41" s="154"/>
      <c r="L41" s="154"/>
      <c r="M41" s="154"/>
      <c r="N41" s="154"/>
      <c r="O41" s="154"/>
      <c r="P41" s="154"/>
      <c r="Q41" s="154"/>
      <c r="R41" s="154"/>
      <c r="S41" s="154"/>
      <c r="T41" s="2752">
        <f>'R-Resumo Bal. Massa'!D43</f>
        <v>4.0304024999999992</v>
      </c>
      <c r="U41" s="2754"/>
      <c r="V41" s="154"/>
      <c r="W41" s="154"/>
      <c r="X41" s="154"/>
      <c r="Y41" s="154"/>
      <c r="Z41" s="154"/>
      <c r="AA41" s="154"/>
      <c r="AB41" s="154"/>
      <c r="AC41" s="154"/>
      <c r="AD41" s="154"/>
      <c r="AE41" s="154"/>
      <c r="AF41" s="154"/>
      <c r="AG41" s="154"/>
      <c r="AH41" s="154"/>
      <c r="AI41" s="154"/>
      <c r="AJ41" s="154"/>
      <c r="AK41" s="154"/>
      <c r="AL41" s="154"/>
      <c r="AM41" s="154"/>
      <c r="AN41" s="147"/>
      <c r="AO41" s="147"/>
      <c r="AP41" s="147"/>
      <c r="AQ41" s="147"/>
      <c r="AR41" s="147"/>
      <c r="AS41" s="146">
        <f>'R-Resumo Bal. Massa'!G36</f>
        <v>0</v>
      </c>
      <c r="AT41" s="160"/>
      <c r="AV41" s="173"/>
      <c r="AW41" s="170"/>
      <c r="AX41" s="169"/>
      <c r="AY41" s="170"/>
      <c r="AZ41" s="169"/>
      <c r="BA41" s="170"/>
    </row>
    <row r="42" spans="2:53" s="152" customFormat="1" ht="4.1500000000000004" customHeight="1" x14ac:dyDescent="0.25">
      <c r="B42" s="159"/>
      <c r="C42" s="154"/>
      <c r="D42" s="154"/>
      <c r="E42" s="154"/>
      <c r="F42" s="154"/>
      <c r="G42" s="154"/>
      <c r="H42" s="154"/>
      <c r="I42" s="154"/>
      <c r="J42" s="154"/>
      <c r="K42" s="154"/>
      <c r="L42" s="154"/>
      <c r="M42" s="154"/>
      <c r="N42" s="154"/>
      <c r="O42" s="154"/>
      <c r="P42" s="154"/>
      <c r="Q42" s="154"/>
      <c r="R42" s="154"/>
      <c r="S42" s="154"/>
      <c r="T42" s="154"/>
      <c r="U42" s="154"/>
      <c r="V42" s="154"/>
      <c r="W42" s="154"/>
      <c r="X42" s="154"/>
      <c r="Y42" s="154"/>
      <c r="Z42" s="154"/>
      <c r="AA42" s="154"/>
      <c r="AB42" s="154"/>
      <c r="AC42" s="154"/>
      <c r="AD42" s="154"/>
      <c r="AE42" s="154"/>
      <c r="AF42" s="154"/>
      <c r="AG42" s="154"/>
      <c r="AH42" s="154"/>
      <c r="AI42" s="154"/>
      <c r="AJ42" s="154"/>
      <c r="AK42" s="154"/>
      <c r="AL42" s="154"/>
      <c r="AM42" s="154"/>
      <c r="AN42" s="147"/>
      <c r="AO42" s="147"/>
      <c r="AP42" s="147"/>
      <c r="AQ42" s="147"/>
      <c r="AR42" s="147"/>
      <c r="AS42" s="147"/>
      <c r="AT42" s="160"/>
      <c r="AV42" s="169"/>
      <c r="AW42" s="170"/>
      <c r="AX42" s="169"/>
      <c r="AY42" s="170"/>
      <c r="AZ42" s="169"/>
      <c r="BA42" s="170"/>
    </row>
    <row r="43" spans="2:53" s="152" customFormat="1" ht="16.899999999999999" customHeight="1" x14ac:dyDescent="0.25">
      <c r="B43" s="159"/>
      <c r="C43" s="154"/>
      <c r="D43" s="154"/>
      <c r="E43" s="154"/>
      <c r="F43" s="146">
        <f>'R-Resumo Bal. Massa'!D39</f>
        <v>64.574999999999989</v>
      </c>
      <c r="G43" s="154"/>
      <c r="H43" s="154"/>
      <c r="I43" s="154"/>
      <c r="J43" s="2752">
        <f>SUM('R-Resumo Bal. Massa'!D39:D42)</f>
        <v>69.107473124999984</v>
      </c>
      <c r="K43" s="2753"/>
      <c r="L43" s="2753"/>
      <c r="M43" s="2754"/>
      <c r="N43" s="154"/>
      <c r="O43" s="154"/>
      <c r="P43" s="154"/>
      <c r="Q43" s="154"/>
      <c r="R43" s="154"/>
      <c r="S43" s="154"/>
      <c r="T43" s="2752">
        <f>'R-Resumo Bal. Massa'!D44</f>
        <v>73.137875624999978</v>
      </c>
      <c r="U43" s="2754"/>
      <c r="V43" s="154"/>
      <c r="W43" s="154"/>
      <c r="X43" s="154"/>
      <c r="Y43" s="154"/>
      <c r="Z43" s="154"/>
      <c r="AA43" s="154"/>
      <c r="AB43" s="154"/>
      <c r="AC43" s="154"/>
      <c r="AD43" s="154"/>
      <c r="AE43" s="154"/>
      <c r="AF43" s="154"/>
      <c r="AG43" s="661"/>
      <c r="AH43" s="2781" t="s">
        <v>204</v>
      </c>
      <c r="AI43" s="2782"/>
      <c r="AJ43" s="2782"/>
      <c r="AK43" s="2783"/>
      <c r="AL43" s="154"/>
      <c r="AM43" s="154"/>
      <c r="AN43" s="147"/>
      <c r="AO43" s="146">
        <f>'R-Resumo Bal. Massa'!E44</f>
        <v>1.6713700813662329</v>
      </c>
      <c r="AP43" s="147"/>
      <c r="AQ43" s="147"/>
      <c r="AR43" s="147"/>
      <c r="AS43" s="147"/>
      <c r="AT43" s="160"/>
      <c r="AV43" s="169"/>
      <c r="AW43" s="170"/>
      <c r="AX43" s="169"/>
      <c r="AY43" s="170"/>
    </row>
    <row r="44" spans="2:53" s="152" customFormat="1" ht="7.15" customHeight="1" x14ac:dyDescent="0.25">
      <c r="B44" s="159"/>
      <c r="C44" s="154"/>
      <c r="D44" s="154"/>
      <c r="E44" s="154"/>
      <c r="F44" s="154"/>
      <c r="G44" s="154"/>
      <c r="H44" s="154"/>
      <c r="I44" s="154"/>
      <c r="J44" s="154"/>
      <c r="K44" s="154"/>
      <c r="L44" s="154"/>
      <c r="M44" s="154"/>
      <c r="N44" s="154"/>
      <c r="O44" s="154"/>
      <c r="P44" s="154"/>
      <c r="Q44" s="154"/>
      <c r="R44" s="154"/>
      <c r="S44" s="154"/>
      <c r="T44" s="154"/>
      <c r="U44" s="154"/>
      <c r="V44" s="154"/>
      <c r="W44" s="154"/>
      <c r="X44" s="154"/>
      <c r="Y44" s="154"/>
      <c r="Z44" s="154"/>
      <c r="AA44" s="154"/>
      <c r="AB44" s="154"/>
      <c r="AC44" s="154"/>
      <c r="AD44" s="154"/>
      <c r="AE44" s="154"/>
      <c r="AF44" s="154"/>
      <c r="AG44" s="154"/>
      <c r="AH44" s="154"/>
      <c r="AI44" s="154"/>
      <c r="AJ44" s="154"/>
      <c r="AK44" s="154"/>
      <c r="AL44" s="154"/>
      <c r="AM44" s="154"/>
      <c r="AN44" s="147"/>
      <c r="AO44" s="147"/>
      <c r="AP44" s="147"/>
      <c r="AQ44" s="147"/>
      <c r="AR44" s="147"/>
      <c r="AS44" s="147"/>
      <c r="AT44" s="160"/>
    </row>
    <row r="45" spans="2:53" s="152" customFormat="1" ht="16.899999999999999" customHeight="1" x14ac:dyDescent="0.25">
      <c r="B45" s="159"/>
      <c r="C45" s="154"/>
      <c r="D45" s="154"/>
      <c r="E45" s="154"/>
      <c r="F45" s="154"/>
      <c r="G45" s="154"/>
      <c r="H45" s="154"/>
      <c r="I45" s="154"/>
      <c r="J45" s="154"/>
      <c r="K45" s="154"/>
      <c r="L45" s="154"/>
      <c r="M45" s="154"/>
      <c r="N45" s="154"/>
      <c r="O45" s="154"/>
      <c r="P45" s="154"/>
      <c r="Q45" s="154"/>
      <c r="R45" s="154"/>
      <c r="S45" s="154"/>
      <c r="T45" s="154"/>
      <c r="U45" s="154"/>
      <c r="V45" s="154"/>
      <c r="W45" s="154"/>
      <c r="X45" s="154"/>
      <c r="Y45" s="154"/>
      <c r="Z45" s="154"/>
      <c r="AA45" s="154"/>
      <c r="AB45" s="154"/>
      <c r="AC45" s="154"/>
      <c r="AD45" s="154"/>
      <c r="AE45" s="154"/>
      <c r="AF45" s="154"/>
      <c r="AG45" s="154"/>
      <c r="AH45" s="154"/>
      <c r="AI45" s="154"/>
      <c r="AJ45" s="154"/>
      <c r="AK45" s="154"/>
      <c r="AL45" s="154"/>
      <c r="AM45" s="154"/>
      <c r="AN45" s="147"/>
      <c r="AO45" s="147"/>
      <c r="AP45" s="147"/>
      <c r="AQ45" s="146">
        <f>'R-Resumo Bal. Massa'!H44</f>
        <v>56.838930418633758</v>
      </c>
      <c r="AR45" s="147"/>
      <c r="AS45" s="147"/>
      <c r="AT45" s="160"/>
    </row>
    <row r="46" spans="2:53" s="152" customFormat="1" ht="7.15" customHeight="1" x14ac:dyDescent="0.25">
      <c r="B46" s="159"/>
      <c r="C46" s="154"/>
      <c r="D46" s="154"/>
      <c r="E46" s="154"/>
      <c r="F46" s="154"/>
      <c r="G46" s="154"/>
      <c r="H46" s="154"/>
      <c r="I46" s="154"/>
      <c r="J46" s="154"/>
      <c r="K46" s="154"/>
      <c r="L46" s="154"/>
      <c r="M46" s="154"/>
      <c r="N46" s="154"/>
      <c r="O46" s="154"/>
      <c r="P46" s="154"/>
      <c r="Q46" s="154"/>
      <c r="R46" s="154"/>
      <c r="S46" s="154"/>
      <c r="T46" s="154"/>
      <c r="U46" s="154"/>
      <c r="V46" s="154"/>
      <c r="W46" s="154"/>
      <c r="X46" s="154"/>
      <c r="Y46" s="154"/>
      <c r="Z46" s="154"/>
      <c r="AA46" s="154"/>
      <c r="AB46" s="154"/>
      <c r="AC46" s="154"/>
      <c r="AD46" s="154"/>
      <c r="AE46" s="154"/>
      <c r="AF46" s="154"/>
      <c r="AG46" s="154"/>
      <c r="AH46" s="154"/>
      <c r="AI46" s="154"/>
      <c r="AJ46" s="154"/>
      <c r="AK46" s="154"/>
      <c r="AL46" s="154"/>
      <c r="AM46" s="154"/>
      <c r="AN46" s="147"/>
      <c r="AO46" s="147"/>
      <c r="AP46" s="147"/>
      <c r="AQ46" s="147"/>
      <c r="AR46" s="147"/>
      <c r="AS46" s="147"/>
      <c r="AT46" s="160"/>
    </row>
    <row r="47" spans="2:53" s="152" customFormat="1" ht="16.899999999999999" customHeight="1" x14ac:dyDescent="0.25">
      <c r="B47" s="159"/>
      <c r="C47" s="154"/>
      <c r="D47" s="154"/>
      <c r="E47" s="154"/>
      <c r="F47" s="147"/>
      <c r="G47" s="154"/>
      <c r="H47" s="154"/>
      <c r="I47" s="154"/>
      <c r="J47" s="154"/>
      <c r="K47" s="154"/>
      <c r="L47" s="154"/>
      <c r="M47" s="154"/>
      <c r="N47" s="154"/>
      <c r="O47" s="154"/>
      <c r="P47" s="154"/>
      <c r="Q47" s="154"/>
      <c r="R47" s="154"/>
      <c r="S47" s="154"/>
      <c r="T47" s="154"/>
      <c r="U47" s="154"/>
      <c r="V47" s="154"/>
      <c r="W47" s="154"/>
      <c r="X47" s="154"/>
      <c r="Y47" s="154"/>
      <c r="Z47" s="154"/>
      <c r="AA47" s="154"/>
      <c r="AB47" s="154"/>
      <c r="AC47" s="154"/>
      <c r="AD47" s="154"/>
      <c r="AE47" s="154"/>
      <c r="AF47" s="154"/>
      <c r="AG47" s="154"/>
      <c r="AH47" s="154"/>
      <c r="AI47" s="154"/>
      <c r="AJ47" s="154"/>
      <c r="AK47" s="154"/>
      <c r="AL47" s="154"/>
      <c r="AM47" s="154"/>
      <c r="AN47" s="147"/>
      <c r="AO47" s="147"/>
      <c r="AP47" s="147"/>
      <c r="AQ47" s="147"/>
      <c r="AR47" s="147"/>
      <c r="AS47" s="146">
        <f>'R-Resumo Bal. Massa'!G44</f>
        <v>14.627575124999996</v>
      </c>
      <c r="AT47" s="160"/>
    </row>
    <row r="48" spans="2:53" s="152" customFormat="1" ht="9.75" customHeight="1" x14ac:dyDescent="0.25">
      <c r="B48" s="159"/>
      <c r="C48" s="154"/>
      <c r="D48" s="154"/>
      <c r="E48" s="154"/>
      <c r="F48" s="154"/>
      <c r="G48" s="154"/>
      <c r="H48" s="154"/>
      <c r="I48" s="154"/>
      <c r="J48" s="154"/>
      <c r="K48" s="154"/>
      <c r="L48" s="154"/>
      <c r="M48" s="154"/>
      <c r="N48" s="154"/>
      <c r="O48" s="154"/>
      <c r="P48" s="154"/>
      <c r="Q48" s="154"/>
      <c r="R48" s="154"/>
      <c r="S48" s="154"/>
      <c r="T48" s="154"/>
      <c r="U48" s="154"/>
      <c r="V48" s="154"/>
      <c r="W48" s="154"/>
      <c r="X48" s="154"/>
      <c r="Y48" s="154"/>
      <c r="Z48" s="154"/>
      <c r="AA48" s="154"/>
      <c r="AB48" s="154"/>
      <c r="AC48" s="154"/>
      <c r="AD48" s="154"/>
      <c r="AE48" s="154"/>
      <c r="AF48" s="154"/>
      <c r="AG48" s="154"/>
      <c r="AH48" s="154"/>
      <c r="AI48" s="154"/>
      <c r="AJ48" s="154"/>
      <c r="AK48" s="154"/>
      <c r="AL48" s="154"/>
      <c r="AM48" s="154"/>
      <c r="AN48" s="147"/>
      <c r="AO48" s="147"/>
      <c r="AP48" s="147"/>
      <c r="AQ48" s="147"/>
      <c r="AR48" s="147"/>
      <c r="AS48" s="147"/>
      <c r="AT48" s="160"/>
    </row>
    <row r="49" spans="2:49" s="152" customFormat="1" ht="15" customHeight="1" x14ac:dyDescent="0.25">
      <c r="B49" s="159"/>
      <c r="C49" s="154"/>
      <c r="D49" s="154"/>
      <c r="E49" s="154"/>
      <c r="F49" s="154"/>
      <c r="G49" s="154"/>
      <c r="H49" s="154"/>
      <c r="I49" s="154"/>
      <c r="J49" s="154"/>
      <c r="K49" s="154"/>
      <c r="L49" s="154"/>
      <c r="M49" s="154"/>
      <c r="N49" s="154"/>
      <c r="O49" s="154"/>
      <c r="P49" s="154"/>
      <c r="Q49" s="154"/>
      <c r="R49" s="154"/>
      <c r="S49" s="154"/>
      <c r="T49" s="154"/>
      <c r="U49" s="154"/>
      <c r="V49" s="154"/>
      <c r="W49" s="154"/>
      <c r="X49" s="154"/>
      <c r="Y49" s="154"/>
      <c r="Z49" s="154"/>
      <c r="AA49" s="154"/>
      <c r="AB49" s="154"/>
      <c r="AC49" s="154"/>
      <c r="AD49" s="154"/>
      <c r="AE49" s="154"/>
      <c r="AF49" s="154"/>
      <c r="AG49" s="154"/>
      <c r="AH49" s="154"/>
      <c r="AI49" s="154"/>
      <c r="AJ49" s="154"/>
      <c r="AK49" s="154"/>
      <c r="AL49" s="154"/>
      <c r="AM49" s="154"/>
      <c r="AN49" s="147"/>
      <c r="AO49" s="147"/>
      <c r="AP49" s="147"/>
      <c r="AQ49" s="147"/>
      <c r="AR49" s="147"/>
      <c r="AS49" s="149">
        <f>IF('R-Definição'!I24="Sim",'R-Definição'!N15-'R-Definição'!I27-'R-Definição'!E107,'R-Definição'!N15-'R-Definição'!E107)</f>
        <v>0</v>
      </c>
      <c r="AT49" s="160"/>
      <c r="AU49" s="168"/>
      <c r="AW49" s="171"/>
    </row>
    <row r="50" spans="2:49" s="152" customFormat="1" ht="10.5" customHeight="1" x14ac:dyDescent="0.25">
      <c r="B50" s="159"/>
      <c r="C50" s="154"/>
      <c r="D50" s="154"/>
      <c r="E50" s="154"/>
      <c r="F50" s="147"/>
      <c r="G50" s="154"/>
      <c r="H50" s="154"/>
      <c r="I50" s="154"/>
      <c r="J50" s="154"/>
      <c r="K50" s="154"/>
      <c r="L50" s="154"/>
      <c r="M50" s="154"/>
      <c r="N50" s="154"/>
      <c r="O50" s="154"/>
      <c r="P50" s="154"/>
      <c r="Q50" s="154"/>
      <c r="R50" s="154"/>
      <c r="S50" s="154"/>
      <c r="T50" s="154"/>
      <c r="U50" s="154"/>
      <c r="V50" s="154"/>
      <c r="W50" s="154"/>
      <c r="X50" s="154"/>
      <c r="Y50" s="154"/>
      <c r="Z50" s="154"/>
      <c r="AA50" s="154"/>
      <c r="AB50" s="154"/>
      <c r="AC50" s="154"/>
      <c r="AD50" s="154"/>
      <c r="AE50" s="154"/>
      <c r="AF50" s="154"/>
      <c r="AG50" s="154"/>
      <c r="AH50" s="154"/>
      <c r="AI50" s="154"/>
      <c r="AJ50" s="154"/>
      <c r="AK50" s="154"/>
      <c r="AL50" s="154"/>
      <c r="AM50" s="154"/>
      <c r="AN50" s="154"/>
      <c r="AO50" s="154"/>
      <c r="AP50" s="154"/>
      <c r="AQ50" s="154"/>
      <c r="AR50" s="154"/>
      <c r="AS50" s="154"/>
      <c r="AT50" s="160"/>
    </row>
    <row r="51" spans="2:49" s="152" customFormat="1" ht="16.899999999999999" customHeight="1" x14ac:dyDescent="0.25">
      <c r="B51" s="159"/>
      <c r="C51" s="154"/>
      <c r="D51" s="154"/>
      <c r="E51" s="154"/>
      <c r="F51" s="203"/>
      <c r="G51" s="203"/>
      <c r="H51" s="204" t="s">
        <v>205</v>
      </c>
      <c r="I51" s="2750">
        <f>'R-Definição'!E126</f>
        <v>10.239302587499997</v>
      </c>
      <c r="J51" s="2751"/>
      <c r="K51" s="203" t="s">
        <v>206</v>
      </c>
      <c r="L51" s="203"/>
      <c r="M51" s="203"/>
      <c r="N51" s="154"/>
      <c r="O51" s="154"/>
      <c r="P51" s="154"/>
      <c r="Q51" s="154"/>
      <c r="R51" s="154"/>
      <c r="S51" s="154"/>
      <c r="T51" s="154"/>
      <c r="U51" s="154"/>
      <c r="V51" s="154"/>
      <c r="W51" s="154"/>
      <c r="X51" s="154"/>
      <c r="Y51" s="154"/>
      <c r="Z51" s="154"/>
      <c r="AA51" s="154"/>
      <c r="AB51" s="154"/>
      <c r="AC51" s="154"/>
      <c r="AD51" s="154"/>
      <c r="AE51" s="154"/>
      <c r="AF51" s="174"/>
      <c r="AG51" s="174"/>
      <c r="AH51" s="174"/>
      <c r="AI51" s="174"/>
      <c r="AJ51" s="174"/>
      <c r="AK51" s="174"/>
      <c r="AL51" s="174"/>
      <c r="AM51" s="175" t="s">
        <v>207</v>
      </c>
      <c r="AN51" s="154"/>
      <c r="AO51" s="840">
        <f>AO15+AO19+AO23+AO27+AO33+AO37+AO43</f>
        <v>2.3334944563662328</v>
      </c>
      <c r="AP51" s="150"/>
      <c r="AQ51" s="840">
        <f>AQ29+AQ33+AQ39+AQ45</f>
        <v>56.838930418633758</v>
      </c>
      <c r="AR51" s="150"/>
      <c r="AS51" s="840">
        <f>'R-Resumo Bal. Massa'!D53</f>
        <v>14.627575124999996</v>
      </c>
      <c r="AT51" s="160"/>
      <c r="AU51" s="168"/>
      <c r="AV51" s="168"/>
    </row>
    <row r="52" spans="2:49" s="152" customFormat="1" ht="4.1500000000000004" customHeight="1" x14ac:dyDescent="0.25">
      <c r="B52" s="159"/>
      <c r="C52" s="154"/>
      <c r="D52" s="154"/>
      <c r="E52" s="154"/>
      <c r="F52" s="154"/>
      <c r="G52" s="154"/>
      <c r="H52" s="154"/>
      <c r="I52" s="176"/>
      <c r="J52" s="176"/>
      <c r="K52" s="154"/>
      <c r="L52" s="154"/>
      <c r="M52" s="154"/>
      <c r="N52" s="154"/>
      <c r="O52" s="154"/>
      <c r="P52" s="154"/>
      <c r="Q52" s="154"/>
      <c r="R52" s="154"/>
      <c r="S52" s="154"/>
      <c r="T52" s="154"/>
      <c r="U52" s="154"/>
      <c r="V52" s="154"/>
      <c r="W52" s="154"/>
      <c r="X52" s="154"/>
      <c r="Y52" s="154"/>
      <c r="Z52" s="154"/>
      <c r="AA52" s="154"/>
      <c r="AB52" s="154"/>
      <c r="AC52" s="154"/>
      <c r="AD52" s="154"/>
      <c r="AE52" s="154"/>
      <c r="AF52" s="174"/>
      <c r="AG52" s="174"/>
      <c r="AH52" s="174"/>
      <c r="AI52" s="174"/>
      <c r="AJ52" s="174"/>
      <c r="AK52" s="174"/>
      <c r="AL52" s="174"/>
      <c r="AM52" s="174"/>
      <c r="AN52" s="154"/>
      <c r="AO52" s="154"/>
      <c r="AP52" s="154"/>
      <c r="AQ52" s="154"/>
      <c r="AR52" s="154"/>
      <c r="AS52" s="154"/>
      <c r="AT52" s="160"/>
    </row>
    <row r="53" spans="2:49" s="152" customFormat="1" ht="16.899999999999999" customHeight="1" x14ac:dyDescent="0.25">
      <c r="B53" s="159"/>
      <c r="C53" s="154"/>
      <c r="D53" s="203"/>
      <c r="E53" s="203"/>
      <c r="F53" s="203"/>
      <c r="G53" s="203"/>
      <c r="H53" s="204" t="s">
        <v>208</v>
      </c>
      <c r="I53" s="2750" t="str">
        <f>IF('R-Definição'!O124&gt;0,'R-Definição'!O124,"Não")</f>
        <v>Não</v>
      </c>
      <c r="J53" s="2751"/>
      <c r="K53" s="203" t="str">
        <f>IF(I53="Não","","t/d")</f>
        <v/>
      </c>
      <c r="L53" s="203"/>
      <c r="M53" s="154"/>
      <c r="N53" s="154"/>
      <c r="O53" s="154"/>
      <c r="P53" s="154"/>
      <c r="Q53" s="154"/>
      <c r="R53" s="154"/>
      <c r="S53" s="154"/>
      <c r="T53" s="154"/>
      <c r="U53" s="154"/>
      <c r="V53" s="154"/>
      <c r="W53" s="154"/>
      <c r="X53" s="154"/>
      <c r="Y53" s="154"/>
      <c r="Z53" s="154"/>
      <c r="AA53" s="154"/>
      <c r="AB53" s="154"/>
      <c r="AC53" s="154"/>
      <c r="AD53" s="154"/>
      <c r="AE53" s="154"/>
      <c r="AF53" s="174"/>
      <c r="AG53" s="174"/>
      <c r="AH53" s="174"/>
      <c r="AI53" s="174"/>
      <c r="AJ53" s="174"/>
      <c r="AK53" s="174"/>
      <c r="AL53" s="174"/>
      <c r="AM53" s="175" t="s">
        <v>493</v>
      </c>
      <c r="AN53" s="154"/>
      <c r="AO53" s="839">
        <f>IF(C11&lt;&gt;0,ROUND(AO51/(AO51+AQ51+AS51)*100,1),0)</f>
        <v>3.2</v>
      </c>
      <c r="AP53" s="151"/>
      <c r="AQ53" s="839">
        <f>IF(C11&lt;&gt;0,ROUND(100-AO53-AS53,1),0)</f>
        <v>77</v>
      </c>
      <c r="AR53" s="151"/>
      <c r="AS53" s="839">
        <f>IF(C11&lt;&gt;0,ROUND(AS51/(AO51+AQ51+AS51)*100,1),0)</f>
        <v>19.8</v>
      </c>
      <c r="AT53" s="160"/>
      <c r="AU53" s="177"/>
      <c r="AV53" s="168"/>
    </row>
    <row r="54" spans="2:49" s="152" customFormat="1" ht="8.65" customHeight="1" x14ac:dyDescent="0.25">
      <c r="B54" s="178"/>
      <c r="C54" s="179"/>
      <c r="D54" s="179"/>
      <c r="E54" s="179"/>
      <c r="F54" s="179"/>
      <c r="G54" s="179"/>
      <c r="H54" s="179"/>
      <c r="I54" s="179"/>
      <c r="J54" s="179"/>
      <c r="K54" s="179"/>
      <c r="L54" s="179"/>
      <c r="M54" s="179"/>
      <c r="N54" s="179"/>
      <c r="O54" s="179"/>
      <c r="P54" s="179"/>
      <c r="Q54" s="179"/>
      <c r="R54" s="179"/>
      <c r="S54" s="179"/>
      <c r="T54" s="179"/>
      <c r="U54" s="179"/>
      <c r="V54" s="179"/>
      <c r="W54" s="179"/>
      <c r="X54" s="179"/>
      <c r="Y54" s="179"/>
      <c r="Z54" s="179"/>
      <c r="AA54" s="179"/>
      <c r="AB54" s="179"/>
      <c r="AC54" s="179"/>
      <c r="AD54" s="179"/>
      <c r="AE54" s="179"/>
      <c r="AF54" s="180"/>
      <c r="AG54" s="180"/>
      <c r="AH54" s="180"/>
      <c r="AI54" s="180"/>
      <c r="AJ54" s="180"/>
      <c r="AK54" s="180"/>
      <c r="AL54" s="180"/>
      <c r="AM54" s="180"/>
      <c r="AN54" s="179"/>
      <c r="AO54" s="179"/>
      <c r="AP54" s="179"/>
      <c r="AQ54" s="179"/>
      <c r="AR54" s="179"/>
      <c r="AS54" s="179"/>
      <c r="AT54" s="181"/>
      <c r="AV54" s="168"/>
    </row>
    <row r="55" spans="2:49" ht="14.25" customHeight="1" x14ac:dyDescent="0.25"/>
    <row r="56" spans="2:49" ht="14.25" customHeight="1" x14ac:dyDescent="0.25"/>
    <row r="57" spans="2:49" ht="14.25" customHeight="1" x14ac:dyDescent="0.25"/>
    <row r="58" spans="2:49" ht="14.25" customHeight="1" x14ac:dyDescent="0.25"/>
    <row r="59" spans="2:49" ht="14.25" customHeight="1" x14ac:dyDescent="0.25"/>
    <row r="60" spans="2:49" ht="14.25" customHeight="1" x14ac:dyDescent="0.25"/>
    <row r="61" spans="2:49" ht="14.25" customHeight="1" x14ac:dyDescent="0.25"/>
    <row r="62" spans="2:49" ht="14.25" customHeight="1" x14ac:dyDescent="0.25"/>
    <row r="63" spans="2:49" ht="14.25" customHeight="1" x14ac:dyDescent="0.25"/>
    <row r="64" spans="2:49" ht="14.25" customHeight="1" x14ac:dyDescent="0.25"/>
    <row r="65" ht="14.25" customHeight="1" x14ac:dyDescent="0.25"/>
    <row r="66" ht="14.25" customHeight="1" x14ac:dyDescent="0.25"/>
    <row r="67" ht="14.25" customHeight="1" x14ac:dyDescent="0.25"/>
    <row r="68" ht="14.25" customHeight="1" x14ac:dyDescent="0.25"/>
    <row r="69" ht="14.25" customHeight="1" x14ac:dyDescent="0.25"/>
    <row r="70" ht="14.25" customHeight="1" x14ac:dyDescent="0.25"/>
    <row r="71" ht="14.25" customHeight="1" x14ac:dyDescent="0.25"/>
    <row r="72" ht="14.25" customHeight="1" x14ac:dyDescent="0.25"/>
    <row r="73" ht="14.25" customHeight="1" x14ac:dyDescent="0.25"/>
    <row r="74" ht="14.25" customHeight="1" x14ac:dyDescent="0.25"/>
    <row r="75" ht="14.25" customHeight="1" x14ac:dyDescent="0.25"/>
    <row r="76" ht="14.25" customHeight="1" x14ac:dyDescent="0.25"/>
    <row r="77" ht="14.25" customHeight="1" x14ac:dyDescent="0.25"/>
    <row r="78" ht="14.25" customHeight="1" x14ac:dyDescent="0.25"/>
    <row r="79" ht="14.25" customHeight="1" x14ac:dyDescent="0.25"/>
    <row r="80" ht="14.25" customHeight="1" x14ac:dyDescent="0.25"/>
    <row r="81" ht="14.25" customHeight="1" x14ac:dyDescent="0.25"/>
    <row r="82" ht="14.25" customHeight="1" x14ac:dyDescent="0.25"/>
    <row r="83" ht="14.25" customHeight="1" x14ac:dyDescent="0.25"/>
    <row r="84" ht="14.25" customHeight="1" x14ac:dyDescent="0.25"/>
    <row r="85" ht="14.25" customHeight="1" x14ac:dyDescent="0.25"/>
    <row r="86" ht="14.25" customHeight="1" x14ac:dyDescent="0.25"/>
    <row r="87" ht="14.25" customHeight="1" x14ac:dyDescent="0.25"/>
    <row r="88" ht="14.25" customHeight="1" x14ac:dyDescent="0.25"/>
    <row r="89" ht="14.25" customHeight="1" x14ac:dyDescent="0.25"/>
    <row r="90" ht="14.25" customHeight="1" x14ac:dyDescent="0.25"/>
    <row r="91" ht="14.25" customHeight="1" x14ac:dyDescent="0.25"/>
    <row r="92" ht="14.25" customHeight="1" x14ac:dyDescent="0.25"/>
    <row r="93" ht="14.25" customHeight="1" x14ac:dyDescent="0.25"/>
    <row r="94" ht="14.25" customHeight="1" x14ac:dyDescent="0.25"/>
    <row r="95" ht="14.25" customHeight="1" x14ac:dyDescent="0.25"/>
    <row r="96" ht="14.25" customHeight="1" x14ac:dyDescent="0.25"/>
    <row r="97" ht="14.25" customHeight="1" x14ac:dyDescent="0.25"/>
    <row r="98" ht="14.25" customHeight="1" x14ac:dyDescent="0.25"/>
    <row r="99" ht="14.25" customHeight="1" x14ac:dyDescent="0.25"/>
    <row r="100" ht="14.25" customHeight="1" x14ac:dyDescent="0.25"/>
  </sheetData>
  <mergeCells count="39">
    <mergeCell ref="AD37:AG37"/>
    <mergeCell ref="AH43:AK43"/>
    <mergeCell ref="Y27:AB27"/>
    <mergeCell ref="V27:W27"/>
    <mergeCell ref="Y33:Z33"/>
    <mergeCell ref="AB33:AF33"/>
    <mergeCell ref="AD35:AE35"/>
    <mergeCell ref="AS11:AS13"/>
    <mergeCell ref="AO11:AO13"/>
    <mergeCell ref="AQ11:AQ13"/>
    <mergeCell ref="R1:U1"/>
    <mergeCell ref="E11:H11"/>
    <mergeCell ref="K2:AJ2"/>
    <mergeCell ref="AK2:AT2"/>
    <mergeCell ref="E9:H9"/>
    <mergeCell ref="AG1:AR1"/>
    <mergeCell ref="B2:I2"/>
    <mergeCell ref="E3:H3"/>
    <mergeCell ref="V1:AB1"/>
    <mergeCell ref="AC1:AF1"/>
    <mergeCell ref="AB5:AK5"/>
    <mergeCell ref="AB7:AK7"/>
    <mergeCell ref="B1:Q1"/>
    <mergeCell ref="I53:J53"/>
    <mergeCell ref="I51:J51"/>
    <mergeCell ref="J43:M43"/>
    <mergeCell ref="J31:M31"/>
    <mergeCell ref="E5:H5"/>
    <mergeCell ref="E7:H7"/>
    <mergeCell ref="I15:O15"/>
    <mergeCell ref="L19:R19"/>
    <mergeCell ref="Q23:W23"/>
    <mergeCell ref="J25:M25"/>
    <mergeCell ref="S25:T25"/>
    <mergeCell ref="S29:T29"/>
    <mergeCell ref="S33:T33"/>
    <mergeCell ref="S37:T37"/>
    <mergeCell ref="T43:U43"/>
    <mergeCell ref="T41:U41"/>
  </mergeCells>
  <pageMargins left="0.511811024" right="0.511811024" top="0.78740157499999996" bottom="0.78740157499999996" header="0" footer="0"/>
  <pageSetup paperSize="9" orientation="portrait"/>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dimension ref="A1:T177"/>
  <sheetViews>
    <sheetView showGridLines="0" topLeftCell="A61" zoomScale="80" zoomScaleNormal="80" workbookViewId="0">
      <selection activeCell="H72" sqref="H72"/>
    </sheetView>
  </sheetViews>
  <sheetFormatPr defaultColWidth="14.42578125" defaultRowHeight="15" customHeight="1" x14ac:dyDescent="0.25"/>
  <cols>
    <col min="1" max="1" width="1.28515625" customWidth="1"/>
    <col min="2" max="2" width="16.42578125" customWidth="1"/>
    <col min="3" max="3" width="33.28515625" customWidth="1"/>
    <col min="4" max="4" width="17" customWidth="1"/>
    <col min="5" max="5" width="20.42578125" customWidth="1"/>
    <col min="6" max="7" width="20.7109375" customWidth="1"/>
    <col min="8" max="8" width="14" customWidth="1"/>
    <col min="9" max="10" width="13" customWidth="1"/>
    <col min="11" max="11" width="13.42578125" customWidth="1"/>
    <col min="12" max="12" width="9.7109375" customWidth="1"/>
    <col min="13" max="13" width="15" customWidth="1"/>
    <col min="14" max="14" width="15.7109375" customWidth="1"/>
    <col min="15" max="15" width="15" customWidth="1"/>
    <col min="16" max="16" width="9.42578125" customWidth="1"/>
    <col min="17" max="20" width="8.7109375" customWidth="1"/>
  </cols>
  <sheetData>
    <row r="1" spans="1:20" ht="12.75" customHeight="1" x14ac:dyDescent="0.25">
      <c r="A1" s="2"/>
      <c r="B1" s="2"/>
      <c r="C1" s="2"/>
      <c r="D1" s="2"/>
      <c r="E1" s="2"/>
      <c r="F1" s="2"/>
      <c r="G1" s="2"/>
      <c r="H1" s="2"/>
      <c r="I1" s="2"/>
      <c r="J1" s="2"/>
      <c r="K1" s="2"/>
      <c r="L1" s="2"/>
      <c r="M1" s="2"/>
      <c r="N1" s="2"/>
      <c r="O1" s="2"/>
      <c r="P1" s="2"/>
      <c r="Q1" s="2"/>
      <c r="R1" s="2"/>
      <c r="S1" s="2"/>
      <c r="T1" s="2"/>
    </row>
    <row r="2" spans="1:20" ht="18" customHeight="1" x14ac:dyDescent="0.25">
      <c r="A2" s="2"/>
      <c r="B2" s="67" t="s">
        <v>436</v>
      </c>
      <c r="C2" s="837" t="str">
        <f>IF('R-Entrada'!D2&lt;&gt;0,'R-Entrada'!D2,"")</f>
        <v>CIRSOP - Consórcio RSU Oeste Paulista</v>
      </c>
      <c r="D2" s="60"/>
      <c r="E2" s="60"/>
      <c r="F2" s="60"/>
      <c r="G2" s="60"/>
      <c r="H2" s="60"/>
      <c r="I2" s="2"/>
      <c r="J2" s="2"/>
      <c r="K2" s="2"/>
      <c r="L2" s="2"/>
      <c r="M2" s="2"/>
      <c r="N2" s="2"/>
      <c r="O2" s="2"/>
      <c r="P2" s="2"/>
      <c r="Q2" s="2"/>
      <c r="R2" s="2"/>
      <c r="S2" s="2"/>
      <c r="T2" s="2"/>
    </row>
    <row r="3" spans="1:20" ht="18" customHeight="1" x14ac:dyDescent="0.25">
      <c r="A3" s="2"/>
      <c r="B3" s="67" t="s">
        <v>437</v>
      </c>
      <c r="C3" s="837" t="str">
        <f>IF('R-Entrada'!D3&lt;&gt;0,'R-Entrada'!D3,"")</f>
        <v>Biodigestão c/ Prod. E. Elétrica</v>
      </c>
      <c r="D3" s="60"/>
      <c r="E3" s="60"/>
      <c r="F3" s="60"/>
      <c r="G3" s="60"/>
      <c r="H3" s="60"/>
      <c r="I3" s="2"/>
      <c r="L3" s="2"/>
      <c r="M3" s="2"/>
      <c r="N3" s="2"/>
      <c r="O3" s="2"/>
      <c r="P3" s="2"/>
      <c r="Q3" s="2"/>
      <c r="R3" s="2"/>
      <c r="S3" s="2"/>
      <c r="T3" s="2"/>
    </row>
    <row r="4" spans="1:20" ht="18" customHeight="1" x14ac:dyDescent="0.25">
      <c r="A4" s="2"/>
      <c r="B4" s="60"/>
      <c r="C4" s="60"/>
      <c r="D4" s="60"/>
      <c r="E4" s="60"/>
      <c r="F4" s="60"/>
      <c r="G4" s="60"/>
      <c r="H4" s="60"/>
      <c r="I4" s="2"/>
      <c r="J4" s="2790"/>
      <c r="K4" s="2683"/>
      <c r="L4" s="2"/>
      <c r="M4" s="2"/>
      <c r="N4" s="2"/>
      <c r="O4" s="2"/>
      <c r="P4" s="2"/>
      <c r="Q4" s="2"/>
      <c r="R4" s="2"/>
      <c r="S4" s="2"/>
      <c r="T4" s="2"/>
    </row>
    <row r="5" spans="1:20" ht="25.9" customHeight="1" x14ac:dyDescent="0.25">
      <c r="A5" s="2"/>
      <c r="B5" s="92"/>
      <c r="C5" s="190" t="s">
        <v>494</v>
      </c>
      <c r="D5" s="92"/>
      <c r="E5" s="92"/>
      <c r="F5" s="92"/>
      <c r="G5" s="92"/>
      <c r="H5" s="92"/>
      <c r="I5" s="2"/>
      <c r="J5" s="2792" t="s">
        <v>424</v>
      </c>
      <c r="K5" s="2717"/>
      <c r="L5" s="2717"/>
      <c r="M5" s="2"/>
      <c r="N5" s="2"/>
      <c r="O5" s="2"/>
      <c r="P5" s="2"/>
      <c r="Q5" s="2"/>
      <c r="R5" s="2"/>
      <c r="S5" s="2"/>
      <c r="T5" s="2"/>
    </row>
    <row r="6" spans="1:20" ht="18" customHeight="1" x14ac:dyDescent="0.25">
      <c r="A6" s="2"/>
      <c r="B6" s="60"/>
      <c r="C6" s="60"/>
      <c r="D6" s="60"/>
      <c r="E6" s="60"/>
      <c r="F6" s="60"/>
      <c r="G6" s="60"/>
      <c r="H6" s="60"/>
      <c r="I6" s="2"/>
      <c r="J6" s="2674" t="str">
        <f>Apresentação!I2</f>
        <v>RC-RSU V.1.0 - 15/10/2020</v>
      </c>
      <c r="K6" s="2791"/>
      <c r="L6" s="2791"/>
      <c r="M6" s="2"/>
      <c r="N6" s="2"/>
      <c r="O6" s="2"/>
      <c r="P6" s="2"/>
      <c r="Q6" s="2"/>
      <c r="R6" s="2"/>
      <c r="S6" s="2"/>
      <c r="T6" s="2"/>
    </row>
    <row r="7" spans="1:20" ht="18" customHeight="1" x14ac:dyDescent="0.25">
      <c r="A7" s="2"/>
      <c r="B7" s="2675" t="s">
        <v>495</v>
      </c>
      <c r="C7" s="2713"/>
      <c r="D7" s="2713"/>
      <c r="E7" s="2713"/>
      <c r="F7" s="2713"/>
      <c r="G7" s="2713"/>
      <c r="H7" s="2713"/>
      <c r="I7" s="2"/>
      <c r="J7" s="662"/>
      <c r="K7" s="662"/>
      <c r="L7" s="662"/>
      <c r="M7" s="2"/>
      <c r="N7" s="2"/>
      <c r="O7" s="2"/>
      <c r="P7" s="2"/>
      <c r="Q7" s="2"/>
      <c r="R7" s="2"/>
      <c r="S7" s="2"/>
      <c r="T7" s="2"/>
    </row>
    <row r="8" spans="1:20" ht="18" customHeight="1" x14ac:dyDescent="0.25">
      <c r="A8" s="2"/>
      <c r="B8" s="2690" t="s">
        <v>209</v>
      </c>
      <c r="C8" s="2690" t="s">
        <v>210</v>
      </c>
      <c r="D8" s="2675" t="s">
        <v>211</v>
      </c>
      <c r="E8" s="2690" t="s">
        <v>212</v>
      </c>
      <c r="F8" s="2676"/>
      <c r="G8" s="2676"/>
      <c r="H8" s="2676"/>
      <c r="I8" s="2"/>
      <c r="J8" s="2"/>
      <c r="K8" s="2"/>
      <c r="L8" s="2"/>
      <c r="M8" s="2"/>
      <c r="N8" s="2"/>
      <c r="O8" s="2"/>
      <c r="P8" s="13"/>
      <c r="Q8" s="2"/>
      <c r="R8" s="2"/>
      <c r="S8" s="2"/>
      <c r="T8" s="2"/>
    </row>
    <row r="9" spans="1:20" ht="18" customHeight="1" x14ac:dyDescent="0.25">
      <c r="A9" s="6"/>
      <c r="B9" s="2676"/>
      <c r="C9" s="2676"/>
      <c r="D9" s="2676"/>
      <c r="E9" s="2690" t="s">
        <v>213</v>
      </c>
      <c r="F9" s="2805" t="s">
        <v>25</v>
      </c>
      <c r="G9" s="2675" t="s">
        <v>214</v>
      </c>
      <c r="H9" s="2690" t="s">
        <v>215</v>
      </c>
      <c r="I9" s="6"/>
      <c r="J9" s="6"/>
      <c r="K9" s="6"/>
      <c r="L9" s="6"/>
      <c r="M9" s="6"/>
      <c r="N9" s="6"/>
      <c r="O9" s="6"/>
      <c r="P9" s="2"/>
      <c r="Q9" s="2"/>
      <c r="R9" s="6"/>
      <c r="S9" s="2"/>
      <c r="T9" s="2"/>
    </row>
    <row r="10" spans="1:20" ht="18" customHeight="1" x14ac:dyDescent="0.25">
      <c r="A10" s="6"/>
      <c r="B10" s="2676"/>
      <c r="C10" s="2676"/>
      <c r="D10" s="2676"/>
      <c r="E10" s="2676"/>
      <c r="F10" s="2676"/>
      <c r="G10" s="2676"/>
      <c r="H10" s="2676"/>
      <c r="I10" s="6"/>
      <c r="J10" s="6"/>
      <c r="K10" s="6"/>
      <c r="L10" s="6"/>
      <c r="M10" s="6"/>
      <c r="N10" s="6"/>
      <c r="O10" s="6"/>
      <c r="P10" s="2"/>
      <c r="Q10" s="2"/>
      <c r="R10" s="6"/>
      <c r="S10" s="2"/>
      <c r="T10" s="2"/>
    </row>
    <row r="11" spans="1:20" ht="18" customHeight="1" x14ac:dyDescent="0.25">
      <c r="A11" s="6"/>
      <c r="B11" s="6"/>
      <c r="C11" s="6"/>
      <c r="D11" s="6"/>
      <c r="E11" s="6"/>
      <c r="F11" s="6"/>
      <c r="G11" s="6"/>
      <c r="H11" s="6"/>
      <c r="I11" s="6"/>
      <c r="J11" s="6"/>
      <c r="K11" s="6"/>
      <c r="L11" s="6"/>
      <c r="M11" s="6"/>
      <c r="N11" s="6"/>
      <c r="O11" s="6"/>
      <c r="P11" s="2"/>
      <c r="Q11" s="2"/>
      <c r="R11" s="6"/>
      <c r="S11" s="2"/>
      <c r="T11" s="2"/>
    </row>
    <row r="12" spans="1:20" ht="18" customHeight="1" x14ac:dyDescent="0.25">
      <c r="A12" s="6"/>
      <c r="B12" s="664"/>
      <c r="C12" s="675" t="s">
        <v>216</v>
      </c>
      <c r="D12" s="663"/>
      <c r="E12" s="3"/>
      <c r="F12" s="9"/>
      <c r="G12" s="3"/>
      <c r="H12" s="16"/>
      <c r="I12" s="6"/>
      <c r="J12" s="6"/>
      <c r="K12" s="6"/>
      <c r="L12" s="6"/>
      <c r="M12" s="6"/>
      <c r="N12" s="6"/>
      <c r="O12" s="6"/>
      <c r="P12" s="2"/>
      <c r="Q12" s="2"/>
      <c r="R12" s="6"/>
      <c r="S12" s="2"/>
      <c r="T12" s="2"/>
    </row>
    <row r="13" spans="1:20" ht="18" customHeight="1" x14ac:dyDescent="0.25">
      <c r="A13" s="2"/>
      <c r="B13" s="665"/>
      <c r="C13" s="671" t="s">
        <v>200</v>
      </c>
      <c r="D13" s="207">
        <f>'R-Definição'!N13</f>
        <v>0</v>
      </c>
      <c r="E13" s="5"/>
      <c r="F13" s="20"/>
      <c r="G13" s="3"/>
      <c r="H13" s="16"/>
      <c r="I13" s="16"/>
      <c r="J13" s="11"/>
      <c r="K13" s="15"/>
      <c r="L13" s="2"/>
      <c r="M13" s="2"/>
      <c r="N13" s="2"/>
      <c r="O13" s="2"/>
      <c r="P13" s="2"/>
      <c r="Q13" s="2"/>
      <c r="R13" s="6"/>
      <c r="S13" s="2"/>
      <c r="T13" s="2"/>
    </row>
    <row r="14" spans="1:20" ht="18" customHeight="1" x14ac:dyDescent="0.25">
      <c r="A14" s="6"/>
      <c r="B14" s="665"/>
      <c r="C14" s="671" t="s">
        <v>58</v>
      </c>
      <c r="D14" s="207">
        <f>'R-Definição'!N14</f>
        <v>0</v>
      </c>
      <c r="E14" s="5"/>
      <c r="F14" s="20"/>
      <c r="G14" s="3"/>
      <c r="H14" s="10"/>
      <c r="I14" s="16"/>
      <c r="J14" s="11"/>
      <c r="K14" s="16"/>
      <c r="L14" s="3"/>
      <c r="M14" s="3"/>
      <c r="N14" s="3"/>
      <c r="O14" s="3"/>
      <c r="P14" s="3"/>
      <c r="Q14" s="2"/>
      <c r="R14" s="6"/>
      <c r="S14" s="2"/>
      <c r="T14" s="2"/>
    </row>
    <row r="15" spans="1:20" ht="18" customHeight="1" x14ac:dyDescent="0.25">
      <c r="A15" s="6"/>
      <c r="B15" s="665"/>
      <c r="C15" s="671" t="s">
        <v>425</v>
      </c>
      <c r="D15" s="207">
        <f>'R-Definição'!N15</f>
        <v>73.799999999999983</v>
      </c>
      <c r="E15" s="5"/>
      <c r="F15" s="3"/>
      <c r="G15" s="3"/>
      <c r="H15" s="24"/>
      <c r="I15" s="16"/>
      <c r="J15" s="11"/>
      <c r="K15" s="17"/>
      <c r="L15" s="2"/>
      <c r="M15" s="6"/>
      <c r="N15" s="6"/>
      <c r="O15" s="6"/>
      <c r="P15" s="2"/>
      <c r="Q15" s="2"/>
      <c r="R15" s="6"/>
      <c r="S15" s="2"/>
      <c r="T15" s="2"/>
    </row>
    <row r="16" spans="1:20" ht="18" customHeight="1" x14ac:dyDescent="0.25">
      <c r="A16" s="6"/>
      <c r="B16" s="664"/>
      <c r="C16" s="673" t="s">
        <v>52</v>
      </c>
      <c r="D16" s="668">
        <f>'R-Definição'!N16</f>
        <v>73.799999999999983</v>
      </c>
      <c r="E16" s="13"/>
      <c r="F16" s="25"/>
      <c r="G16" s="26"/>
      <c r="H16" s="6"/>
      <c r="I16" s="27"/>
      <c r="J16" s="11"/>
      <c r="K16" s="18"/>
      <c r="L16" s="6"/>
      <c r="M16" s="6"/>
      <c r="N16" s="6"/>
      <c r="O16" s="6"/>
      <c r="P16" s="6"/>
      <c r="Q16" s="6"/>
      <c r="R16" s="6"/>
      <c r="S16" s="2"/>
      <c r="T16" s="2"/>
    </row>
    <row r="17" spans="1:20" ht="18" customHeight="1" x14ac:dyDescent="0.25">
      <c r="A17" s="6"/>
      <c r="B17" s="13"/>
      <c r="C17" s="13"/>
      <c r="D17" s="6"/>
      <c r="E17" s="6"/>
      <c r="F17" s="6"/>
      <c r="G17" s="6"/>
      <c r="H17" s="6"/>
      <c r="I17" s="3"/>
      <c r="J17" s="11"/>
      <c r="K17" s="14"/>
      <c r="L17" s="6"/>
      <c r="M17" s="6"/>
      <c r="N17" s="6"/>
      <c r="O17" s="6"/>
      <c r="P17" s="6"/>
      <c r="Q17" s="6"/>
      <c r="R17" s="6"/>
      <c r="S17" s="2"/>
      <c r="T17" s="2"/>
    </row>
    <row r="18" spans="1:20" ht="18" customHeight="1" x14ac:dyDescent="0.25">
      <c r="A18" s="2"/>
      <c r="B18" s="664"/>
      <c r="C18" s="675" t="s">
        <v>184</v>
      </c>
      <c r="D18" s="396"/>
      <c r="E18" s="395"/>
      <c r="F18" s="395"/>
      <c r="G18" s="663"/>
      <c r="H18" s="25"/>
      <c r="I18" s="2"/>
      <c r="J18" s="2"/>
      <c r="K18" s="2"/>
      <c r="L18" s="2"/>
      <c r="M18" s="2"/>
      <c r="N18" s="2"/>
      <c r="O18" s="2"/>
      <c r="P18" s="6"/>
      <c r="Q18" s="6"/>
      <c r="R18" s="2"/>
      <c r="S18" s="2"/>
      <c r="T18" s="2"/>
    </row>
    <row r="19" spans="1:20" ht="18" customHeight="1" x14ac:dyDescent="0.25">
      <c r="A19" s="2"/>
      <c r="B19" s="666">
        <f>D19</f>
        <v>0</v>
      </c>
      <c r="C19" s="447" t="s">
        <v>697</v>
      </c>
      <c r="D19" s="207">
        <f>IF('R-Definição'!$E$28="Sim",'R-Definição'!$E$29,0)</f>
        <v>0</v>
      </c>
      <c r="E19" s="207">
        <f>'R-Definição'!M30</f>
        <v>0</v>
      </c>
      <c r="F19" s="207"/>
      <c r="G19" s="207">
        <f>SUM('R-Definição'!M34:'R-Definição'!M35)</f>
        <v>0</v>
      </c>
      <c r="H19" s="20"/>
      <c r="I19" s="2"/>
      <c r="J19" s="19"/>
      <c r="K19" s="2"/>
      <c r="L19" s="2"/>
      <c r="M19" s="2"/>
      <c r="N19" s="2"/>
      <c r="O19" s="2"/>
      <c r="P19" s="6"/>
      <c r="Q19" s="6"/>
      <c r="R19" s="2"/>
      <c r="S19" s="2"/>
      <c r="T19" s="2"/>
    </row>
    <row r="20" spans="1:20" ht="18" customHeight="1" x14ac:dyDescent="0.25">
      <c r="A20" s="2"/>
      <c r="B20" s="666">
        <f>D20</f>
        <v>0</v>
      </c>
      <c r="C20" s="447" t="s">
        <v>698</v>
      </c>
      <c r="D20" s="207">
        <f>IF('R-Definição'!$E$32="Sim",'R-Definição'!$E$33,0)</f>
        <v>0</v>
      </c>
      <c r="E20" s="207">
        <f>'R-Definição'!N30</f>
        <v>0</v>
      </c>
      <c r="F20" s="207"/>
      <c r="G20" s="207">
        <f>SUM('R-Definição'!N34:'R-Definição'!N35)</f>
        <v>0</v>
      </c>
      <c r="H20" s="20"/>
      <c r="I20" s="2"/>
      <c r="J20" s="2"/>
      <c r="K20" s="2"/>
      <c r="L20" s="2"/>
      <c r="M20" s="6"/>
      <c r="N20" s="6"/>
      <c r="O20" s="6"/>
      <c r="P20" s="6"/>
      <c r="Q20" s="6"/>
      <c r="R20" s="2"/>
      <c r="S20" s="2"/>
      <c r="T20" s="2"/>
    </row>
    <row r="21" spans="1:20" ht="18" customHeight="1" x14ac:dyDescent="0.25">
      <c r="A21" s="2"/>
      <c r="B21" s="666">
        <f>D21</f>
        <v>9.2249999999999979</v>
      </c>
      <c r="C21" s="447" t="s">
        <v>699</v>
      </c>
      <c r="D21" s="207">
        <f>IF('R-Definição'!$I$24="Sim",'R-Definição'!$I$27,0)</f>
        <v>9.2249999999999979</v>
      </c>
      <c r="E21" s="207">
        <f>'R-Definição'!O30</f>
        <v>0.6621243750000001</v>
      </c>
      <c r="F21" s="207">
        <f>'R-Definição'!L32</f>
        <v>4.0304024999999992</v>
      </c>
      <c r="G21" s="207">
        <f>SUM('R-Definição'!O34:'R-Definição'!O35)</f>
        <v>4.5324731250000001</v>
      </c>
      <c r="H21" s="20"/>
      <c r="I21" s="2"/>
      <c r="J21" s="2"/>
      <c r="K21" s="2"/>
      <c r="L21" s="2"/>
      <c r="M21" s="6"/>
      <c r="N21" s="6"/>
      <c r="O21" s="6"/>
      <c r="P21" s="6"/>
      <c r="Q21" s="6"/>
      <c r="R21" s="2"/>
      <c r="S21" s="2"/>
      <c r="T21" s="2"/>
    </row>
    <row r="22" spans="1:20" ht="18" customHeight="1" x14ac:dyDescent="0.25">
      <c r="A22" s="2"/>
      <c r="B22" s="672"/>
      <c r="C22" s="673" t="s">
        <v>217</v>
      </c>
      <c r="D22" s="668">
        <f>SUM(D19:D21)</f>
        <v>9.2249999999999979</v>
      </c>
      <c r="E22" s="208">
        <f>SUM(E19:E21)</f>
        <v>0.6621243750000001</v>
      </c>
      <c r="F22" s="208">
        <f>SUM(F19:F21)</f>
        <v>4.0304024999999992</v>
      </c>
      <c r="G22" s="208">
        <f>SUM(G19:G21)</f>
        <v>4.5324731250000001</v>
      </c>
      <c r="H22" s="20"/>
      <c r="I22" s="2"/>
      <c r="J22" s="2"/>
      <c r="K22" s="2"/>
      <c r="L22" s="2"/>
      <c r="M22" s="2"/>
      <c r="N22" s="2"/>
      <c r="O22" s="2"/>
      <c r="P22" s="2"/>
      <c r="Q22" s="2"/>
      <c r="R22" s="2"/>
      <c r="S22" s="2"/>
      <c r="T22" s="2"/>
    </row>
    <row r="23" spans="1:20" ht="18" customHeight="1" x14ac:dyDescent="0.25">
      <c r="A23" s="2"/>
      <c r="B23" s="2"/>
      <c r="C23" s="2"/>
      <c r="D23" s="28"/>
      <c r="E23" s="2"/>
      <c r="F23" s="2"/>
      <c r="G23" s="2"/>
      <c r="H23" s="2"/>
      <c r="I23" s="2"/>
      <c r="J23" s="2"/>
      <c r="K23" s="2"/>
      <c r="L23" s="2"/>
      <c r="M23" s="2"/>
      <c r="N23" s="2"/>
      <c r="O23" s="2"/>
      <c r="P23" s="2"/>
      <c r="Q23" s="2"/>
      <c r="R23" s="2"/>
      <c r="S23" s="2"/>
      <c r="T23" s="2"/>
    </row>
    <row r="24" spans="1:20" ht="18" customHeight="1" x14ac:dyDescent="0.25">
      <c r="A24" s="2"/>
      <c r="B24" s="664"/>
      <c r="C24" s="675" t="s">
        <v>99</v>
      </c>
      <c r="D24" s="396"/>
      <c r="E24" s="395"/>
      <c r="F24" s="395"/>
      <c r="G24" s="396"/>
      <c r="H24" s="209"/>
      <c r="I24" s="2"/>
      <c r="J24" s="2"/>
      <c r="K24" s="2"/>
      <c r="L24" s="2"/>
      <c r="M24" s="2"/>
      <c r="N24" s="2"/>
      <c r="O24" s="2"/>
      <c r="P24" s="2"/>
      <c r="Q24" s="2"/>
      <c r="R24" s="2"/>
      <c r="S24" s="2"/>
      <c r="T24" s="2"/>
    </row>
    <row r="25" spans="1:20" ht="18" customHeight="1" x14ac:dyDescent="0.25">
      <c r="A25" s="2"/>
      <c r="B25" s="2793">
        <f>D29</f>
        <v>0</v>
      </c>
      <c r="C25" s="217" t="s">
        <v>681</v>
      </c>
      <c r="D25" s="207">
        <f>'R-Definição'!E49</f>
        <v>0</v>
      </c>
      <c r="E25" s="2795">
        <f>'R-Definição'!O49+'R-Definição'!O50</f>
        <v>0</v>
      </c>
      <c r="F25" s="2797"/>
      <c r="G25" s="2795">
        <f>'R-Definição'!O53</f>
        <v>0</v>
      </c>
      <c r="H25" s="2795">
        <f>'R-Definição'!O55</f>
        <v>0</v>
      </c>
      <c r="I25" s="2"/>
      <c r="J25" s="2"/>
      <c r="K25" s="2"/>
      <c r="L25" s="2"/>
      <c r="M25" s="2"/>
      <c r="N25" s="2"/>
      <c r="O25" s="2"/>
      <c r="P25" s="2"/>
      <c r="Q25" s="2"/>
      <c r="R25" s="2"/>
      <c r="S25" s="2"/>
      <c r="T25" s="2"/>
    </row>
    <row r="26" spans="1:20" ht="18" customHeight="1" x14ac:dyDescent="0.25">
      <c r="A26" s="2"/>
      <c r="B26" s="2794"/>
      <c r="C26" s="217" t="s">
        <v>682</v>
      </c>
      <c r="D26" s="207">
        <f>'R-Definição'!E50</f>
        <v>0</v>
      </c>
      <c r="E26" s="2796"/>
      <c r="F26" s="2796"/>
      <c r="G26" s="2796"/>
      <c r="H26" s="2796"/>
      <c r="I26" s="2"/>
      <c r="J26" s="2"/>
      <c r="K26" s="2"/>
      <c r="L26" s="2"/>
      <c r="M26" s="2"/>
      <c r="N26" s="2"/>
      <c r="O26" s="2"/>
      <c r="P26" s="2"/>
      <c r="Q26" s="2"/>
      <c r="R26" s="2"/>
      <c r="S26" s="2"/>
      <c r="T26" s="2"/>
    </row>
    <row r="27" spans="1:20" ht="18" customHeight="1" x14ac:dyDescent="0.25">
      <c r="A27" s="2"/>
      <c r="B27" s="2794"/>
      <c r="C27" s="217" t="s">
        <v>496</v>
      </c>
      <c r="D27" s="207">
        <f>'R-Definição'!E51</f>
        <v>0</v>
      </c>
      <c r="E27" s="2796"/>
      <c r="F27" s="2796"/>
      <c r="G27" s="2796"/>
      <c r="H27" s="2796"/>
      <c r="I27" s="2"/>
      <c r="J27" s="2"/>
      <c r="K27" s="2"/>
      <c r="L27" s="2"/>
      <c r="M27" s="2"/>
      <c r="N27" s="2"/>
      <c r="O27" s="2"/>
      <c r="P27" s="2"/>
      <c r="Q27" s="2"/>
      <c r="R27" s="2"/>
      <c r="S27" s="2"/>
      <c r="T27" s="2"/>
    </row>
    <row r="28" spans="1:20" ht="18" customHeight="1" x14ac:dyDescent="0.25">
      <c r="A28" s="2"/>
      <c r="B28" s="2794"/>
      <c r="C28" s="217" t="s">
        <v>497</v>
      </c>
      <c r="D28" s="207">
        <f>'R-Definição'!E52</f>
        <v>0</v>
      </c>
      <c r="E28" s="2796"/>
      <c r="F28" s="2796"/>
      <c r="G28" s="2796"/>
      <c r="H28" s="2796"/>
      <c r="I28" s="2"/>
      <c r="J28" s="2"/>
      <c r="K28" s="2"/>
      <c r="L28" s="2"/>
      <c r="M28" s="2"/>
      <c r="N28" s="2"/>
      <c r="O28" s="2"/>
      <c r="P28" s="2"/>
      <c r="Q28" s="2"/>
      <c r="R28" s="2"/>
      <c r="S28" s="2"/>
      <c r="T28" s="2"/>
    </row>
    <row r="29" spans="1:20" ht="18" customHeight="1" x14ac:dyDescent="0.25">
      <c r="A29" s="2"/>
      <c r="B29" s="206"/>
      <c r="C29" s="673" t="s">
        <v>217</v>
      </c>
      <c r="D29" s="668">
        <f>SUM(D25:D28)</f>
        <v>0</v>
      </c>
      <c r="E29" s="208">
        <f>E25</f>
        <v>0</v>
      </c>
      <c r="F29" s="208"/>
      <c r="G29" s="208">
        <f>SUM(G25)</f>
        <v>0</v>
      </c>
      <c r="H29" s="208">
        <f>SUM(H25:H28)</f>
        <v>0</v>
      </c>
      <c r="I29" s="2"/>
      <c r="J29" s="2"/>
      <c r="K29" s="2"/>
      <c r="L29" s="2"/>
      <c r="M29" s="2"/>
      <c r="N29" s="2"/>
      <c r="O29" s="2"/>
      <c r="P29" s="2"/>
      <c r="Q29" s="2"/>
      <c r="R29" s="2"/>
      <c r="S29" s="2"/>
      <c r="T29" s="2"/>
    </row>
    <row r="30" spans="1:20" ht="18" customHeight="1" x14ac:dyDescent="0.25">
      <c r="A30" s="2"/>
      <c r="B30" s="666">
        <f>'R-Definição'!I51</f>
        <v>0</v>
      </c>
      <c r="C30" s="217" t="s">
        <v>218</v>
      </c>
      <c r="D30" s="212"/>
      <c r="E30" s="213"/>
      <c r="F30" s="213"/>
      <c r="G30" s="213"/>
      <c r="H30" s="213"/>
      <c r="I30" s="2"/>
      <c r="J30" s="2"/>
      <c r="K30" s="2"/>
      <c r="L30" s="2"/>
      <c r="M30" s="2"/>
      <c r="N30" s="2"/>
      <c r="O30" s="2"/>
      <c r="P30" s="2"/>
      <c r="Q30" s="2"/>
      <c r="R30" s="2"/>
      <c r="S30" s="2"/>
      <c r="T30" s="2"/>
    </row>
    <row r="31" spans="1:20" ht="18" customHeight="1" x14ac:dyDescent="0.25">
      <c r="A31" s="2"/>
      <c r="B31" s="666">
        <f>'R-Definição'!I52</f>
        <v>0</v>
      </c>
      <c r="C31" s="217" t="s">
        <v>219</v>
      </c>
      <c r="D31" s="214"/>
      <c r="E31" s="99"/>
      <c r="F31" s="99"/>
      <c r="G31" s="99"/>
      <c r="H31" s="99"/>
      <c r="I31" s="2"/>
      <c r="J31" s="2"/>
      <c r="K31" s="2"/>
      <c r="L31" s="2"/>
      <c r="M31" s="2"/>
      <c r="N31" s="2"/>
      <c r="O31" s="2"/>
      <c r="P31" s="2"/>
      <c r="Q31" s="2"/>
      <c r="R31" s="2"/>
      <c r="S31" s="2"/>
      <c r="T31" s="2"/>
    </row>
    <row r="32" spans="1:20" ht="18" customHeight="1" x14ac:dyDescent="0.25">
      <c r="A32" s="2"/>
      <c r="B32" s="77"/>
      <c r="C32" s="77"/>
      <c r="D32" s="215"/>
      <c r="E32" s="216"/>
      <c r="F32" s="216"/>
      <c r="G32" s="216"/>
      <c r="H32" s="216"/>
      <c r="I32" s="2"/>
      <c r="J32" s="2"/>
      <c r="K32" s="2"/>
      <c r="L32" s="2"/>
      <c r="M32" s="2"/>
      <c r="N32" s="2"/>
      <c r="O32" s="2"/>
      <c r="P32" s="2"/>
      <c r="Q32" s="2"/>
      <c r="R32" s="2"/>
      <c r="S32" s="2"/>
      <c r="T32" s="2"/>
    </row>
    <row r="33" spans="1:20" ht="18" customHeight="1" x14ac:dyDescent="0.25">
      <c r="A33" s="2"/>
      <c r="B33" s="664"/>
      <c r="C33" s="675" t="s">
        <v>187</v>
      </c>
      <c r="D33" s="396"/>
      <c r="E33" s="794"/>
      <c r="F33" s="395"/>
      <c r="G33" s="396"/>
      <c r="H33" s="209"/>
      <c r="I33" s="2"/>
      <c r="J33" s="2"/>
      <c r="K33" s="2"/>
      <c r="L33" s="2"/>
      <c r="M33" s="2"/>
      <c r="N33" s="2"/>
      <c r="O33" s="2"/>
      <c r="P33" s="2"/>
      <c r="Q33" s="2"/>
      <c r="R33" s="2"/>
      <c r="S33" s="2"/>
      <c r="T33" s="2"/>
    </row>
    <row r="34" spans="1:20" ht="18" customHeight="1" x14ac:dyDescent="0.25">
      <c r="A34" s="2"/>
      <c r="B34" s="666">
        <f>'R-Definição'!O62</f>
        <v>0</v>
      </c>
      <c r="C34" s="447" t="s">
        <v>220</v>
      </c>
      <c r="D34" s="793">
        <f>IF('R-Definição'!$J$67&lt;&gt;"Uso agrícola dir.",'R-Definição'!$O$62,0)</f>
        <v>0</v>
      </c>
      <c r="E34" s="795"/>
      <c r="F34" s="2806">
        <f>'R-Definição'!O67+'R-Definição'!O68</f>
        <v>0</v>
      </c>
      <c r="G34" s="2795">
        <f>'R-Definição'!O73</f>
        <v>0</v>
      </c>
      <c r="H34" s="2795">
        <f>'R-Definição'!O74</f>
        <v>0</v>
      </c>
      <c r="I34" s="2"/>
      <c r="J34" s="2"/>
      <c r="K34" s="2"/>
      <c r="L34" s="2"/>
      <c r="M34" s="2"/>
      <c r="N34" s="2"/>
      <c r="O34" s="2"/>
      <c r="P34" s="2"/>
      <c r="Q34" s="2"/>
      <c r="R34" s="2"/>
      <c r="S34" s="2"/>
      <c r="T34" s="2"/>
    </row>
    <row r="35" spans="1:20" ht="18" customHeight="1" x14ac:dyDescent="0.25">
      <c r="A35" s="2"/>
      <c r="B35" s="666">
        <f>'R-Definição'!O63+'R-Definição'!O64</f>
        <v>0</v>
      </c>
      <c r="C35" s="447" t="s">
        <v>131</v>
      </c>
      <c r="D35" s="207">
        <f>'R-Definição'!E60-'R-Definição'!O62</f>
        <v>0</v>
      </c>
      <c r="E35" s="792"/>
      <c r="F35" s="2799"/>
      <c r="G35" s="2799"/>
      <c r="H35" s="2799"/>
      <c r="I35" s="2"/>
      <c r="J35" s="2"/>
      <c r="K35" s="2"/>
      <c r="L35" s="2"/>
      <c r="M35" s="2"/>
      <c r="N35" s="2"/>
      <c r="O35" s="2"/>
      <c r="P35" s="2"/>
      <c r="Q35" s="2"/>
      <c r="R35" s="2"/>
      <c r="S35" s="2"/>
      <c r="T35" s="2"/>
    </row>
    <row r="36" spans="1:20" ht="18" customHeight="1" x14ac:dyDescent="0.25">
      <c r="A36" s="2"/>
      <c r="B36" s="196"/>
      <c r="C36" s="674" t="s">
        <v>217</v>
      </c>
      <c r="D36" s="224">
        <f>SUM(D33:D35)</f>
        <v>0</v>
      </c>
      <c r="E36" s="219"/>
      <c r="F36" s="676">
        <f>F34</f>
        <v>0</v>
      </c>
      <c r="G36" s="676">
        <f>G34</f>
        <v>0</v>
      </c>
      <c r="H36" s="676">
        <f>H34</f>
        <v>0</v>
      </c>
      <c r="I36" s="2"/>
      <c r="J36" s="2"/>
      <c r="K36" s="2"/>
      <c r="L36" s="2"/>
      <c r="M36" s="2"/>
      <c r="N36" s="2"/>
      <c r="O36" s="2"/>
      <c r="P36" s="2"/>
      <c r="Q36" s="2"/>
      <c r="R36" s="2"/>
      <c r="S36" s="2"/>
      <c r="T36" s="2"/>
    </row>
    <row r="37" spans="1:20" ht="18" customHeight="1" x14ac:dyDescent="0.25">
      <c r="A37" s="2"/>
      <c r="B37" s="77"/>
      <c r="C37" s="77"/>
      <c r="D37" s="215"/>
      <c r="E37" s="97"/>
      <c r="F37" s="97"/>
      <c r="G37" s="97"/>
      <c r="H37" s="97"/>
      <c r="I37" s="2"/>
      <c r="J37" s="2"/>
      <c r="K37" s="2"/>
      <c r="L37" s="2"/>
      <c r="M37" s="2"/>
      <c r="N37" s="2"/>
      <c r="O37" s="2"/>
      <c r="P37" s="2"/>
      <c r="Q37" s="2"/>
      <c r="R37" s="2"/>
      <c r="S37" s="2"/>
      <c r="T37" s="2"/>
    </row>
    <row r="38" spans="1:20" ht="18" customHeight="1" x14ac:dyDescent="0.25">
      <c r="A38" s="2"/>
      <c r="B38" s="664"/>
      <c r="C38" s="675" t="s">
        <v>63</v>
      </c>
      <c r="D38" s="396"/>
      <c r="E38" s="395"/>
      <c r="F38" s="395"/>
      <c r="G38" s="396"/>
      <c r="H38" s="209"/>
      <c r="I38" s="2"/>
      <c r="J38" s="2"/>
      <c r="K38" s="2"/>
      <c r="L38" s="2"/>
      <c r="M38" s="2"/>
      <c r="N38" s="2"/>
      <c r="O38" s="2"/>
      <c r="P38" s="2"/>
      <c r="Q38" s="2"/>
      <c r="R38" s="2"/>
      <c r="S38" s="2"/>
      <c r="T38" s="2"/>
    </row>
    <row r="39" spans="1:20" ht="18" customHeight="1" x14ac:dyDescent="0.25">
      <c r="A39" s="2"/>
      <c r="B39" s="2793">
        <f>'R-Definição'!E112</f>
        <v>73.137875624999978</v>
      </c>
      <c r="C39" s="447" t="s">
        <v>221</v>
      </c>
      <c r="D39" s="207">
        <f>'R-Definição'!E107</f>
        <v>64.574999999999989</v>
      </c>
      <c r="E39" s="2798">
        <f>'R-Definição'!O107+'R-Definição'!O108+'R-Definição'!O109</f>
        <v>1.6713700813662329</v>
      </c>
      <c r="F39" s="2797"/>
      <c r="G39" s="2798">
        <f>'R-Definição'!O110</f>
        <v>14.627575124999996</v>
      </c>
      <c r="H39" s="2798">
        <f>'R-Definição'!O113</f>
        <v>56.838930418633758</v>
      </c>
      <c r="I39" s="2"/>
      <c r="J39" s="2"/>
      <c r="K39" s="2"/>
      <c r="L39" s="2"/>
      <c r="M39" s="2"/>
      <c r="N39" s="2"/>
      <c r="O39" s="2"/>
      <c r="P39" s="2"/>
      <c r="Q39" s="2"/>
      <c r="R39" s="2"/>
      <c r="S39" s="2"/>
      <c r="T39" s="2"/>
    </row>
    <row r="40" spans="1:20" ht="18" customHeight="1" x14ac:dyDescent="0.25">
      <c r="A40" s="2"/>
      <c r="B40" s="2724"/>
      <c r="C40" s="447" t="s">
        <v>700</v>
      </c>
      <c r="D40" s="207">
        <f>'R-Definição'!E108</f>
        <v>0</v>
      </c>
      <c r="E40" s="2799"/>
      <c r="F40" s="2799"/>
      <c r="G40" s="2799"/>
      <c r="H40" s="2799"/>
      <c r="I40" s="2"/>
      <c r="J40" s="2"/>
      <c r="K40" s="2"/>
      <c r="L40" s="2"/>
      <c r="M40" s="2"/>
      <c r="N40" s="2"/>
      <c r="O40" s="2"/>
      <c r="P40" s="2"/>
      <c r="Q40" s="2"/>
      <c r="R40" s="2"/>
      <c r="S40" s="2"/>
      <c r="T40" s="2"/>
    </row>
    <row r="41" spans="1:20" ht="18" customHeight="1" x14ac:dyDescent="0.25">
      <c r="A41" s="2"/>
      <c r="B41" s="2724"/>
      <c r="C41" s="447" t="s">
        <v>683</v>
      </c>
      <c r="D41" s="207">
        <f>'R-Definição'!E109</f>
        <v>0</v>
      </c>
      <c r="E41" s="2799"/>
      <c r="F41" s="2799"/>
      <c r="G41" s="2799"/>
      <c r="H41" s="2799"/>
      <c r="I41" s="2"/>
      <c r="J41" s="2"/>
      <c r="K41" s="2"/>
      <c r="L41" s="2"/>
      <c r="M41" s="2"/>
      <c r="N41" s="2"/>
      <c r="O41" s="2"/>
      <c r="P41" s="2"/>
      <c r="Q41" s="2"/>
      <c r="R41" s="2"/>
      <c r="S41" s="2"/>
      <c r="T41" s="2"/>
    </row>
    <row r="42" spans="1:20" ht="18" customHeight="1" x14ac:dyDescent="0.25">
      <c r="A42" s="2"/>
      <c r="B42" s="2724"/>
      <c r="C42" s="220" t="s">
        <v>729</v>
      </c>
      <c r="D42" s="207">
        <f>'R-Definição'!E110</f>
        <v>4.5324731249999992</v>
      </c>
      <c r="E42" s="2799"/>
      <c r="F42" s="2799"/>
      <c r="G42" s="2799"/>
      <c r="H42" s="2799"/>
      <c r="I42" s="2"/>
      <c r="J42" s="2"/>
      <c r="K42" s="2"/>
      <c r="L42" s="2"/>
      <c r="M42" s="2"/>
      <c r="N42" s="2"/>
      <c r="O42" s="2"/>
      <c r="P42" s="2"/>
      <c r="Q42" s="2"/>
      <c r="R42" s="2"/>
      <c r="S42" s="2"/>
      <c r="T42" s="2"/>
    </row>
    <row r="43" spans="1:20" ht="18" customHeight="1" x14ac:dyDescent="0.25">
      <c r="A43" s="2"/>
      <c r="C43" s="683" t="s">
        <v>896</v>
      </c>
      <c r="D43" s="207">
        <f>'R-Definição'!E111</f>
        <v>4.0304024999999992</v>
      </c>
      <c r="I43" s="2"/>
      <c r="J43" s="2"/>
      <c r="K43" s="2"/>
      <c r="L43" s="2"/>
      <c r="M43" s="2"/>
      <c r="N43" s="2"/>
      <c r="O43" s="2"/>
      <c r="P43" s="2"/>
      <c r="Q43" s="2"/>
      <c r="R43" s="2"/>
      <c r="S43" s="2"/>
      <c r="T43" s="2"/>
    </row>
    <row r="44" spans="1:20" ht="18" customHeight="1" x14ac:dyDescent="0.25">
      <c r="A44" s="2"/>
      <c r="B44" s="196"/>
      <c r="C44" s="674" t="s">
        <v>217</v>
      </c>
      <c r="D44" s="796">
        <f>SUM(D39:D43)</f>
        <v>73.137875624999978</v>
      </c>
      <c r="E44" s="677">
        <f>E39</f>
        <v>1.6713700813662329</v>
      </c>
      <c r="F44" s="678"/>
      <c r="G44" s="677">
        <f>SUM(G38:G42)</f>
        <v>14.627575124999996</v>
      </c>
      <c r="H44" s="677">
        <f>SUM(H38:H42)</f>
        <v>56.838930418633758</v>
      </c>
      <c r="I44" s="2"/>
      <c r="J44" s="2"/>
      <c r="K44" s="2"/>
      <c r="L44" s="2"/>
      <c r="M44" s="2"/>
      <c r="N44" s="2"/>
      <c r="O44" s="2"/>
      <c r="P44" s="2"/>
      <c r="Q44" s="2"/>
      <c r="R44" s="2"/>
      <c r="S44" s="2"/>
      <c r="T44" s="2"/>
    </row>
    <row r="45" spans="1:20" ht="18" customHeight="1" x14ac:dyDescent="0.25">
      <c r="A45" s="2"/>
      <c r="E45" s="4"/>
      <c r="F45" s="4"/>
      <c r="G45" s="4"/>
      <c r="H45" s="4"/>
      <c r="I45" s="2"/>
      <c r="J45" s="2"/>
      <c r="K45" s="2"/>
      <c r="L45" s="2"/>
      <c r="M45" s="2"/>
      <c r="N45" s="2"/>
      <c r="O45" s="2"/>
      <c r="P45" s="2"/>
      <c r="Q45" s="2"/>
      <c r="R45" s="2"/>
      <c r="S45" s="2"/>
      <c r="T45" s="2"/>
    </row>
    <row r="46" spans="1:20" ht="18" customHeight="1" x14ac:dyDescent="0.25">
      <c r="A46" s="2"/>
      <c r="B46" s="664"/>
      <c r="C46" s="396" t="s">
        <v>64</v>
      </c>
      <c r="D46" s="663"/>
      <c r="E46" s="4"/>
      <c r="F46" s="4"/>
      <c r="G46" s="4"/>
      <c r="H46" s="4"/>
      <c r="I46" s="2"/>
      <c r="J46" s="2"/>
      <c r="K46" s="2"/>
      <c r="L46" s="2"/>
      <c r="M46" s="2"/>
      <c r="N46" s="2"/>
      <c r="O46" s="2"/>
      <c r="P46" s="2"/>
      <c r="Q46" s="2"/>
      <c r="R46" s="2"/>
      <c r="S46" s="2"/>
      <c r="T46" s="2"/>
    </row>
    <row r="47" spans="1:20" ht="18" customHeight="1" x14ac:dyDescent="0.25">
      <c r="A47" s="2"/>
      <c r="B47" s="2787">
        <f>'R-Definição'!E119</f>
        <v>14.627575124999996</v>
      </c>
      <c r="C47" s="447" t="s">
        <v>222</v>
      </c>
      <c r="D47" s="207">
        <f>'R-Definição'!N95</f>
        <v>0</v>
      </c>
      <c r="E47" s="4"/>
      <c r="F47" s="644" t="s">
        <v>223</v>
      </c>
      <c r="G47" s="397"/>
      <c r="H47" s="669"/>
      <c r="I47" s="2"/>
      <c r="J47" s="2"/>
      <c r="K47" s="2"/>
      <c r="L47" s="2"/>
      <c r="M47" s="2"/>
      <c r="N47" s="2"/>
      <c r="O47" s="2"/>
      <c r="P47" s="2"/>
      <c r="Q47" s="2"/>
      <c r="R47" s="2"/>
      <c r="S47" s="2"/>
      <c r="T47" s="2"/>
    </row>
    <row r="48" spans="1:20" ht="18" customHeight="1" x14ac:dyDescent="0.25">
      <c r="A48" s="2"/>
      <c r="B48" s="2788"/>
      <c r="C48" s="447" t="s">
        <v>498</v>
      </c>
      <c r="D48" s="207">
        <f>'R-Definição'!N96</f>
        <v>0</v>
      </c>
      <c r="E48" s="5"/>
      <c r="F48" s="667"/>
      <c r="G48" s="205" t="s">
        <v>224</v>
      </c>
      <c r="H48" s="205" t="s">
        <v>22</v>
      </c>
      <c r="I48" s="2"/>
      <c r="J48" s="2"/>
      <c r="K48" s="2"/>
      <c r="L48" s="2"/>
      <c r="M48" s="2"/>
      <c r="N48" s="2"/>
      <c r="O48" s="2"/>
      <c r="P48" s="2"/>
      <c r="Q48" s="2"/>
      <c r="R48" s="2"/>
      <c r="S48" s="2"/>
      <c r="T48" s="2"/>
    </row>
    <row r="49" spans="1:20" ht="18" customHeight="1" x14ac:dyDescent="0.25">
      <c r="A49" s="2"/>
      <c r="B49" s="2788"/>
      <c r="C49" s="447" t="s">
        <v>499</v>
      </c>
      <c r="D49" s="207">
        <f>'R-Definição'!N98+'R-Definição'!N99+'R-Definição'!N97</f>
        <v>0</v>
      </c>
      <c r="E49" s="4"/>
      <c r="F49" s="217" t="s">
        <v>225</v>
      </c>
      <c r="G49" s="207">
        <f>D53</f>
        <v>14.627575124999996</v>
      </c>
      <c r="H49" s="706">
        <f>IF($G$52&lt;&gt;0,G49/$G$52*100,0)</f>
        <v>19.820562500000001</v>
      </c>
      <c r="I49" s="19"/>
      <c r="J49" s="2"/>
      <c r="K49" s="2"/>
      <c r="L49" s="2"/>
      <c r="M49" s="2"/>
      <c r="N49" s="2"/>
      <c r="O49" s="2"/>
      <c r="P49" s="2"/>
      <c r="Q49" s="2"/>
      <c r="R49" s="2"/>
      <c r="S49" s="2"/>
      <c r="T49" s="2"/>
    </row>
    <row r="50" spans="1:20" ht="18" customHeight="1" x14ac:dyDescent="0.25">
      <c r="A50" s="2"/>
      <c r="B50" s="2788"/>
      <c r="C50" s="447" t="s">
        <v>500</v>
      </c>
      <c r="D50" s="207">
        <f>'R-Definição'!O53</f>
        <v>0</v>
      </c>
      <c r="E50" s="4"/>
      <c r="F50" s="217" t="s">
        <v>503</v>
      </c>
      <c r="G50" s="706">
        <f>E44+F36+E29+E22</f>
        <v>2.3334944563662328</v>
      </c>
      <c r="H50" s="706">
        <f>IF($G$52&lt;&gt;0,G50/$G$52*100,0)</f>
        <v>3.1619166075423215</v>
      </c>
      <c r="I50" s="21"/>
      <c r="J50" s="2"/>
      <c r="K50" s="2"/>
      <c r="L50" s="2"/>
      <c r="M50" s="2"/>
      <c r="N50" s="2"/>
      <c r="O50" s="2"/>
      <c r="P50" s="2"/>
      <c r="Q50" s="2"/>
      <c r="R50" s="2"/>
      <c r="S50" s="2"/>
      <c r="T50" s="2"/>
    </row>
    <row r="51" spans="1:20" ht="18" customHeight="1" x14ac:dyDescent="0.25">
      <c r="A51" s="2"/>
      <c r="B51" s="2788"/>
      <c r="C51" s="447" t="s">
        <v>501</v>
      </c>
      <c r="D51" s="207">
        <f>'R-Definição'!O73</f>
        <v>0</v>
      </c>
      <c r="E51" s="2"/>
      <c r="F51" s="217" t="s">
        <v>226</v>
      </c>
      <c r="G51" s="706">
        <f>H29+H36+H44</f>
        <v>56.838930418633758</v>
      </c>
      <c r="H51" s="706">
        <f>IF($G$52&lt;&gt;0,G51/$G$52*100,0)</f>
        <v>77.017520892457682</v>
      </c>
      <c r="I51" s="2"/>
      <c r="J51" s="2"/>
      <c r="K51" s="2"/>
      <c r="L51" s="2"/>
      <c r="M51" s="2"/>
      <c r="N51" s="2"/>
      <c r="O51" s="2"/>
      <c r="P51" s="2"/>
      <c r="Q51" s="2"/>
      <c r="R51" s="2"/>
      <c r="S51" s="2"/>
      <c r="T51" s="2"/>
    </row>
    <row r="52" spans="1:20" ht="18" customHeight="1" x14ac:dyDescent="0.25">
      <c r="A52" s="2"/>
      <c r="B52" s="2789"/>
      <c r="C52" s="447" t="s">
        <v>502</v>
      </c>
      <c r="D52" s="207">
        <f>'R-Definição'!O110</f>
        <v>14.627575124999996</v>
      </c>
      <c r="E52" s="2"/>
      <c r="F52" s="679" t="s">
        <v>52</v>
      </c>
      <c r="G52" s="208">
        <f>SUM(G49:G51)</f>
        <v>73.799999999999983</v>
      </c>
      <c r="H52" s="670">
        <f>IF($G$52&lt;&gt;0,G52/$G$52*100,0)</f>
        <v>100</v>
      </c>
      <c r="I52" s="19"/>
      <c r="J52" s="2"/>
      <c r="K52" s="2"/>
      <c r="L52" s="2"/>
      <c r="M52" s="2"/>
      <c r="N52" s="2"/>
      <c r="O52" s="2"/>
      <c r="P52" s="2"/>
      <c r="Q52" s="2"/>
      <c r="R52" s="2"/>
      <c r="S52" s="2"/>
      <c r="T52" s="2"/>
    </row>
    <row r="53" spans="1:20" ht="18" customHeight="1" x14ac:dyDescent="0.25">
      <c r="A53" s="2"/>
      <c r="B53" s="672"/>
      <c r="C53" s="673" t="s">
        <v>217</v>
      </c>
      <c r="D53" s="668">
        <f>SUM(D47:D52)</f>
        <v>14.627575124999996</v>
      </c>
      <c r="E53" s="2"/>
      <c r="F53" s="222" t="s">
        <v>227</v>
      </c>
      <c r="G53" s="221"/>
      <c r="H53" s="2"/>
      <c r="I53" s="2"/>
      <c r="J53" s="2"/>
      <c r="K53" s="2"/>
      <c r="L53" s="2"/>
      <c r="M53" s="2"/>
      <c r="N53" s="2"/>
      <c r="O53" s="2"/>
      <c r="P53" s="2"/>
      <c r="Q53" s="2"/>
      <c r="R53" s="2"/>
      <c r="S53" s="2"/>
      <c r="T53" s="2"/>
    </row>
    <row r="54" spans="1:20" ht="18" customHeight="1" x14ac:dyDescent="0.25">
      <c r="A54" s="2"/>
      <c r="B54" s="2"/>
      <c r="C54" s="12"/>
      <c r="D54" s="21"/>
      <c r="E54" s="2"/>
      <c r="F54" s="2"/>
      <c r="G54" s="21"/>
      <c r="H54" s="21"/>
      <c r="I54" s="2"/>
      <c r="J54" s="2"/>
      <c r="K54" s="2"/>
      <c r="L54" s="2"/>
      <c r="M54" s="2"/>
      <c r="N54" s="2"/>
      <c r="O54" s="2"/>
      <c r="P54" s="2"/>
      <c r="Q54" s="2"/>
      <c r="R54" s="2"/>
      <c r="S54" s="2"/>
      <c r="T54" s="2"/>
    </row>
    <row r="55" spans="1:20" ht="18" customHeight="1" x14ac:dyDescent="0.25">
      <c r="A55" s="2"/>
      <c r="B55" s="2675" t="s">
        <v>150</v>
      </c>
      <c r="C55" s="2713"/>
      <c r="D55" s="2675" t="s">
        <v>228</v>
      </c>
      <c r="E55" s="2733"/>
      <c r="F55" s="2733"/>
      <c r="G55" s="2733"/>
      <c r="H55" s="2733"/>
      <c r="I55" s="2733"/>
      <c r="J55" s="2733"/>
      <c r="K55" s="2733"/>
      <c r="L55" s="2"/>
      <c r="M55" s="2"/>
      <c r="N55" s="2"/>
      <c r="O55" s="2"/>
      <c r="P55" s="2"/>
      <c r="Q55" s="2"/>
      <c r="R55" s="2"/>
      <c r="S55" s="2"/>
      <c r="T55" s="2"/>
    </row>
    <row r="56" spans="1:20" ht="18" customHeight="1" x14ac:dyDescent="0.25">
      <c r="A56" s="2"/>
      <c r="B56" s="2713"/>
      <c r="C56" s="2713"/>
      <c r="D56" s="2802" t="s">
        <v>52</v>
      </c>
      <c r="E56" s="2802" t="s">
        <v>184</v>
      </c>
      <c r="F56" s="2803"/>
      <c r="G56" s="2803"/>
      <c r="H56" s="2804" t="s">
        <v>61</v>
      </c>
      <c r="I56" s="2804" t="s">
        <v>187</v>
      </c>
      <c r="J56" s="2804" t="s">
        <v>63</v>
      </c>
      <c r="K56" s="2804" t="s">
        <v>64</v>
      </c>
      <c r="L56" s="2"/>
      <c r="M56" s="2"/>
      <c r="N56" s="2"/>
      <c r="O56" s="2"/>
      <c r="P56" s="2"/>
      <c r="Q56" s="2"/>
      <c r="R56" s="2"/>
      <c r="S56" s="2"/>
      <c r="T56" s="2"/>
    </row>
    <row r="57" spans="1:20" ht="18" customHeight="1" x14ac:dyDescent="0.25">
      <c r="A57" s="2"/>
      <c r="B57" s="2801" t="s">
        <v>28</v>
      </c>
      <c r="C57" s="454" t="s">
        <v>21</v>
      </c>
      <c r="D57" s="2803"/>
      <c r="E57" s="454" t="s">
        <v>79</v>
      </c>
      <c r="F57" s="454" t="s">
        <v>86</v>
      </c>
      <c r="G57" s="454" t="s">
        <v>72</v>
      </c>
      <c r="H57" s="2803"/>
      <c r="I57" s="2803"/>
      <c r="J57" s="2803"/>
      <c r="K57" s="2803"/>
      <c r="L57" s="2"/>
      <c r="M57" s="2"/>
      <c r="N57" s="2"/>
      <c r="O57" s="2"/>
      <c r="P57" s="2"/>
      <c r="Q57" s="2"/>
      <c r="R57" s="2"/>
      <c r="S57" s="2"/>
      <c r="T57" s="2"/>
    </row>
    <row r="58" spans="1:20" ht="18" customHeight="1" x14ac:dyDescent="0.25">
      <c r="A58" s="2"/>
      <c r="B58" s="2801"/>
      <c r="C58" s="217" t="s">
        <v>73</v>
      </c>
      <c r="D58" s="207">
        <f t="shared" ref="D58:D64" si="0">SUM(E58:K58)</f>
        <v>0.27190687499999999</v>
      </c>
      <c r="E58" s="207">
        <f>'R-Definição'!M24</f>
        <v>0</v>
      </c>
      <c r="F58" s="207">
        <f>'R-Definição'!N24</f>
        <v>0</v>
      </c>
      <c r="G58" s="207">
        <f>'R-Definição'!O24</f>
        <v>0.27190687499999999</v>
      </c>
      <c r="H58" s="706"/>
      <c r="I58" s="455"/>
      <c r="J58" s="455"/>
      <c r="K58" s="455"/>
      <c r="L58" s="2"/>
      <c r="M58" s="2"/>
      <c r="N58" s="2"/>
      <c r="O58" s="2"/>
      <c r="P58" s="2"/>
      <c r="Q58" s="2"/>
      <c r="R58" s="2"/>
      <c r="S58" s="2"/>
      <c r="T58" s="2"/>
    </row>
    <row r="59" spans="1:20" ht="18" customHeight="1" x14ac:dyDescent="0.25">
      <c r="A59" s="2"/>
      <c r="B59" s="2801"/>
      <c r="C59" s="217" t="s">
        <v>29</v>
      </c>
      <c r="D59" s="207">
        <f t="shared" si="0"/>
        <v>0.18473062500000001</v>
      </c>
      <c r="E59" s="207">
        <f>'R-Definição'!M25</f>
        <v>0</v>
      </c>
      <c r="F59" s="207">
        <f>'R-Definição'!N25</f>
        <v>0</v>
      </c>
      <c r="G59" s="207">
        <f>'R-Definição'!O25</f>
        <v>0.18473062500000001</v>
      </c>
      <c r="H59" s="707"/>
      <c r="I59" s="708"/>
      <c r="J59" s="708"/>
      <c r="K59" s="708"/>
      <c r="L59" s="2"/>
      <c r="M59" s="2"/>
      <c r="N59" s="2"/>
      <c r="O59" s="2"/>
      <c r="P59" s="2"/>
      <c r="Q59" s="2"/>
      <c r="R59" s="2"/>
      <c r="S59" s="2"/>
      <c r="T59" s="2"/>
    </row>
    <row r="60" spans="1:20" ht="18" customHeight="1" x14ac:dyDescent="0.25">
      <c r="A60" s="2"/>
      <c r="B60" s="2801"/>
      <c r="C60" s="217" t="s">
        <v>77</v>
      </c>
      <c r="D60" s="207">
        <f t="shared" si="0"/>
        <v>9.5478750000000001E-2</v>
      </c>
      <c r="E60" s="207">
        <f>'R-Definição'!M26</f>
        <v>0</v>
      </c>
      <c r="F60" s="207">
        <f>'R-Definição'!N26</f>
        <v>0</v>
      </c>
      <c r="G60" s="207">
        <f>'R-Definição'!O26</f>
        <v>9.5478750000000001E-2</v>
      </c>
      <c r="H60" s="706"/>
      <c r="I60" s="455"/>
      <c r="J60" s="455"/>
      <c r="K60" s="455"/>
      <c r="L60" s="2"/>
      <c r="M60" s="2"/>
      <c r="N60" s="2"/>
      <c r="O60" s="2"/>
      <c r="P60" s="2"/>
      <c r="Q60" s="2"/>
      <c r="R60" s="2"/>
      <c r="S60" s="2"/>
      <c r="T60" s="2"/>
    </row>
    <row r="61" spans="1:20" ht="18" customHeight="1" x14ac:dyDescent="0.25">
      <c r="A61" s="2"/>
      <c r="B61" s="2801"/>
      <c r="C61" s="217" t="s">
        <v>31</v>
      </c>
      <c r="D61" s="207">
        <f t="shared" si="0"/>
        <v>4.9814999999999984E-2</v>
      </c>
      <c r="E61" s="207">
        <f>'R-Definição'!M27</f>
        <v>0</v>
      </c>
      <c r="F61" s="207">
        <f>'R-Definição'!N27</f>
        <v>0</v>
      </c>
      <c r="G61" s="207">
        <f>'R-Definição'!O27</f>
        <v>4.9814999999999984E-2</v>
      </c>
      <c r="H61" s="706"/>
      <c r="I61" s="455"/>
      <c r="J61" s="455"/>
      <c r="K61" s="455"/>
      <c r="L61" s="2"/>
      <c r="M61" s="2"/>
      <c r="N61" s="2"/>
      <c r="O61" s="2"/>
      <c r="P61" s="2"/>
      <c r="Q61" s="2"/>
      <c r="R61" s="2"/>
      <c r="S61" s="2"/>
      <c r="T61" s="2"/>
    </row>
    <row r="62" spans="1:20" ht="18" customHeight="1" x14ac:dyDescent="0.25">
      <c r="A62" s="2"/>
      <c r="B62" s="2801"/>
      <c r="C62" s="217" t="s">
        <v>32</v>
      </c>
      <c r="D62" s="207">
        <f t="shared" si="0"/>
        <v>1.3733087498766674</v>
      </c>
      <c r="E62" s="207">
        <f>'R-Definição'!M28</f>
        <v>0</v>
      </c>
      <c r="F62" s="207">
        <f>'R-Definição'!N28</f>
        <v>0</v>
      </c>
      <c r="G62" s="207">
        <f>'R-Definição'!O28</f>
        <v>4.7739375000000001E-2</v>
      </c>
      <c r="H62" s="706"/>
      <c r="I62" s="455"/>
      <c r="J62" s="706">
        <f>'R-Definição'!O107</f>
        <v>1.3255693748766675</v>
      </c>
      <c r="K62" s="455"/>
      <c r="L62" s="2"/>
      <c r="M62" s="2"/>
      <c r="N62" s="2"/>
      <c r="O62" s="2"/>
      <c r="P62" s="2"/>
      <c r="Q62" s="2"/>
      <c r="R62" s="2"/>
      <c r="S62" s="2"/>
      <c r="T62" s="2"/>
    </row>
    <row r="63" spans="1:20" ht="18" customHeight="1" x14ac:dyDescent="0.25">
      <c r="A63" s="2"/>
      <c r="B63" s="2801"/>
      <c r="C63" s="217" t="s">
        <v>83</v>
      </c>
      <c r="D63" s="207">
        <f t="shared" si="0"/>
        <v>0.35825445648956544</v>
      </c>
      <c r="E63" s="207">
        <f>'R-Definição'!M29</f>
        <v>0</v>
      </c>
      <c r="F63" s="207">
        <f>'R-Definição'!N29</f>
        <v>0</v>
      </c>
      <c r="G63" s="207">
        <f>'R-Definição'!O29</f>
        <v>1.2453749999999996E-2</v>
      </c>
      <c r="H63" s="706"/>
      <c r="I63" s="455"/>
      <c r="J63" s="706">
        <f>'R-Definição'!O108</f>
        <v>0.34580070648956546</v>
      </c>
      <c r="K63" s="455"/>
      <c r="L63" s="2"/>
      <c r="M63" s="2"/>
      <c r="N63" s="2"/>
      <c r="O63" s="2"/>
      <c r="P63" s="2"/>
      <c r="Q63" s="2"/>
      <c r="R63" s="2"/>
      <c r="S63" s="2"/>
      <c r="T63" s="2"/>
    </row>
    <row r="64" spans="1:20" ht="18" customHeight="1" x14ac:dyDescent="0.25">
      <c r="A64" s="2"/>
      <c r="B64" s="2801"/>
      <c r="C64" s="680" t="s">
        <v>464</v>
      </c>
      <c r="D64" s="224">
        <f t="shared" si="0"/>
        <v>2.3334944563662328</v>
      </c>
      <c r="E64" s="225">
        <f>SUM(E58:E63)</f>
        <v>0</v>
      </c>
      <c r="F64" s="225">
        <f>SUM(F58:F63)</f>
        <v>0</v>
      </c>
      <c r="G64" s="225">
        <f>SUM(G58:G63)</f>
        <v>0.6621243750000001</v>
      </c>
      <c r="H64" s="218"/>
      <c r="I64" s="456"/>
      <c r="J64" s="226">
        <f>SUM(J58:J63)</f>
        <v>1.6713700813662329</v>
      </c>
      <c r="K64" s="456"/>
      <c r="L64" s="2"/>
      <c r="M64" s="2"/>
      <c r="N64" s="2"/>
      <c r="O64" s="2"/>
      <c r="P64" s="2"/>
      <c r="Q64" s="2"/>
      <c r="R64" s="2"/>
      <c r="S64" s="2"/>
      <c r="T64" s="2"/>
    </row>
    <row r="65" spans="1:20" ht="18" customHeight="1" x14ac:dyDescent="0.25">
      <c r="A65" s="2"/>
      <c r="B65" s="2801"/>
      <c r="C65" s="454" t="s">
        <v>21</v>
      </c>
      <c r="D65" s="207"/>
      <c r="E65" s="455"/>
      <c r="F65" s="455"/>
      <c r="G65" s="455"/>
      <c r="H65" s="706"/>
      <c r="I65" s="455"/>
      <c r="J65" s="455"/>
      <c r="K65" s="455"/>
      <c r="L65" s="2"/>
      <c r="M65" s="2"/>
      <c r="N65" s="2"/>
      <c r="O65" s="2"/>
      <c r="P65" s="2"/>
      <c r="Q65" s="2"/>
      <c r="R65" s="2"/>
      <c r="S65" s="2"/>
      <c r="T65" s="2"/>
    </row>
    <row r="66" spans="1:20" ht="18" customHeight="1" x14ac:dyDescent="0.25">
      <c r="A66" s="2"/>
      <c r="B66" s="2800" t="s">
        <v>229</v>
      </c>
      <c r="C66" s="217" t="s">
        <v>230</v>
      </c>
      <c r="D66" s="207">
        <f>SUM(E66:K66)</f>
        <v>0</v>
      </c>
      <c r="E66" s="455"/>
      <c r="F66" s="455"/>
      <c r="G66" s="455"/>
      <c r="H66" s="706"/>
      <c r="I66" s="706">
        <f>'R-Definição'!O67</f>
        <v>0</v>
      </c>
      <c r="J66" s="455"/>
      <c r="K66" s="455"/>
      <c r="L66" s="2"/>
      <c r="M66" s="2"/>
      <c r="N66" s="2"/>
      <c r="O66" s="2"/>
      <c r="P66" s="2"/>
      <c r="Q66" s="2"/>
      <c r="R66" s="2"/>
      <c r="S66" s="2"/>
      <c r="T66" s="2"/>
    </row>
    <row r="67" spans="1:20" ht="18" customHeight="1" x14ac:dyDescent="0.25">
      <c r="A67" s="2"/>
      <c r="B67" s="2801"/>
      <c r="C67" s="217" t="s">
        <v>231</v>
      </c>
      <c r="D67" s="207">
        <f>SUM(E67:K67)</f>
        <v>0</v>
      </c>
      <c r="E67" s="455"/>
      <c r="F67" s="455"/>
      <c r="G67" s="455"/>
      <c r="H67" s="706"/>
      <c r="I67" s="706">
        <f>IF('R-Definição'!I72&lt;&gt;"Cobertura de aterro sanitário",'R-Definição'!O68,0)</f>
        <v>0</v>
      </c>
      <c r="J67" s="455"/>
      <c r="K67" s="455"/>
      <c r="L67" s="2"/>
      <c r="M67" s="2"/>
      <c r="N67" s="2"/>
      <c r="O67" s="2"/>
      <c r="P67" s="2"/>
      <c r="Q67" s="2"/>
      <c r="R67" s="2"/>
      <c r="S67" s="2"/>
      <c r="T67" s="2"/>
    </row>
    <row r="68" spans="1:20" ht="18" customHeight="1" x14ac:dyDescent="0.25">
      <c r="A68" s="2"/>
      <c r="B68" s="2801"/>
      <c r="C68" s="217" t="s">
        <v>504</v>
      </c>
      <c r="D68" s="207">
        <f>SUM(E68:K68)</f>
        <v>0</v>
      </c>
      <c r="E68" s="207"/>
      <c r="F68" s="207"/>
      <c r="G68" s="207"/>
      <c r="H68" s="207"/>
      <c r="I68" s="207">
        <f>IF('R-Definição'!I72="Cobertura de aterro sanitário",'R-Definição'!O68,0)</f>
        <v>0</v>
      </c>
      <c r="J68" s="207"/>
      <c r="K68" s="207"/>
      <c r="L68" s="2"/>
      <c r="M68" s="2"/>
      <c r="N68" s="2"/>
      <c r="O68" s="2"/>
      <c r="P68" s="2"/>
      <c r="Q68" s="2"/>
      <c r="R68" s="2"/>
      <c r="S68" s="2"/>
      <c r="T68" s="2"/>
    </row>
    <row r="69" spans="1:20" ht="18" customHeight="1" x14ac:dyDescent="0.25">
      <c r="A69" s="2"/>
      <c r="B69" s="2801"/>
      <c r="C69" s="680" t="s">
        <v>505</v>
      </c>
      <c r="D69" s="224">
        <f>SUM(D66:D67)</f>
        <v>0</v>
      </c>
      <c r="E69" s="454"/>
      <c r="F69" s="454"/>
      <c r="G69" s="454"/>
      <c r="H69" s="218"/>
      <c r="I69" s="218">
        <f>SUM(I66:I68)</f>
        <v>0</v>
      </c>
      <c r="J69" s="456"/>
      <c r="K69" s="456"/>
      <c r="L69" s="2"/>
      <c r="M69" s="2"/>
      <c r="N69" s="2"/>
      <c r="O69" s="2"/>
      <c r="P69" s="2"/>
      <c r="Q69" s="2"/>
      <c r="R69" s="2"/>
      <c r="S69" s="2"/>
      <c r="T69" s="2"/>
    </row>
    <row r="70" spans="1:20" ht="18" customHeight="1" x14ac:dyDescent="0.25">
      <c r="A70" s="2"/>
      <c r="B70" s="2801"/>
      <c r="C70" s="454" t="s">
        <v>21</v>
      </c>
      <c r="D70" s="207"/>
      <c r="E70" s="455"/>
      <c r="F70" s="455"/>
      <c r="G70" s="455"/>
      <c r="H70" s="706"/>
      <c r="I70" s="455"/>
      <c r="J70" s="455"/>
      <c r="K70" s="455"/>
      <c r="L70" s="2"/>
      <c r="M70" s="2"/>
      <c r="N70" s="2"/>
      <c r="O70" s="2"/>
      <c r="P70" s="2"/>
      <c r="Q70" s="2"/>
      <c r="R70" s="2"/>
      <c r="S70" s="2"/>
      <c r="T70" s="2"/>
    </row>
    <row r="71" spans="1:20" ht="18" customHeight="1" x14ac:dyDescent="0.25">
      <c r="A71" s="2"/>
      <c r="B71" s="2801" t="s">
        <v>61</v>
      </c>
      <c r="C71" s="217" t="s">
        <v>232</v>
      </c>
      <c r="D71" s="207">
        <f>SUM(E71:K71)</f>
        <v>0</v>
      </c>
      <c r="E71" s="455"/>
      <c r="F71" s="455"/>
      <c r="G71" s="455"/>
      <c r="H71" s="706">
        <f>'R-Definição'!O49</f>
        <v>0</v>
      </c>
      <c r="I71" s="455"/>
      <c r="J71" s="455"/>
      <c r="K71" s="455"/>
      <c r="L71" s="2"/>
      <c r="M71" s="2"/>
      <c r="N71" s="2"/>
      <c r="O71" s="2"/>
      <c r="P71" s="2"/>
      <c r="Q71" s="2"/>
      <c r="R71" s="2"/>
      <c r="S71" s="2"/>
      <c r="T71" s="2"/>
    </row>
    <row r="72" spans="1:20" ht="18" customHeight="1" x14ac:dyDescent="0.25">
      <c r="A72" s="2"/>
      <c r="B72" s="2801"/>
      <c r="C72" s="217" t="s">
        <v>233</v>
      </c>
      <c r="D72" s="207">
        <f>SUM(E72:K72)</f>
        <v>0</v>
      </c>
      <c r="E72" s="455"/>
      <c r="F72" s="455"/>
      <c r="G72" s="455"/>
      <c r="H72" s="706">
        <f>'R-Definição'!O50</f>
        <v>0</v>
      </c>
      <c r="I72" s="455"/>
      <c r="J72" s="455"/>
      <c r="K72" s="455"/>
      <c r="L72" s="2"/>
      <c r="M72" s="2"/>
      <c r="N72" s="2"/>
      <c r="O72" s="2"/>
      <c r="P72" s="2"/>
      <c r="Q72" s="2"/>
      <c r="R72" s="2"/>
      <c r="S72" s="2"/>
      <c r="T72" s="2"/>
    </row>
    <row r="73" spans="1:20" ht="18" customHeight="1" x14ac:dyDescent="0.25">
      <c r="A73" s="2"/>
      <c r="B73" s="2801"/>
      <c r="C73" s="454" t="s">
        <v>506</v>
      </c>
      <c r="D73" s="224">
        <f>SUM(D71:D72)</f>
        <v>0</v>
      </c>
      <c r="E73" s="454"/>
      <c r="F73" s="454"/>
      <c r="G73" s="454"/>
      <c r="H73" s="218"/>
      <c r="I73" s="456"/>
      <c r="J73" s="456"/>
      <c r="K73" s="456"/>
      <c r="L73" s="2"/>
      <c r="M73" s="2"/>
      <c r="N73" s="2"/>
      <c r="O73" s="2"/>
      <c r="P73" s="2"/>
      <c r="Q73" s="2"/>
      <c r="R73" s="2"/>
      <c r="S73" s="2"/>
      <c r="T73" s="2"/>
    </row>
    <row r="74" spans="1:20" ht="18" customHeight="1" x14ac:dyDescent="0.25">
      <c r="A74" s="2"/>
      <c r="B74" s="217" t="s">
        <v>234</v>
      </c>
      <c r="C74" s="217" t="s">
        <v>235</v>
      </c>
      <c r="D74" s="702">
        <f>SUM(E74:K74)</f>
        <v>44664.032370212975</v>
      </c>
      <c r="E74" s="702"/>
      <c r="F74" s="702"/>
      <c r="G74" s="702"/>
      <c r="H74" s="703"/>
      <c r="I74" s="702">
        <f>'R-Definição'!O69</f>
        <v>0</v>
      </c>
      <c r="J74" s="702">
        <f>'R-Definição'!O111</f>
        <v>44664.032370212975</v>
      </c>
      <c r="K74" s="702">
        <f>'R-Definição'!J127</f>
        <v>0</v>
      </c>
      <c r="L74" s="2"/>
      <c r="M74" s="2"/>
      <c r="N74" s="2"/>
      <c r="O74" s="2"/>
      <c r="P74" s="2"/>
      <c r="Q74" s="2"/>
      <c r="R74" s="2"/>
      <c r="S74" s="2"/>
      <c r="T74" s="2"/>
    </row>
    <row r="75" spans="1:20" ht="18" customHeight="1" x14ac:dyDescent="0.25">
      <c r="A75" s="2"/>
      <c r="B75" s="217" t="s">
        <v>236</v>
      </c>
      <c r="C75" s="217" t="s">
        <v>701</v>
      </c>
      <c r="D75" s="702">
        <f>SUM(E75:K75)</f>
        <v>0</v>
      </c>
      <c r="E75" s="702"/>
      <c r="F75" s="702"/>
      <c r="G75" s="702"/>
      <c r="H75" s="703"/>
      <c r="I75" s="702">
        <f>'R-Definição'!O70</f>
        <v>0</v>
      </c>
      <c r="J75" s="702"/>
      <c r="K75" s="702">
        <f>'R-Definição'!J128</f>
        <v>0</v>
      </c>
      <c r="L75" s="2"/>
      <c r="M75" s="2"/>
      <c r="N75" s="2"/>
      <c r="O75" s="2"/>
      <c r="P75" s="2"/>
      <c r="Q75" s="2"/>
      <c r="R75" s="2"/>
      <c r="S75" s="2"/>
      <c r="T75" s="2"/>
    </row>
    <row r="76" spans="1:20" ht="18" customHeight="1" x14ac:dyDescent="0.25">
      <c r="A76" s="2"/>
      <c r="B76" s="217" t="s">
        <v>237</v>
      </c>
      <c r="C76" s="217" t="s">
        <v>21</v>
      </c>
      <c r="D76" s="704">
        <f>SUM(E76:K76)</f>
        <v>0</v>
      </c>
      <c r="E76" s="705"/>
      <c r="F76" s="705"/>
      <c r="G76" s="705"/>
      <c r="H76" s="703"/>
      <c r="I76" s="705"/>
      <c r="J76" s="703">
        <f>'R-Definição'!O109</f>
        <v>0</v>
      </c>
      <c r="K76" s="705"/>
      <c r="L76" s="2"/>
      <c r="M76" s="2"/>
      <c r="N76" s="2"/>
      <c r="O76" s="2"/>
      <c r="P76" s="2"/>
      <c r="Q76" s="2"/>
      <c r="R76" s="2"/>
      <c r="S76" s="2"/>
      <c r="T76" s="2"/>
    </row>
    <row r="77" spans="1:20" ht="12.75" customHeight="1" x14ac:dyDescent="0.25">
      <c r="A77" s="2"/>
      <c r="B77" s="2"/>
      <c r="C77" s="2"/>
      <c r="D77" s="2"/>
      <c r="E77" s="2"/>
      <c r="F77" s="2"/>
      <c r="G77" s="2"/>
      <c r="H77" s="2"/>
      <c r="I77" s="2"/>
      <c r="J77" s="2"/>
      <c r="K77" s="2"/>
      <c r="L77" s="2"/>
      <c r="M77" s="2"/>
      <c r="N77" s="2"/>
      <c r="O77" s="2"/>
      <c r="P77" s="2"/>
      <c r="Q77" s="2"/>
      <c r="R77" s="2"/>
      <c r="S77" s="2"/>
      <c r="T77" s="2"/>
    </row>
    <row r="78" spans="1:20" ht="12.75" customHeight="1" x14ac:dyDescent="0.25">
      <c r="A78" s="2"/>
      <c r="B78" s="2"/>
      <c r="C78" s="2"/>
      <c r="D78" s="2"/>
      <c r="E78" s="2"/>
      <c r="F78" s="2"/>
      <c r="G78" s="2"/>
      <c r="H78" s="2"/>
      <c r="I78" s="2"/>
      <c r="J78" s="2"/>
      <c r="K78" s="2"/>
      <c r="L78" s="2"/>
      <c r="M78" s="2"/>
      <c r="N78" s="2"/>
      <c r="O78" s="2"/>
      <c r="P78" s="2"/>
      <c r="Q78" s="2"/>
      <c r="R78" s="2"/>
      <c r="S78" s="2"/>
      <c r="T78" s="2"/>
    </row>
    <row r="79" spans="1:20" ht="13.5" customHeight="1" x14ac:dyDescent="0.25">
      <c r="A79" s="2"/>
      <c r="B79" s="2"/>
      <c r="C79" s="2"/>
      <c r="D79" s="2"/>
      <c r="E79" s="2"/>
      <c r="F79" s="2"/>
      <c r="G79" s="2"/>
      <c r="H79" s="2"/>
      <c r="I79" s="2"/>
      <c r="J79" s="2"/>
      <c r="K79" s="2"/>
      <c r="L79" s="2"/>
      <c r="M79" s="2"/>
      <c r="N79" s="2"/>
      <c r="O79" s="2"/>
      <c r="P79" s="2"/>
      <c r="Q79" s="2"/>
      <c r="R79" s="2"/>
      <c r="S79" s="2"/>
      <c r="T79" s="2"/>
    </row>
    <row r="80" spans="1:20" ht="13.5" customHeight="1" x14ac:dyDescent="0.25">
      <c r="A80" s="2"/>
      <c r="B80" s="2"/>
      <c r="C80" s="2"/>
      <c r="D80" s="2"/>
      <c r="E80" s="2"/>
      <c r="F80" s="2"/>
      <c r="G80" s="2"/>
      <c r="H80" s="2"/>
      <c r="I80" s="2"/>
      <c r="J80" s="2"/>
      <c r="K80" s="2"/>
      <c r="L80" s="2"/>
      <c r="M80" s="2"/>
      <c r="N80" s="2"/>
      <c r="O80" s="2"/>
      <c r="P80" s="2"/>
      <c r="Q80" s="2"/>
      <c r="R80" s="2"/>
      <c r="S80" s="2"/>
      <c r="T80" s="2"/>
    </row>
    <row r="81" spans="1:20" ht="13.5" customHeight="1" x14ac:dyDescent="0.25">
      <c r="A81" s="2"/>
      <c r="B81" s="2"/>
      <c r="C81" s="2"/>
      <c r="D81" s="2"/>
      <c r="E81" s="2"/>
      <c r="F81" s="2"/>
      <c r="G81" s="2"/>
      <c r="H81" s="2"/>
      <c r="I81" s="2"/>
      <c r="J81" s="2"/>
      <c r="K81" s="2"/>
      <c r="L81" s="2"/>
      <c r="M81" s="2"/>
      <c r="N81" s="2"/>
      <c r="O81" s="2"/>
      <c r="P81" s="2"/>
      <c r="Q81" s="2"/>
      <c r="R81" s="2"/>
      <c r="S81" s="2"/>
      <c r="T81" s="2"/>
    </row>
    <row r="82" spans="1:20" ht="13.5" customHeight="1" x14ac:dyDescent="0.25">
      <c r="A82" s="2"/>
      <c r="B82" s="2"/>
      <c r="C82" s="2"/>
      <c r="D82" s="2"/>
      <c r="E82" s="2"/>
      <c r="F82" s="2"/>
      <c r="G82" s="2"/>
      <c r="H82" s="2"/>
      <c r="I82" s="2"/>
      <c r="J82" s="2"/>
      <c r="K82" s="2"/>
      <c r="L82" s="2"/>
      <c r="M82" s="2"/>
      <c r="N82" s="2"/>
      <c r="O82" s="2"/>
      <c r="P82" s="2"/>
      <c r="Q82" s="2"/>
      <c r="R82" s="2"/>
      <c r="S82" s="2"/>
      <c r="T82" s="2"/>
    </row>
    <row r="83" spans="1:20" ht="13.5" customHeight="1" x14ac:dyDescent="0.25">
      <c r="A83" s="2"/>
      <c r="B83" s="2"/>
      <c r="C83" s="2"/>
      <c r="D83" s="2"/>
      <c r="E83" s="2"/>
      <c r="F83" s="2"/>
      <c r="G83" s="2"/>
      <c r="H83" s="2"/>
      <c r="I83" s="2"/>
      <c r="J83" s="2"/>
      <c r="K83" s="2"/>
      <c r="L83" s="2"/>
      <c r="M83" s="2"/>
      <c r="N83" s="2"/>
      <c r="O83" s="2"/>
      <c r="P83" s="2"/>
      <c r="Q83" s="2"/>
      <c r="R83" s="2"/>
      <c r="S83" s="2"/>
      <c r="T83" s="2"/>
    </row>
    <row r="84" spans="1:20" ht="13.5" customHeight="1" x14ac:dyDescent="0.25">
      <c r="A84" s="2"/>
      <c r="B84" s="2"/>
      <c r="C84" s="2"/>
      <c r="D84" s="2"/>
      <c r="E84" s="2"/>
      <c r="F84" s="2"/>
      <c r="G84" s="2"/>
      <c r="H84" s="2"/>
      <c r="I84" s="2"/>
      <c r="J84" s="2"/>
      <c r="K84" s="2"/>
      <c r="L84" s="2"/>
      <c r="M84" s="2"/>
      <c r="N84" s="2"/>
      <c r="O84" s="2"/>
      <c r="P84" s="2"/>
      <c r="Q84" s="2"/>
      <c r="R84" s="2"/>
      <c r="S84" s="2"/>
      <c r="T84" s="2"/>
    </row>
    <row r="85" spans="1:20" ht="13.5" customHeight="1" x14ac:dyDescent="0.25">
      <c r="A85" s="2"/>
      <c r="B85" s="2"/>
      <c r="C85" s="2"/>
      <c r="D85" s="2"/>
      <c r="E85" s="2"/>
      <c r="F85" s="2"/>
      <c r="G85" s="2"/>
      <c r="H85" s="2"/>
      <c r="I85" s="2"/>
      <c r="J85" s="22"/>
      <c r="K85" s="22"/>
      <c r="L85" s="2"/>
      <c r="M85" s="2"/>
      <c r="N85" s="2"/>
      <c r="O85" s="2"/>
      <c r="P85" s="2"/>
      <c r="Q85" s="2"/>
      <c r="R85" s="2"/>
      <c r="S85" s="2"/>
      <c r="T85" s="2"/>
    </row>
    <row r="86" spans="1:20" ht="13.5" customHeight="1" x14ac:dyDescent="0.25">
      <c r="A86" s="2"/>
      <c r="B86" s="2"/>
      <c r="C86" s="2"/>
      <c r="D86" s="2"/>
      <c r="E86" s="2"/>
      <c r="F86" s="2"/>
      <c r="G86" s="2"/>
      <c r="H86" s="2"/>
      <c r="I86" s="2"/>
      <c r="J86" s="22"/>
      <c r="K86" s="22"/>
      <c r="L86" s="22"/>
      <c r="M86" s="2"/>
      <c r="N86" s="2"/>
      <c r="O86" s="2"/>
      <c r="P86" s="2"/>
      <c r="Q86" s="2"/>
      <c r="R86" s="2"/>
      <c r="S86" s="2"/>
      <c r="T86" s="2"/>
    </row>
    <row r="87" spans="1:20" ht="13.5" customHeight="1" x14ac:dyDescent="0.25">
      <c r="A87" s="2"/>
      <c r="B87" s="2"/>
      <c r="C87" s="2"/>
      <c r="D87" s="2"/>
      <c r="E87" s="2"/>
      <c r="F87" s="19"/>
      <c r="G87" s="2"/>
      <c r="H87" s="2"/>
      <c r="I87" s="2"/>
      <c r="J87" s="2"/>
      <c r="K87" s="2"/>
      <c r="L87" s="22"/>
      <c r="M87" s="2"/>
      <c r="N87" s="2"/>
      <c r="O87" s="2"/>
      <c r="P87" s="2"/>
      <c r="Q87" s="2"/>
      <c r="R87" s="2"/>
      <c r="S87" s="2"/>
      <c r="T87" s="2"/>
    </row>
    <row r="88" spans="1:20" ht="13.5" customHeight="1" x14ac:dyDescent="0.25">
      <c r="A88" s="2"/>
      <c r="B88" s="2"/>
      <c r="C88" s="2"/>
      <c r="D88" s="2"/>
      <c r="E88" s="2"/>
      <c r="F88" s="2"/>
      <c r="G88" s="2"/>
      <c r="H88" s="2"/>
      <c r="I88" s="2"/>
      <c r="J88" s="2"/>
      <c r="K88" s="2"/>
      <c r="L88" s="2"/>
      <c r="M88" s="2"/>
      <c r="N88" s="2"/>
      <c r="O88" s="2"/>
      <c r="P88" s="2"/>
      <c r="Q88" s="2"/>
      <c r="R88" s="2"/>
      <c r="S88" s="2"/>
      <c r="T88" s="2"/>
    </row>
    <row r="89" spans="1:20" ht="13.5" customHeight="1" x14ac:dyDescent="0.25">
      <c r="A89" s="2"/>
      <c r="B89" s="2"/>
      <c r="C89" s="2"/>
      <c r="D89" s="2"/>
      <c r="E89" s="2"/>
      <c r="F89" s="2"/>
      <c r="G89" s="2"/>
      <c r="H89" s="2"/>
      <c r="I89" s="2"/>
      <c r="J89" s="2"/>
      <c r="K89" s="2"/>
      <c r="L89" s="2"/>
      <c r="M89" s="2"/>
      <c r="N89" s="2"/>
      <c r="O89" s="2"/>
      <c r="P89" s="2"/>
      <c r="Q89" s="2"/>
      <c r="R89" s="2"/>
      <c r="S89" s="2"/>
      <c r="T89" s="2"/>
    </row>
    <row r="90" spans="1:20" ht="13.5" customHeight="1" x14ac:dyDescent="0.25">
      <c r="A90" s="2"/>
      <c r="B90" s="2"/>
      <c r="C90" s="2"/>
      <c r="D90" s="2"/>
      <c r="E90" s="2"/>
      <c r="F90" s="2"/>
      <c r="G90" s="2"/>
      <c r="H90" s="2"/>
      <c r="I90" s="2"/>
      <c r="J90" s="2"/>
      <c r="K90" s="2"/>
      <c r="L90" s="2"/>
      <c r="M90" s="2"/>
      <c r="N90" s="2"/>
      <c r="O90" s="2"/>
      <c r="P90" s="2"/>
      <c r="Q90" s="2"/>
      <c r="R90" s="2"/>
      <c r="S90" s="2"/>
      <c r="T90" s="2"/>
    </row>
    <row r="91" spans="1:20" ht="13.5" customHeight="1" x14ac:dyDescent="0.25">
      <c r="A91" s="2"/>
      <c r="B91" s="2"/>
      <c r="C91" s="2"/>
      <c r="D91" s="2"/>
      <c r="E91" s="2"/>
      <c r="F91" s="2"/>
      <c r="G91" s="2"/>
      <c r="H91" s="2"/>
      <c r="I91" s="2"/>
      <c r="J91" s="2"/>
      <c r="K91" s="2"/>
      <c r="L91" s="2"/>
      <c r="M91" s="2"/>
      <c r="N91" s="2"/>
      <c r="O91" s="2"/>
      <c r="P91" s="2"/>
      <c r="Q91" s="2"/>
      <c r="R91" s="2"/>
      <c r="S91" s="2"/>
      <c r="T91" s="2"/>
    </row>
    <row r="92" spans="1:20" ht="6" customHeight="1" x14ac:dyDescent="0.25">
      <c r="A92" s="2"/>
      <c r="B92" s="2"/>
      <c r="C92" s="2"/>
      <c r="D92" s="2"/>
      <c r="E92" s="2"/>
      <c r="F92" s="2"/>
      <c r="G92" s="2"/>
      <c r="H92" s="2"/>
      <c r="I92" s="2"/>
      <c r="J92" s="2"/>
      <c r="K92" s="2"/>
      <c r="L92" s="2"/>
      <c r="M92" s="2"/>
      <c r="N92" s="2"/>
      <c r="O92" s="2"/>
      <c r="P92" s="2"/>
      <c r="Q92" s="2"/>
      <c r="R92" s="2"/>
      <c r="S92" s="2"/>
      <c r="T92" s="2"/>
    </row>
    <row r="93" spans="1:20" ht="13.5" customHeight="1" x14ac:dyDescent="0.25">
      <c r="A93" s="2"/>
      <c r="B93" s="2"/>
      <c r="C93" s="2"/>
      <c r="D93" s="2"/>
      <c r="E93" s="2"/>
      <c r="F93" s="2"/>
      <c r="G93" s="2"/>
      <c r="H93" s="2"/>
      <c r="I93" s="2"/>
      <c r="J93" s="2"/>
      <c r="K93" s="2"/>
      <c r="L93" s="2"/>
      <c r="M93" s="2"/>
      <c r="N93" s="2"/>
      <c r="O93" s="2"/>
      <c r="P93" s="2"/>
      <c r="Q93" s="2"/>
      <c r="R93" s="2"/>
      <c r="S93" s="2"/>
      <c r="T93" s="2"/>
    </row>
    <row r="94" spans="1:20" ht="13.5" customHeight="1" x14ac:dyDescent="0.25">
      <c r="A94" s="2"/>
      <c r="B94" s="2"/>
      <c r="C94" s="2"/>
      <c r="D94" s="2"/>
      <c r="E94" s="2"/>
      <c r="F94" s="2"/>
      <c r="G94" s="2"/>
      <c r="H94" s="2"/>
      <c r="I94" s="2"/>
      <c r="J94" s="2"/>
      <c r="K94" s="2"/>
      <c r="L94" s="2"/>
      <c r="M94" s="2"/>
      <c r="N94" s="2"/>
      <c r="O94" s="2"/>
      <c r="P94" s="2"/>
      <c r="Q94" s="2"/>
      <c r="R94" s="2"/>
      <c r="S94" s="2"/>
      <c r="T94" s="2"/>
    </row>
    <row r="95" spans="1:20" ht="13.5" customHeight="1" x14ac:dyDescent="0.25">
      <c r="A95" s="2"/>
      <c r="B95" s="2"/>
      <c r="C95" s="2"/>
      <c r="D95" s="2"/>
      <c r="E95" s="2"/>
      <c r="F95" s="2"/>
      <c r="G95" s="2"/>
      <c r="H95" s="2"/>
      <c r="I95" s="2"/>
      <c r="J95" s="2"/>
      <c r="K95" s="2"/>
      <c r="L95" s="2"/>
      <c r="M95" s="2"/>
      <c r="N95" s="2"/>
      <c r="O95" s="2"/>
      <c r="P95" s="2"/>
      <c r="Q95" s="2"/>
      <c r="R95" s="2"/>
      <c r="S95" s="2"/>
      <c r="T95" s="2"/>
    </row>
    <row r="96" spans="1:20" ht="13.5" customHeight="1" x14ac:dyDescent="0.25">
      <c r="A96" s="2"/>
      <c r="B96" s="2"/>
      <c r="C96" s="2"/>
      <c r="D96" s="2"/>
      <c r="E96" s="2"/>
      <c r="F96" s="2"/>
      <c r="G96" s="2"/>
      <c r="H96" s="2"/>
      <c r="I96" s="2"/>
      <c r="J96" s="2"/>
      <c r="K96" s="2"/>
      <c r="L96" s="2"/>
      <c r="M96" s="2"/>
      <c r="N96" s="2"/>
      <c r="O96" s="2"/>
      <c r="P96" s="2"/>
      <c r="Q96" s="2"/>
      <c r="R96" s="2"/>
      <c r="S96" s="2"/>
      <c r="T96" s="2"/>
    </row>
    <row r="97" spans="1:20" ht="3.75" customHeight="1" x14ac:dyDescent="0.25">
      <c r="A97" s="2"/>
      <c r="B97" s="2"/>
      <c r="C97" s="2"/>
      <c r="D97" s="2"/>
      <c r="E97" s="2"/>
      <c r="F97" s="2"/>
      <c r="G97" s="2"/>
      <c r="H97" s="2"/>
      <c r="I97" s="2"/>
      <c r="J97" s="2"/>
      <c r="K97" s="2"/>
      <c r="L97" s="2"/>
      <c r="M97" s="2"/>
      <c r="N97" s="2"/>
      <c r="O97" s="2"/>
      <c r="P97" s="2"/>
      <c r="Q97" s="2"/>
      <c r="R97" s="2"/>
      <c r="S97" s="2"/>
      <c r="T97" s="2"/>
    </row>
    <row r="98" spans="1:20" ht="13.5" customHeight="1" x14ac:dyDescent="0.25">
      <c r="A98" s="2"/>
      <c r="B98" s="2"/>
      <c r="C98" s="2"/>
      <c r="D98" s="2"/>
      <c r="E98" s="2"/>
      <c r="F98" s="2"/>
      <c r="G98" s="2"/>
      <c r="H98" s="2"/>
      <c r="I98" s="2"/>
      <c r="J98" s="2"/>
      <c r="K98" s="2"/>
      <c r="L98" s="2"/>
      <c r="M98" s="2"/>
      <c r="N98" s="2"/>
      <c r="O98" s="2"/>
      <c r="P98" s="2"/>
      <c r="Q98" s="2"/>
      <c r="R98" s="2"/>
      <c r="S98" s="2"/>
      <c r="T98" s="2"/>
    </row>
    <row r="99" spans="1:20" ht="13.5" customHeight="1" x14ac:dyDescent="0.25">
      <c r="A99" s="2"/>
      <c r="B99" s="2"/>
      <c r="C99" s="2"/>
      <c r="D99" s="2"/>
      <c r="E99" s="2"/>
      <c r="F99" s="2"/>
      <c r="G99" s="2"/>
      <c r="H99" s="2"/>
      <c r="I99" s="2"/>
      <c r="J99" s="2"/>
      <c r="K99" s="2"/>
      <c r="L99" s="2"/>
      <c r="M99" s="2"/>
      <c r="N99" s="2"/>
      <c r="O99" s="2"/>
      <c r="P99" s="2"/>
      <c r="Q99" s="2"/>
      <c r="R99" s="2"/>
      <c r="S99" s="2"/>
      <c r="T99" s="2"/>
    </row>
    <row r="100" spans="1:20" ht="13.5" customHeight="1" x14ac:dyDescent="0.25">
      <c r="A100" s="2"/>
      <c r="B100" s="2"/>
      <c r="C100" s="2"/>
      <c r="D100" s="2"/>
      <c r="E100" s="2"/>
      <c r="F100" s="2"/>
      <c r="G100" s="2"/>
      <c r="H100" s="2"/>
      <c r="I100" s="2"/>
      <c r="J100" s="2"/>
      <c r="K100" s="2"/>
      <c r="L100" s="2"/>
      <c r="M100" s="2"/>
      <c r="N100" s="2"/>
      <c r="O100" s="2"/>
      <c r="P100" s="2"/>
      <c r="Q100" s="2"/>
      <c r="R100" s="2"/>
      <c r="S100" s="2"/>
      <c r="T100" s="2"/>
    </row>
    <row r="101" spans="1:20" ht="13.5" customHeight="1" x14ac:dyDescent="0.25">
      <c r="A101" s="2"/>
      <c r="B101" s="2"/>
      <c r="C101" s="2"/>
      <c r="D101" s="2"/>
      <c r="E101" s="2"/>
      <c r="F101" s="2"/>
      <c r="G101" s="2"/>
      <c r="H101" s="2"/>
      <c r="I101" s="2"/>
      <c r="J101" s="2"/>
      <c r="K101" s="2"/>
      <c r="L101" s="2"/>
      <c r="M101" s="2"/>
      <c r="N101" s="2"/>
      <c r="O101" s="2"/>
      <c r="P101" s="2"/>
      <c r="Q101" s="2"/>
      <c r="R101" s="2"/>
      <c r="S101" s="2"/>
      <c r="T101" s="2"/>
    </row>
    <row r="102" spans="1:20" ht="13.5" customHeight="1" x14ac:dyDescent="0.25">
      <c r="A102" s="2"/>
      <c r="B102" s="2"/>
      <c r="C102" s="2"/>
      <c r="D102" s="2"/>
      <c r="E102" s="2"/>
      <c r="F102" s="2"/>
      <c r="G102" s="2"/>
      <c r="H102" s="2"/>
      <c r="I102" s="2"/>
      <c r="J102" s="2"/>
      <c r="K102" s="2"/>
      <c r="L102" s="2"/>
      <c r="M102" s="2"/>
      <c r="N102" s="2"/>
      <c r="O102" s="2"/>
      <c r="P102" s="2"/>
      <c r="Q102" s="2"/>
      <c r="R102" s="2"/>
      <c r="S102" s="2"/>
      <c r="T102" s="2"/>
    </row>
    <row r="103" spans="1:20" ht="13.5" customHeight="1" x14ac:dyDescent="0.25">
      <c r="A103" s="2"/>
      <c r="B103" s="2"/>
      <c r="C103" s="2"/>
      <c r="D103" s="2"/>
      <c r="E103" s="2"/>
      <c r="F103" s="2"/>
      <c r="G103" s="2"/>
      <c r="H103" s="2"/>
      <c r="I103" s="2"/>
      <c r="J103" s="2"/>
      <c r="K103" s="2"/>
      <c r="L103" s="2"/>
      <c r="M103" s="2"/>
      <c r="N103" s="2"/>
      <c r="O103" s="2"/>
      <c r="P103" s="2"/>
      <c r="Q103" s="2"/>
      <c r="R103" s="2"/>
      <c r="S103" s="2"/>
      <c r="T103" s="2"/>
    </row>
    <row r="104" spans="1:20" ht="13.5" customHeight="1" x14ac:dyDescent="0.25">
      <c r="A104" s="2"/>
      <c r="B104" s="2"/>
      <c r="C104" s="2"/>
      <c r="D104" s="2"/>
      <c r="E104" s="2"/>
      <c r="F104" s="2"/>
      <c r="G104" s="2"/>
      <c r="H104" s="2"/>
      <c r="I104" s="2"/>
      <c r="J104" s="2"/>
      <c r="K104" s="2"/>
      <c r="L104" s="2"/>
      <c r="M104" s="2"/>
      <c r="N104" s="2"/>
      <c r="O104" s="2"/>
      <c r="P104" s="2"/>
      <c r="Q104" s="2"/>
      <c r="R104" s="2"/>
      <c r="S104" s="2"/>
      <c r="T104" s="2"/>
    </row>
    <row r="105" spans="1:20" ht="3" customHeight="1" x14ac:dyDescent="0.25">
      <c r="A105" s="2"/>
      <c r="B105" s="2"/>
      <c r="C105" s="2"/>
      <c r="D105" s="2"/>
      <c r="E105" s="2"/>
      <c r="F105" s="2"/>
      <c r="G105" s="2"/>
      <c r="H105" s="2"/>
      <c r="I105" s="2"/>
      <c r="J105" s="2"/>
      <c r="K105" s="2"/>
      <c r="L105" s="2"/>
      <c r="M105" s="2"/>
      <c r="N105" s="2"/>
      <c r="O105" s="2"/>
      <c r="P105" s="2"/>
      <c r="Q105" s="2"/>
      <c r="R105" s="2"/>
      <c r="S105" s="2"/>
      <c r="T105" s="2"/>
    </row>
    <row r="106" spans="1:20" ht="13.5" customHeight="1" x14ac:dyDescent="0.25">
      <c r="A106" s="2"/>
      <c r="B106" s="2"/>
      <c r="C106" s="2"/>
      <c r="D106" s="2"/>
      <c r="E106" s="2"/>
      <c r="F106" s="2"/>
      <c r="G106" s="2"/>
      <c r="H106" s="2"/>
      <c r="I106" s="2"/>
      <c r="J106" s="2"/>
      <c r="K106" s="2"/>
      <c r="L106" s="2"/>
      <c r="M106" s="2"/>
      <c r="N106" s="2"/>
      <c r="O106" s="2"/>
      <c r="P106" s="2"/>
      <c r="Q106" s="2"/>
      <c r="R106" s="2"/>
      <c r="S106" s="2"/>
      <c r="T106" s="2"/>
    </row>
    <row r="107" spans="1:20" ht="13.5" customHeight="1" x14ac:dyDescent="0.25">
      <c r="A107" s="2"/>
      <c r="B107" s="2"/>
      <c r="C107" s="2"/>
      <c r="D107" s="2"/>
      <c r="E107" s="2"/>
      <c r="F107" s="2"/>
      <c r="G107" s="2"/>
      <c r="H107" s="2"/>
      <c r="I107" s="2"/>
      <c r="J107" s="2"/>
      <c r="K107" s="2"/>
      <c r="L107" s="2"/>
      <c r="M107" s="2"/>
      <c r="N107" s="2"/>
      <c r="O107" s="2"/>
      <c r="P107" s="2"/>
      <c r="Q107" s="2"/>
      <c r="R107" s="2"/>
      <c r="S107" s="2"/>
      <c r="T107" s="2"/>
    </row>
    <row r="108" spans="1:20" ht="13.5" customHeight="1" x14ac:dyDescent="0.25">
      <c r="A108" s="2"/>
      <c r="B108" s="2"/>
      <c r="C108" s="2"/>
      <c r="D108" s="2"/>
      <c r="E108" s="2"/>
      <c r="F108" s="2"/>
      <c r="G108" s="2"/>
      <c r="H108" s="2"/>
      <c r="I108" s="2"/>
      <c r="J108" s="2"/>
      <c r="K108" s="2"/>
      <c r="L108" s="2"/>
      <c r="M108" s="2"/>
      <c r="N108" s="2"/>
      <c r="O108" s="2"/>
      <c r="P108" s="2"/>
      <c r="Q108" s="2"/>
      <c r="R108" s="2"/>
      <c r="S108" s="2"/>
      <c r="T108" s="2"/>
    </row>
    <row r="109" spans="1:20" ht="13.5" customHeight="1" x14ac:dyDescent="0.25">
      <c r="A109" s="2"/>
      <c r="B109" s="2"/>
      <c r="C109" s="2"/>
      <c r="D109" s="2"/>
      <c r="E109" s="2"/>
      <c r="F109" s="2"/>
      <c r="G109" s="2"/>
      <c r="H109" s="2"/>
      <c r="I109" s="2"/>
      <c r="J109" s="2"/>
      <c r="K109" s="2"/>
      <c r="L109" s="2"/>
      <c r="M109" s="2"/>
      <c r="N109" s="2"/>
      <c r="O109" s="2"/>
      <c r="P109" s="2"/>
      <c r="Q109" s="2"/>
      <c r="R109" s="2"/>
      <c r="S109" s="2"/>
      <c r="T109" s="2"/>
    </row>
    <row r="110" spans="1:20" ht="12.75" customHeight="1" x14ac:dyDescent="0.25">
      <c r="A110" s="2"/>
      <c r="B110" s="2"/>
      <c r="C110" s="2"/>
      <c r="D110" s="2"/>
      <c r="E110" s="2"/>
      <c r="F110" s="2"/>
      <c r="G110" s="2"/>
      <c r="H110" s="2"/>
      <c r="I110" s="2"/>
      <c r="J110" s="2"/>
      <c r="K110" s="2"/>
      <c r="L110" s="2"/>
      <c r="M110" s="2"/>
      <c r="N110" s="2"/>
      <c r="O110" s="2"/>
      <c r="P110" s="2"/>
      <c r="Q110" s="2"/>
      <c r="R110" s="2"/>
      <c r="S110" s="2"/>
      <c r="T110" s="2"/>
    </row>
    <row r="111" spans="1:20" ht="12.75" customHeight="1" x14ac:dyDescent="0.25">
      <c r="A111" s="2"/>
      <c r="B111" s="2"/>
      <c r="C111" s="2"/>
      <c r="D111" s="2"/>
      <c r="E111" s="2"/>
      <c r="F111" s="2"/>
      <c r="G111" s="2"/>
      <c r="H111" s="2"/>
      <c r="I111" s="2"/>
      <c r="J111" s="2"/>
      <c r="K111" s="2"/>
      <c r="L111" s="2"/>
      <c r="M111" s="2"/>
      <c r="N111" s="2"/>
      <c r="O111" s="2"/>
      <c r="P111" s="2"/>
      <c r="Q111" s="2"/>
      <c r="R111" s="2"/>
      <c r="S111" s="2"/>
      <c r="T111" s="2"/>
    </row>
    <row r="112" spans="1:20" ht="13.5" customHeight="1" x14ac:dyDescent="0.25">
      <c r="A112" s="2"/>
      <c r="B112" s="2"/>
      <c r="C112" s="2"/>
      <c r="D112" s="2"/>
      <c r="E112" s="2"/>
      <c r="F112" s="2"/>
      <c r="G112" s="2"/>
      <c r="H112" s="2"/>
      <c r="I112" s="2"/>
      <c r="J112" s="2"/>
      <c r="K112" s="2"/>
      <c r="L112" s="2"/>
      <c r="M112" s="2"/>
      <c r="N112" s="2"/>
      <c r="O112" s="2"/>
      <c r="P112" s="2"/>
      <c r="Q112" s="2"/>
      <c r="R112" s="2"/>
      <c r="S112" s="2"/>
      <c r="T112" s="2"/>
    </row>
    <row r="113" spans="1:20" ht="12.75" customHeight="1" x14ac:dyDescent="0.25">
      <c r="A113" s="2"/>
      <c r="B113" s="2"/>
      <c r="C113" s="2"/>
      <c r="D113" s="2"/>
      <c r="E113" s="2"/>
      <c r="F113" s="2"/>
      <c r="G113" s="2"/>
      <c r="H113" s="2"/>
      <c r="I113" s="2"/>
      <c r="J113" s="2"/>
      <c r="K113" s="2"/>
      <c r="L113" s="2"/>
      <c r="M113" s="2"/>
      <c r="N113" s="2"/>
      <c r="O113" s="2"/>
      <c r="P113" s="2"/>
      <c r="Q113" s="2"/>
      <c r="R113" s="2"/>
      <c r="S113" s="2"/>
      <c r="T113" s="2"/>
    </row>
    <row r="114" spans="1:20" ht="12.75" customHeight="1" x14ac:dyDescent="0.25">
      <c r="A114" s="2"/>
      <c r="B114" s="2"/>
      <c r="C114" s="2"/>
      <c r="D114" s="2"/>
      <c r="E114" s="2"/>
      <c r="F114" s="2"/>
      <c r="G114" s="2"/>
      <c r="H114" s="2"/>
      <c r="I114" s="2"/>
      <c r="J114" s="2"/>
      <c r="K114" s="2"/>
      <c r="L114" s="2"/>
      <c r="M114" s="2"/>
      <c r="N114" s="2"/>
      <c r="O114" s="2"/>
      <c r="P114" s="2"/>
      <c r="Q114" s="2"/>
      <c r="R114" s="2"/>
      <c r="S114" s="2"/>
      <c r="T114" s="2"/>
    </row>
    <row r="115" spans="1:20" ht="12.75" customHeight="1" x14ac:dyDescent="0.25">
      <c r="A115" s="2"/>
      <c r="B115" s="2"/>
      <c r="C115" s="2"/>
      <c r="D115" s="2"/>
      <c r="E115" s="2"/>
      <c r="F115" s="2"/>
      <c r="G115" s="2"/>
      <c r="H115" s="2"/>
      <c r="I115" s="2"/>
      <c r="J115" s="2"/>
      <c r="K115" s="2"/>
      <c r="L115" s="2"/>
      <c r="M115" s="2"/>
      <c r="N115" s="2"/>
      <c r="O115" s="2"/>
      <c r="P115" s="2"/>
      <c r="Q115" s="2"/>
      <c r="R115" s="2"/>
      <c r="S115" s="2"/>
      <c r="T115" s="2"/>
    </row>
    <row r="116" spans="1:20" ht="12.75" customHeight="1" x14ac:dyDescent="0.25">
      <c r="A116" s="2"/>
      <c r="B116" s="2"/>
      <c r="C116" s="2"/>
      <c r="D116" s="2"/>
      <c r="E116" s="2"/>
      <c r="F116" s="2"/>
      <c r="G116" s="2"/>
      <c r="H116" s="2"/>
      <c r="I116" s="2"/>
      <c r="J116" s="2"/>
      <c r="K116" s="2"/>
      <c r="L116" s="2"/>
      <c r="M116" s="2"/>
      <c r="N116" s="2"/>
      <c r="O116" s="2"/>
      <c r="P116" s="2"/>
      <c r="Q116" s="2"/>
      <c r="R116" s="2"/>
      <c r="S116" s="2"/>
      <c r="T116" s="2"/>
    </row>
    <row r="117" spans="1:20" ht="12.75" customHeight="1" x14ac:dyDescent="0.25">
      <c r="A117" s="2"/>
      <c r="B117" s="2"/>
      <c r="C117" s="2"/>
      <c r="D117" s="2"/>
      <c r="E117" s="2"/>
      <c r="F117" s="2"/>
      <c r="G117" s="2"/>
      <c r="H117" s="2"/>
      <c r="I117" s="2"/>
      <c r="J117" s="2"/>
      <c r="K117" s="2"/>
      <c r="L117" s="2"/>
      <c r="M117" s="2"/>
      <c r="N117" s="2"/>
      <c r="O117" s="2"/>
      <c r="P117" s="2"/>
      <c r="Q117" s="2"/>
      <c r="R117" s="2"/>
      <c r="S117" s="2"/>
      <c r="T117" s="2"/>
    </row>
    <row r="118" spans="1:20" ht="12.75" customHeight="1" x14ac:dyDescent="0.25">
      <c r="A118" s="2"/>
      <c r="B118" s="2"/>
      <c r="C118" s="2"/>
      <c r="D118" s="2"/>
      <c r="E118" s="2"/>
      <c r="F118" s="2"/>
      <c r="G118" s="2"/>
      <c r="H118" s="2"/>
      <c r="I118" s="2"/>
      <c r="J118" s="2"/>
      <c r="K118" s="2"/>
      <c r="L118" s="2"/>
      <c r="M118" s="2"/>
      <c r="N118" s="2"/>
      <c r="O118" s="2"/>
      <c r="P118" s="2"/>
      <c r="Q118" s="2"/>
      <c r="R118" s="2"/>
      <c r="S118" s="2"/>
      <c r="T118" s="2"/>
    </row>
    <row r="119" spans="1:20" ht="12.75" customHeight="1" x14ac:dyDescent="0.25">
      <c r="A119" s="2"/>
      <c r="B119" s="2"/>
      <c r="C119" s="2"/>
      <c r="D119" s="2"/>
      <c r="E119" s="2"/>
      <c r="F119" s="2"/>
      <c r="G119" s="2"/>
      <c r="H119" s="2"/>
      <c r="I119" s="2"/>
      <c r="J119" s="2"/>
      <c r="K119" s="2"/>
      <c r="L119" s="2"/>
      <c r="M119" s="2"/>
      <c r="N119" s="2"/>
      <c r="O119" s="2"/>
      <c r="P119" s="2"/>
      <c r="Q119" s="2"/>
      <c r="R119" s="2"/>
      <c r="S119" s="2"/>
      <c r="T119" s="2"/>
    </row>
    <row r="120" spans="1:20" ht="14.25" customHeight="1" x14ac:dyDescent="0.25">
      <c r="A120" s="2"/>
      <c r="B120" s="2"/>
      <c r="C120" s="2"/>
      <c r="D120" s="2"/>
      <c r="E120" s="2"/>
      <c r="F120" s="2"/>
      <c r="G120" s="2"/>
      <c r="H120" s="2"/>
      <c r="I120" s="2"/>
      <c r="J120" s="2"/>
      <c r="K120" s="2"/>
      <c r="L120" s="2"/>
      <c r="M120" s="2"/>
      <c r="N120" s="2"/>
      <c r="O120" s="2"/>
      <c r="P120" s="2"/>
      <c r="Q120" s="2"/>
      <c r="R120" s="2"/>
      <c r="S120" s="2"/>
      <c r="T120" s="2"/>
    </row>
    <row r="121" spans="1:20" ht="14.25" customHeight="1" x14ac:dyDescent="0.25">
      <c r="A121" s="2"/>
      <c r="B121" s="2"/>
      <c r="C121" s="2"/>
      <c r="D121" s="2"/>
      <c r="E121" s="2"/>
      <c r="F121" s="2"/>
      <c r="G121" s="2"/>
      <c r="H121" s="2"/>
      <c r="I121" s="2"/>
      <c r="J121" s="2"/>
      <c r="K121" s="2"/>
      <c r="L121" s="2"/>
      <c r="M121" s="2"/>
      <c r="N121" s="2"/>
      <c r="O121" s="2"/>
      <c r="P121" s="2"/>
      <c r="Q121" s="2"/>
      <c r="R121" s="2"/>
      <c r="S121" s="2"/>
      <c r="T121" s="2"/>
    </row>
    <row r="122" spans="1:20" ht="12.75" customHeight="1" x14ac:dyDescent="0.25">
      <c r="A122" s="2"/>
      <c r="B122" s="2"/>
      <c r="C122" s="2"/>
      <c r="D122" s="2"/>
      <c r="E122" s="2"/>
      <c r="F122" s="2"/>
      <c r="G122" s="2"/>
      <c r="H122" s="2"/>
      <c r="I122" s="2"/>
      <c r="J122" s="2"/>
      <c r="K122" s="2"/>
      <c r="L122" s="2"/>
      <c r="M122" s="2"/>
      <c r="N122" s="2"/>
      <c r="O122" s="2"/>
      <c r="P122" s="2"/>
      <c r="Q122" s="2"/>
      <c r="R122" s="2"/>
      <c r="S122" s="2"/>
      <c r="T122" s="2"/>
    </row>
    <row r="123" spans="1:20" ht="12.75" customHeight="1" x14ac:dyDescent="0.25">
      <c r="A123" s="2"/>
      <c r="B123" s="2"/>
      <c r="C123" s="2"/>
      <c r="D123" s="2"/>
      <c r="E123" s="2"/>
      <c r="F123" s="2"/>
      <c r="G123" s="2"/>
      <c r="H123" s="2"/>
      <c r="I123" s="2"/>
      <c r="J123" s="2"/>
      <c r="K123" s="2"/>
      <c r="L123" s="2"/>
      <c r="M123" s="2"/>
      <c r="N123" s="2"/>
      <c r="O123" s="2"/>
      <c r="P123" s="2"/>
      <c r="Q123" s="2"/>
      <c r="R123" s="2"/>
      <c r="S123" s="2"/>
      <c r="T123" s="2"/>
    </row>
    <row r="124" spans="1:20" ht="12.75" customHeight="1" x14ac:dyDescent="0.25">
      <c r="A124" s="2"/>
      <c r="B124" s="2"/>
      <c r="C124" s="2"/>
      <c r="D124" s="2"/>
      <c r="E124" s="2"/>
      <c r="F124" s="2"/>
      <c r="G124" s="2"/>
      <c r="H124" s="2"/>
      <c r="I124" s="2"/>
      <c r="J124" s="2"/>
      <c r="K124" s="2"/>
      <c r="L124" s="2"/>
      <c r="M124" s="2"/>
      <c r="N124" s="2"/>
      <c r="O124" s="2"/>
      <c r="P124" s="2"/>
      <c r="Q124" s="2"/>
      <c r="R124" s="2"/>
      <c r="S124" s="2"/>
      <c r="T124" s="2"/>
    </row>
    <row r="125" spans="1:20" ht="12.75" customHeight="1" x14ac:dyDescent="0.25">
      <c r="A125" s="2"/>
      <c r="B125" s="2"/>
      <c r="C125" s="2"/>
      <c r="D125" s="2"/>
      <c r="E125" s="2"/>
      <c r="F125" s="2"/>
      <c r="G125" s="2"/>
      <c r="H125" s="2"/>
      <c r="I125" s="2"/>
      <c r="J125" s="2"/>
      <c r="K125" s="2"/>
      <c r="L125" s="2"/>
      <c r="M125" s="2"/>
      <c r="N125" s="2"/>
      <c r="O125" s="2"/>
      <c r="P125" s="2"/>
      <c r="Q125" s="2"/>
      <c r="R125" s="2"/>
      <c r="S125" s="2"/>
      <c r="T125" s="2"/>
    </row>
    <row r="126" spans="1:20" ht="23.25" customHeight="1" x14ac:dyDescent="0.25">
      <c r="A126" s="2"/>
      <c r="B126" s="2"/>
      <c r="C126" s="2"/>
      <c r="D126" s="2"/>
      <c r="E126" s="2"/>
      <c r="F126" s="2"/>
      <c r="G126" s="2"/>
      <c r="H126" s="2"/>
      <c r="I126" s="2"/>
      <c r="J126" s="2"/>
      <c r="K126" s="2"/>
      <c r="L126" s="2"/>
      <c r="M126" s="2"/>
      <c r="N126" s="2"/>
      <c r="O126" s="2"/>
      <c r="P126" s="2"/>
      <c r="Q126" s="2"/>
      <c r="R126" s="2"/>
      <c r="S126" s="2"/>
      <c r="T126" s="2"/>
    </row>
    <row r="127" spans="1:20" ht="12.75" customHeight="1" x14ac:dyDescent="0.25">
      <c r="A127" s="2"/>
      <c r="B127" s="2"/>
      <c r="C127" s="2"/>
      <c r="D127" s="2"/>
      <c r="E127" s="2"/>
      <c r="F127" s="2"/>
      <c r="G127" s="2"/>
      <c r="H127" s="2"/>
      <c r="I127" s="2"/>
      <c r="J127" s="2"/>
      <c r="K127" s="2"/>
      <c r="L127" s="2"/>
      <c r="M127" s="2"/>
      <c r="N127" s="2"/>
      <c r="O127" s="2"/>
      <c r="P127" s="2"/>
      <c r="Q127" s="2"/>
      <c r="R127" s="2"/>
      <c r="S127" s="2"/>
      <c r="T127" s="2"/>
    </row>
    <row r="128" spans="1:20" ht="12.75" customHeight="1" x14ac:dyDescent="0.25">
      <c r="A128" s="2"/>
      <c r="B128" s="2"/>
      <c r="C128" s="2"/>
      <c r="D128" s="2"/>
      <c r="E128" s="2"/>
      <c r="F128" s="2"/>
      <c r="G128" s="2"/>
      <c r="H128" s="2"/>
      <c r="I128" s="2"/>
      <c r="J128" s="2"/>
      <c r="K128" s="2"/>
      <c r="L128" s="2"/>
      <c r="M128" s="2"/>
      <c r="N128" s="2"/>
      <c r="O128" s="2"/>
      <c r="P128" s="2"/>
      <c r="Q128" s="2"/>
      <c r="R128" s="2"/>
      <c r="S128" s="2"/>
      <c r="T128" s="2"/>
    </row>
    <row r="129" spans="1:20" ht="12.75" customHeight="1" x14ac:dyDescent="0.25">
      <c r="A129" s="2"/>
      <c r="B129" s="2"/>
      <c r="C129" s="2"/>
      <c r="D129" s="2"/>
      <c r="E129" s="2"/>
      <c r="F129" s="2"/>
      <c r="G129" s="2"/>
      <c r="H129" s="2"/>
      <c r="I129" s="2"/>
      <c r="J129" s="2"/>
      <c r="K129" s="2"/>
      <c r="L129" s="2"/>
      <c r="M129" s="2"/>
      <c r="N129" s="2"/>
      <c r="O129" s="2"/>
      <c r="P129" s="2"/>
      <c r="Q129" s="2"/>
      <c r="R129" s="2"/>
      <c r="S129" s="2"/>
      <c r="T129" s="2"/>
    </row>
    <row r="130" spans="1:20" ht="12.75" customHeight="1" x14ac:dyDescent="0.25">
      <c r="A130" s="2"/>
      <c r="B130" s="2"/>
      <c r="C130" s="2"/>
      <c r="D130" s="8" t="str">
        <f>IF(AND(SUM(D111:D117)&lt;&gt;100)*(SUM(D111:D117)&lt;&gt;0)," Atenção: O total deve fechar 100%"," ")</f>
        <v xml:space="preserve"> </v>
      </c>
      <c r="E130" s="8" t="str">
        <f>IF(AND(SUM(E111:E117)&lt;&gt;100)*(SUM(E111:E117)&lt;&gt;0)," Atenção: O total deve fechar 100%"," ")</f>
        <v xml:space="preserve"> </v>
      </c>
      <c r="F130" s="8" t="str">
        <f>IF(AND(SUM(F111:F117)&lt;&gt;100)*(SUM(F111:F117)&lt;&gt;0)," Atenção: O total deve fechar 100%"," ")</f>
        <v xml:space="preserve"> </v>
      </c>
      <c r="G130" s="8" t="str">
        <f>IF(AND(SUM(G111:G117)&lt;&gt;100)*(SUM(G111:G117)&lt;&gt;0)," Atenção: O total deve fechar 100%"," ")</f>
        <v xml:space="preserve"> </v>
      </c>
      <c r="H130" s="2"/>
      <c r="I130" s="2"/>
      <c r="J130" s="2"/>
      <c r="K130" s="2"/>
      <c r="L130" s="2"/>
      <c r="M130" s="2"/>
      <c r="N130" s="2"/>
      <c r="O130" s="2"/>
      <c r="P130" s="2"/>
      <c r="Q130" s="2"/>
      <c r="R130" s="2"/>
      <c r="S130" s="2"/>
      <c r="T130" s="2"/>
    </row>
    <row r="131" spans="1:20" ht="12.75" customHeight="1" x14ac:dyDescent="0.25">
      <c r="A131" s="2"/>
      <c r="B131" s="2"/>
      <c r="C131" s="2"/>
      <c r="D131" s="2"/>
      <c r="E131" s="2"/>
      <c r="F131" s="2"/>
      <c r="G131" s="2"/>
      <c r="H131" s="2"/>
      <c r="I131" s="2"/>
      <c r="J131" s="2"/>
      <c r="K131" s="2"/>
      <c r="L131" s="2"/>
      <c r="M131" s="2"/>
      <c r="N131" s="2"/>
      <c r="O131" s="2"/>
      <c r="P131" s="2"/>
      <c r="Q131" s="2"/>
      <c r="R131" s="2"/>
      <c r="S131" s="2"/>
      <c r="T131" s="2"/>
    </row>
    <row r="132" spans="1:20" ht="12.75" customHeight="1" x14ac:dyDescent="0.25">
      <c r="A132" s="2"/>
      <c r="B132" s="2"/>
      <c r="C132" s="2"/>
      <c r="D132" s="2"/>
      <c r="E132" s="2"/>
      <c r="F132" s="2"/>
      <c r="G132" s="2"/>
      <c r="H132" s="2"/>
      <c r="I132" s="2"/>
      <c r="J132" s="2"/>
      <c r="K132" s="2"/>
      <c r="L132" s="2"/>
      <c r="M132" s="2"/>
      <c r="N132" s="2"/>
      <c r="O132" s="2"/>
      <c r="P132" s="2"/>
      <c r="Q132" s="2"/>
      <c r="R132" s="2"/>
      <c r="S132" s="2"/>
      <c r="T132" s="2"/>
    </row>
    <row r="133" spans="1:20" ht="12.75" customHeight="1" x14ac:dyDescent="0.25">
      <c r="A133" s="2"/>
      <c r="B133" s="2"/>
      <c r="C133" s="2"/>
      <c r="D133" s="2"/>
      <c r="E133" s="2"/>
      <c r="F133" s="2"/>
      <c r="G133" s="2"/>
      <c r="H133" s="2"/>
      <c r="I133" s="2"/>
      <c r="J133" s="2"/>
      <c r="K133" s="2"/>
      <c r="L133" s="2"/>
      <c r="M133" s="2"/>
      <c r="N133" s="2"/>
      <c r="O133" s="2"/>
      <c r="P133" s="2"/>
      <c r="Q133" s="2"/>
      <c r="R133" s="2"/>
      <c r="S133" s="2"/>
      <c r="T133" s="2"/>
    </row>
    <row r="134" spans="1:20" ht="12.75" customHeight="1" x14ac:dyDescent="0.25">
      <c r="A134" s="2"/>
      <c r="B134" s="2"/>
      <c r="C134" s="2"/>
      <c r="D134" s="2"/>
      <c r="E134" s="2"/>
      <c r="F134" s="2"/>
      <c r="G134" s="2"/>
      <c r="H134" s="2"/>
      <c r="I134" s="2"/>
      <c r="J134" s="2"/>
      <c r="K134" s="2"/>
      <c r="L134" s="2"/>
      <c r="M134" s="2"/>
      <c r="N134" s="2"/>
      <c r="O134" s="2"/>
      <c r="P134" s="2"/>
      <c r="Q134" s="2"/>
      <c r="R134" s="2"/>
      <c r="S134" s="2"/>
      <c r="T134" s="2"/>
    </row>
    <row r="135" spans="1:20" ht="12.75" customHeight="1" x14ac:dyDescent="0.25">
      <c r="A135" s="2"/>
      <c r="B135" s="2"/>
      <c r="C135" s="2"/>
      <c r="D135" s="2"/>
      <c r="E135" s="2"/>
      <c r="F135" s="2"/>
      <c r="G135" s="2"/>
      <c r="H135" s="2"/>
      <c r="I135" s="2"/>
      <c r="J135" s="2"/>
      <c r="K135" s="2"/>
      <c r="L135" s="2"/>
      <c r="M135" s="2"/>
      <c r="N135" s="2"/>
      <c r="O135" s="2"/>
      <c r="P135" s="2"/>
      <c r="Q135" s="2"/>
      <c r="R135" s="2"/>
      <c r="S135" s="2"/>
      <c r="T135" s="2"/>
    </row>
    <row r="136" spans="1:20" ht="12.75" customHeight="1" x14ac:dyDescent="0.25">
      <c r="A136" s="2"/>
      <c r="B136" s="2"/>
      <c r="C136" s="2"/>
      <c r="D136" s="2"/>
      <c r="E136" s="2"/>
      <c r="F136" s="2"/>
      <c r="G136" s="2"/>
      <c r="H136" s="2"/>
      <c r="I136" s="2"/>
      <c r="J136" s="2"/>
      <c r="K136" s="2"/>
      <c r="L136" s="2"/>
      <c r="M136" s="2"/>
      <c r="N136" s="2"/>
      <c r="O136" s="2"/>
      <c r="P136" s="2"/>
      <c r="Q136" s="2"/>
      <c r="R136" s="2"/>
      <c r="S136" s="2"/>
      <c r="T136" s="2"/>
    </row>
    <row r="137" spans="1:20" ht="12.75" customHeight="1" x14ac:dyDescent="0.25">
      <c r="A137" s="2"/>
      <c r="B137" s="2"/>
      <c r="C137" s="2"/>
      <c r="D137" s="2"/>
      <c r="E137" s="2"/>
      <c r="F137" s="2"/>
      <c r="G137" s="2"/>
      <c r="H137" s="2"/>
      <c r="I137" s="2"/>
      <c r="J137" s="2"/>
      <c r="K137" s="2"/>
      <c r="L137" s="2"/>
      <c r="M137" s="2"/>
      <c r="N137" s="2"/>
      <c r="O137" s="2"/>
      <c r="P137" s="2"/>
      <c r="Q137" s="2"/>
      <c r="R137" s="2"/>
      <c r="S137" s="2"/>
      <c r="T137" s="2"/>
    </row>
    <row r="138" spans="1:20" ht="12.75" customHeight="1" x14ac:dyDescent="0.25">
      <c r="A138" s="2"/>
      <c r="B138" s="2"/>
      <c r="C138" s="2"/>
      <c r="D138" s="2"/>
      <c r="E138" s="2"/>
      <c r="F138" s="2"/>
      <c r="G138" s="2"/>
      <c r="H138" s="2"/>
      <c r="I138" s="2"/>
      <c r="J138" s="2"/>
      <c r="K138" s="2"/>
      <c r="L138" s="2"/>
      <c r="M138" s="2"/>
      <c r="N138" s="2"/>
      <c r="O138" s="2"/>
      <c r="P138" s="2"/>
      <c r="Q138" s="2"/>
      <c r="R138" s="2"/>
      <c r="S138" s="2"/>
      <c r="T138" s="2"/>
    </row>
    <row r="139" spans="1:20" ht="14.25" customHeight="1" x14ac:dyDescent="0.25">
      <c r="A139" s="2"/>
      <c r="B139" s="2"/>
      <c r="C139" s="2"/>
      <c r="D139" s="2"/>
      <c r="E139" s="2"/>
      <c r="F139" s="2"/>
      <c r="G139" s="2"/>
      <c r="H139" s="2"/>
      <c r="I139" s="2"/>
      <c r="J139" s="2"/>
      <c r="K139" s="2"/>
      <c r="L139" s="2"/>
      <c r="M139" s="2"/>
      <c r="N139" s="2"/>
      <c r="O139" s="2"/>
      <c r="P139" s="2"/>
      <c r="Q139" s="2"/>
      <c r="R139" s="2"/>
      <c r="S139" s="2"/>
      <c r="T139" s="2"/>
    </row>
    <row r="140" spans="1:20" ht="12.75" customHeight="1" x14ac:dyDescent="0.25">
      <c r="A140" s="2"/>
      <c r="B140" s="2"/>
      <c r="C140" s="2"/>
      <c r="D140" s="2"/>
      <c r="E140" s="2"/>
      <c r="F140" s="2"/>
      <c r="G140" s="2"/>
      <c r="H140" s="2"/>
      <c r="I140" s="2"/>
      <c r="J140" s="2"/>
      <c r="K140" s="2"/>
      <c r="L140" s="2"/>
      <c r="M140" s="2"/>
      <c r="N140" s="2"/>
      <c r="O140" s="2"/>
      <c r="P140" s="2"/>
      <c r="Q140" s="2"/>
      <c r="R140" s="2"/>
      <c r="S140" s="2"/>
      <c r="T140" s="2"/>
    </row>
    <row r="141" spans="1:20" ht="12.75" customHeight="1" x14ac:dyDescent="0.25">
      <c r="A141" s="2"/>
      <c r="B141" s="2"/>
      <c r="C141" s="2"/>
      <c r="D141" s="2"/>
      <c r="E141" s="2"/>
      <c r="F141" s="2"/>
      <c r="G141" s="2"/>
      <c r="H141" s="2"/>
      <c r="I141" s="2"/>
      <c r="J141" s="2"/>
      <c r="K141" s="2"/>
      <c r="L141" s="2"/>
      <c r="M141" s="2"/>
      <c r="N141" s="2"/>
      <c r="O141" s="2"/>
      <c r="P141" s="2"/>
      <c r="Q141" s="2"/>
      <c r="R141" s="2"/>
      <c r="S141" s="2"/>
      <c r="T141" s="2"/>
    </row>
    <row r="142" spans="1:20" ht="12.75" customHeight="1" x14ac:dyDescent="0.25">
      <c r="A142" s="2"/>
      <c r="B142" s="2"/>
      <c r="C142" s="2"/>
      <c r="D142" s="2"/>
      <c r="E142" s="2"/>
      <c r="F142" s="2"/>
      <c r="G142" s="2"/>
      <c r="H142" s="2"/>
      <c r="I142" s="2"/>
      <c r="J142" s="2"/>
      <c r="K142" s="2"/>
      <c r="L142" s="2"/>
      <c r="M142" s="2"/>
      <c r="N142" s="2"/>
      <c r="O142" s="2"/>
      <c r="P142" s="2"/>
      <c r="Q142" s="2"/>
      <c r="R142" s="2"/>
      <c r="S142" s="2"/>
      <c r="T142" s="2"/>
    </row>
    <row r="143" spans="1:20" ht="12.75" customHeight="1" x14ac:dyDescent="0.25">
      <c r="A143" s="2"/>
      <c r="B143" s="2"/>
      <c r="C143" s="2"/>
      <c r="D143" s="2"/>
      <c r="E143" s="2"/>
      <c r="F143" s="2"/>
      <c r="G143" s="2"/>
      <c r="H143" s="2"/>
      <c r="I143" s="2"/>
      <c r="J143" s="2"/>
      <c r="K143" s="2"/>
      <c r="L143" s="2"/>
      <c r="M143" s="2"/>
      <c r="N143" s="2"/>
      <c r="O143" s="2"/>
      <c r="P143" s="2"/>
      <c r="Q143" s="2"/>
      <c r="R143" s="2"/>
      <c r="S143" s="2"/>
      <c r="T143" s="2"/>
    </row>
    <row r="144" spans="1:20" ht="12.75" customHeight="1" x14ac:dyDescent="0.25">
      <c r="A144" s="2"/>
      <c r="B144" s="2"/>
      <c r="C144" s="2"/>
      <c r="D144" s="2"/>
      <c r="E144" s="2"/>
      <c r="F144" s="2"/>
      <c r="G144" s="2"/>
      <c r="H144" s="2"/>
      <c r="I144" s="2"/>
      <c r="J144" s="2"/>
      <c r="K144" s="2"/>
      <c r="L144" s="2"/>
      <c r="M144" s="2"/>
      <c r="N144" s="2"/>
      <c r="O144" s="2"/>
      <c r="P144" s="2"/>
      <c r="Q144" s="2"/>
      <c r="R144" s="2"/>
      <c r="S144" s="2"/>
      <c r="T144" s="2"/>
    </row>
    <row r="145" spans="1:20" ht="12.75" customHeight="1" x14ac:dyDescent="0.25">
      <c r="A145" s="2"/>
      <c r="B145" s="2"/>
      <c r="C145" s="2"/>
      <c r="D145" s="2"/>
      <c r="E145" s="2"/>
      <c r="F145" s="2"/>
      <c r="G145" s="2"/>
      <c r="H145" s="2"/>
      <c r="I145" s="2"/>
      <c r="J145" s="2"/>
      <c r="K145" s="2"/>
      <c r="L145" s="2"/>
      <c r="M145" s="2"/>
      <c r="N145" s="2"/>
      <c r="O145" s="2"/>
      <c r="P145" s="2"/>
      <c r="Q145" s="2"/>
      <c r="R145" s="2"/>
      <c r="S145" s="2"/>
      <c r="T145" s="2"/>
    </row>
    <row r="146" spans="1:20" ht="12.75" customHeight="1" x14ac:dyDescent="0.25">
      <c r="A146" s="2"/>
      <c r="B146" s="2"/>
      <c r="C146" s="2"/>
      <c r="D146" s="2"/>
      <c r="E146" s="2"/>
      <c r="F146" s="2"/>
      <c r="G146" s="2"/>
      <c r="H146" s="2"/>
      <c r="I146" s="2"/>
      <c r="J146" s="2"/>
      <c r="K146" s="2"/>
      <c r="L146" s="2"/>
      <c r="M146" s="2"/>
      <c r="N146" s="2"/>
      <c r="O146" s="2"/>
      <c r="P146" s="2"/>
      <c r="Q146" s="2"/>
      <c r="R146" s="2"/>
      <c r="S146" s="2"/>
      <c r="T146" s="2"/>
    </row>
    <row r="147" spans="1:20" ht="12.75" customHeight="1" x14ac:dyDescent="0.25">
      <c r="A147" s="2"/>
      <c r="B147" s="2"/>
      <c r="C147" s="2"/>
      <c r="D147" s="2"/>
      <c r="E147" s="2"/>
      <c r="F147" s="2"/>
      <c r="G147" s="2"/>
      <c r="H147" s="2"/>
      <c r="I147" s="2"/>
      <c r="J147" s="2"/>
      <c r="K147" s="2"/>
      <c r="L147" s="2"/>
      <c r="M147" s="2"/>
      <c r="N147" s="2"/>
      <c r="O147" s="2"/>
      <c r="P147" s="2"/>
      <c r="Q147" s="2"/>
      <c r="R147" s="2"/>
      <c r="S147" s="2"/>
      <c r="T147" s="2"/>
    </row>
    <row r="148" spans="1:20" ht="12.75" customHeight="1" x14ac:dyDescent="0.25">
      <c r="A148" s="2"/>
      <c r="B148" s="2"/>
      <c r="C148" s="2"/>
      <c r="D148" s="2"/>
      <c r="E148" s="2"/>
      <c r="F148" s="2"/>
      <c r="G148" s="2"/>
      <c r="H148" s="2"/>
      <c r="I148" s="2"/>
      <c r="J148" s="2"/>
      <c r="K148" s="2"/>
      <c r="L148" s="2"/>
      <c r="M148" s="2"/>
      <c r="N148" s="2"/>
      <c r="O148" s="2"/>
      <c r="P148" s="2"/>
      <c r="Q148" s="2"/>
      <c r="R148" s="2"/>
      <c r="S148" s="2"/>
      <c r="T148" s="2"/>
    </row>
    <row r="149" spans="1:20" ht="12.75" customHeight="1" x14ac:dyDescent="0.25">
      <c r="A149" s="2"/>
      <c r="B149" s="2"/>
      <c r="C149" s="2"/>
      <c r="D149" s="2"/>
      <c r="E149" s="2"/>
      <c r="F149" s="2"/>
      <c r="G149" s="2"/>
      <c r="H149" s="2"/>
      <c r="I149" s="2"/>
      <c r="J149" s="2"/>
      <c r="K149" s="2"/>
      <c r="L149" s="2"/>
      <c r="M149" s="2"/>
      <c r="N149" s="2"/>
      <c r="O149" s="2"/>
      <c r="P149" s="2"/>
      <c r="Q149" s="2"/>
      <c r="R149" s="2"/>
      <c r="S149" s="2"/>
      <c r="T149" s="2"/>
    </row>
    <row r="150" spans="1:20" ht="12.75" customHeight="1" x14ac:dyDescent="0.25">
      <c r="A150" s="2"/>
      <c r="B150" s="2"/>
      <c r="C150" s="2"/>
      <c r="D150" s="2"/>
      <c r="E150" s="2"/>
      <c r="F150" s="2"/>
      <c r="G150" s="2"/>
      <c r="H150" s="2"/>
      <c r="I150" s="2"/>
      <c r="J150" s="2"/>
      <c r="K150" s="2"/>
      <c r="L150" s="2"/>
      <c r="M150" s="2"/>
      <c r="N150" s="2"/>
      <c r="O150" s="2"/>
      <c r="P150" s="2"/>
      <c r="Q150" s="2"/>
      <c r="R150" s="2"/>
      <c r="S150" s="2"/>
      <c r="T150" s="2"/>
    </row>
    <row r="151" spans="1:20" ht="12.75" customHeight="1" x14ac:dyDescent="0.25">
      <c r="A151" s="2"/>
      <c r="B151" s="2"/>
      <c r="C151" s="2"/>
      <c r="D151" s="2"/>
      <c r="E151" s="2"/>
      <c r="F151" s="2"/>
      <c r="G151" s="2"/>
      <c r="H151" s="2"/>
      <c r="I151" s="2"/>
      <c r="J151" s="2"/>
      <c r="K151" s="2"/>
      <c r="L151" s="2"/>
      <c r="M151" s="2"/>
      <c r="N151" s="2"/>
      <c r="O151" s="2"/>
      <c r="P151" s="2"/>
      <c r="Q151" s="2"/>
      <c r="R151" s="2"/>
      <c r="S151" s="2"/>
      <c r="T151" s="2"/>
    </row>
    <row r="152" spans="1:20" ht="12.75" customHeight="1" x14ac:dyDescent="0.25">
      <c r="A152" s="2"/>
      <c r="B152" s="2"/>
      <c r="C152" s="2"/>
      <c r="D152" s="2"/>
      <c r="E152" s="2"/>
      <c r="F152" s="2"/>
      <c r="G152" s="2"/>
      <c r="H152" s="2"/>
      <c r="I152" s="2"/>
      <c r="J152" s="2"/>
      <c r="K152" s="2"/>
      <c r="L152" s="2"/>
      <c r="M152" s="2"/>
      <c r="N152" s="2"/>
      <c r="O152" s="2"/>
      <c r="P152" s="2"/>
      <c r="Q152" s="2"/>
      <c r="R152" s="2"/>
      <c r="S152" s="2"/>
      <c r="T152" s="2"/>
    </row>
    <row r="153" spans="1:20" ht="12.75" customHeight="1" x14ac:dyDescent="0.25">
      <c r="A153" s="2"/>
      <c r="B153" s="2"/>
      <c r="C153" s="2"/>
      <c r="D153" s="2"/>
      <c r="E153" s="2"/>
      <c r="F153" s="2"/>
      <c r="G153" s="2"/>
      <c r="H153" s="2"/>
      <c r="I153" s="2"/>
      <c r="J153" s="2"/>
      <c r="K153" s="2"/>
      <c r="L153" s="2"/>
      <c r="M153" s="2"/>
      <c r="N153" s="2"/>
      <c r="O153" s="2"/>
      <c r="P153" s="2"/>
      <c r="Q153" s="2"/>
      <c r="R153" s="2"/>
      <c r="S153" s="2"/>
      <c r="T153" s="2"/>
    </row>
    <row r="154" spans="1:20" ht="12.75" customHeight="1" x14ac:dyDescent="0.25">
      <c r="A154" s="2"/>
      <c r="B154" s="2"/>
      <c r="C154" s="2"/>
      <c r="D154" s="2"/>
      <c r="E154" s="2"/>
      <c r="F154" s="2"/>
      <c r="G154" s="2"/>
      <c r="H154" s="2"/>
      <c r="I154" s="2"/>
      <c r="J154" s="2"/>
      <c r="K154" s="2"/>
      <c r="L154" s="2"/>
      <c r="M154" s="2"/>
      <c r="N154" s="2"/>
      <c r="O154" s="2"/>
      <c r="P154" s="2"/>
      <c r="Q154" s="2"/>
      <c r="R154" s="2"/>
      <c r="S154" s="2"/>
      <c r="T154" s="2"/>
    </row>
    <row r="155" spans="1:20" ht="12.75" customHeight="1" x14ac:dyDescent="0.25">
      <c r="A155" s="2"/>
      <c r="B155" s="2"/>
      <c r="C155" s="2"/>
      <c r="D155" s="2"/>
      <c r="E155" s="2"/>
      <c r="F155" s="2"/>
      <c r="G155" s="2"/>
      <c r="H155" s="2"/>
      <c r="I155" s="2"/>
      <c r="J155" s="2"/>
      <c r="K155" s="2"/>
      <c r="L155" s="2"/>
      <c r="M155" s="2"/>
      <c r="N155" s="2"/>
      <c r="O155" s="2"/>
      <c r="P155" s="2"/>
      <c r="Q155" s="2"/>
      <c r="R155" s="2"/>
      <c r="S155" s="2"/>
      <c r="T155" s="2"/>
    </row>
    <row r="156" spans="1:20" ht="13.5" customHeight="1" x14ac:dyDescent="0.25">
      <c r="A156" s="2"/>
      <c r="B156" s="2"/>
      <c r="C156" s="2"/>
      <c r="D156" s="2"/>
      <c r="E156" s="2"/>
      <c r="F156" s="2"/>
      <c r="G156" s="2"/>
      <c r="H156" s="2"/>
      <c r="I156" s="2"/>
      <c r="J156" s="2"/>
      <c r="K156" s="2"/>
      <c r="L156" s="2"/>
      <c r="M156" s="2"/>
      <c r="N156" s="2"/>
      <c r="O156" s="2"/>
      <c r="P156" s="2"/>
      <c r="Q156" s="2"/>
      <c r="R156" s="2"/>
      <c r="S156" s="2"/>
      <c r="T156" s="2"/>
    </row>
    <row r="157" spans="1:20" ht="12.75" customHeight="1" x14ac:dyDescent="0.25">
      <c r="A157" s="2"/>
      <c r="B157" s="2"/>
      <c r="C157" s="2"/>
      <c r="D157" s="2"/>
      <c r="E157" s="2"/>
      <c r="F157" s="2"/>
      <c r="G157" s="2"/>
      <c r="H157" s="2"/>
      <c r="I157" s="2"/>
      <c r="J157" s="2"/>
      <c r="K157" s="2"/>
      <c r="L157" s="2"/>
      <c r="M157" s="2"/>
      <c r="N157" s="2"/>
      <c r="O157" s="2"/>
      <c r="P157" s="2"/>
      <c r="Q157" s="2"/>
      <c r="R157" s="2"/>
      <c r="S157" s="2"/>
      <c r="T157" s="2"/>
    </row>
    <row r="158" spans="1:20" ht="12.75" customHeight="1" x14ac:dyDescent="0.25">
      <c r="A158" s="2"/>
      <c r="B158" s="2"/>
      <c r="C158" s="2"/>
      <c r="D158" s="2"/>
      <c r="E158" s="2"/>
      <c r="F158" s="2"/>
      <c r="G158" s="2"/>
      <c r="H158" s="2"/>
      <c r="I158" s="2"/>
      <c r="J158" s="2"/>
      <c r="K158" s="2"/>
      <c r="L158" s="2"/>
      <c r="M158" s="2"/>
      <c r="N158" s="2"/>
      <c r="O158" s="2"/>
      <c r="P158" s="2"/>
      <c r="Q158" s="2"/>
      <c r="R158" s="2"/>
      <c r="S158" s="2"/>
      <c r="T158" s="2"/>
    </row>
    <row r="159" spans="1:20" ht="12.75" customHeight="1" x14ac:dyDescent="0.25">
      <c r="A159" s="2"/>
      <c r="B159" s="2"/>
      <c r="C159" s="2"/>
      <c r="D159" s="2"/>
      <c r="E159" s="2"/>
      <c r="F159" s="2"/>
      <c r="G159" s="2"/>
      <c r="H159" s="2"/>
      <c r="I159" s="2"/>
      <c r="J159" s="2"/>
      <c r="K159" s="2"/>
      <c r="L159" s="2"/>
      <c r="M159" s="2"/>
      <c r="N159" s="2"/>
      <c r="O159" s="2"/>
      <c r="P159" s="2"/>
      <c r="Q159" s="2"/>
      <c r="R159" s="2"/>
      <c r="S159" s="2"/>
      <c r="T159" s="2"/>
    </row>
    <row r="160" spans="1:20" ht="12.75" customHeight="1" x14ac:dyDescent="0.25">
      <c r="A160" s="2"/>
      <c r="B160" s="2"/>
      <c r="C160" s="2"/>
      <c r="D160" s="2"/>
      <c r="E160" s="2"/>
      <c r="F160" s="2"/>
      <c r="G160" s="2"/>
      <c r="H160" s="2"/>
      <c r="I160" s="2"/>
      <c r="J160" s="2"/>
      <c r="K160" s="2"/>
      <c r="L160" s="2"/>
      <c r="M160" s="2"/>
      <c r="N160" s="2"/>
      <c r="O160" s="2"/>
      <c r="P160" s="2"/>
      <c r="Q160" s="2"/>
      <c r="R160" s="2"/>
      <c r="S160" s="2"/>
      <c r="T160" s="2"/>
    </row>
    <row r="161" spans="1:20" ht="12.75" customHeight="1" x14ac:dyDescent="0.25">
      <c r="A161" s="2"/>
      <c r="B161" s="2"/>
      <c r="C161" s="2"/>
      <c r="D161" s="2"/>
      <c r="E161" s="2"/>
      <c r="F161" s="2"/>
      <c r="G161" s="2"/>
      <c r="H161" s="2"/>
      <c r="I161" s="2"/>
      <c r="J161" s="2"/>
      <c r="K161" s="2"/>
      <c r="L161" s="2"/>
      <c r="M161" s="2"/>
      <c r="N161" s="2"/>
      <c r="O161" s="2"/>
      <c r="P161" s="2"/>
      <c r="Q161" s="2"/>
      <c r="R161" s="2"/>
      <c r="S161" s="2"/>
      <c r="T161" s="2"/>
    </row>
    <row r="162" spans="1:20" ht="12.75" customHeight="1" x14ac:dyDescent="0.25">
      <c r="A162" s="2"/>
      <c r="B162" s="2"/>
      <c r="C162" s="2"/>
      <c r="D162" s="2"/>
      <c r="E162" s="2"/>
      <c r="F162" s="2"/>
      <c r="G162" s="2"/>
      <c r="H162" s="2"/>
      <c r="I162" s="2"/>
      <c r="J162" s="2"/>
      <c r="K162" s="2"/>
      <c r="L162" s="2"/>
      <c r="M162" s="2"/>
      <c r="N162" s="2"/>
      <c r="O162" s="2"/>
      <c r="P162" s="2"/>
      <c r="Q162" s="2"/>
      <c r="R162" s="2"/>
      <c r="S162" s="2"/>
      <c r="T162" s="2"/>
    </row>
    <row r="163" spans="1:20" ht="12.75" customHeight="1" x14ac:dyDescent="0.25">
      <c r="A163" s="2"/>
      <c r="B163" s="2"/>
      <c r="C163" s="2"/>
      <c r="D163" s="2"/>
      <c r="E163" s="2"/>
      <c r="F163" s="2"/>
      <c r="G163" s="2"/>
      <c r="H163" s="2"/>
      <c r="I163" s="2"/>
      <c r="J163" s="2"/>
      <c r="K163" s="2"/>
      <c r="L163" s="2"/>
      <c r="M163" s="2"/>
      <c r="N163" s="2"/>
      <c r="O163" s="2"/>
      <c r="P163" s="2"/>
      <c r="Q163" s="2"/>
      <c r="R163" s="2"/>
      <c r="S163" s="2"/>
      <c r="T163" s="2"/>
    </row>
    <row r="164" spans="1:20" ht="12.75" customHeight="1" x14ac:dyDescent="0.25">
      <c r="A164" s="2"/>
      <c r="B164" s="2"/>
      <c r="C164" s="2"/>
      <c r="D164" s="2"/>
      <c r="E164" s="2"/>
      <c r="F164" s="2"/>
      <c r="G164" s="2"/>
      <c r="H164" s="2"/>
      <c r="I164" s="2"/>
      <c r="J164" s="2"/>
      <c r="K164" s="2"/>
      <c r="L164" s="2"/>
      <c r="M164" s="2"/>
      <c r="N164" s="2"/>
      <c r="O164" s="2"/>
      <c r="P164" s="2"/>
      <c r="Q164" s="2"/>
      <c r="R164" s="2"/>
      <c r="S164" s="2"/>
      <c r="T164" s="2"/>
    </row>
    <row r="165" spans="1:20" ht="12.75" customHeight="1" x14ac:dyDescent="0.25">
      <c r="A165" s="2"/>
      <c r="B165" s="2"/>
      <c r="C165" s="2"/>
      <c r="D165" s="2"/>
      <c r="E165" s="2"/>
      <c r="F165" s="2"/>
      <c r="G165" s="2"/>
      <c r="H165" s="2"/>
      <c r="I165" s="2"/>
      <c r="J165" s="2"/>
      <c r="K165" s="2"/>
      <c r="L165" s="2"/>
      <c r="M165" s="2"/>
      <c r="N165" s="2"/>
      <c r="O165" s="2"/>
      <c r="P165" s="2"/>
      <c r="Q165" s="2"/>
      <c r="R165" s="2"/>
      <c r="S165" s="2"/>
      <c r="T165" s="2"/>
    </row>
    <row r="166" spans="1:20" ht="13.5" customHeight="1" x14ac:dyDescent="0.25">
      <c r="A166" s="2"/>
      <c r="B166" s="2"/>
      <c r="C166" s="2"/>
      <c r="D166" s="2"/>
      <c r="E166" s="2"/>
      <c r="F166" s="2"/>
      <c r="G166" s="2"/>
      <c r="H166" s="2"/>
      <c r="I166" s="2"/>
      <c r="J166" s="2"/>
      <c r="K166" s="2"/>
      <c r="L166" s="2"/>
      <c r="M166" s="2"/>
      <c r="N166" s="2"/>
      <c r="O166" s="2"/>
      <c r="P166" s="2"/>
      <c r="Q166" s="2"/>
      <c r="R166" s="2"/>
      <c r="S166" s="2"/>
      <c r="T166" s="2"/>
    </row>
    <row r="167" spans="1:20" ht="12.75" customHeight="1" x14ac:dyDescent="0.25">
      <c r="A167" s="2"/>
      <c r="B167" s="2"/>
      <c r="C167" s="2"/>
      <c r="D167" s="2"/>
      <c r="E167" s="2"/>
      <c r="F167" s="2"/>
      <c r="G167" s="2"/>
      <c r="H167" s="2"/>
      <c r="I167" s="2"/>
      <c r="J167" s="2"/>
      <c r="K167" s="2"/>
      <c r="L167" s="2"/>
      <c r="M167" s="2"/>
      <c r="N167" s="2"/>
      <c r="O167" s="2"/>
      <c r="P167" s="2"/>
      <c r="Q167" s="2"/>
      <c r="R167" s="2"/>
      <c r="S167" s="2"/>
      <c r="T167" s="2"/>
    </row>
    <row r="168" spans="1:20" ht="12.75" customHeight="1" x14ac:dyDescent="0.25">
      <c r="A168" s="2"/>
      <c r="B168" s="2"/>
      <c r="C168" s="2"/>
      <c r="D168" s="2"/>
      <c r="E168" s="2"/>
      <c r="F168" s="2"/>
      <c r="G168" s="2"/>
      <c r="H168" s="2"/>
      <c r="I168" s="2"/>
      <c r="J168" s="2"/>
      <c r="K168" s="2"/>
      <c r="L168" s="2"/>
      <c r="M168" s="2"/>
      <c r="N168" s="2"/>
      <c r="O168" s="2"/>
      <c r="P168" s="2"/>
      <c r="Q168" s="2"/>
      <c r="R168" s="2"/>
      <c r="S168" s="2"/>
      <c r="T168" s="2"/>
    </row>
    <row r="169" spans="1:20" ht="13.5" customHeight="1" x14ac:dyDescent="0.25">
      <c r="A169" s="2"/>
      <c r="B169" s="2"/>
      <c r="C169" s="2"/>
      <c r="D169" s="2"/>
      <c r="E169" s="2"/>
      <c r="F169" s="2"/>
      <c r="G169" s="2"/>
      <c r="H169" s="2"/>
      <c r="I169" s="2"/>
      <c r="J169" s="2"/>
      <c r="K169" s="2"/>
      <c r="L169" s="2"/>
      <c r="M169" s="2"/>
      <c r="N169" s="2"/>
      <c r="O169" s="2"/>
      <c r="P169" s="2"/>
      <c r="Q169" s="2"/>
      <c r="R169" s="2"/>
      <c r="S169" s="2"/>
      <c r="T169" s="2"/>
    </row>
    <row r="170" spans="1:20" ht="12.75" customHeight="1" x14ac:dyDescent="0.25">
      <c r="A170" s="2"/>
      <c r="B170" s="2"/>
      <c r="C170" s="2"/>
      <c r="D170" s="2"/>
      <c r="E170" s="2"/>
      <c r="F170" s="2"/>
      <c r="G170" s="2"/>
      <c r="H170" s="2"/>
      <c r="I170" s="2"/>
      <c r="J170" s="2"/>
      <c r="K170" s="2"/>
      <c r="L170" s="2"/>
      <c r="M170" s="2"/>
      <c r="N170" s="2"/>
      <c r="O170" s="2"/>
      <c r="P170" s="2"/>
      <c r="Q170" s="2"/>
      <c r="R170" s="2"/>
      <c r="S170" s="2"/>
      <c r="T170" s="2"/>
    </row>
    <row r="171" spans="1:20" ht="12.75" customHeight="1" x14ac:dyDescent="0.25">
      <c r="A171" s="2"/>
      <c r="B171" s="2"/>
      <c r="C171" s="2"/>
      <c r="D171" s="2"/>
      <c r="E171" s="2"/>
      <c r="F171" s="2"/>
      <c r="G171" s="2"/>
      <c r="H171" s="2"/>
      <c r="I171" s="2"/>
      <c r="J171" s="2"/>
      <c r="K171" s="2"/>
      <c r="L171" s="2"/>
      <c r="M171" s="2"/>
      <c r="N171" s="2"/>
      <c r="O171" s="2"/>
      <c r="P171" s="2"/>
      <c r="Q171" s="2"/>
      <c r="R171" s="2"/>
      <c r="S171" s="2"/>
      <c r="T171" s="2"/>
    </row>
    <row r="172" spans="1:20" ht="12.75" customHeight="1" x14ac:dyDescent="0.25">
      <c r="A172" s="2"/>
      <c r="B172" s="2"/>
      <c r="C172" s="2"/>
      <c r="D172" s="2"/>
      <c r="E172" s="2"/>
      <c r="F172" s="2"/>
      <c r="G172" s="2"/>
      <c r="H172" s="2"/>
      <c r="I172" s="2"/>
      <c r="J172" s="2"/>
      <c r="K172" s="2"/>
      <c r="L172" s="2"/>
      <c r="M172" s="2"/>
      <c r="N172" s="2"/>
      <c r="O172" s="2"/>
      <c r="P172" s="2"/>
      <c r="Q172" s="2"/>
      <c r="R172" s="2"/>
      <c r="S172" s="2"/>
      <c r="T172" s="2"/>
    </row>
    <row r="173" spans="1:20" ht="12.75" customHeight="1" x14ac:dyDescent="0.25">
      <c r="A173" s="2"/>
      <c r="B173" s="2"/>
      <c r="C173" s="2"/>
      <c r="D173" s="2"/>
      <c r="E173" s="2"/>
      <c r="F173" s="2"/>
      <c r="G173" s="2"/>
      <c r="H173" s="2"/>
      <c r="I173" s="2"/>
      <c r="J173" s="2"/>
      <c r="K173" s="2"/>
      <c r="L173" s="2"/>
      <c r="M173" s="2"/>
      <c r="N173" s="2"/>
      <c r="O173" s="2"/>
      <c r="P173" s="2"/>
      <c r="Q173" s="2"/>
      <c r="R173" s="2"/>
      <c r="S173" s="2"/>
      <c r="T173" s="2"/>
    </row>
    <row r="174" spans="1:20" ht="12.75" customHeight="1" x14ac:dyDescent="0.25">
      <c r="A174" s="2"/>
      <c r="B174" s="2"/>
      <c r="C174" s="2"/>
      <c r="D174" s="2"/>
      <c r="E174" s="2"/>
      <c r="F174" s="2"/>
      <c r="G174" s="2"/>
      <c r="H174" s="2"/>
      <c r="I174" s="2"/>
      <c r="J174" s="2"/>
      <c r="K174" s="2"/>
      <c r="L174" s="2"/>
      <c r="M174" s="2"/>
      <c r="N174" s="2"/>
      <c r="O174" s="2"/>
      <c r="P174" s="2"/>
      <c r="Q174" s="2"/>
      <c r="R174" s="2"/>
      <c r="S174" s="2"/>
      <c r="T174" s="2"/>
    </row>
    <row r="175" spans="1:20" ht="12.75" customHeight="1" x14ac:dyDescent="0.25">
      <c r="A175" s="2"/>
      <c r="B175" s="2"/>
      <c r="C175" s="2"/>
      <c r="D175" s="2"/>
      <c r="E175" s="2"/>
      <c r="F175" s="2"/>
      <c r="G175" s="2"/>
      <c r="H175" s="2"/>
      <c r="I175" s="2"/>
      <c r="J175" s="2"/>
      <c r="K175" s="2"/>
      <c r="L175" s="2"/>
      <c r="M175" s="2"/>
      <c r="N175" s="2"/>
      <c r="O175" s="2"/>
      <c r="P175" s="2"/>
      <c r="Q175" s="2"/>
      <c r="R175" s="2"/>
      <c r="S175" s="2"/>
      <c r="T175" s="2"/>
    </row>
    <row r="176" spans="1:20" ht="12.75" customHeight="1" x14ac:dyDescent="0.25">
      <c r="A176" s="2"/>
      <c r="B176" s="2"/>
      <c r="C176" s="2"/>
      <c r="D176" s="2"/>
      <c r="E176" s="2"/>
      <c r="F176" s="2"/>
      <c r="G176" s="2"/>
      <c r="H176" s="2"/>
      <c r="I176" s="2"/>
      <c r="J176" s="2"/>
      <c r="K176" s="2"/>
      <c r="L176" s="2"/>
      <c r="M176" s="2"/>
      <c r="N176" s="2"/>
      <c r="O176" s="2"/>
      <c r="P176" s="2"/>
      <c r="Q176" s="2"/>
      <c r="R176" s="2"/>
      <c r="S176" s="2"/>
      <c r="T176" s="2"/>
    </row>
    <row r="177" spans="1:20" ht="13.5" customHeight="1" x14ac:dyDescent="0.25">
      <c r="A177" s="2"/>
      <c r="B177" s="2"/>
      <c r="C177" s="2"/>
      <c r="D177" s="2"/>
      <c r="E177" s="2"/>
      <c r="F177" s="2"/>
      <c r="G177" s="2"/>
      <c r="H177" s="2"/>
      <c r="I177" s="2"/>
      <c r="J177" s="2"/>
      <c r="K177" s="2"/>
      <c r="L177" s="2"/>
      <c r="M177" s="2"/>
      <c r="N177" s="2"/>
      <c r="O177" s="2"/>
      <c r="P177" s="2"/>
      <c r="Q177" s="2"/>
      <c r="R177" s="2"/>
      <c r="S177" s="2"/>
      <c r="T177" s="2"/>
    </row>
  </sheetData>
  <mergeCells count="37">
    <mergeCell ref="F9:F10"/>
    <mergeCell ref="G9:G10"/>
    <mergeCell ref="G25:G28"/>
    <mergeCell ref="G34:G35"/>
    <mergeCell ref="H34:H35"/>
    <mergeCell ref="F34:F35"/>
    <mergeCell ref="F39:F42"/>
    <mergeCell ref="H25:H28"/>
    <mergeCell ref="H39:H42"/>
    <mergeCell ref="I56:I57"/>
    <mergeCell ref="H56:H57"/>
    <mergeCell ref="G39:G42"/>
    <mergeCell ref="B66:B70"/>
    <mergeCell ref="B71:B73"/>
    <mergeCell ref="D55:K55"/>
    <mergeCell ref="E56:G56"/>
    <mergeCell ref="B55:C56"/>
    <mergeCell ref="D56:D57"/>
    <mergeCell ref="J56:J57"/>
    <mergeCell ref="K56:K57"/>
    <mergeCell ref="B57:B65"/>
    <mergeCell ref="B47:B52"/>
    <mergeCell ref="J4:K4"/>
    <mergeCell ref="B7:H7"/>
    <mergeCell ref="B8:B10"/>
    <mergeCell ref="C8:C10"/>
    <mergeCell ref="D8:D10"/>
    <mergeCell ref="E8:H8"/>
    <mergeCell ref="E9:E10"/>
    <mergeCell ref="H9:H10"/>
    <mergeCell ref="J6:L6"/>
    <mergeCell ref="J5:L5"/>
    <mergeCell ref="B25:B28"/>
    <mergeCell ref="E25:E28"/>
    <mergeCell ref="F25:F28"/>
    <mergeCell ref="B39:B42"/>
    <mergeCell ref="E39:E42"/>
  </mergeCells>
  <pageMargins left="0.511811024" right="0.511811024" top="0.78740157499999996" bottom="0.78740157499999996" header="0" footer="0"/>
  <pageSetup orientation="landscape"/>
  <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
    <tabColor rgb="FFC5E0B3"/>
    <outlinePr summaryBelow="0"/>
  </sheetPr>
  <dimension ref="A1:AB119"/>
  <sheetViews>
    <sheetView showGridLines="0" topLeftCell="A27" zoomScale="70" zoomScaleNormal="70" workbookViewId="0">
      <selection activeCell="D34" sqref="D34"/>
    </sheetView>
  </sheetViews>
  <sheetFormatPr defaultColWidth="14.42578125" defaultRowHeight="15" customHeight="1" outlineLevelRow="1" x14ac:dyDescent="0.25"/>
  <cols>
    <col min="1" max="1" width="1" customWidth="1"/>
    <col min="2" max="2" width="50.28515625" customWidth="1"/>
    <col min="3" max="4" width="13.7109375" customWidth="1"/>
    <col min="5" max="5" width="1.7109375" customWidth="1"/>
    <col min="6" max="6" width="51.140625" customWidth="1"/>
    <col min="7" max="8" width="15.28515625" customWidth="1"/>
    <col min="9" max="9" width="1.7109375" customWidth="1"/>
    <col min="10" max="10" width="49.7109375" customWidth="1"/>
    <col min="11" max="11" width="15.42578125" style="439" customWidth="1"/>
    <col min="12" max="12" width="15.42578125" customWidth="1"/>
    <col min="13" max="13" width="2.7109375" customWidth="1"/>
    <col min="14" max="14" width="48.85546875" customWidth="1"/>
    <col min="15" max="15" width="16.42578125" customWidth="1"/>
    <col min="16" max="16" width="14.42578125" customWidth="1"/>
    <col min="17" max="17" width="5.28515625" customWidth="1"/>
    <col min="18" max="18" width="36.42578125" style="825" customWidth="1"/>
    <col min="19" max="19" width="23.42578125" style="825" customWidth="1"/>
    <col min="20" max="20" width="18.42578125" style="825" customWidth="1"/>
    <col min="21" max="21" width="31.7109375" style="825" customWidth="1"/>
    <col min="22" max="22" width="38.28515625" style="825" customWidth="1"/>
    <col min="23" max="23" width="20.42578125" style="825" customWidth="1"/>
    <col min="24" max="24" width="13.42578125" style="825" customWidth="1"/>
    <col min="25" max="25" width="10.42578125" style="825" customWidth="1"/>
    <col min="26" max="26" width="14.42578125" style="1392" customWidth="1"/>
  </cols>
  <sheetData>
    <row r="1" spans="1:28" ht="4.5" customHeight="1" thickBot="1" x14ac:dyDescent="0.3">
      <c r="A1" s="31"/>
      <c r="B1" s="23"/>
      <c r="C1" s="32"/>
      <c r="D1" s="32"/>
      <c r="E1" s="33"/>
      <c r="F1" s="23"/>
      <c r="G1" s="32" t="s">
        <v>6</v>
      </c>
      <c r="H1" s="32" t="s">
        <v>7</v>
      </c>
      <c r="I1" s="33"/>
      <c r="J1" s="31"/>
      <c r="K1" s="30"/>
      <c r="L1" s="31"/>
      <c r="M1" s="33"/>
      <c r="N1" s="33"/>
      <c r="O1" s="33"/>
      <c r="P1" s="33"/>
      <c r="Q1" s="33"/>
      <c r="R1" s="805"/>
      <c r="S1" s="806"/>
      <c r="T1" s="806"/>
      <c r="U1" s="806"/>
      <c r="V1" s="806"/>
      <c r="W1" s="806"/>
      <c r="X1" s="806"/>
      <c r="Y1" s="806"/>
      <c r="Z1" s="1385"/>
    </row>
    <row r="2" spans="1:28" ht="19.899999999999999" customHeight="1" x14ac:dyDescent="0.25">
      <c r="A2" s="31"/>
      <c r="B2" s="23"/>
      <c r="C2" s="2819" t="s">
        <v>424</v>
      </c>
      <c r="D2" s="2683"/>
      <c r="E2" s="691"/>
      <c r="F2" s="1366" t="s">
        <v>436</v>
      </c>
      <c r="G2" s="2810" t="str">
        <f>IF('R-Definição'!D2&lt;&gt;0,'R-Definição'!D2,"")</f>
        <v>CIRSOP - Consórcio RSU Oeste Paulista</v>
      </c>
      <c r="H2" s="2811"/>
      <c r="I2" s="33"/>
      <c r="J2" s="31"/>
      <c r="K2" s="30"/>
      <c r="L2" s="31"/>
      <c r="M2" s="33"/>
      <c r="N2" s="33"/>
      <c r="O2" s="33"/>
      <c r="P2" s="33"/>
      <c r="Q2" s="33"/>
      <c r="R2" s="805"/>
      <c r="S2" s="806"/>
      <c r="T2" s="806"/>
      <c r="U2" s="806"/>
      <c r="V2" s="806"/>
      <c r="W2" s="806"/>
      <c r="X2" s="806"/>
      <c r="Y2" s="806"/>
      <c r="Z2" s="1385"/>
    </row>
    <row r="3" spans="1:28" ht="19.899999999999999" customHeight="1" thickBot="1" x14ac:dyDescent="0.3">
      <c r="A3" s="31"/>
      <c r="B3" s="23"/>
      <c r="C3" s="2818" t="str">
        <f>Apresentação!I2</f>
        <v>RC-RSU V.1.0 - 15/10/2020</v>
      </c>
      <c r="D3" s="2818"/>
      <c r="E3" s="691"/>
      <c r="F3" s="1367" t="s">
        <v>437</v>
      </c>
      <c r="G3" s="2812" t="str">
        <f>IF('R-Definição'!D3&lt;&gt;0,'R-Definição'!D3,"")</f>
        <v>Biodigestão c/ Prod. E. Elétrica</v>
      </c>
      <c r="H3" s="2813"/>
      <c r="I3" s="33"/>
      <c r="J3" s="31"/>
      <c r="K3" s="30"/>
      <c r="L3" s="31"/>
      <c r="M3" s="33"/>
      <c r="N3" s="33"/>
      <c r="O3" s="33"/>
      <c r="P3" s="33"/>
      <c r="Q3" s="33"/>
      <c r="R3" s="805"/>
      <c r="S3" s="806"/>
      <c r="T3" s="806"/>
      <c r="U3" s="806"/>
      <c r="V3" s="806"/>
      <c r="W3" s="806"/>
      <c r="X3" s="806"/>
      <c r="Y3" s="806"/>
      <c r="Z3" s="1385"/>
    </row>
    <row r="4" spans="1:28" ht="4.9000000000000004" customHeight="1" thickBot="1" x14ac:dyDescent="0.3">
      <c r="A4" s="31"/>
      <c r="B4" s="23"/>
      <c r="C4" s="32"/>
      <c r="D4" s="32"/>
      <c r="E4" s="33"/>
      <c r="F4" s="23"/>
      <c r="G4" s="31"/>
      <c r="H4" s="31"/>
      <c r="I4" s="33"/>
      <c r="J4" s="31"/>
      <c r="K4" s="30"/>
      <c r="L4" s="31"/>
      <c r="M4" s="33"/>
      <c r="N4" s="33"/>
      <c r="O4" s="33"/>
      <c r="P4" s="33"/>
      <c r="Q4" s="33"/>
      <c r="R4" s="805"/>
      <c r="S4" s="806"/>
      <c r="T4" s="806"/>
      <c r="U4" s="806"/>
      <c r="V4" s="806"/>
      <c r="W4" s="806"/>
      <c r="X4" s="806"/>
      <c r="Y4" s="806"/>
      <c r="Z4" s="1385"/>
    </row>
    <row r="5" spans="1:28" ht="19.899999999999999" customHeight="1" thickTop="1" x14ac:dyDescent="0.25">
      <c r="A5" s="31"/>
      <c r="B5" s="1310" t="s">
        <v>514</v>
      </c>
      <c r="C5" s="1311" t="s">
        <v>239</v>
      </c>
      <c r="D5" s="1312" t="s">
        <v>240</v>
      </c>
      <c r="E5" s="133"/>
      <c r="F5" s="1316" t="s">
        <v>594</v>
      </c>
      <c r="G5" s="1317" t="s">
        <v>239</v>
      </c>
      <c r="H5" s="1282" t="s">
        <v>240</v>
      </c>
      <c r="I5" s="33"/>
      <c r="J5" s="31"/>
      <c r="K5" s="30"/>
      <c r="L5" s="31"/>
      <c r="M5" s="33"/>
      <c r="N5" s="33"/>
      <c r="O5" s="33"/>
      <c r="P5" s="33"/>
      <c r="Q5" s="33"/>
      <c r="R5" s="805"/>
      <c r="S5" s="806"/>
      <c r="T5" s="806"/>
      <c r="U5" s="806"/>
      <c r="V5" s="806"/>
      <c r="W5" s="806"/>
      <c r="X5" s="806"/>
      <c r="Y5" s="806"/>
      <c r="Z5" s="806"/>
      <c r="AA5" s="1407"/>
      <c r="AB5" s="1407"/>
    </row>
    <row r="6" spans="1:28" s="1758" customFormat="1" ht="17.649999999999999" customHeight="1" x14ac:dyDescent="0.25">
      <c r="A6" s="1499"/>
      <c r="B6" s="1802" t="s">
        <v>241</v>
      </c>
      <c r="C6" s="1753" t="s">
        <v>242</v>
      </c>
      <c r="D6" s="1754">
        <f>D36</f>
        <v>411597</v>
      </c>
      <c r="E6" s="1499"/>
      <c r="F6" s="1802" t="s">
        <v>512</v>
      </c>
      <c r="G6" s="1755" t="s">
        <v>243</v>
      </c>
      <c r="H6" s="1756">
        <f>IF(D24="Sim",L91,0)</f>
        <v>0</v>
      </c>
      <c r="I6" s="1499"/>
      <c r="J6" s="1499"/>
      <c r="K6" s="1757"/>
      <c r="L6" s="1499"/>
      <c r="M6" s="1499"/>
      <c r="N6" s="1499"/>
      <c r="O6" s="1499"/>
      <c r="P6" s="1499"/>
      <c r="Q6" s="1499"/>
      <c r="R6" s="808" t="s">
        <v>244</v>
      </c>
      <c r="S6" s="807" t="s">
        <v>862</v>
      </c>
      <c r="T6" s="807" t="s">
        <v>790</v>
      </c>
      <c r="U6" s="807" t="s">
        <v>791</v>
      </c>
      <c r="V6" s="807" t="s">
        <v>792</v>
      </c>
      <c r="W6" s="807" t="s">
        <v>797</v>
      </c>
      <c r="X6" s="807" t="s">
        <v>280</v>
      </c>
      <c r="Y6" s="807" t="s">
        <v>131</v>
      </c>
      <c r="Z6" s="807" t="s">
        <v>63</v>
      </c>
      <c r="AA6" s="1405" t="s">
        <v>65</v>
      </c>
      <c r="AB6" s="1407"/>
    </row>
    <row r="7" spans="1:28" s="1758" customFormat="1" ht="17.649999999999999" customHeight="1" x14ac:dyDescent="0.25">
      <c r="A7" s="1499"/>
      <c r="B7" s="1802" t="s">
        <v>245</v>
      </c>
      <c r="C7" s="1759" t="s">
        <v>21</v>
      </c>
      <c r="D7" s="1760">
        <f>D38</f>
        <v>73.8</v>
      </c>
      <c r="E7" s="1499"/>
      <c r="F7" s="1803" t="s">
        <v>512</v>
      </c>
      <c r="G7" s="1761" t="s">
        <v>246</v>
      </c>
      <c r="H7" s="1762">
        <f>H6*1000000/D8</f>
        <v>0</v>
      </c>
      <c r="I7" s="1499"/>
      <c r="J7" s="1499"/>
      <c r="K7" s="1757"/>
      <c r="L7" s="1499"/>
      <c r="M7" s="1499"/>
      <c r="N7" s="1499"/>
      <c r="O7" s="1499"/>
      <c r="P7" s="1499"/>
      <c r="Q7" s="1499"/>
      <c r="R7" s="808" t="s">
        <v>247</v>
      </c>
      <c r="S7" s="1408">
        <f>IF(D24="Não",0,H21/D40)</f>
        <v>0</v>
      </c>
      <c r="T7" s="809">
        <f>L53</f>
        <v>0</v>
      </c>
      <c r="U7" s="809">
        <f>L56</f>
        <v>1536.4595073386222</v>
      </c>
      <c r="V7" s="809">
        <f>L59</f>
        <v>0</v>
      </c>
      <c r="W7" s="809">
        <f>L62</f>
        <v>0</v>
      </c>
      <c r="X7" s="809">
        <f>L65</f>
        <v>0</v>
      </c>
      <c r="Y7" s="809">
        <f>L68</f>
        <v>0</v>
      </c>
      <c r="Z7" s="809">
        <f>L71</f>
        <v>3872.6006532926212</v>
      </c>
      <c r="AA7" s="809">
        <f>L74</f>
        <v>439.0977546950752</v>
      </c>
      <c r="AB7" s="1407"/>
    </row>
    <row r="8" spans="1:28" s="1758" customFormat="1" ht="17.649999999999999" customHeight="1" x14ac:dyDescent="0.25">
      <c r="A8" s="1499"/>
      <c r="B8" s="1802" t="s">
        <v>248</v>
      </c>
      <c r="C8" s="1759" t="s">
        <v>249</v>
      </c>
      <c r="D8" s="1760">
        <f>D40</f>
        <v>23025.599999999999</v>
      </c>
      <c r="E8" s="1499"/>
      <c r="F8" s="1802" t="s">
        <v>513</v>
      </c>
      <c r="G8" s="1759" t="s">
        <v>243</v>
      </c>
      <c r="H8" s="1756">
        <f>O78</f>
        <v>28.534612404924619</v>
      </c>
      <c r="I8" s="1499"/>
      <c r="J8" s="1499"/>
      <c r="K8" s="1757"/>
      <c r="L8" s="1499"/>
      <c r="M8" s="1499"/>
      <c r="N8" s="1499"/>
      <c r="O8" s="1499"/>
      <c r="P8" s="1499"/>
      <c r="Q8" s="1499"/>
      <c r="R8" s="808" t="s">
        <v>251</v>
      </c>
      <c r="S8" s="1408">
        <v>0</v>
      </c>
      <c r="T8" s="810">
        <f>L52</f>
        <v>0</v>
      </c>
      <c r="U8" s="810">
        <f>L55</f>
        <v>12252.405528169973</v>
      </c>
      <c r="V8" s="810">
        <f>L58</f>
        <v>0</v>
      </c>
      <c r="W8" s="810">
        <f>L61</f>
        <v>0</v>
      </c>
      <c r="X8" s="810">
        <f>L64</f>
        <v>0</v>
      </c>
      <c r="Y8" s="810">
        <f>L67</f>
        <v>0</v>
      </c>
      <c r="Z8" s="810">
        <f>L70</f>
        <v>3895.175151808899</v>
      </c>
      <c r="AA8" s="810">
        <f>L73</f>
        <v>432.84111224735267</v>
      </c>
      <c r="AB8" s="1407"/>
    </row>
    <row r="9" spans="1:28" s="1758" customFormat="1" ht="17.649999999999999" customHeight="1" x14ac:dyDescent="0.25">
      <c r="A9" s="1499"/>
      <c r="B9" s="1803" t="s">
        <v>509</v>
      </c>
      <c r="C9" s="1761" t="s">
        <v>249</v>
      </c>
      <c r="D9" s="1763">
        <f>D44</f>
        <v>4563.8034389999984</v>
      </c>
      <c r="E9" s="1499"/>
      <c r="F9" s="1803" t="s">
        <v>842</v>
      </c>
      <c r="G9" s="1761" t="s">
        <v>243</v>
      </c>
      <c r="H9" s="1764">
        <f>IF('R-Definição'!$E$121="Existente",((D88+D89)*D44+(D89*D11))/1000000,((D85+D88)*D44+(D89*D11))/1000000)</f>
        <v>0.16931710758689947</v>
      </c>
      <c r="I9" s="1499"/>
      <c r="J9" s="1499"/>
      <c r="K9" s="1757"/>
      <c r="L9" s="1499"/>
      <c r="M9" s="1499"/>
      <c r="N9" s="1499"/>
      <c r="O9" s="1499"/>
      <c r="P9" s="1499"/>
      <c r="Q9" s="1499"/>
      <c r="R9" s="808" t="s">
        <v>252</v>
      </c>
      <c r="S9" s="1408">
        <f>L92</f>
        <v>514.64999999999884</v>
      </c>
      <c r="T9" s="809">
        <f>P53</f>
        <v>0</v>
      </c>
      <c r="U9" s="809">
        <f>P56</f>
        <v>320.17731483326418</v>
      </c>
      <c r="V9" s="809">
        <f>P59</f>
        <v>0</v>
      </c>
      <c r="W9" s="809">
        <f>P62</f>
        <v>0</v>
      </c>
      <c r="X9" s="809">
        <f>P65</f>
        <v>0</v>
      </c>
      <c r="Y9" s="809">
        <f>P68</f>
        <v>0</v>
      </c>
      <c r="Z9" s="809">
        <f>P71</f>
        <v>749.99691570428172</v>
      </c>
      <c r="AA9" s="809">
        <f>IF('R-Definição'!E121="Novo",P74,(D44+D46)*D89/D40)</f>
        <v>169.0817456335254</v>
      </c>
      <c r="AB9" s="1407"/>
    </row>
    <row r="10" spans="1:28" s="1758" customFormat="1" ht="17.649999999999999" customHeight="1" x14ac:dyDescent="0.25">
      <c r="A10" s="1499"/>
      <c r="B10" s="1802" t="s">
        <v>664</v>
      </c>
      <c r="C10" s="1759" t="s">
        <v>194</v>
      </c>
      <c r="D10" s="1765">
        <f>D45</f>
        <v>0.80179437500000006</v>
      </c>
      <c r="E10" s="1499"/>
      <c r="F10" s="1803" t="str">
        <f>IF(D24="Sim","Custo Total Rota Tecnológica COM Coleta","Custo Total Rota Tecnológica SEM Coleta")</f>
        <v>Custo Total Rota Tecnológica SEM Coleta</v>
      </c>
      <c r="G10" s="1761" t="s">
        <v>243</v>
      </c>
      <c r="H10" s="1766">
        <f>H6+H8+H9</f>
        <v>28.703929512511518</v>
      </c>
      <c r="I10" s="1499"/>
      <c r="J10" s="1499"/>
      <c r="K10" s="1757"/>
      <c r="L10" s="1499"/>
      <c r="M10" s="1499"/>
      <c r="N10" s="1499"/>
      <c r="O10" s="1499"/>
      <c r="P10" s="1499"/>
      <c r="Q10" s="1499"/>
      <c r="R10" s="808" t="s">
        <v>253</v>
      </c>
      <c r="S10" s="1408">
        <v>0</v>
      </c>
      <c r="T10" s="810">
        <f>P52</f>
        <v>0</v>
      </c>
      <c r="U10" s="810">
        <f>P55</f>
        <v>2553.2350729195769</v>
      </c>
      <c r="V10" s="810">
        <f>P58</f>
        <v>0</v>
      </c>
      <c r="W10" s="810">
        <f>P61</f>
        <v>0</v>
      </c>
      <c r="X10" s="810">
        <f>P64</f>
        <v>0</v>
      </c>
      <c r="Y10" s="810">
        <f>P67</f>
        <v>0</v>
      </c>
      <c r="Z10" s="810">
        <f>P70</f>
        <v>754.3688625628829</v>
      </c>
      <c r="AA10" s="809">
        <f>IF('R-Definição'!E121="Novo",P73,D89)</f>
        <v>166.67252350575487</v>
      </c>
      <c r="AB10" s="1407"/>
    </row>
    <row r="11" spans="1:28" s="1758" customFormat="1" ht="17.649999999999999" customHeight="1" x14ac:dyDescent="0.25">
      <c r="A11" s="1499"/>
      <c r="B11" s="1803" t="s">
        <v>510</v>
      </c>
      <c r="C11" s="1761" t="s">
        <v>249</v>
      </c>
      <c r="D11" s="1763">
        <f>'R-Fluxo Massa'!AS49*312</f>
        <v>0</v>
      </c>
      <c r="E11" s="1499"/>
      <c r="F11" s="1802" t="s">
        <v>1018</v>
      </c>
      <c r="G11" s="1759" t="s">
        <v>243</v>
      </c>
      <c r="H11" s="1756">
        <f>H91*(1-D26)</f>
        <v>0</v>
      </c>
      <c r="I11" s="1499"/>
      <c r="J11" s="1499"/>
      <c r="K11" s="1757"/>
      <c r="L11" s="1499"/>
      <c r="M11" s="1499"/>
      <c r="N11" s="1499"/>
      <c r="O11" s="1499"/>
      <c r="P11" s="1499"/>
      <c r="Q11" s="1499"/>
      <c r="R11" s="808" t="s">
        <v>702</v>
      </c>
      <c r="S11" s="1408">
        <v>0</v>
      </c>
      <c r="T11" s="809">
        <f>IF(T12&gt;0,($P36*$D101+$P37*$D102+$P38*$D103+$P39*$D104+$P40*$D105+$P41*$D106)/(T12*312),0)</f>
        <v>0</v>
      </c>
      <c r="U11" s="811">
        <f>IF(U12&gt;0,($L36*$D101+$L37*$D102+$L38*$D103+$L39*$D104+$L40*$D105+$L41*$D106)/(U12*312),0)</f>
        <v>45.926300813318853</v>
      </c>
      <c r="V11" s="811">
        <f>IF(V12&gt;0,($L44*$D112+$L46*$D111)/(V12*312),0)</f>
        <v>0</v>
      </c>
      <c r="W11" s="811">
        <f>IF(W12&gt;0,($L45*$D112+$L47*$D111)/(W12*312),0)</f>
        <v>0</v>
      </c>
      <c r="X11" s="811">
        <f>IF(X12&gt;0,($P42*$D114+$P45*$D117)/(X12*312),0)</f>
        <v>0</v>
      </c>
      <c r="Y11" s="811">
        <f>IF(Y12&gt;0,($L48*$D108+$L49*$D109)/(Y12*312),0)</f>
        <v>0</v>
      </c>
      <c r="Z11" s="811">
        <f>IF(Z12&gt;0,($P43*$D114)/(Z12*312),0)</f>
        <v>329.99059323514473</v>
      </c>
      <c r="AA11" s="811">
        <f>IF(AA12&gt;0,($P44*$D114+$P46*$D117)/(AA12*312),0)</f>
        <v>0</v>
      </c>
      <c r="AB11" s="1407"/>
    </row>
    <row r="12" spans="1:28" s="1758" customFormat="1" ht="17.649999999999999" customHeight="1" x14ac:dyDescent="0.25">
      <c r="A12" s="1499"/>
      <c r="B12" s="1802" t="s">
        <v>511</v>
      </c>
      <c r="C12" s="1759" t="s">
        <v>194</v>
      </c>
      <c r="D12" s="1765">
        <f>(D16)/D8</f>
        <v>3.4281208446504681E-2</v>
      </c>
      <c r="E12" s="1499"/>
      <c r="F12" s="1802" t="str">
        <f>IF(AND(D24="Sim", D25="Sim"),"Custo Total Rota Tecnológica COM Coleta e COM Receita",IF(AND(D24="Não", D25="Sim"),"Custo Total Rota Tecnológica SEM Coleta e COM Receita",IF(AND(D24="Sim", D25="Não"),"Custo Total Rota Tecnológica COM Coleta e SEM Receita",IF(AND(D24="Não", D25="Não"),"Custo Total Rota Tecnológica SEM Coleta e SEM Receita","-"))))</f>
        <v>Custo Total Rota Tecnológica SEM Coleta e SEM Receita</v>
      </c>
      <c r="G12" s="1755" t="s">
        <v>243</v>
      </c>
      <c r="H12" s="1756">
        <f>IF(D25="Sim",H10-H11,H10)</f>
        <v>28.703929512511518</v>
      </c>
      <c r="I12" s="1499"/>
      <c r="J12" s="1499"/>
      <c r="K12" s="1757"/>
      <c r="L12" s="1499"/>
      <c r="M12" s="1499"/>
      <c r="N12" s="1499"/>
      <c r="O12" s="1499"/>
      <c r="P12" s="1499"/>
      <c r="Q12" s="1499"/>
      <c r="R12" s="808" t="s">
        <v>254</v>
      </c>
      <c r="S12" s="1408">
        <f>D38</f>
        <v>73.8</v>
      </c>
      <c r="T12" s="809">
        <f>$H52/312</f>
        <v>0</v>
      </c>
      <c r="U12" s="809">
        <f>$H55/312</f>
        <v>9.2545673076923052</v>
      </c>
      <c r="V12" s="809">
        <f>$H58/312</f>
        <v>0</v>
      </c>
      <c r="W12" s="809">
        <f>$H61/312</f>
        <v>0</v>
      </c>
      <c r="X12" s="809">
        <f>$H64/312</f>
        <v>0</v>
      </c>
      <c r="Y12" s="809">
        <f>$H67/312</f>
        <v>0</v>
      </c>
      <c r="Z12" s="809">
        <f>$H70/312</f>
        <v>73.37229189302883</v>
      </c>
      <c r="AA12" s="809">
        <f>(D44+D46)/312</f>
        <v>14.627575124999995</v>
      </c>
      <c r="AB12" s="1407"/>
    </row>
    <row r="13" spans="1:28" s="1758" customFormat="1" ht="17.649999999999999" customHeight="1" thickBot="1" x14ac:dyDescent="0.3">
      <c r="A13" s="1499"/>
      <c r="B13" s="1804" t="s">
        <v>843</v>
      </c>
      <c r="C13" s="1767" t="s">
        <v>194</v>
      </c>
      <c r="D13" s="1768">
        <f>D16/((SUM('R-Entrada'!G28:G33))*312)</f>
        <v>0.10746460328057894</v>
      </c>
      <c r="E13" s="1499"/>
      <c r="F13" s="1804" t="str">
        <f>IF(AND(D24="Sim", D25="Sim"),"Custo Total Rota Tecnológica COM Coleta e COM Receita",IF(AND(D24="Não", D25="Sim"),"Custo Total Rota Tecnológica SEM Coleta e COM Receita",IF(AND(D24="Sim", D25="Não"),"Custo Total Rota Tecnológica COM Coleta e SEM Receita",IF(AND(D24="Não", D25="Não"),"Custo Total Rota Tecnológica SEM Coleta e SEM Receita","-"))))</f>
        <v>Custo Total Rota Tecnológica SEM Coleta e SEM Receita</v>
      </c>
      <c r="G13" s="1767" t="s">
        <v>246</v>
      </c>
      <c r="H13" s="1769">
        <f>H12*1000000/D8</f>
        <v>1246.6094048585712</v>
      </c>
      <c r="I13" s="1499"/>
      <c r="J13" s="1499"/>
      <c r="K13" s="1757"/>
      <c r="L13" s="1499"/>
      <c r="M13" s="1499"/>
      <c r="N13" s="1499"/>
      <c r="O13" s="1499"/>
      <c r="P13" s="1499"/>
      <c r="Q13" s="1499"/>
      <c r="R13" s="1403"/>
      <c r="S13" s="1404"/>
      <c r="T13" s="1404"/>
      <c r="U13" s="1404"/>
      <c r="V13" s="1404"/>
      <c r="W13" s="1404"/>
      <c r="X13" s="1404"/>
      <c r="Y13" s="1404"/>
      <c r="Z13" s="1404"/>
      <c r="AA13" s="1406"/>
    </row>
    <row r="14" spans="1:28" ht="4.9000000000000004" customHeight="1" thickTop="1" thickBot="1" x14ac:dyDescent="0.3">
      <c r="A14" s="31"/>
      <c r="B14" s="235"/>
      <c r="C14" s="133"/>
      <c r="D14" s="133"/>
      <c r="E14" s="133"/>
      <c r="F14" s="235"/>
      <c r="G14" s="133"/>
      <c r="H14" s="133"/>
      <c r="I14" s="33"/>
      <c r="J14" s="31"/>
      <c r="K14" s="30"/>
      <c r="L14" s="31"/>
      <c r="M14" s="33"/>
      <c r="N14" s="33"/>
      <c r="O14" s="33"/>
      <c r="P14" s="33"/>
      <c r="Q14" s="33"/>
      <c r="R14" s="1403"/>
      <c r="S14" s="1404"/>
      <c r="T14" s="1404"/>
      <c r="U14" s="1404"/>
      <c r="V14" s="1404"/>
      <c r="W14" s="1404"/>
      <c r="X14" s="1404"/>
      <c r="Y14" s="1404"/>
      <c r="Z14" s="1404"/>
      <c r="AA14" s="1406"/>
    </row>
    <row r="15" spans="1:28" ht="19.899999999999999" customHeight="1" thickTop="1" x14ac:dyDescent="0.25">
      <c r="A15" s="31"/>
      <c r="B15" s="1316" t="s">
        <v>750</v>
      </c>
      <c r="C15" s="1317" t="s">
        <v>239</v>
      </c>
      <c r="D15" s="1282" t="s">
        <v>240</v>
      </c>
      <c r="E15" s="139"/>
      <c r="F15" s="1316" t="s">
        <v>751</v>
      </c>
      <c r="G15" s="1317" t="s">
        <v>239</v>
      </c>
      <c r="H15" s="1282" t="s">
        <v>240</v>
      </c>
      <c r="I15" s="33"/>
      <c r="J15" s="31"/>
      <c r="K15" s="30"/>
      <c r="L15" s="31"/>
      <c r="M15" s="33"/>
      <c r="N15" s="33"/>
      <c r="O15" s="33"/>
      <c r="P15" s="33"/>
      <c r="Q15" s="33"/>
      <c r="R15" s="1403"/>
      <c r="S15" s="1404"/>
      <c r="T15" s="1404"/>
      <c r="U15" s="1404"/>
      <c r="V15" s="1404"/>
      <c r="W15" s="1404"/>
      <c r="X15" s="1404"/>
      <c r="Y15" s="1404"/>
      <c r="Z15" s="1404"/>
      <c r="AA15" s="1406"/>
    </row>
    <row r="16" spans="1:28" s="1758" customFormat="1" ht="17.649999999999999" customHeight="1" x14ac:dyDescent="0.25">
      <c r="A16" s="1499"/>
      <c r="B16" s="1803" t="s">
        <v>515</v>
      </c>
      <c r="C16" s="1770" t="s">
        <v>249</v>
      </c>
      <c r="D16" s="1771">
        <f>H36</f>
        <v>789.34539320583815</v>
      </c>
      <c r="E16" s="61"/>
      <c r="F16" s="1802" t="s">
        <v>516</v>
      </c>
      <c r="G16" s="1772" t="s">
        <v>255</v>
      </c>
      <c r="H16" s="1756">
        <f>K78</f>
        <v>134.65734489513767</v>
      </c>
      <c r="I16" s="1499"/>
      <c r="J16" s="1499"/>
      <c r="K16" s="1757"/>
      <c r="L16" s="1499"/>
      <c r="M16" s="1499"/>
      <c r="N16" s="1499"/>
      <c r="O16" s="1499"/>
      <c r="P16" s="1499"/>
      <c r="Q16" s="1499"/>
      <c r="R16" s="1403"/>
      <c r="S16" s="1404"/>
      <c r="T16" s="1404"/>
      <c r="U16" s="1404"/>
      <c r="V16" s="1404"/>
      <c r="W16" s="1404"/>
      <c r="X16" s="1404"/>
      <c r="Y16" s="1404"/>
      <c r="Z16" s="1404"/>
      <c r="AA16" s="1406"/>
    </row>
    <row r="17" spans="1:26" s="1758" customFormat="1" ht="17.649999999999999" customHeight="1" x14ac:dyDescent="0.25">
      <c r="A17" s="1499"/>
      <c r="B17" s="1803" t="s">
        <v>517</v>
      </c>
      <c r="C17" s="1770" t="s">
        <v>249</v>
      </c>
      <c r="D17" s="1771">
        <f>SUM(P36:P41)</f>
        <v>0</v>
      </c>
      <c r="E17" s="61"/>
      <c r="F17" s="1802" t="s">
        <v>518</v>
      </c>
      <c r="G17" s="1772" t="s">
        <v>194</v>
      </c>
      <c r="H17" s="1773">
        <f>G76</f>
        <v>0.30631231591032215</v>
      </c>
      <c r="I17" s="1499"/>
      <c r="J17" s="1499"/>
      <c r="K17" s="1757"/>
      <c r="L17" s="1499"/>
      <c r="M17" s="1499"/>
      <c r="N17" s="1499"/>
      <c r="O17" s="1499"/>
      <c r="P17" s="1499"/>
      <c r="Q17" s="1499"/>
      <c r="R17" s="1403"/>
      <c r="S17" s="1404"/>
      <c r="T17" s="1404"/>
      <c r="U17" s="1404"/>
      <c r="V17" s="1404"/>
      <c r="W17" s="1404"/>
      <c r="X17" s="1404"/>
      <c r="Y17" s="1404"/>
      <c r="Z17" s="1404"/>
    </row>
    <row r="18" spans="1:26" s="1758" customFormat="1" ht="17.649999999999999" customHeight="1" x14ac:dyDescent="0.25">
      <c r="A18" s="1499"/>
      <c r="B18" s="1803" t="s">
        <v>895</v>
      </c>
      <c r="C18" s="1770" t="s">
        <v>249</v>
      </c>
      <c r="D18" s="1771">
        <f>H37+H38</f>
        <v>0</v>
      </c>
      <c r="E18" s="61"/>
      <c r="F18" s="1803" t="s">
        <v>519</v>
      </c>
      <c r="G18" s="1770" t="s">
        <v>256</v>
      </c>
      <c r="H18" s="1763">
        <f>H24*1000000/D40</f>
        <v>7982.0912459208239</v>
      </c>
      <c r="I18" s="1499"/>
      <c r="J18" s="1499"/>
      <c r="K18" s="1757"/>
      <c r="L18" s="1499"/>
      <c r="M18" s="1499"/>
      <c r="N18" s="1499"/>
      <c r="O18" s="1499"/>
      <c r="P18" s="1499"/>
      <c r="Q18" s="1499"/>
      <c r="R18" s="1403"/>
      <c r="S18" s="1404"/>
      <c r="T18" s="1404"/>
      <c r="U18" s="1404"/>
      <c r="V18" s="1404"/>
      <c r="W18" s="1404"/>
      <c r="X18" s="1404"/>
      <c r="Y18" s="1404"/>
      <c r="Z18" s="1404"/>
    </row>
    <row r="19" spans="1:26" s="1758" customFormat="1" ht="17.649999999999999" customHeight="1" x14ac:dyDescent="0.25">
      <c r="A19" s="1499"/>
      <c r="B19" s="1803" t="s">
        <v>520</v>
      </c>
      <c r="C19" s="1770" t="s">
        <v>249</v>
      </c>
      <c r="D19" s="1771">
        <f>H39+H40</f>
        <v>0</v>
      </c>
      <c r="E19" s="61"/>
      <c r="F19" s="1803" t="str">
        <f>J77</f>
        <v>Reinvestimento Total Rota (cada 5 anos)</v>
      </c>
      <c r="G19" s="1774" t="s">
        <v>255</v>
      </c>
      <c r="H19" s="1775">
        <f>K77</f>
        <v>3.5416825342966423</v>
      </c>
      <c r="I19" s="1499"/>
      <c r="J19" s="1499"/>
      <c r="K19" s="1757"/>
      <c r="L19" s="1499"/>
      <c r="M19" s="1499"/>
      <c r="N19" s="1499"/>
      <c r="O19" s="1499"/>
      <c r="P19" s="1499"/>
      <c r="Q19" s="1499"/>
      <c r="R19" s="805"/>
      <c r="S19" s="806"/>
      <c r="T19" s="806"/>
      <c r="U19" s="806"/>
      <c r="V19" s="806"/>
      <c r="W19" s="806"/>
      <c r="X19" s="806"/>
      <c r="Y19" s="806"/>
      <c r="Z19" s="1385"/>
    </row>
    <row r="20" spans="1:26" s="1758" customFormat="1" ht="17.649999999999999" customHeight="1" x14ac:dyDescent="0.25">
      <c r="A20" s="1499"/>
      <c r="B20" s="1803" t="s">
        <v>521</v>
      </c>
      <c r="C20" s="1770" t="s">
        <v>257</v>
      </c>
      <c r="D20" s="1771">
        <f>H41</f>
        <v>15108.391664372935</v>
      </c>
      <c r="E20" s="61"/>
      <c r="F20" s="1805" t="s">
        <v>522</v>
      </c>
      <c r="G20" s="1776" t="s">
        <v>255</v>
      </c>
      <c r="H20" s="1777">
        <f>K75</f>
        <v>13.910467175348771</v>
      </c>
      <c r="I20" s="1499"/>
      <c r="J20" s="1499"/>
      <c r="K20" s="1757"/>
      <c r="L20" s="1499"/>
      <c r="M20" s="1499"/>
      <c r="N20" s="1499"/>
      <c r="O20" s="1499"/>
      <c r="P20" s="1499"/>
      <c r="Q20" s="1499"/>
      <c r="R20" s="805"/>
      <c r="S20" s="806"/>
      <c r="T20" s="806"/>
      <c r="U20" s="806"/>
      <c r="V20" s="806"/>
      <c r="W20" s="806"/>
      <c r="X20" s="806"/>
      <c r="Y20" s="806"/>
      <c r="Z20" s="1385"/>
    </row>
    <row r="21" spans="1:26" s="1758" customFormat="1" ht="17.649999999999999" customHeight="1" thickBot="1" x14ac:dyDescent="0.3">
      <c r="A21" s="1499"/>
      <c r="B21" s="1804" t="s">
        <v>523</v>
      </c>
      <c r="C21" s="1778" t="s">
        <v>258</v>
      </c>
      <c r="D21" s="1779">
        <f>H42</f>
        <v>0</v>
      </c>
      <c r="E21" s="61"/>
      <c r="F21" s="1806" t="s">
        <v>524</v>
      </c>
      <c r="G21" s="1780" t="s">
        <v>255</v>
      </c>
      <c r="H21" s="1781">
        <v>0</v>
      </c>
      <c r="I21" s="1499"/>
      <c r="J21" s="1499"/>
      <c r="K21" s="1757"/>
      <c r="L21" s="1499"/>
      <c r="M21" s="1499"/>
      <c r="N21" s="1499"/>
      <c r="O21" s="1499"/>
      <c r="P21" s="1499"/>
      <c r="Q21" s="1499"/>
      <c r="R21" s="805"/>
      <c r="S21" s="806"/>
      <c r="T21" s="806"/>
      <c r="U21" s="806"/>
      <c r="V21" s="806"/>
      <c r="W21" s="806"/>
      <c r="X21" s="806"/>
      <c r="Y21" s="806"/>
      <c r="Z21" s="1385"/>
    </row>
    <row r="22" spans="1:26" ht="4.9000000000000004" customHeight="1" thickTop="1" thickBot="1" x14ac:dyDescent="0.3">
      <c r="A22" s="33"/>
      <c r="B22" s="136"/>
      <c r="C22" s="236"/>
      <c r="D22" s="236"/>
      <c r="E22" s="133"/>
      <c r="F22" s="133"/>
      <c r="G22" s="133"/>
      <c r="H22" s="133"/>
      <c r="I22" s="33"/>
      <c r="J22" s="33"/>
      <c r="K22" s="29"/>
      <c r="L22" s="33"/>
      <c r="M22" s="33"/>
      <c r="N22" s="33"/>
      <c r="O22" s="33"/>
      <c r="P22" s="33"/>
      <c r="Q22" s="33"/>
      <c r="R22" s="805"/>
      <c r="S22" s="806"/>
      <c r="T22" s="806"/>
      <c r="U22" s="806"/>
      <c r="V22" s="806"/>
      <c r="W22" s="806"/>
      <c r="X22" s="806"/>
      <c r="Y22" s="806"/>
      <c r="Z22" s="1385"/>
    </row>
    <row r="23" spans="1:26" ht="19.899999999999999" customHeight="1" thickTop="1" x14ac:dyDescent="0.25">
      <c r="A23" s="33"/>
      <c r="B23" s="1319" t="s">
        <v>525</v>
      </c>
      <c r="C23" s="1320" t="s">
        <v>239</v>
      </c>
      <c r="D23" s="1321" t="s">
        <v>240</v>
      </c>
      <c r="E23" s="133"/>
      <c r="F23" s="1316" t="s">
        <v>793</v>
      </c>
      <c r="G23" s="1317" t="s">
        <v>239</v>
      </c>
      <c r="H23" s="1282" t="s">
        <v>240</v>
      </c>
      <c r="I23" s="33"/>
      <c r="J23" s="33"/>
      <c r="K23" s="29"/>
      <c r="L23" s="33"/>
      <c r="M23" s="33"/>
      <c r="N23" s="33"/>
      <c r="O23" s="33"/>
      <c r="P23" s="33"/>
      <c r="Q23" s="33"/>
      <c r="R23" s="805"/>
      <c r="S23" s="806"/>
      <c r="T23" s="806"/>
      <c r="U23" s="806"/>
      <c r="V23" s="806"/>
      <c r="W23" s="806"/>
      <c r="X23" s="806"/>
      <c r="Y23" s="806"/>
      <c r="Z23" s="1385"/>
    </row>
    <row r="24" spans="1:26" s="1758" customFormat="1" ht="17.649999999999999" customHeight="1" x14ac:dyDescent="0.25">
      <c r="A24" s="1499"/>
      <c r="B24" s="1802" t="s">
        <v>526</v>
      </c>
      <c r="C24" s="1782" t="s">
        <v>259</v>
      </c>
      <c r="D24" s="1783" t="s">
        <v>7</v>
      </c>
      <c r="E24" s="1499"/>
      <c r="F24" s="1802" t="s">
        <v>860</v>
      </c>
      <c r="G24" s="1772" t="s">
        <v>255</v>
      </c>
      <c r="H24" s="1784">
        <f>'C-FCL Real'!G11</f>
        <v>183.79244019207451</v>
      </c>
      <c r="I24" s="1499"/>
      <c r="J24" s="1499"/>
      <c r="K24" s="1757"/>
      <c r="L24" s="1499"/>
      <c r="M24" s="1499"/>
      <c r="N24" s="1499"/>
      <c r="O24" s="1499"/>
      <c r="P24" s="1499"/>
      <c r="Q24" s="1499"/>
      <c r="R24" s="805"/>
      <c r="S24" s="806"/>
      <c r="T24" s="806"/>
      <c r="U24" s="806"/>
      <c r="V24" s="806"/>
      <c r="W24" s="806"/>
      <c r="X24" s="806"/>
      <c r="Y24" s="806"/>
      <c r="Z24" s="1385"/>
    </row>
    <row r="25" spans="1:26" s="1758" customFormat="1" ht="17.649999999999999" customHeight="1" thickBot="1" x14ac:dyDescent="0.3">
      <c r="A25" s="1499"/>
      <c r="B25" s="1802" t="s">
        <v>527</v>
      </c>
      <c r="C25" s="1782" t="s">
        <v>259</v>
      </c>
      <c r="D25" s="1783" t="s">
        <v>7</v>
      </c>
      <c r="E25" s="1499"/>
      <c r="F25" s="1809" t="s">
        <v>1014</v>
      </c>
      <c r="G25" s="1798" t="s">
        <v>194</v>
      </c>
      <c r="H25" s="1799">
        <f>'C-FCL Real'!C28</f>
        <v>9.74E-2</v>
      </c>
      <c r="I25" s="1499"/>
      <c r="J25" s="1499"/>
      <c r="K25" s="1757"/>
      <c r="L25" s="1499"/>
      <c r="M25" s="1499"/>
      <c r="N25" s="1499"/>
      <c r="O25" s="1499"/>
      <c r="P25" s="1499"/>
      <c r="Q25" s="1499"/>
      <c r="R25" s="805"/>
      <c r="S25" s="806"/>
      <c r="T25" s="806"/>
      <c r="U25" s="806"/>
      <c r="V25" s="806"/>
      <c r="W25" s="806"/>
      <c r="X25" s="806"/>
      <c r="Y25" s="806"/>
      <c r="Z25" s="1385"/>
    </row>
    <row r="26" spans="1:26" s="1758" customFormat="1" ht="17.649999999999999" customHeight="1" x14ac:dyDescent="0.25">
      <c r="A26" s="1499"/>
      <c r="B26" s="1803" t="s">
        <v>859</v>
      </c>
      <c r="C26" s="1774" t="s">
        <v>194</v>
      </c>
      <c r="D26" s="1785">
        <v>1</v>
      </c>
      <c r="E26" s="1499"/>
      <c r="F26" s="1810" t="str">
        <f>'C-FCL Real'!K28</f>
        <v>Índice de Retorno do Inv.: Pay Back</v>
      </c>
      <c r="G26" s="1796" t="s">
        <v>260</v>
      </c>
      <c r="H26" s="1797">
        <f>'C-FCL Real'!H13</f>
        <v>39.860323627927869</v>
      </c>
      <c r="I26" s="1499"/>
      <c r="J26" s="1499"/>
      <c r="K26" s="1757"/>
      <c r="L26" s="1499"/>
      <c r="M26" s="1499"/>
      <c r="N26" s="1499"/>
      <c r="O26" s="1499"/>
      <c r="P26" s="1499"/>
      <c r="Q26" s="1499"/>
      <c r="R26" s="805"/>
      <c r="S26" s="806"/>
      <c r="T26" s="806"/>
      <c r="U26" s="806"/>
      <c r="V26" s="806"/>
      <c r="W26" s="806"/>
      <c r="X26" s="806"/>
      <c r="Y26" s="806"/>
      <c r="Z26" s="1385"/>
    </row>
    <row r="27" spans="1:26" s="1758" customFormat="1" ht="17.649999999999999" customHeight="1" x14ac:dyDescent="0.25">
      <c r="A27" s="1499"/>
      <c r="B27" s="1807" t="s">
        <v>528</v>
      </c>
      <c r="C27" s="1774" t="s">
        <v>194</v>
      </c>
      <c r="D27" s="1786">
        <v>4.7000000000000002E-3</v>
      </c>
      <c r="E27" s="1499"/>
      <c r="F27" s="1802" t="str">
        <f>'C-FCL Real'!K26</f>
        <v>Índice de Retorno do Inv.: VPL</v>
      </c>
      <c r="G27" s="1772" t="s">
        <v>255</v>
      </c>
      <c r="H27" s="1784">
        <f>'C-FCL Real'!H8</f>
        <v>-27.190466500143735</v>
      </c>
      <c r="I27" s="1499"/>
      <c r="J27" s="1499"/>
      <c r="K27" s="1757"/>
      <c r="L27" s="1499"/>
      <c r="M27" s="1499"/>
      <c r="N27" s="1499"/>
      <c r="O27" s="1499"/>
      <c r="P27" s="1499"/>
      <c r="Q27" s="1499"/>
      <c r="R27" s="805"/>
      <c r="S27" s="806"/>
      <c r="T27" s="806"/>
      <c r="U27" s="806"/>
      <c r="V27" s="806"/>
      <c r="W27" s="806"/>
      <c r="X27" s="806"/>
      <c r="Y27" s="806"/>
      <c r="Z27" s="1385"/>
    </row>
    <row r="28" spans="1:26" s="1758" customFormat="1" ht="17.649999999999999" customHeight="1" x14ac:dyDescent="0.25">
      <c r="A28" s="1499"/>
      <c r="B28" s="1803" t="s">
        <v>1015</v>
      </c>
      <c r="C28" s="1774" t="s">
        <v>243</v>
      </c>
      <c r="D28" s="1787">
        <v>1</v>
      </c>
      <c r="E28" s="1499"/>
      <c r="F28" s="1803" t="str">
        <f>'C-FCL Real'!K27</f>
        <v>Índice de Retorno do Inv.: TIR</v>
      </c>
      <c r="G28" s="1774" t="s">
        <v>194</v>
      </c>
      <c r="H28" s="1788">
        <f>'C-FCL Real'!H9</f>
        <v>0.192118513653595</v>
      </c>
      <c r="I28" s="1499"/>
      <c r="J28" s="1499"/>
      <c r="K28" s="1757"/>
      <c r="L28" s="1499"/>
      <c r="M28" s="1499"/>
      <c r="N28" s="1499"/>
      <c r="O28" s="1499"/>
      <c r="P28" s="1499"/>
      <c r="Q28" s="1499"/>
      <c r="R28" s="805"/>
      <c r="S28" s="806"/>
      <c r="T28" s="806"/>
      <c r="U28" s="806"/>
      <c r="V28" s="806"/>
      <c r="W28" s="806"/>
      <c r="X28" s="806"/>
      <c r="Y28" s="806"/>
      <c r="Z28" s="1385"/>
    </row>
    <row r="29" spans="1:26" s="1758" customFormat="1" ht="17.649999999999999" customHeight="1" thickBot="1" x14ac:dyDescent="0.3">
      <c r="A29" s="1499"/>
      <c r="B29" s="1803" t="s">
        <v>1016</v>
      </c>
      <c r="C29" s="1774" t="s">
        <v>255</v>
      </c>
      <c r="D29" s="1787">
        <v>0</v>
      </c>
      <c r="E29" s="1499"/>
      <c r="F29" s="1811" t="str">
        <f>'C-FCL Real'!O26</f>
        <v>Taxa de Lucratividade do Investimento</v>
      </c>
      <c r="G29" s="1789" t="s">
        <v>194</v>
      </c>
      <c r="H29" s="1790">
        <f>'C-FCL Real'!H14</f>
        <v>0.85205884163827406</v>
      </c>
      <c r="I29" s="1499"/>
      <c r="J29" s="1499"/>
      <c r="K29" s="1757"/>
      <c r="L29" s="1499"/>
      <c r="M29" s="1499"/>
      <c r="N29" s="1499"/>
      <c r="O29" s="1499"/>
      <c r="P29" s="1499"/>
      <c r="Q29" s="1499"/>
      <c r="R29" s="805"/>
      <c r="S29" s="806"/>
      <c r="T29" s="806"/>
      <c r="U29" s="806"/>
      <c r="V29" s="806"/>
      <c r="W29" s="806"/>
      <c r="X29" s="806"/>
      <c r="Y29" s="806"/>
      <c r="Z29" s="1385"/>
    </row>
    <row r="30" spans="1:26" s="1758" customFormat="1" ht="17.649999999999999" customHeight="1" x14ac:dyDescent="0.25">
      <c r="A30" s="1499"/>
      <c r="B30" s="1805" t="s">
        <v>1017</v>
      </c>
      <c r="C30" s="1776" t="s">
        <v>255</v>
      </c>
      <c r="D30" s="1791">
        <v>0</v>
      </c>
      <c r="E30" s="1499"/>
      <c r="F30" s="1812" t="s">
        <v>861</v>
      </c>
      <c r="G30" s="1800" t="s">
        <v>262</v>
      </c>
      <c r="H30" s="1801">
        <f>D32*(D8*H33+D31*312*H31)/1000000000</f>
        <v>1.3113390802148126</v>
      </c>
      <c r="I30" s="1499"/>
      <c r="J30" s="1499"/>
      <c r="K30" s="1757"/>
      <c r="L30" s="1499"/>
      <c r="M30" s="1499"/>
      <c r="N30" s="1499"/>
      <c r="O30" s="1499"/>
      <c r="P30" s="1499"/>
      <c r="Q30" s="1499"/>
      <c r="R30" s="805"/>
      <c r="S30" s="806"/>
      <c r="T30" s="806"/>
      <c r="U30" s="806"/>
      <c r="V30" s="806"/>
      <c r="W30" s="806"/>
      <c r="X30" s="806"/>
      <c r="Y30" s="806"/>
      <c r="Z30" s="1385"/>
    </row>
    <row r="31" spans="1:26" ht="19.899999999999999" customHeight="1" thickBot="1" x14ac:dyDescent="0.3">
      <c r="A31" s="33"/>
      <c r="B31" s="1808" t="s">
        <v>1010</v>
      </c>
      <c r="C31" s="1751" t="s">
        <v>21</v>
      </c>
      <c r="D31" s="1752">
        <v>60</v>
      </c>
      <c r="E31" s="881"/>
      <c r="F31" s="1813" t="str">
        <f>IF('R-Definição'!$E$121="Existente","TEP Disp. RPU | Custo p/ Disp. RPU Aterro Sanitário","TEP Disp. RPU| Custo Calc. na Aba 'Aterro Sanitário'")</f>
        <v>TEP Disp. RPU| Custo Calc. na Aba 'Aterro Sanitário'</v>
      </c>
      <c r="G31" s="1792" t="s">
        <v>293</v>
      </c>
      <c r="H31" s="1793">
        <f>IF('R-Definição'!$E$121="Existente",P89,P73)</f>
        <v>166.67252350575487</v>
      </c>
      <c r="I31" s="33"/>
      <c r="J31" s="33"/>
      <c r="K31" s="29"/>
      <c r="L31" s="33"/>
      <c r="M31" s="33"/>
      <c r="N31" s="33"/>
      <c r="O31" s="33"/>
      <c r="P31" s="33"/>
      <c r="Q31" s="33"/>
      <c r="R31" s="805"/>
      <c r="S31" s="806"/>
      <c r="T31" s="806"/>
      <c r="U31" s="806"/>
      <c r="V31" s="806"/>
      <c r="W31" s="806"/>
      <c r="X31" s="806"/>
      <c r="Y31" s="806"/>
      <c r="Z31" s="1385"/>
    </row>
    <row r="32" spans="1:26" ht="19.899999999999999" customHeight="1" thickTop="1" x14ac:dyDescent="0.25">
      <c r="A32" s="31"/>
      <c r="B32" s="1814" t="s">
        <v>606</v>
      </c>
      <c r="C32" s="1748" t="s">
        <v>260</v>
      </c>
      <c r="D32" s="1829">
        <v>35</v>
      </c>
      <c r="E32" s="885"/>
      <c r="F32" s="1814" t="s">
        <v>1019</v>
      </c>
      <c r="G32" s="1748" t="s">
        <v>1012</v>
      </c>
      <c r="H32" s="1817">
        <f>'C-Calc Tarifa'!M32</f>
        <v>18.894145553423446</v>
      </c>
      <c r="I32" s="33"/>
      <c r="J32" s="31"/>
      <c r="K32" s="30"/>
      <c r="L32" s="31"/>
      <c r="M32" s="33"/>
      <c r="N32" s="33"/>
      <c r="O32" s="33"/>
      <c r="P32" s="33"/>
      <c r="Q32" s="33"/>
      <c r="R32" s="805"/>
      <c r="S32" s="806"/>
      <c r="T32" s="806"/>
      <c r="U32" s="806"/>
      <c r="V32" s="806"/>
      <c r="W32" s="806"/>
      <c r="X32" s="806"/>
      <c r="Y32" s="806"/>
      <c r="Z32" s="1385"/>
    </row>
    <row r="33" spans="1:26" ht="19.899999999999999" customHeight="1" thickBot="1" x14ac:dyDescent="0.3">
      <c r="A33" s="33"/>
      <c r="B33" s="1815" t="s">
        <v>1011</v>
      </c>
      <c r="C33" s="1749" t="s">
        <v>246</v>
      </c>
      <c r="D33" s="1750">
        <v>1396.7092707049733</v>
      </c>
      <c r="E33" s="885"/>
      <c r="F33" s="1816" t="s">
        <v>1013</v>
      </c>
      <c r="G33" s="1794" t="s">
        <v>246</v>
      </c>
      <c r="H33" s="1795">
        <v>1491.675405776728</v>
      </c>
      <c r="I33" s="33"/>
      <c r="J33" s="33"/>
      <c r="K33" s="29"/>
      <c r="L33" s="33"/>
      <c r="M33" s="33"/>
      <c r="N33" s="33"/>
      <c r="O33" s="33"/>
      <c r="P33" s="33"/>
      <c r="Q33" s="33"/>
      <c r="R33" s="805"/>
      <c r="S33" s="806"/>
      <c r="T33" s="806"/>
      <c r="U33" s="806"/>
      <c r="V33" s="806"/>
      <c r="W33" s="806"/>
      <c r="X33" s="806"/>
      <c r="Y33" s="806"/>
      <c r="Z33" s="1385"/>
    </row>
    <row r="34" spans="1:26" ht="25.15" customHeight="1" thickTop="1" thickBot="1" x14ac:dyDescent="0.3">
      <c r="A34" s="31"/>
      <c r="D34">
        <f>IF('C-Triagem Mec'!E7="SIM",'C-Triagem Mec'!E29*'C-Triagem Mec'!E30,IF('C-Triagem Mec'!I7="SIM",'C-Triagem Mec'!I29*'C-Triagem Mec'!I30,IF('C-Triagem Mec'!M7="SIM",'C-Triagem Mec'!M29*'C-Triagem Mec'!M30,IF('C-Triagem Mec'!Q7="SIM",'C-Triagem Mec'!Q29*'C-Triagem Mec'!Q30,IF('C-Triagem Mec'!U7="SIM",'C-Triagem Mec'!U29*'C-Triagem Mec'!U30)))))+IF('C-Incineração'!E7="SIM",'C-Incineração'!E31*4+'C-Incineração'!E32,IF('C-Incineração'!I7="SIM",'C-Incineração'!I31*4+'C-Incineração'!I32,IF('C-Incineração'!M7="SIM",'C-Incineração'!M31*4+'C-Incineração'!M32,IF('C-Incineração'!Q7="SIM",'C-Incineração'!Q31*4+'C-Incineração'!Q32,IF('C-Incineração'!U7="SIM",'C-Incineração'!U31*4+'C-Incineração'!U32)))))+1+5+15</f>
        <v>158</v>
      </c>
      <c r="E34" s="33"/>
      <c r="F34" s="23"/>
      <c r="G34" s="31"/>
      <c r="H34" s="31"/>
      <c r="I34" s="33"/>
      <c r="J34" s="31"/>
      <c r="K34" s="30"/>
      <c r="M34" s="33"/>
      <c r="N34" s="33"/>
      <c r="O34" s="33"/>
      <c r="P34" s="33"/>
      <c r="Q34" s="33"/>
      <c r="R34" s="805"/>
      <c r="S34" s="806"/>
      <c r="T34" s="806"/>
      <c r="U34" s="806"/>
      <c r="V34" s="806"/>
      <c r="W34" s="806"/>
      <c r="X34" s="806"/>
      <c r="Y34" s="806"/>
      <c r="Z34" s="1385"/>
    </row>
    <row r="35" spans="1:26" s="59" customFormat="1" ht="19.899999999999999" customHeight="1" thickTop="1" x14ac:dyDescent="0.25">
      <c r="A35" s="45"/>
      <c r="B35" s="1316" t="s">
        <v>592</v>
      </c>
      <c r="C35" s="1317" t="s">
        <v>239</v>
      </c>
      <c r="D35" s="1282" t="s">
        <v>240</v>
      </c>
      <c r="E35" s="686"/>
      <c r="F35" s="1316" t="s">
        <v>798</v>
      </c>
      <c r="G35" s="1317" t="s">
        <v>239</v>
      </c>
      <c r="H35" s="1282" t="s">
        <v>240</v>
      </c>
      <c r="I35" s="687"/>
      <c r="J35" s="1316" t="s">
        <v>593</v>
      </c>
      <c r="K35" s="1317" t="s">
        <v>239</v>
      </c>
      <c r="L35" s="1282" t="s">
        <v>240</v>
      </c>
      <c r="M35" s="686"/>
      <c r="N35" s="1316" t="s">
        <v>593</v>
      </c>
      <c r="O35" s="1317" t="s">
        <v>239</v>
      </c>
      <c r="P35" s="1282" t="s">
        <v>240</v>
      </c>
      <c r="Q35" s="242"/>
      <c r="R35" s="812"/>
      <c r="S35" s="813"/>
      <c r="T35" s="813"/>
      <c r="U35" s="813"/>
      <c r="V35" s="813"/>
      <c r="W35" s="813"/>
      <c r="X35" s="813"/>
      <c r="Y35" s="813"/>
      <c r="Z35" s="1386"/>
    </row>
    <row r="36" spans="1:26" ht="17.649999999999999" customHeight="1" outlineLevel="1" x14ac:dyDescent="0.25">
      <c r="A36" s="40"/>
      <c r="B36" s="1313" t="s">
        <v>241</v>
      </c>
      <c r="C36" s="246" t="s">
        <v>242</v>
      </c>
      <c r="D36" s="1326">
        <f>'R-Entrada'!E8</f>
        <v>411597</v>
      </c>
      <c r="E36" s="139"/>
      <c r="F36" s="1313" t="s">
        <v>799</v>
      </c>
      <c r="G36" s="246" t="s">
        <v>249</v>
      </c>
      <c r="H36" s="1324">
        <f>SUM(L36:L43)+SUM(P36:P41)</f>
        <v>789.34539320583815</v>
      </c>
      <c r="I36" s="139"/>
      <c r="J36" s="1313" t="s">
        <v>806</v>
      </c>
      <c r="K36" s="246" t="s">
        <v>249</v>
      </c>
      <c r="L36" s="1324">
        <f>('R-Resumo Bal. Massa'!F58+'R-Resumo Bal. Massa'!G58)*312*D48/D8</f>
        <v>91.977265502687175</v>
      </c>
      <c r="M36" s="139"/>
      <c r="N36" s="1313" t="s">
        <v>820</v>
      </c>
      <c r="O36" s="246" t="s">
        <v>249</v>
      </c>
      <c r="P36" s="1324">
        <f>'R-Resumo Bal. Massa'!E58*312*D48/D8</f>
        <v>0</v>
      </c>
      <c r="Q36" s="133"/>
      <c r="R36" s="805"/>
      <c r="S36" s="806"/>
      <c r="T36" s="806"/>
      <c r="U36" s="806"/>
      <c r="V36" s="806"/>
      <c r="W36" s="806"/>
      <c r="X36" s="806"/>
      <c r="Y36" s="806"/>
      <c r="Z36" s="1385"/>
    </row>
    <row r="37" spans="1:26" ht="17.649999999999999" customHeight="1" outlineLevel="1" x14ac:dyDescent="0.25">
      <c r="A37" s="40"/>
      <c r="B37" s="1313" t="s">
        <v>703</v>
      </c>
      <c r="C37" s="1276" t="s">
        <v>704</v>
      </c>
      <c r="D37" s="1327">
        <f>D38*1000*312/D36/365</f>
        <v>0.15326602384477622</v>
      </c>
      <c r="E37" s="139"/>
      <c r="F37" s="1313" t="s">
        <v>800</v>
      </c>
      <c r="G37" s="1276" t="s">
        <v>249</v>
      </c>
      <c r="H37" s="1324">
        <f>L48</f>
        <v>0</v>
      </c>
      <c r="I37" s="139"/>
      <c r="J37" s="1313" t="s">
        <v>807</v>
      </c>
      <c r="K37" s="1276" t="s">
        <v>249</v>
      </c>
      <c r="L37" s="1324">
        <f>('R-Resumo Bal. Massa'!F59+'R-Resumo Bal. Massa'!G59)*312*D48/D8</f>
        <v>62.488371219382891</v>
      </c>
      <c r="M37" s="139"/>
      <c r="N37" s="1313" t="s">
        <v>821</v>
      </c>
      <c r="O37" s="1276" t="s">
        <v>249</v>
      </c>
      <c r="P37" s="1324">
        <f>'R-Resumo Bal. Massa'!E59*312*D48/D8</f>
        <v>0</v>
      </c>
      <c r="Q37" s="133"/>
      <c r="R37" s="805"/>
      <c r="S37" s="806"/>
      <c r="T37" s="806"/>
      <c r="U37" s="806"/>
      <c r="V37" s="806"/>
      <c r="W37" s="806"/>
      <c r="X37" s="806"/>
      <c r="Y37" s="806"/>
      <c r="Z37" s="1385"/>
    </row>
    <row r="38" spans="1:26" ht="17.649999999999999" customHeight="1" outlineLevel="1" x14ac:dyDescent="0.25">
      <c r="A38" s="40"/>
      <c r="B38" s="1313" t="s">
        <v>245</v>
      </c>
      <c r="C38" s="1276" t="s">
        <v>21</v>
      </c>
      <c r="D38" s="1324">
        <f>'R-Entrada'!E14</f>
        <v>73.8</v>
      </c>
      <c r="E38" s="139"/>
      <c r="F38" s="1313" t="s">
        <v>801</v>
      </c>
      <c r="G38" s="1276" t="s">
        <v>249</v>
      </c>
      <c r="H38" s="1324">
        <f>L49</f>
        <v>0</v>
      </c>
      <c r="I38" s="139"/>
      <c r="J38" s="1313" t="s">
        <v>808</v>
      </c>
      <c r="K38" s="1276" t="s">
        <v>249</v>
      </c>
      <c r="L38" s="1324">
        <f>('R-Resumo Bal. Massa'!F60+'R-Resumo Bal. Massa'!G60)*312*D48/D8</f>
        <v>32.29736040552374</v>
      </c>
      <c r="M38" s="139"/>
      <c r="N38" s="1313" t="s">
        <v>822</v>
      </c>
      <c r="O38" s="1276" t="s">
        <v>249</v>
      </c>
      <c r="P38" s="1324">
        <f>'R-Resumo Bal. Massa'!E60*312*D48/D8</f>
        <v>0</v>
      </c>
      <c r="Q38" s="133"/>
      <c r="R38" s="805"/>
      <c r="S38" s="806"/>
      <c r="T38" s="806"/>
      <c r="U38" s="806"/>
      <c r="V38" s="806"/>
      <c r="W38" s="806"/>
      <c r="X38" s="806"/>
      <c r="Y38" s="806"/>
      <c r="Z38" s="1385"/>
    </row>
    <row r="39" spans="1:26" ht="17.649999999999999" customHeight="1" outlineLevel="1" x14ac:dyDescent="0.25">
      <c r="A39" s="40"/>
      <c r="B39" s="1313" t="s">
        <v>263</v>
      </c>
      <c r="C39" s="1276" t="s">
        <v>264</v>
      </c>
      <c r="D39" s="1324">
        <f>D40/12</f>
        <v>1918.8</v>
      </c>
      <c r="E39" s="139"/>
      <c r="F39" s="1313" t="s">
        <v>802</v>
      </c>
      <c r="G39" s="1276" t="s">
        <v>249</v>
      </c>
      <c r="H39" s="1324">
        <f>L44+L45</f>
        <v>0</v>
      </c>
      <c r="I39" s="139"/>
      <c r="J39" s="1313" t="s">
        <v>809</v>
      </c>
      <c r="K39" s="1276" t="s">
        <v>249</v>
      </c>
      <c r="L39" s="1324">
        <f>('R-Resumo Bal. Massa'!F61+'R-Resumo Bal. Massa'!G61)*312*D48/D8</f>
        <v>16.850796733316727</v>
      </c>
      <c r="M39" s="139"/>
      <c r="N39" s="1313" t="s">
        <v>823</v>
      </c>
      <c r="O39" s="1276" t="s">
        <v>249</v>
      </c>
      <c r="P39" s="1324">
        <f>'R-Resumo Bal. Massa'!E61*312*D48/D8</f>
        <v>0</v>
      </c>
      <c r="Q39" s="133"/>
      <c r="R39" s="805"/>
      <c r="S39" s="806"/>
      <c r="T39" s="806"/>
      <c r="U39" s="806"/>
      <c r="V39" s="806"/>
      <c r="W39" s="806"/>
      <c r="X39" s="806"/>
      <c r="Y39" s="806"/>
      <c r="Z39" s="1385"/>
    </row>
    <row r="40" spans="1:26" ht="17.649999999999999" customHeight="1" outlineLevel="1" x14ac:dyDescent="0.25">
      <c r="A40" s="40"/>
      <c r="B40" s="1313" t="s">
        <v>248</v>
      </c>
      <c r="C40" s="1276" t="s">
        <v>249</v>
      </c>
      <c r="D40" s="1324">
        <f>D38*312</f>
        <v>23025.599999999999</v>
      </c>
      <c r="E40" s="139"/>
      <c r="F40" s="1313" t="s">
        <v>803</v>
      </c>
      <c r="G40" s="1276" t="s">
        <v>249</v>
      </c>
      <c r="H40" s="1324">
        <f>L46+L47</f>
        <v>0</v>
      </c>
      <c r="I40" s="139"/>
      <c r="J40" s="1313" t="s">
        <v>810</v>
      </c>
      <c r="K40" s="1276" t="s">
        <v>249</v>
      </c>
      <c r="L40" s="1324">
        <f>('R-Resumo Bal. Massa'!F63+'R-Resumo Bal. Massa'!G63)*312*D48/D8</f>
        <v>4.2126991833291818</v>
      </c>
      <c r="M40" s="139"/>
      <c r="N40" s="1313" t="s">
        <v>824</v>
      </c>
      <c r="O40" s="1276" t="s">
        <v>249</v>
      </c>
      <c r="P40" s="1324">
        <f>'R-Resumo Bal. Massa'!E63*312*D48/D8</f>
        <v>0</v>
      </c>
      <c r="Q40" s="133"/>
      <c r="R40" s="805"/>
      <c r="S40" s="806"/>
      <c r="T40" s="806"/>
      <c r="U40" s="806"/>
      <c r="V40" s="806"/>
      <c r="W40" s="806"/>
      <c r="X40" s="806"/>
      <c r="Y40" s="806"/>
      <c r="Z40" s="1385"/>
    </row>
    <row r="41" spans="1:26" ht="17.649999999999999" customHeight="1" outlineLevel="1" x14ac:dyDescent="0.25">
      <c r="A41" s="40"/>
      <c r="B41" s="1313" t="s">
        <v>529</v>
      </c>
      <c r="C41" s="1276" t="s">
        <v>249</v>
      </c>
      <c r="D41" s="1326" t="str">
        <f>IF('R-Resumo Bal. Massa'!D13&gt;0,'R-Resumo Bal. Massa'!D13*312,"0")</f>
        <v>0</v>
      </c>
      <c r="E41" s="139"/>
      <c r="F41" s="1313" t="s">
        <v>804</v>
      </c>
      <c r="G41" s="1276" t="s">
        <v>257</v>
      </c>
      <c r="H41" s="1324">
        <f>P42+P43+P44</f>
        <v>15108.391664372935</v>
      </c>
      <c r="I41" s="139"/>
      <c r="J41" s="1313" t="s">
        <v>811</v>
      </c>
      <c r="K41" s="1276" t="s">
        <v>249</v>
      </c>
      <c r="L41" s="1324">
        <f>('R-Resumo Bal. Massa'!F62+'R-Resumo Bal. Massa'!G62)*312*D48/D8</f>
        <v>16.14868020276187</v>
      </c>
      <c r="M41" s="139"/>
      <c r="N41" s="1313" t="s">
        <v>825</v>
      </c>
      <c r="O41" s="1276" t="s">
        <v>249</v>
      </c>
      <c r="P41" s="1324">
        <f>'R-Resumo Bal. Massa'!E62*312*D48/D8</f>
        <v>0</v>
      </c>
      <c r="Q41" s="133"/>
      <c r="R41" s="805"/>
      <c r="S41" s="806"/>
      <c r="T41" s="806"/>
      <c r="U41" s="806"/>
      <c r="V41" s="806"/>
      <c r="W41" s="806"/>
      <c r="X41" s="806"/>
      <c r="Y41" s="806"/>
      <c r="Z41" s="1385"/>
    </row>
    <row r="42" spans="1:26" ht="17.649999999999999" customHeight="1" outlineLevel="1" x14ac:dyDescent="0.25">
      <c r="A42" s="40"/>
      <c r="B42" s="1313" t="s">
        <v>530</v>
      </c>
      <c r="C42" s="1276" t="s">
        <v>249</v>
      </c>
      <c r="D42" s="1324" t="str">
        <f>IF('R-Resumo Bal. Massa'!D14&gt;0,'R-Resumo Bal. Massa'!D14*312,"0")</f>
        <v>0</v>
      </c>
      <c r="E42" s="139"/>
      <c r="F42" s="1313" t="s">
        <v>805</v>
      </c>
      <c r="G42" s="457" t="s">
        <v>258</v>
      </c>
      <c r="H42" s="1324">
        <f>P45+P46</f>
        <v>0</v>
      </c>
      <c r="I42" s="139"/>
      <c r="J42" s="1313" t="s">
        <v>812</v>
      </c>
      <c r="K42" s="1276" t="s">
        <v>249</v>
      </c>
      <c r="L42" s="1324">
        <f>('R-Resumo Bal. Massa'!J63)*312*D48/D8</f>
        <v>116.97314895700067</v>
      </c>
      <c r="M42" s="139"/>
      <c r="N42" s="1313" t="s">
        <v>830</v>
      </c>
      <c r="O42" s="1276" t="s">
        <v>257</v>
      </c>
      <c r="P42" s="1324">
        <f>IF('R-Definição'!J59&gt;0,'R-Resumo Bal. Massa'!I74*312/1000,0)*D48/D8</f>
        <v>0</v>
      </c>
      <c r="Q42" s="133"/>
      <c r="R42" s="805"/>
      <c r="S42" s="806"/>
      <c r="T42" s="806"/>
      <c r="U42" s="806"/>
      <c r="V42" s="806"/>
      <c r="W42" s="806"/>
      <c r="X42" s="806"/>
      <c r="Y42" s="806"/>
      <c r="Z42" s="1385"/>
    </row>
    <row r="43" spans="1:26" ht="17.649999999999999" customHeight="1" outlineLevel="1" x14ac:dyDescent="0.25">
      <c r="A43" s="40"/>
      <c r="B43" s="1313" t="s">
        <v>531</v>
      </c>
      <c r="C43" s="1276" t="s">
        <v>249</v>
      </c>
      <c r="D43" s="1324">
        <f>IF('R-Resumo Bal. Massa'!D15&gt;0,('R-Resumo Bal. Massa'!D15)*312,"0")</f>
        <v>23025.599999999995</v>
      </c>
      <c r="E43" s="139"/>
      <c r="F43" s="1313"/>
      <c r="G43" s="246"/>
      <c r="H43" s="1324"/>
      <c r="I43" s="139"/>
      <c r="J43" s="1313" t="s">
        <v>813</v>
      </c>
      <c r="K43" s="1276" t="s">
        <v>249</v>
      </c>
      <c r="L43" s="1324">
        <f>('R-Resumo Bal. Massa'!J62)*312*D48/D8</f>
        <v>448.39707100183591</v>
      </c>
      <c r="M43" s="139"/>
      <c r="N43" s="1313" t="s">
        <v>829</v>
      </c>
      <c r="O43" s="1276" t="s">
        <v>257</v>
      </c>
      <c r="P43" s="1324">
        <f>'R-Resumo Bal. Massa'!J74*312/1000*D48/D8</f>
        <v>15108.391664372935</v>
      </c>
      <c r="Q43" s="133"/>
      <c r="R43" s="805"/>
      <c r="S43" s="806"/>
      <c r="T43" s="806"/>
      <c r="U43" s="806"/>
      <c r="V43" s="806"/>
      <c r="W43" s="806"/>
      <c r="X43" s="806"/>
      <c r="Y43" s="806"/>
      <c r="Z43" s="1385"/>
    </row>
    <row r="44" spans="1:26" ht="17.649999999999999" customHeight="1" outlineLevel="1" x14ac:dyDescent="0.25">
      <c r="A44" s="40"/>
      <c r="B44" s="1313" t="s">
        <v>509</v>
      </c>
      <c r="C44" s="1276" t="s">
        <v>249</v>
      </c>
      <c r="D44" s="1324">
        <f>'R-Resumo Bal. Massa'!D53*312+IF(OR(D108&lt;0,D109&lt;0),D18,0)+(IF(OR(D111&lt;0,D112&lt;0),D19,0))</f>
        <v>4563.8034389999984</v>
      </c>
      <c r="E44" s="139"/>
      <c r="F44" s="1313"/>
      <c r="G44" s="1276"/>
      <c r="H44" s="1324"/>
      <c r="I44" s="139"/>
      <c r="J44" s="1313" t="s">
        <v>814</v>
      </c>
      <c r="K44" s="246" t="s">
        <v>249</v>
      </c>
      <c r="L44" s="1324">
        <f>IF('R-Definição'!I51&gt;0,('R-Definição'!I49-'R-Definição'!O53-'R-Definição'!O55)*'R-Definição'!L50/100*312,0)*D48/D8</f>
        <v>0</v>
      </c>
      <c r="M44" s="139"/>
      <c r="N44" s="1313" t="s">
        <v>828</v>
      </c>
      <c r="O44" s="1276" t="s">
        <v>257</v>
      </c>
      <c r="P44" s="1324">
        <f>'R-Resumo Bal. Massa'!K74*312/1000*D48/D8</f>
        <v>0</v>
      </c>
      <c r="Q44" s="133"/>
      <c r="R44" s="805"/>
      <c r="S44" s="806"/>
      <c r="T44" s="806"/>
      <c r="U44" s="806"/>
      <c r="V44" s="806"/>
      <c r="W44" s="806"/>
      <c r="X44" s="806"/>
      <c r="Y44" s="806"/>
      <c r="Z44" s="1385"/>
    </row>
    <row r="45" spans="1:26" ht="17.649999999999999" customHeight="1" outlineLevel="1" x14ac:dyDescent="0.25">
      <c r="A45" s="40"/>
      <c r="B45" s="1313" t="s">
        <v>665</v>
      </c>
      <c r="C45" s="1276" t="s">
        <v>194</v>
      </c>
      <c r="D45" s="1328">
        <f>(D40-D44)/D40</f>
        <v>0.80179437500000006</v>
      </c>
      <c r="E45" s="243"/>
      <c r="F45" s="1313"/>
      <c r="G45" s="1276"/>
      <c r="H45" s="1324"/>
      <c r="I45" s="243"/>
      <c r="J45" s="1313" t="s">
        <v>815</v>
      </c>
      <c r="K45" s="1276" t="s">
        <v>249</v>
      </c>
      <c r="L45" s="1324">
        <f>IF('R-Definição'!I52&gt;0,('R-Definição'!I49-'R-Definição'!O53-'R-Definição'!O55)*'R-Definição'!L50/100*312,0)*D48/D8</f>
        <v>0</v>
      </c>
      <c r="M45" s="243"/>
      <c r="N45" s="1313" t="s">
        <v>827</v>
      </c>
      <c r="O45" s="457" t="s">
        <v>258</v>
      </c>
      <c r="P45" s="1324">
        <f>IF('R-Definição'!J59&gt;0,'R-Resumo Bal. Massa'!I75*312,0)*D48/D8</f>
        <v>0</v>
      </c>
      <c r="Q45" s="133"/>
      <c r="R45" s="805"/>
      <c r="S45" s="806"/>
      <c r="T45" s="806"/>
      <c r="U45" s="806"/>
      <c r="V45" s="806"/>
      <c r="W45" s="806"/>
      <c r="X45" s="806"/>
      <c r="Y45" s="806"/>
      <c r="Z45" s="1385"/>
    </row>
    <row r="46" spans="1:26" ht="17.649999999999999" customHeight="1" outlineLevel="1" x14ac:dyDescent="0.25">
      <c r="A46" s="40"/>
      <c r="B46" s="1313" t="s">
        <v>510</v>
      </c>
      <c r="C46" s="239" t="s">
        <v>249</v>
      </c>
      <c r="D46" s="1314">
        <f>'R-Fluxo Massa'!AS49*312</f>
        <v>0</v>
      </c>
      <c r="E46" s="139"/>
      <c r="F46" s="1313"/>
      <c r="G46" s="1276"/>
      <c r="H46" s="1324"/>
      <c r="I46" s="243"/>
      <c r="J46" s="1313" t="s">
        <v>816</v>
      </c>
      <c r="K46" s="1276" t="s">
        <v>249</v>
      </c>
      <c r="L46" s="1324">
        <f>IF('R-Definição'!I51&gt;0,('R-Definição'!I49-'R-Definição'!O53-'R-Definição'!O55)*'R-Definição'!L49/100*312,0)*D48/D8</f>
        <v>0</v>
      </c>
      <c r="M46" s="243"/>
      <c r="N46" s="1313" t="s">
        <v>826</v>
      </c>
      <c r="O46" s="457" t="s">
        <v>258</v>
      </c>
      <c r="P46" s="1324">
        <f>'R-Resumo Bal. Massa'!K75*312*D48/D8</f>
        <v>0</v>
      </c>
      <c r="Q46" s="133"/>
      <c r="R46" s="805"/>
      <c r="S46" s="806"/>
      <c r="T46" s="806"/>
      <c r="U46" s="806"/>
      <c r="V46" s="806"/>
      <c r="W46" s="806"/>
      <c r="X46" s="806"/>
      <c r="Y46" s="806"/>
      <c r="Z46" s="1385"/>
    </row>
    <row r="47" spans="1:26" ht="17.649999999999999" customHeight="1" outlineLevel="1" x14ac:dyDescent="0.25">
      <c r="A47" s="40"/>
      <c r="B47" s="1313"/>
      <c r="C47" s="1276"/>
      <c r="D47" s="1324"/>
      <c r="E47" s="139"/>
      <c r="F47" s="1313"/>
      <c r="G47" s="1276"/>
      <c r="H47" s="1324"/>
      <c r="I47" s="243"/>
      <c r="J47" s="1313" t="s">
        <v>817</v>
      </c>
      <c r="K47" s="1276" t="s">
        <v>249</v>
      </c>
      <c r="L47" s="1324">
        <f>IF('R-Definição'!I52&gt;0,('R-Definição'!I49-'R-Definição'!O53-'R-Definição'!O55)*'R-Definição'!L49/100*312,0)*D48/D8</f>
        <v>0</v>
      </c>
      <c r="M47" s="243"/>
      <c r="N47" s="1313"/>
      <c r="O47" s="1276"/>
      <c r="P47" s="1324"/>
      <c r="Q47" s="133"/>
      <c r="R47" s="805"/>
      <c r="S47" s="806"/>
      <c r="T47" s="806"/>
      <c r="U47" s="806"/>
      <c r="V47" s="806"/>
      <c r="W47" s="806"/>
      <c r="X47" s="806"/>
      <c r="Y47" s="806"/>
      <c r="Z47" s="1385"/>
    </row>
    <row r="48" spans="1:26" ht="17.649999999999999" customHeight="1" outlineLevel="1" x14ac:dyDescent="0.25">
      <c r="A48" s="40"/>
      <c r="B48" s="1313" t="s">
        <v>1026</v>
      </c>
      <c r="C48" s="1276" t="s">
        <v>249</v>
      </c>
      <c r="D48" s="1540">
        <f>SUMIF('C-FCL Real'!$C$33:'C-FCL Real'!$BG$33,1,'C-FCL Real'!C35:'C-FCL Real'!BG35)/D32</f>
        <v>24964.143308617382</v>
      </c>
      <c r="E48" s="243"/>
      <c r="F48" s="1313"/>
      <c r="G48" s="1276"/>
      <c r="H48" s="1324"/>
      <c r="I48" s="243"/>
      <c r="J48" s="1313" t="s">
        <v>818</v>
      </c>
      <c r="K48" s="1276" t="s">
        <v>249</v>
      </c>
      <c r="L48" s="1324">
        <f>'R-Resumo Bal. Massa'!I66*312*D48/D8</f>
        <v>0</v>
      </c>
      <c r="M48" s="243"/>
      <c r="N48" s="1313"/>
      <c r="O48" s="1276"/>
      <c r="P48" s="1324"/>
      <c r="Q48" s="133"/>
      <c r="R48" s="805"/>
      <c r="S48" s="806"/>
      <c r="T48" s="806"/>
      <c r="U48" s="806"/>
      <c r="V48" s="806"/>
      <c r="W48" s="806"/>
      <c r="X48" s="806"/>
      <c r="Y48" s="806"/>
      <c r="Z48" s="1385"/>
    </row>
    <row r="49" spans="1:26" ht="17.649999999999999" customHeight="1" outlineLevel="1" thickBot="1" x14ac:dyDescent="0.3">
      <c r="A49" s="31"/>
      <c r="B49" s="1315"/>
      <c r="C49" s="1329"/>
      <c r="D49" s="1325"/>
      <c r="E49" s="139"/>
      <c r="F49" s="1315"/>
      <c r="G49" s="1329"/>
      <c r="H49" s="1325"/>
      <c r="I49" s="139"/>
      <c r="J49" s="1315" t="s">
        <v>819</v>
      </c>
      <c r="K49" s="1329" t="s">
        <v>249</v>
      </c>
      <c r="L49" s="1325">
        <f>'R-Resumo Bal. Massa'!I67*312*D48/D8</f>
        <v>0</v>
      </c>
      <c r="M49" s="139"/>
      <c r="N49" s="1315"/>
      <c r="O49" s="1329"/>
      <c r="P49" s="1325"/>
      <c r="Q49" s="133"/>
      <c r="R49" s="805"/>
      <c r="S49" s="806"/>
      <c r="T49" s="806"/>
      <c r="U49" s="806"/>
      <c r="V49" s="806"/>
      <c r="W49" s="806"/>
      <c r="X49" s="806"/>
      <c r="Y49" s="806"/>
      <c r="Z49" s="1385"/>
    </row>
    <row r="50" spans="1:26" ht="10.15" customHeight="1" thickTop="1" thickBot="1" x14ac:dyDescent="0.3">
      <c r="A50" s="31"/>
      <c r="B50" s="136"/>
      <c r="C50" s="236"/>
      <c r="D50" s="236"/>
      <c r="E50" s="133"/>
      <c r="F50" s="136"/>
      <c r="G50" s="236" t="s">
        <v>6</v>
      </c>
      <c r="H50" s="236" t="s">
        <v>7</v>
      </c>
      <c r="I50" s="133"/>
      <c r="J50" s="133"/>
      <c r="K50" s="98"/>
      <c r="L50" s="133"/>
      <c r="M50" s="133"/>
      <c r="N50" s="133"/>
      <c r="O50" s="133"/>
      <c r="P50" s="133"/>
      <c r="Q50" s="133"/>
      <c r="R50" s="805"/>
      <c r="S50" s="806"/>
      <c r="T50" s="806"/>
      <c r="U50" s="806"/>
      <c r="V50" s="806"/>
      <c r="W50" s="806"/>
      <c r="X50" s="806"/>
      <c r="Y50" s="806"/>
      <c r="Z50" s="1385"/>
    </row>
    <row r="51" spans="1:26" s="691" customFormat="1" ht="30.4" customHeight="1" thickTop="1" x14ac:dyDescent="0.25">
      <c r="A51" s="688"/>
      <c r="B51" s="1319" t="s">
        <v>549</v>
      </c>
      <c r="C51" s="1357" t="s">
        <v>239</v>
      </c>
      <c r="D51" s="1321" t="s">
        <v>240</v>
      </c>
      <c r="E51" s="689"/>
      <c r="F51" s="1316" t="s">
        <v>545</v>
      </c>
      <c r="G51" s="1349" t="s">
        <v>265</v>
      </c>
      <c r="H51" s="1282" t="s">
        <v>266</v>
      </c>
      <c r="I51" s="690"/>
      <c r="J51" s="1316" t="s">
        <v>545</v>
      </c>
      <c r="K51" s="1317" t="s">
        <v>267</v>
      </c>
      <c r="L51" s="1282" t="s">
        <v>268</v>
      </c>
      <c r="M51" s="690"/>
      <c r="N51" s="1316" t="s">
        <v>545</v>
      </c>
      <c r="O51" s="1317" t="s">
        <v>269</v>
      </c>
      <c r="P51" s="1282" t="s">
        <v>270</v>
      </c>
      <c r="Q51" s="688"/>
      <c r="R51" s="814"/>
      <c r="S51" s="815"/>
      <c r="T51" s="815"/>
      <c r="U51" s="815"/>
      <c r="V51" s="815"/>
      <c r="W51" s="815"/>
      <c r="X51" s="815"/>
      <c r="Y51" s="815"/>
      <c r="Z51" s="1387"/>
    </row>
    <row r="52" spans="1:26" ht="17.649999999999999" customHeight="1" outlineLevel="1" x14ac:dyDescent="0.25">
      <c r="A52" s="40"/>
      <c r="B52" s="1313" t="s">
        <v>532</v>
      </c>
      <c r="C52" s="1276" t="s">
        <v>271</v>
      </c>
      <c r="D52" s="1358">
        <v>6</v>
      </c>
      <c r="E52" s="133"/>
      <c r="F52" s="899" t="s">
        <v>540</v>
      </c>
      <c r="G52" s="899" t="str">
        <f>'C-Triagem Man'!L2</f>
        <v>Não</v>
      </c>
      <c r="H52" s="899">
        <f>IF('C-Triagem Man'!D2&gt;0,'C-Triagem Man'!H2,0)</f>
        <v>0</v>
      </c>
      <c r="I52" s="609"/>
      <c r="J52" s="899" t="s">
        <v>540</v>
      </c>
      <c r="K52" s="1409">
        <f>IF('C-Triagem Man'!$E$7="SIM",'C-Triagem Man'!$E$19,IF('C-Triagem Man'!$I$7="SIM",'C-Triagem Man'!$I$19,IF('C-Triagem Man'!$M$7="SIM",'C-Triagem Man'!$M$19,IF('C-Triagem Man'!$Q$7="SIM",'C-Triagem Man'!$Q$19,IF('C-Triagem Man'!$U$7="SIM",'C-Triagem Man'!$U$19,0)))))</f>
        <v>0</v>
      </c>
      <c r="L52" s="899">
        <f>IF('C-Triagem Man'!$E$7="SIM",'C-Triagem Man'!$E$20,IF('C-Triagem Man'!$I$7="SIM",'C-Triagem Man'!$I$20,IF('C-Triagem Man'!$M$7="SIM",'C-Triagem Man'!$M$20,IF('C-Triagem Man'!$Q$7="SIM",'C-Triagem Man'!$Q$20,IF('C-Triagem Man'!$U$7="SIM",'C-Triagem Man'!$U$20,0)))))</f>
        <v>0</v>
      </c>
      <c r="M52" s="133"/>
      <c r="N52" s="899" t="s">
        <v>540</v>
      </c>
      <c r="O52" s="1409">
        <f>IF('C-Triagem Man'!$E$7="SIM",'C-Triagem Man'!$E$43,IF('C-Triagem Man'!$I$7="SIM",'C-Triagem Man'!$I$43,IF('C-Triagem Man'!$M$7="SIM",'C-Triagem Man'!$M$43,IF('C-Triagem Man'!$Q$7="SIM",'C-Triagem Man'!$Q$43,IF('C-Triagem Man'!$U$7="SIM",'C-Triagem Man'!$U$43,0)))))</f>
        <v>0</v>
      </c>
      <c r="P52" s="899">
        <f>IF('C-Triagem Man'!$E$7="SIM",'C-Triagem Man'!$E$42,IF('C-Triagem Man'!$I$7="SIM",'C-Triagem Man'!$I$42,IF('C-Triagem Man'!$M$7="SIM",'C-Triagem Man'!$M$42,IF('C-Triagem Man'!$Q$7="SIM",'C-Triagem Man'!$Q$42,IF('C-Triagem Man'!$U$7="SIM",'C-Triagem Man'!$U$42,0)))))</f>
        <v>0</v>
      </c>
      <c r="Q52" s="133"/>
      <c r="R52" s="805"/>
      <c r="S52" s="806"/>
      <c r="T52" s="806"/>
      <c r="U52" s="806"/>
      <c r="V52" s="806"/>
      <c r="W52" s="806"/>
      <c r="X52" s="806"/>
      <c r="Y52" s="806"/>
      <c r="Z52" s="1385"/>
    </row>
    <row r="53" spans="1:26" ht="17.649999999999999" customHeight="1" outlineLevel="1" x14ac:dyDescent="0.25">
      <c r="A53" s="40"/>
      <c r="B53" s="1298" t="s">
        <v>533</v>
      </c>
      <c r="C53" s="457" t="s">
        <v>272</v>
      </c>
      <c r="D53" s="1359">
        <v>5.5</v>
      </c>
      <c r="E53" s="133"/>
      <c r="F53" s="1260" t="s">
        <v>541</v>
      </c>
      <c r="G53" s="248">
        <v>1</v>
      </c>
      <c r="H53" s="1350">
        <v>0</v>
      </c>
      <c r="I53" s="609"/>
      <c r="J53" s="1313"/>
      <c r="K53" s="210" t="s">
        <v>273</v>
      </c>
      <c r="L53" s="1341">
        <f>IF(K52&gt;0,K52*1000000/$D$40,0)</f>
        <v>0</v>
      </c>
      <c r="M53" s="133"/>
      <c r="N53" s="1313" t="s">
        <v>274</v>
      </c>
      <c r="O53" s="253">
        <f>IF(H52&gt;0,((P36*D101)+(P37*D102)+(P38*D103)+(P39*D104)+(P40*D106)+(P41*D105))/$D$40,0)</f>
        <v>0</v>
      </c>
      <c r="P53" s="1299">
        <f>IF(O52&gt;0,O52*1000000/$D$40,0)</f>
        <v>0</v>
      </c>
      <c r="Q53" s="133"/>
      <c r="R53" s="805"/>
      <c r="S53" s="806"/>
      <c r="T53" s="806"/>
      <c r="U53" s="806"/>
      <c r="V53" s="806"/>
      <c r="W53" s="806"/>
      <c r="X53" s="806"/>
      <c r="Y53" s="806"/>
      <c r="Z53" s="1385"/>
    </row>
    <row r="54" spans="1:26" ht="17.649999999999999" customHeight="1" outlineLevel="1" x14ac:dyDescent="0.25">
      <c r="A54" s="40"/>
      <c r="B54" s="1313" t="s">
        <v>869</v>
      </c>
      <c r="C54" s="1276" t="s">
        <v>194</v>
      </c>
      <c r="D54" s="1323">
        <v>0.4</v>
      </c>
      <c r="E54" s="133"/>
      <c r="F54" s="1313" t="s">
        <v>542</v>
      </c>
      <c r="G54" s="239" t="str">
        <f>IF('C-Triagem Man'!$E$7="SIM",'C-Triagem Man'!$D$17,IF('C-Triagem Man'!$I$7="SIM",'C-Triagem Man'!$H$17,IF('C-Triagem Man'!$M$7="SIM",'C-Triagem Man'!$L$17,IF('C-Triagem Man'!$Q$7="SIM",'C-Triagem Man'!$P$17,IF('C-Triagem Man'!$U$7="SIM",'C-Triagem Man'!$T$17,"0")))))</f>
        <v>0</v>
      </c>
      <c r="H54" s="1351"/>
      <c r="I54" s="609"/>
      <c r="J54" s="1342" t="s">
        <v>275</v>
      </c>
      <c r="K54" s="246" t="str">
        <f>IF('C-Triagem Man'!$E$7="SIM",'C-Triagem Man'!$E$23,IF('C-Triagem Man'!$I$7="SIM",'C-Triagem Man'!$I$23,IF('C-Triagem Man'!$M$7="SIM",'C-Triagem Man'!$M$23,IF('C-Triagem Man'!$Q$7="SIM",'C-Triagem Man'!$Q$23,IF('C-Triagem Man'!$U$7="SIM",'C-Triagem Man'!$U$23,"0")))))</f>
        <v>0</v>
      </c>
      <c r="L54" s="1343"/>
      <c r="M54" s="133"/>
      <c r="N54" s="1313" t="s">
        <v>276</v>
      </c>
      <c r="O54" s="253">
        <f>IF('C-Triagem Man'!$E$7="SIM",'C-Triagem Man'!$E$44,IF('C-Triagem Man'!$I$7="SIM",'C-Triagem Man'!$I$44,IF('C-Triagem Man'!$M$7="SIM",'C-Triagem Man'!$M$44,IF('C-Triagem Man'!$Q$7="SIM",'C-Triagem Man'!$Q$44,IF('C-Triagem Man'!$U$7="SIM",'C-Triagem Man'!$U$44,0)))))</f>
        <v>0</v>
      </c>
      <c r="P54" s="1318">
        <f>IF('C-Triagem Man'!$E$7="SIM",'C-Triagem Man'!$E$45,IF('C-Triagem Man'!$I$7="SIM",'C-Triagem Man'!$I$45,IF('C-Triagem Man'!$M$7="SIM",'C-Triagem Man'!$M$45,IF('C-Triagem Man'!$Q$7="SIM",'C-Triagem Man'!$Q$45,IF('C-Triagem Man'!$U$7="SIM",'C-Triagem Man'!$U$45,0)))))</f>
        <v>0</v>
      </c>
      <c r="Q54" s="133"/>
      <c r="R54" s="805"/>
      <c r="S54" s="806"/>
      <c r="T54" s="806"/>
      <c r="U54" s="806"/>
      <c r="V54" s="806"/>
      <c r="W54" s="806"/>
      <c r="X54" s="806"/>
      <c r="Y54" s="806"/>
      <c r="Z54" s="1385"/>
    </row>
    <row r="55" spans="1:26" ht="17.649999999999999" customHeight="1" outlineLevel="1" x14ac:dyDescent="0.25">
      <c r="A55" s="41"/>
      <c r="B55" s="1313" t="s">
        <v>534</v>
      </c>
      <c r="C55" s="1276" t="s">
        <v>705</v>
      </c>
      <c r="D55" s="1358">
        <v>0</v>
      </c>
      <c r="E55" s="133"/>
      <c r="F55" s="899" t="s">
        <v>277</v>
      </c>
      <c r="G55" s="899" t="str">
        <f>'C-Triagem Mec'!L2</f>
        <v>Sim</v>
      </c>
      <c r="H55" s="899">
        <f>IF('C-Triagem Mec'!D2&gt;0,'C-Triagem Mec'!H2,0)</f>
        <v>2887.4249999999993</v>
      </c>
      <c r="I55" s="609"/>
      <c r="J55" s="899" t="s">
        <v>277</v>
      </c>
      <c r="K55" s="1409">
        <f>IF('C-Triagem Mec'!$E$7="SIM",'C-Triagem Mec'!$E$19,IF('C-Triagem Mec'!$I$7="SIM",'C-Triagem Mec'!$I$19,IF('C-Triagem Mec'!$M$7="SIM",'C-Triagem Mec'!$M$19,IF('C-Triagem Mec'!$Q$7="SIM",'C-Triagem Mec'!$Q$19,IF('C-Triagem Mec'!$U$7="SIM",'C-Triagem Mec'!$U$19,0)))))</f>
        <v>35.377902032176173</v>
      </c>
      <c r="L55" s="899">
        <f>IF('C-Triagem Mec'!$E$7="SIM",'C-Triagem Mec'!$E$20,IF('C-Triagem Mec'!$I$7="SIM",'C-Triagem Mec'!$I$20,IF('C-Triagem Mec'!$M$7="SIM",'C-Triagem Mec'!$M$20,IF('C-Triagem Mec'!$Q$7="SIM",'C-Triagem Mec'!$Q$20,IF('C-Triagem Mec'!$U$7="SIM",'C-Triagem Mec'!$U$20,0)))))</f>
        <v>12252.405528169973</v>
      </c>
      <c r="M55" s="133"/>
      <c r="N55" s="899" t="s">
        <v>277</v>
      </c>
      <c r="O55" s="1409">
        <f>IF('C-Triagem Mec'!$E$7="SIM",'C-Triagem Mec'!$E$43,IF('C-Triagem Mec'!$I$7="SIM",'C-Triagem Mec'!$I$43,IF('C-Triagem Mec'!$M$7="SIM",'C-Triagem Mec'!$M$43,IF('C-Triagem Mec'!$Q$7="SIM",'C-Triagem Mec'!$Q$43,IF('C-Triagem Mec'!$U$7="SIM",'C-Triagem Mec'!$U$43,0)))))</f>
        <v>7.3722747804248074</v>
      </c>
      <c r="P55" s="899">
        <f>IF('C-Triagem Mec'!$E$7="SIM",'C-Triagem Mec'!$E$42,IF('C-Triagem Mec'!$I$7="SIM",'C-Triagem Mec'!$I$42,IF('C-Triagem Mec'!$M$7="SIM",'C-Triagem Mec'!$M$42,IF('C-Triagem Mec'!$Q$7="SIM",'C-Triagem Mec'!$Q$42,IF('C-Triagem Mec'!$U$7="SIM",'C-Triagem Mec'!$U$42,0)))))</f>
        <v>2553.2350729195769</v>
      </c>
      <c r="Q55" s="133"/>
      <c r="R55" s="805"/>
      <c r="S55" s="806"/>
      <c r="T55" s="806"/>
      <c r="U55" s="806"/>
      <c r="V55" s="806"/>
      <c r="W55" s="806"/>
      <c r="X55" s="806"/>
      <c r="Y55" s="806"/>
      <c r="Z55" s="1385"/>
    </row>
    <row r="56" spans="1:26" ht="17.649999999999999" customHeight="1" outlineLevel="1" x14ac:dyDescent="0.25">
      <c r="A56" s="40"/>
      <c r="B56" s="1313" t="s">
        <v>535</v>
      </c>
      <c r="C56" s="1276" t="s">
        <v>705</v>
      </c>
      <c r="D56" s="1358">
        <v>25</v>
      </c>
      <c r="E56" s="133"/>
      <c r="F56" s="1260" t="s">
        <v>541</v>
      </c>
      <c r="G56" s="248">
        <v>0.25</v>
      </c>
      <c r="H56" s="1350">
        <v>0</v>
      </c>
      <c r="I56" s="609"/>
      <c r="J56" s="1313"/>
      <c r="K56" s="210" t="s">
        <v>273</v>
      </c>
      <c r="L56" s="1341">
        <f>IF(K55&gt;0,K55*1000000/$D$40,0)</f>
        <v>1536.4595073386222</v>
      </c>
      <c r="M56" s="133"/>
      <c r="N56" s="1313" t="s">
        <v>274</v>
      </c>
      <c r="O56" s="253">
        <f>IF(AND(H55&gt;0,D98="Não"),((L36*D101)+(L37*D102)+(L38*D103)+(L39*D104)+(L40*D106)+(L41*D105))/$D$40,((L36*D101)+(L37*D102)+(L38*D103)+(L39*D104)+(L40*D106)+(L41*D105))/$D$40*(1-D99))</f>
        <v>0</v>
      </c>
      <c r="P56" s="1299">
        <f>IF(O55&gt;0,O55*1000000/$D$40,0)</f>
        <v>320.17731483326418</v>
      </c>
      <c r="Q56" s="133"/>
      <c r="R56" s="805"/>
      <c r="S56" s="806"/>
      <c r="T56" s="806"/>
      <c r="U56" s="806"/>
      <c r="V56" s="806"/>
      <c r="W56" s="806"/>
      <c r="X56" s="806"/>
      <c r="Y56" s="806"/>
      <c r="Z56" s="1385"/>
    </row>
    <row r="57" spans="1:26" ht="17.649999999999999" customHeight="1" outlineLevel="1" x14ac:dyDescent="0.25">
      <c r="A57" s="41"/>
      <c r="B57" s="1313" t="s">
        <v>536</v>
      </c>
      <c r="C57" s="1276" t="s">
        <v>705</v>
      </c>
      <c r="D57" s="1358">
        <v>500</v>
      </c>
      <c r="E57" s="133"/>
      <c r="F57" s="1313" t="s">
        <v>542</v>
      </c>
      <c r="G57" s="239">
        <f>IF('C-Triagem Mec'!$E$7="SIM",'C-Triagem Mec'!$D$17,IF('C-Triagem Mec'!$I$7="SIM",'C-Triagem Mec'!$H$17,IF('C-Triagem Mec'!$M$7="SIM",'C-Triagem Mec'!$L$17,IF('C-Triagem Mec'!$Q$7="SIM",'C-Triagem Mec'!$P$17,IF('C-Triagem Mec'!$U$7="SIM",'C-Triagem Mec'!$T$17,"0")))))</f>
        <v>12134.725575051662</v>
      </c>
      <c r="H57" s="1352"/>
      <c r="I57" s="609"/>
      <c r="J57" s="1342" t="s">
        <v>275</v>
      </c>
      <c r="K57" s="246">
        <f>IF('C-Triagem Mec'!$E$7="SIM",'C-Triagem Mec'!$E$23,IF('C-Triagem Mec'!$I$7="SIM",'C-Triagem Mec'!$I$23,IF('C-Triagem Mec'!$M$7="SIM",'C-Triagem Mec'!$M$23,IF('C-Triagem Mec'!$Q$7="SIM",'C-Triagem Mec'!$Q$23,IF('C-Triagem Mec'!$U$7="SIM",'C-Triagem Mec'!$U$23,"0")))))</f>
        <v>0.63980738606872278</v>
      </c>
      <c r="L57" s="1343"/>
      <c r="M57" s="133"/>
      <c r="N57" s="1313" t="s">
        <v>276</v>
      </c>
      <c r="O57" s="253">
        <f>IF('C-Triagem Mec'!$E$7="SIM",'C-Triagem Mec'!$E$44,IF('C-Triagem Mec'!$I$7="SIM",'C-Triagem Mec'!$I$44,IF('C-Triagem Mec'!$M$7="SIM",'C-Triagem Mec'!$M$44,IF('C-Triagem Mec'!$Q$7="SIM",'C-Triagem Mec'!$Q$44,IF('C-Triagem Mec'!$U$7="SIM",'C-Triagem Mec'!$U$44,0)))))</f>
        <v>2.7311999999999999</v>
      </c>
      <c r="P57" s="1318">
        <f>IF('C-Triagem Mec'!$E$7="SIM",'C-Triagem Mec'!$E$45,IF('C-Triagem Mec'!$I$7="SIM",'C-Triagem Mec'!$I$45,IF('C-Triagem Mec'!$M$7="SIM",'C-Triagem Mec'!$M$45,IF('C-Triagem Mec'!$Q$7="SIM",'C-Triagem Mec'!$Q$45,IF('C-Triagem Mec'!$U$7="SIM",'C-Triagem Mec'!$U$45,0)))))</f>
        <v>1607.3403743559775</v>
      </c>
      <c r="Q57" s="133"/>
      <c r="R57" s="805"/>
      <c r="S57" s="806"/>
      <c r="T57" s="806"/>
      <c r="U57" s="806"/>
      <c r="V57" s="806"/>
      <c r="W57" s="806"/>
      <c r="X57" s="806"/>
      <c r="Y57" s="806"/>
      <c r="Z57" s="1385"/>
    </row>
    <row r="58" spans="1:26" ht="17.649999999999999" customHeight="1" outlineLevel="1" x14ac:dyDescent="0.25">
      <c r="A58" s="40"/>
      <c r="B58" s="1313" t="s">
        <v>1020</v>
      </c>
      <c r="C58" s="1276" t="s">
        <v>194</v>
      </c>
      <c r="D58" s="1323">
        <v>0.65</v>
      </c>
      <c r="E58" s="133"/>
      <c r="F58" s="899" t="s">
        <v>543</v>
      </c>
      <c r="G58" s="899" t="str">
        <f>'C-Produção CDR-TM'!L2</f>
        <v>Não</v>
      </c>
      <c r="H58" s="899">
        <f>IF('C-Produção CDR-TM'!D2&gt;0,'C-Produção CDR-TM'!H2,0)</f>
        <v>0</v>
      </c>
      <c r="I58" s="609"/>
      <c r="J58" s="899" t="s">
        <v>543</v>
      </c>
      <c r="K58" s="1409">
        <f>IF('C-Produção CDR-TM'!$E$7="SIM",'C-Produção CDR-TM'!$E$19,IF('C-Produção CDR-TM'!$I$7="SIM",'C-Produção CDR-TM'!$I$19,IF('C-Produção CDR-TM'!$M$7="SIM",'C-Produção CDR-TM'!$M$19,IF('C-Produção CDR-TM'!$Q$7="SIM",'C-Produção CDR-TM'!$Q$19,IF('C-Produção CDR-TM'!$U$7="SIM",'C-Produção CDR-TM'!$U$19,0)))))</f>
        <v>0</v>
      </c>
      <c r="L58" s="899">
        <f>IF('C-Produção CDR-TM'!$E$7="SIM",'C-Produção CDR-TM'!$E$20,IF('C-Produção CDR-TM'!$I$7="SIM",'C-Produção CDR-TM'!$I$20,IF('C-Produção CDR-TM'!$M$7="SIM",'C-Produção CDR-TM'!$M$20,IF('C-Produção CDR-TM'!$Q$7="SIM",'C-Produção CDR-TM'!$Q$20,IF('C-Produção CDR-TM'!$U$7="SIM",'C-Produção CDR-TM'!$U$20,0)))))</f>
        <v>0</v>
      </c>
      <c r="M58" s="133"/>
      <c r="N58" s="899" t="s">
        <v>543</v>
      </c>
      <c r="O58" s="1409">
        <f>IF('C-Produção CDR-TM'!$E$7="SIM",'C-Produção CDR-TM'!$E$43,IF('C-Produção CDR-TM'!$I$7="SIM",'C-Produção CDR-TM'!$I$43,IF('C-Produção CDR-TM'!$M$7="SIM",'C-Produção CDR-TM'!$M$43,IF('C-Produção CDR-TM'!$Q$7="SIM",'C-Produção CDR-TM'!$Q$43,IF('C-Produção CDR-TM'!$U$7="SIM",'C-Produção CDR-TM'!$U$43,0)))))</f>
        <v>0</v>
      </c>
      <c r="P58" s="899">
        <f>IF('C-Produção CDR-TM'!$E$7="SIM",'C-Produção CDR-TM'!$E$42,IF('C-Produção CDR-TM'!$I$7="SIM",'C-Produção CDR-TM'!$I$42,IF('C-Produção CDR-TM'!$M$7="SIM",'C-Produção CDR-TM'!$M$42,IF('C-Produção CDR-TM'!$Q$7="SIM",'C-Produção CDR-TM'!$Q$42,IF('C-Produção CDR-TM'!$U$7="SIM",'C-Produção CDR-TM'!$U$42,0)))))</f>
        <v>0</v>
      </c>
      <c r="Q58" s="133"/>
      <c r="R58" s="805"/>
      <c r="S58" s="806"/>
      <c r="T58" s="806"/>
      <c r="U58" s="806"/>
      <c r="V58" s="806"/>
      <c r="W58" s="806"/>
      <c r="X58" s="806"/>
      <c r="Y58" s="806"/>
      <c r="Z58" s="1385"/>
    </row>
    <row r="59" spans="1:26" ht="17.649999999999999" customHeight="1" outlineLevel="1" x14ac:dyDescent="0.25">
      <c r="A59" s="41"/>
      <c r="B59" s="1313" t="s">
        <v>537</v>
      </c>
      <c r="C59" s="457" t="s">
        <v>278</v>
      </c>
      <c r="D59" s="1358">
        <v>5000</v>
      </c>
      <c r="E59" s="133"/>
      <c r="F59" s="1260" t="s">
        <v>541</v>
      </c>
      <c r="G59" s="248">
        <v>0.25</v>
      </c>
      <c r="H59" s="1350">
        <v>0</v>
      </c>
      <c r="I59" s="609"/>
      <c r="J59" s="1313"/>
      <c r="K59" s="210" t="s">
        <v>273</v>
      </c>
      <c r="L59" s="1341">
        <f>IF(K58&gt;0,K58*1000000/$D$40,0)</f>
        <v>0</v>
      </c>
      <c r="M59" s="133"/>
      <c r="N59" s="1313" t="s">
        <v>274</v>
      </c>
      <c r="O59" s="253">
        <f>IF(H58&gt;0,((L44*D112)+(L46*D111))/$D$40,0)</f>
        <v>0</v>
      </c>
      <c r="P59" s="1297">
        <f>IF(O58&gt;0,O58*1000000/$D$40,0)</f>
        <v>0</v>
      </c>
      <c r="Q59" s="133"/>
      <c r="R59" s="805"/>
      <c r="S59" s="806"/>
      <c r="T59" s="806"/>
      <c r="U59" s="806"/>
      <c r="V59" s="806"/>
      <c r="W59" s="806"/>
      <c r="X59" s="806"/>
      <c r="Y59" s="806"/>
      <c r="Z59" s="1385"/>
    </row>
    <row r="60" spans="1:26" ht="17.649999999999999" customHeight="1" outlineLevel="1" x14ac:dyDescent="0.25">
      <c r="A60" s="40"/>
      <c r="B60" s="1313" t="s">
        <v>538</v>
      </c>
      <c r="C60" s="1276" t="s">
        <v>705</v>
      </c>
      <c r="D60" s="1358">
        <v>1500</v>
      </c>
      <c r="E60" s="133"/>
      <c r="F60" s="1313" t="s">
        <v>542</v>
      </c>
      <c r="G60" s="239" t="str">
        <f>IF('C-Produção CDR-TM'!$E$7="SIM",'C-Produção CDR-TM'!$D$17,IF('C-Produção CDR-TM'!$I$7="SIM",'C-Produção CDR-TM'!$H$17,IF('C-Produção CDR-TM'!$M$7="SIM",'C-Produção CDR-TM'!$L$17,IF('C-Produção CDR-TM'!$Q$7="SIM",'C-Produção CDR-TM'!$P$17,IF('C-Produção CDR-TM'!$U$7="SIM",'C-Produção CDR-TM'!$T$17,"0")))))</f>
        <v>0</v>
      </c>
      <c r="H60" s="1351"/>
      <c r="I60" s="609"/>
      <c r="J60" s="1342" t="s">
        <v>275</v>
      </c>
      <c r="K60" s="246" t="str">
        <f>IF('C-Produção CDR-TM'!$E$7="SIM",'C-Produção CDR-TM'!$E$23,IF('C-Produção CDR-TM'!$I$7="SIM",'C-Produção CDR-TM'!$I$23,IF('C-Produção CDR-TM'!$M$7="SIM",'C-Produção CDR-TM'!$M$23,IF('C-Produção CDR-TM'!$Q$7="SIM",'C-Produção CDR-TM'!$Q$23,IF('C-Produção CDR-TM'!$U$7="SIM",'C-Produção CDR-TM'!$U$23,"0")))))</f>
        <v>0</v>
      </c>
      <c r="L60" s="1343"/>
      <c r="M60" s="133"/>
      <c r="N60" s="1313" t="s">
        <v>276</v>
      </c>
      <c r="O60" s="253">
        <f>IF('C-Produção CDR-TM'!$E$7="SIM",'C-Produção CDR-TM'!$E$44,IF('C-Produção CDR-TM'!$I$7="SIM",'C-Produção CDR-TM'!$I$44,IF('C-Produção CDR-TM'!$M$7="SIM",'C-Produção CDR-TM'!$M$44,IF('C-Produção CDR-TM'!$Q$7="SIM",'C-Produção CDR-TM'!$Q$44,IF('C-Produção CDR-TM'!$U$7="SIM",'C-Produção CDR-TM'!$U$44,0)))))</f>
        <v>0</v>
      </c>
      <c r="P60" s="1318">
        <f>IF('C-Produção CDR-TM'!$E$7="SIM",'C-Produção CDR-TM'!$E$45,IF('C-Produção CDR-TM'!$I$7="SIM",'C-Produção CDR-TM'!$I$45,IF('C-Produção CDR-TM'!$M$7="SIM",'C-Produção CDR-TM'!$M$45,IF('C-Produção CDR-TM'!$Q$7="SIM",'C-Produção CDR-TM'!$Q$45,IF('C-Produção CDR-TM'!$U$7="SIM",'C-Produção CDR-TM'!$U$45,0)))))</f>
        <v>0</v>
      </c>
      <c r="Q60" s="133"/>
      <c r="R60" s="805"/>
      <c r="S60" s="806"/>
      <c r="T60" s="806"/>
      <c r="U60" s="806"/>
      <c r="V60" s="806"/>
      <c r="W60" s="806"/>
      <c r="X60" s="806"/>
      <c r="Y60" s="806"/>
      <c r="Z60" s="1385"/>
    </row>
    <row r="61" spans="1:26" ht="17.649999999999999" customHeight="1" outlineLevel="1" x14ac:dyDescent="0.25">
      <c r="A61" s="40"/>
      <c r="B61" s="1313" t="s">
        <v>539</v>
      </c>
      <c r="C61" s="457" t="s">
        <v>194</v>
      </c>
      <c r="D61" s="1323">
        <v>0</v>
      </c>
      <c r="E61" s="133"/>
      <c r="F61" s="899" t="s">
        <v>434</v>
      </c>
      <c r="G61" s="899" t="str">
        <f>'C-Produção CDR-TMB'!L2</f>
        <v>Não</v>
      </c>
      <c r="H61" s="899">
        <f>IF('C-Produção CDR-TMB'!D2&gt;0,'C-Produção CDR-TMB'!H2,0)</f>
        <v>0</v>
      </c>
      <c r="I61" s="609"/>
      <c r="J61" s="899" t="s">
        <v>546</v>
      </c>
      <c r="K61" s="899">
        <f>IF('C-Produção CDR-TMB'!$E$7="SIM",'C-Produção CDR-TMB'!$E$19,IF('C-Produção CDR-TMB'!$I$7="SIM",'C-Produção CDR-TMB'!$I$19,IF('C-Produção CDR-TMB'!$M$7="SIM",'C-Produção CDR-TMB'!$M$19,IF('C-Produção CDR-TMB'!$Q$7="SIM",'C-Produção CDR-TMB'!$Q$19,IF('C-Produção CDR-TMB'!$U$7="SIM",'C-Produção CDR-TMB'!$U$19,0)))))</f>
        <v>0</v>
      </c>
      <c r="L61" s="1409">
        <f>IF('C-Produção CDR-TMB'!$E$7="SIM",'C-Produção CDR-TMB'!$E$20,IF('C-Produção CDR-TMB'!$I$7="SIM",'C-Produção CDR-TMB'!$I$20,IF('C-Produção CDR-TMB'!$M$7="SIM",'C-Produção CDR-TMB'!$M$20,IF('C-Produção CDR-TMB'!$Q$7="SIM",'C-Produção CDR-TMB'!$Q$20,IF('C-Produção CDR-TMB'!$U$7="SIM",'C-Produção CDR-TMB'!$U$20,0)))))</f>
        <v>0</v>
      </c>
      <c r="M61" s="133"/>
      <c r="N61" s="899" t="s">
        <v>546</v>
      </c>
      <c r="O61" s="899">
        <f>IF('C-Produção CDR-TMB'!$E$7="SIM",'C-Produção CDR-TMB'!$E$43,IF('C-Produção CDR-TMB'!$I$7="SIM",'C-Produção CDR-TMB'!$I$43,IF('C-Produção CDR-TMB'!$M$7="SIM",'C-Produção CDR-TMB'!$M$43,IF('C-Produção CDR-TMB'!$Q$7="SIM",'C-Produção CDR-TMB'!$Q$43,IF('C-Produção CDR-TMB'!$U$7="SIM",'C-Produção CDR-TMB'!$U$43,0)))))</f>
        <v>0</v>
      </c>
      <c r="P61" s="1409">
        <f>IF('C-Produção CDR-TMB'!$E$7="SIM",'C-Produção CDR-TMB'!$E$42,IF('C-Produção CDR-TMB'!$I$7="SIM",'C-Produção CDR-TMB'!$I$42,IF('C-Produção CDR-TMB'!$M$7="SIM",'C-Produção CDR-TMB'!$M$42,IF('C-Produção CDR-TMB'!$Q$7="SIM",'C-Produção CDR-TMB'!$Q$42,IF('C-Produção CDR-TMB'!$U$7="SIM",'C-Produção CDR-TMB'!$U$42,0)))))</f>
        <v>0</v>
      </c>
      <c r="Q61" s="133"/>
      <c r="R61" s="805"/>
      <c r="S61" s="806"/>
      <c r="T61" s="806"/>
      <c r="U61" s="806"/>
      <c r="V61" s="806"/>
      <c r="W61" s="806"/>
      <c r="X61" s="806"/>
      <c r="Y61" s="806"/>
      <c r="Z61" s="1385"/>
    </row>
    <row r="62" spans="1:26" ht="17.649999999999999" customHeight="1" outlineLevel="1" x14ac:dyDescent="0.25">
      <c r="A62" s="40"/>
      <c r="B62" s="1361" t="s">
        <v>550</v>
      </c>
      <c r="C62" s="695" t="s">
        <v>239</v>
      </c>
      <c r="D62" s="1362" t="s">
        <v>240</v>
      </c>
      <c r="E62" s="133"/>
      <c r="F62" s="1260" t="s">
        <v>541</v>
      </c>
      <c r="G62" s="248">
        <v>0.25</v>
      </c>
      <c r="H62" s="1350">
        <v>0.25</v>
      </c>
      <c r="I62" s="609"/>
      <c r="J62" s="1313"/>
      <c r="K62" s="210" t="s">
        <v>273</v>
      </c>
      <c r="L62" s="1341">
        <f>IF(K61&gt;0,K61*1000000/$D$40,0)</f>
        <v>0</v>
      </c>
      <c r="M62" s="133"/>
      <c r="N62" s="1313" t="s">
        <v>274</v>
      </c>
      <c r="O62" s="253">
        <f>IF(H61&gt;0,((L45*D112)+(L47*D111))/$D$40,0)</f>
        <v>0</v>
      </c>
      <c r="P62" s="1299">
        <f>IF(O61&gt;0,O61*1000000/$D$40,0)</f>
        <v>0</v>
      </c>
      <c r="Q62" s="133"/>
      <c r="R62" s="805"/>
      <c r="S62" s="806"/>
      <c r="T62" s="806"/>
      <c r="U62" s="806"/>
      <c r="V62" s="806"/>
      <c r="W62" s="806"/>
      <c r="X62" s="806"/>
      <c r="Y62" s="806"/>
      <c r="Z62" s="1385"/>
    </row>
    <row r="63" spans="1:26" ht="17.649999999999999" customHeight="1" outlineLevel="1" x14ac:dyDescent="0.25">
      <c r="A63" s="40"/>
      <c r="B63" s="1313" t="s">
        <v>551</v>
      </c>
      <c r="C63" s="247" t="s">
        <v>279</v>
      </c>
      <c r="D63" s="1360">
        <v>20000</v>
      </c>
      <c r="E63" s="244"/>
      <c r="F63" s="1313" t="s">
        <v>542</v>
      </c>
      <c r="G63" s="239" t="str">
        <f>IF('C-Produção CDR-TMB'!$E$7="SIM",'C-Produção CDR-TMB'!$D$17,IF('C-Produção CDR-TMB'!$I$7="SIM",'C-Produção CDR-TMB'!$H$17,IF('C-Produção CDR-TMB'!$M$7="SIM",'C-Produção CDR-TMB'!$L$17,IF('C-Produção CDR-TMB'!$Q$7="SIM",'C-Produção CDR-TMB'!$P$17,IF('C-Produção CDR-TMB'!$U$7="SIM",'C-Produção CDR-TMB'!$T$17,"0")))))</f>
        <v>0</v>
      </c>
      <c r="H63" s="1353"/>
      <c r="I63" s="609"/>
      <c r="J63" s="1342" t="s">
        <v>275</v>
      </c>
      <c r="K63" s="246" t="str">
        <f>IF('C-Produção CDR-TMB'!$E$7="SIM",'C-Produção CDR-TMB'!$E$23,IF('C-Produção CDR-TMB'!$I$7="SIM",'C-Produção CDR-TMB'!$I$23,IF('C-Produção CDR-TMB'!$M$7="SIM",'C-Produção CDR-TMB'!$M$23,IF('C-Produção CDR-TMB'!$Q$7="SIM",'C-Produção CDR-TMB'!$Q$23,IF('C-Produção CDR-TMB'!$U$7="SIM",'C-Produção CDR-TMB'!$U$23,"0")))))</f>
        <v>0</v>
      </c>
      <c r="L63" s="1344"/>
      <c r="M63" s="133"/>
      <c r="N63" s="1313" t="s">
        <v>276</v>
      </c>
      <c r="O63" s="457">
        <f>IF('C-Produção CDR-TMB'!$E$7="SIM",'C-Produção CDR-TMB'!$E$44,IF('C-Produção CDR-TMB'!$I$7="SIM",'C-Produção CDR-TMB'!$I$44,IF('C-Produção CDR-TMB'!$M$7="SIM",'C-Produção CDR-TMB'!$M$44,IF('C-Produção CDR-TMB'!$Q$7="SIM",'C-Produção CDR-TMB'!$Q$44,IF('C-Produção CDR-TMB'!$U$7="SIM",'C-Produção CDR-TMB'!$U$44,0)))))</f>
        <v>0</v>
      </c>
      <c r="P63" s="1324">
        <f>IF('C-Produção CDR-TMB'!$E$7="SIM",'C-Produção CDR-TMB'!$E$45,IF('C-Produção CDR-TMB'!$I$7="SIM",'C-Produção CDR-TMB'!$I$45,IF('C-Produção CDR-TMB'!$M$7="SIM",'C-Produção CDR-TMB'!$M$45,IF('C-Produção CDR-TMB'!$Q$7="SIM",'C-Produção CDR-TMB'!$Q$45,IF('C-Produção CDR-TMB'!$U$7="SIM",'C-Produção CDR-TMB'!$U$45,0)))))</f>
        <v>0</v>
      </c>
      <c r="Q63" s="244"/>
      <c r="R63" s="808"/>
      <c r="S63" s="816"/>
      <c r="T63" s="816"/>
      <c r="U63" s="816"/>
      <c r="V63" s="816"/>
      <c r="W63" s="816"/>
      <c r="X63" s="816"/>
      <c r="Y63" s="816"/>
      <c r="Z63" s="1388"/>
    </row>
    <row r="64" spans="1:26" ht="17.649999999999999" customHeight="1" outlineLevel="1" x14ac:dyDescent="0.25">
      <c r="A64" s="40"/>
      <c r="B64" s="1313" t="s">
        <v>552</v>
      </c>
      <c r="C64" s="457" t="s">
        <v>279</v>
      </c>
      <c r="D64" s="1360">
        <v>10000</v>
      </c>
      <c r="E64" s="245"/>
      <c r="F64" s="899" t="s">
        <v>280</v>
      </c>
      <c r="G64" s="899" t="str">
        <f>'C-Biodigestão'!L2</f>
        <v>Não'</v>
      </c>
      <c r="H64" s="899">
        <f>IF('C-Biodigestão'!D2&gt;0,'C-Biodigestão'!H2,0)</f>
        <v>0</v>
      </c>
      <c r="I64" s="609"/>
      <c r="J64" s="899" t="s">
        <v>280</v>
      </c>
      <c r="K64" s="1409">
        <f>IF('C-Biodigestão'!$E$7="SIM",'C-Biodigestão'!$E$19,IF('C-Biodigestão'!$I$7="SIM",'C-Biodigestão'!$I$19,IF('C-Biodigestão'!$M$7="SIM",'C-Biodigestão'!$M$19,IF('C-Biodigestão'!$Q$7="SIM",'C-Biodigestão'!$Q$19,IF('C-Biodigestão'!$U$7="SIM",'C-Biodigestão'!$U$19,0)))))</f>
        <v>0</v>
      </c>
      <c r="L64" s="899">
        <f>IF('C-Biodigestão'!$E$7="SIM",'C-Biodigestão'!$E$20,IF('C-Biodigestão'!$I$7="SIM",'C-Biodigestão'!$I$20,IF('C-Biodigestão'!$M$7="SIM",'C-Biodigestão'!$M$20,IF('C-Biodigestão'!$Q$7="SIM",'C-Biodigestão'!$Q$20,IF('C-Biodigestão'!$U$7="SIM",'C-Biodigestão'!$U$20,0)))))</f>
        <v>0</v>
      </c>
      <c r="M64" s="255"/>
      <c r="N64" s="899" t="s">
        <v>280</v>
      </c>
      <c r="O64" s="1409">
        <f>IF('C-Biodigestão'!$E$7="SIM",'C-Biodigestão'!$E$46,IF('C-Biodigestão'!$I$7="SIM",'C-Biodigestão'!$I$46,IF('C-Biodigestão'!$M$7="SIM",'C-Biodigestão'!$M$46,IF('C-Biodigestão'!$Q$7="SIM",'C-Biodigestão'!$Q$46,IF('C-Biodigestão'!$U$7="SIM",'C-Biodigestão'!$U$46,0)))))</f>
        <v>0</v>
      </c>
      <c r="P64" s="899">
        <f>IF('C-Biodigestão'!$E$7="SIM",'C-Biodigestão'!$E$45,IF('C-Biodigestão'!$I$7="SIM",'C-Biodigestão'!$I$45,IF('C-Biodigestão'!$M$7="SIM",'C-Biodigestão'!$M$45,IF('C-Biodigestão'!$Q$7="SIM",'C-Biodigestão'!$Q$45,IF('C-Biodigestão'!$U$7="SIM",'C-Biodigestão'!$U$45,0)))))</f>
        <v>0</v>
      </c>
      <c r="Q64" s="133"/>
      <c r="R64" s="805"/>
      <c r="S64" s="806"/>
      <c r="T64" s="806"/>
      <c r="U64" s="806"/>
      <c r="V64" s="806"/>
      <c r="W64" s="806"/>
      <c r="X64" s="806"/>
      <c r="Y64" s="806"/>
      <c r="Z64" s="1385"/>
    </row>
    <row r="65" spans="1:26" ht="17.649999999999999" customHeight="1" outlineLevel="1" x14ac:dyDescent="0.25">
      <c r="A65" s="40"/>
      <c r="B65" s="1313" t="s">
        <v>553</v>
      </c>
      <c r="C65" s="1276" t="s">
        <v>279</v>
      </c>
      <c r="D65" s="1360">
        <v>1500</v>
      </c>
      <c r="E65" s="133"/>
      <c r="F65" s="1260" t="s">
        <v>541</v>
      </c>
      <c r="G65" s="248">
        <v>0.25</v>
      </c>
      <c r="H65" s="1350">
        <v>0</v>
      </c>
      <c r="I65" s="693"/>
      <c r="J65" s="1313"/>
      <c r="K65" s="210" t="s">
        <v>273</v>
      </c>
      <c r="L65" s="1341">
        <f>IF(K64&gt;0,K64*1000000/$D$40,0)</f>
        <v>0</v>
      </c>
      <c r="M65" s="256"/>
      <c r="N65" s="1313" t="s">
        <v>274</v>
      </c>
      <c r="O65" s="253">
        <f>IF(H64&gt;0,((P42*D114)+(P45*D117))/$D$40,0)</f>
        <v>0</v>
      </c>
      <c r="P65" s="1299">
        <f>IF(O64&gt;0,O64*1000000/$D$40,0)</f>
        <v>0</v>
      </c>
      <c r="Q65" s="133"/>
      <c r="R65" s="805"/>
      <c r="S65" s="806"/>
      <c r="T65" s="806"/>
      <c r="U65" s="806"/>
      <c r="V65" s="806"/>
      <c r="W65" s="806"/>
      <c r="X65" s="806"/>
      <c r="Y65" s="806"/>
      <c r="Z65" s="1385"/>
    </row>
    <row r="66" spans="1:26" ht="17.649999999999999" customHeight="1" outlineLevel="1" x14ac:dyDescent="0.25">
      <c r="A66" s="34"/>
      <c r="B66" s="1313" t="s">
        <v>706</v>
      </c>
      <c r="C66" s="2816" t="s">
        <v>281</v>
      </c>
      <c r="D66" s="2817"/>
      <c r="E66" s="245"/>
      <c r="F66" s="1313" t="s">
        <v>542</v>
      </c>
      <c r="G66" s="239" t="str">
        <f>IF('C-Biodigestão'!$E$7="SIM",'C-Biodigestão'!$D$17,IF('C-Biodigestão'!$I$7="SIM",'C-Biodigestão'!$H$17,IF('C-Biodigestão'!$M$7="SIM",'C-Biodigestão'!$L$17,IF('C-Biodigestão'!$Q$7="SIM",'C-Biodigestão'!$P$17,IF('C-Biodigestão'!$U$7="SIM",'C-Biodigestão'!$T$17,"0")))))</f>
        <v>0</v>
      </c>
      <c r="H66" s="1351"/>
      <c r="I66" s="693"/>
      <c r="J66" s="1342" t="s">
        <v>275</v>
      </c>
      <c r="K66" s="246" t="str">
        <f>IF('C-Biodigestão'!$E$7="SIM",'C-Biodigestão'!$E$26,IF('C-Biodigestão'!$I$7="SIM",'C-Biodigestão'!$I$26,IF('C-Biodigestão'!$M$7="SIM",'C-Biodigestão'!$M$26,IF('C-Biodigestão'!$Q$7="SIM",'C-Biodigestão'!$Q$26,IF('C-Biodigestão'!$U$7="SIM",'C-Biodigestão'!$U$26,"0")))))</f>
        <v>0</v>
      </c>
      <c r="L66" s="1344"/>
      <c r="M66" s="256"/>
      <c r="N66" s="1313" t="s">
        <v>276</v>
      </c>
      <c r="O66" s="253">
        <f>IF('C-Biodigestão'!$E$7="SIM",'C-Biodigestão'!$E$47,IF('C-Biodigestão'!$I$7="SIM",'C-Biodigestão'!$I$47,IF('C-Biodigestão'!$M$7="SIM",'C-Biodigestão'!$M$47,IF('C-Biodigestão'!$Q$7="SIM",'C-Biodigestão'!$Q$47,IF('C-Biodigestão'!$U$7="SIM",'C-Biodigestão'!$U$47,0)))))</f>
        <v>0</v>
      </c>
      <c r="P66" s="1318">
        <f>IF('C-Biodigestão'!$E$7="SIM",'C-Biodigestão'!$E$48,IF('C-Biodigestão'!$I$7="SIM",'C-Biodigestão'!$I$48,IF('C-Biodigestão'!$M$7="SIM",'C-Biodigestão'!$M$48,IF('C-Biodigestão'!$Q$7="SIM",'C-Biodigestão'!$Q$48,IF('C-Biodigestão'!$U$7="SIM",'C-Biodigestão'!$U$48,0)))))</f>
        <v>0</v>
      </c>
      <c r="Q66" s="133"/>
      <c r="R66" s="817"/>
      <c r="S66" s="818"/>
      <c r="T66" s="818"/>
      <c r="U66" s="818"/>
      <c r="V66" s="818"/>
      <c r="W66" s="818"/>
      <c r="X66" s="818"/>
      <c r="Y66" s="818"/>
      <c r="Z66" s="1389"/>
    </row>
    <row r="67" spans="1:26" ht="17.649999999999999" customHeight="1" outlineLevel="1" x14ac:dyDescent="0.25">
      <c r="A67" s="43"/>
      <c r="B67" s="1313" t="s">
        <v>554</v>
      </c>
      <c r="C67" s="1276" t="s">
        <v>279</v>
      </c>
      <c r="D67" s="1360">
        <v>1250</v>
      </c>
      <c r="E67" s="244"/>
      <c r="F67" s="899" t="s">
        <v>131</v>
      </c>
      <c r="G67" s="899" t="str">
        <f>'C-Compostagem'!L2</f>
        <v>Não</v>
      </c>
      <c r="H67" s="899">
        <f>IF('C-Compostagem'!D2&gt;0,'C-Compostagem'!H2,0)</f>
        <v>0</v>
      </c>
      <c r="I67" s="609"/>
      <c r="J67" s="899" t="s">
        <v>131</v>
      </c>
      <c r="K67" s="1409">
        <f>IF('C-Compostagem'!$E$7="SIM",'C-Compostagem'!$E$19,IF('C-Compostagem'!$I$7="SIM",'C-Compostagem'!$I$19,IF('C-Compostagem'!$M$7="SIM",'C-Compostagem'!$M$19,IF('C-Compostagem'!$Q$7="SIM",'C-Compostagem'!$Q$19,IF('C-Compostagem'!$U$7="SIM",'C-Compostagem'!$U$19,0)))))</f>
        <v>0</v>
      </c>
      <c r="L67" s="899">
        <f>IF('C-Compostagem'!$E$7="SIM",'C-Compostagem'!$E$20,IF('C-Compostagem'!$I$7="SIM",'C-Compostagem'!$I$20,IF('C-Compostagem'!$M$7="SIM",'C-Compostagem'!$M$20,IF('C-Compostagem'!$Q$7="SIM",'C-Compostagem'!$Q$20,IF('C-Compostagem'!$U$7="SIM",'C-Compostagem'!$U$20,0)))))</f>
        <v>0</v>
      </c>
      <c r="M67" s="255"/>
      <c r="N67" s="899" t="s">
        <v>131</v>
      </c>
      <c r="O67" s="1409">
        <f>IF('C-Compostagem'!$E$7="SIM",'C-Compostagem'!$E$43,IF('C-Compostagem'!$I$7="SIM",'C-Compostagem'!$I$43,IF('C-Compostagem'!$M$7="SIM",'C-Compostagem'!$M$43,IF('C-Compostagem'!$Q$7="SIM",'C-Compostagem'!$Q$43,IF('C-Compostagem'!$U$7="SIM",'C-Compostagem'!$U$43,0)))))</f>
        <v>0</v>
      </c>
      <c r="P67" s="899">
        <f>IF('C-Compostagem'!$E$7="SIM",'C-Compostagem'!$E$42,IF('C-Compostagem'!$I$7="SIM",'C-Compostagem'!$I$42,IF('C-Compostagem'!$M$7="SIM",'C-Compostagem'!$M$42,IF('C-Compostagem'!$Q$7="SIM",'C-Compostagem'!$Q$42,IF('C-Compostagem'!$U$7="SIM",'C-Compostagem'!$U$42,0)))))</f>
        <v>0</v>
      </c>
      <c r="Q67" s="96"/>
      <c r="R67" s="819"/>
      <c r="S67" s="820"/>
      <c r="T67" s="820"/>
      <c r="U67" s="820"/>
      <c r="V67" s="820"/>
      <c r="W67" s="820"/>
      <c r="X67" s="820"/>
      <c r="Y67" s="820"/>
      <c r="Z67" s="1390"/>
    </row>
    <row r="68" spans="1:26" ht="17.649999999999999" customHeight="1" outlineLevel="1" x14ac:dyDescent="0.25">
      <c r="A68" s="31"/>
      <c r="B68" s="1313" t="s">
        <v>555</v>
      </c>
      <c r="C68" s="457" t="s">
        <v>282</v>
      </c>
      <c r="D68" s="1360">
        <v>0</v>
      </c>
      <c r="E68" s="133"/>
      <c r="F68" s="1260" t="s">
        <v>541</v>
      </c>
      <c r="G68" s="248">
        <v>0.25</v>
      </c>
      <c r="H68" s="1350">
        <v>0</v>
      </c>
      <c r="I68" s="693"/>
      <c r="J68" s="1313"/>
      <c r="K68" s="210" t="s">
        <v>273</v>
      </c>
      <c r="L68" s="1341">
        <f>IF(K67&gt;0,K67*1000000/$D$40,0)</f>
        <v>0</v>
      </c>
      <c r="M68" s="256"/>
      <c r="N68" s="1313" t="s">
        <v>274</v>
      </c>
      <c r="O68" s="253">
        <f>IF(H67&gt;0,((L48*D108)+(L49*D109))/$D$40,0)</f>
        <v>0</v>
      </c>
      <c r="P68" s="1299">
        <f>IF(O67&gt;0,O67*1000000/$D$40,0)</f>
        <v>0</v>
      </c>
      <c r="Q68" s="133"/>
      <c r="R68" s="805"/>
      <c r="S68" s="806"/>
      <c r="T68" s="806"/>
      <c r="U68" s="806"/>
      <c r="V68" s="806"/>
      <c r="W68" s="806"/>
      <c r="X68" s="806"/>
      <c r="Y68" s="806"/>
      <c r="Z68" s="1385"/>
    </row>
    <row r="69" spans="1:26" ht="17.649999999999999" customHeight="1" outlineLevel="1" x14ac:dyDescent="0.25">
      <c r="A69" s="31"/>
      <c r="B69" s="1313" t="s">
        <v>556</v>
      </c>
      <c r="C69" s="457" t="s">
        <v>838</v>
      </c>
      <c r="D69" s="1360">
        <v>0</v>
      </c>
      <c r="E69" s="133"/>
      <c r="F69" s="1313" t="s">
        <v>542</v>
      </c>
      <c r="G69" s="239" t="str">
        <f>IF('C-Compostagem'!$E$7="SIM",'C-Compostagem'!$D$17,IF('C-Compostagem'!$I$7="SIM",'C-Compostagem'!$H$17,IF('C-Compostagem'!$M$7="SIM",'C-Compostagem'!$L$17,IF('C-Compostagem'!$Q$7="SIM",'C-Compostagem'!$P$17,IF('C-Compostagem'!$U$7="SIM",'C-Compostagem'!$T$17,"0")))))</f>
        <v>0</v>
      </c>
      <c r="H69" s="1354"/>
      <c r="I69" s="693"/>
      <c r="J69" s="1342" t="s">
        <v>275</v>
      </c>
      <c r="K69" s="246" t="str">
        <f>IF('C-Compostagem'!$E$7="SIM",'C-Compostagem'!$E$23,IF('C-Compostagem'!$I$7="SIM",'C-Compostagem'!$I$23,IF('C-Compostagem'!$M$7="SIM",'C-Compostagem'!$M$23,IF('C-Compostagem'!$Q$7="SIM",'C-Compostagem'!$Q$23,IF('C-Compostagem'!$U$7="SIM",'C-Compostagem'!$U$23,"0")))))</f>
        <v>0</v>
      </c>
      <c r="L69" s="1344"/>
      <c r="M69" s="256"/>
      <c r="N69" s="1313" t="s">
        <v>276</v>
      </c>
      <c r="O69" s="253">
        <f>IF('C-Compostagem'!$E$7="SIM",'C-Compostagem'!$E$44,IF('C-Compostagem'!$I$7="SIM",'C-Compostagem'!$I$44,IF('C-Compostagem'!$M$7="SIM",'C-Compostagem'!$M$44,IF('C-Compostagem'!$Q$7="SIM",'C-Compostagem'!$Q$44,IF('C-Compostagem'!$U$7="SIM",'C-Compostagem'!$U$44,0)))))</f>
        <v>0</v>
      </c>
      <c r="P69" s="1324">
        <f>IF('C-Compostagem'!$E$7="SIM",'C-Compostagem'!$E$45,IF('C-Compostagem'!$I$7="SIM",'C-Compostagem'!$I$45,IF('C-Compostagem'!$M$7="SIM",'C-Compostagem'!$M$45,IF('C-Compostagem'!$Q$7="SIM",'C-Compostagem'!$Q$45,IF('C-Compostagem'!$U$7="SIM",'C-Compostagem'!$U$45,0)))))</f>
        <v>0</v>
      </c>
      <c r="Q69" s="133"/>
      <c r="R69" s="805"/>
      <c r="S69" s="806"/>
      <c r="T69" s="806"/>
      <c r="U69" s="806"/>
      <c r="V69" s="806"/>
      <c r="W69" s="806"/>
      <c r="X69" s="806"/>
      <c r="Y69" s="806"/>
      <c r="Z69" s="1385"/>
    </row>
    <row r="70" spans="1:26" ht="17.649999999999999" customHeight="1" outlineLevel="1" x14ac:dyDescent="0.25">
      <c r="A70" s="31"/>
      <c r="B70" s="1313" t="s">
        <v>557</v>
      </c>
      <c r="C70" s="1276" t="s">
        <v>279</v>
      </c>
      <c r="D70" s="1360">
        <v>100000</v>
      </c>
      <c r="E70" s="133"/>
      <c r="F70" s="899" t="s">
        <v>63</v>
      </c>
      <c r="G70" s="899" t="str">
        <f>'C-Incineração'!L2</f>
        <v>Sim</v>
      </c>
      <c r="H70" s="899">
        <f>IF('C-Incineração'!D2&gt;0,'C-Incineração'!H2,0)</f>
        <v>22892.155070624995</v>
      </c>
      <c r="I70" s="609"/>
      <c r="J70" s="899" t="s">
        <v>63</v>
      </c>
      <c r="K70" s="1409">
        <f>IF('C-Incineração'!$E$7="SIM",'C-Incineração'!$E$19,IF('C-Incineração'!$I$7="SIM",'C-Incineração'!$I$19,IF('C-Incineração'!$M$7="SIM",'C-Incineração'!$M$19,IF('C-Incineração'!$Q$7="SIM",'C-Incineração'!$Q$19,IF('C-Incineração'!$U$7="SIM",'C-Incineração'!$U$19,0)))))</f>
        <v>89.168953602454579</v>
      </c>
      <c r="L70" s="899">
        <f>IF('C-Incineração'!$E$7="SIM",'C-Incineração'!$E$20,IF('C-Incineração'!$I$7="SIM",'C-Incineração'!$I$20,IF('C-Incineração'!$M$7="SIM",'C-Incineração'!$M$20,IF('C-Incineração'!$Q$7="SIM",'C-Incineração'!$Q$20,IF('C-Incineração'!$U$7="SIM",'C-Incineração'!$U$20,0)))))</f>
        <v>3895.175151808899</v>
      </c>
      <c r="M70" s="255"/>
      <c r="N70" s="899" t="s">
        <v>63</v>
      </c>
      <c r="O70" s="1409">
        <f>IF('C-Incineração'!$E$7="SIM",'C-Incineração'!$E$52,IF('C-Incineração'!$I$7="SIM",'C-Incineração'!$I$52,IF('C-Incineração'!$M$7="SIM",'C-Incineração'!$M$52,IF('C-Incineração'!$Q$7="SIM",'C-Incineração'!$Q$52,IF('C-Incineração'!$U$7="SIM",'C-Incineração'!$U$52,0)))))</f>
        <v>17.26912898224051</v>
      </c>
      <c r="P70" s="899">
        <f>IF('C-Incineração'!$E$7="SIM",'C-Incineração'!$E$51,IF('C-Incineração'!$I$7="SIM",'C-Incineração'!$I$51,IF('C-Incineração'!$M$7="SIM",'C-Incineração'!$M$51,IF('C-Incineração'!$Q$7="SIM",'C-Incineração'!$Q$51,IF('C-Incineração'!$U$7="SIM",'C-Incineração'!$U$51,0)))))</f>
        <v>754.3688625628829</v>
      </c>
      <c r="Q70" s="133"/>
      <c r="R70" s="805"/>
      <c r="S70" s="806"/>
      <c r="T70" s="806"/>
      <c r="U70" s="806"/>
      <c r="V70" s="806"/>
      <c r="W70" s="806"/>
      <c r="X70" s="806"/>
      <c r="Y70" s="806"/>
      <c r="Z70" s="1385"/>
    </row>
    <row r="71" spans="1:26" ht="17.649999999999999" customHeight="1" outlineLevel="1" x14ac:dyDescent="0.25">
      <c r="A71" s="31"/>
      <c r="B71" s="1313" t="s">
        <v>558</v>
      </c>
      <c r="C71" s="1276" t="s">
        <v>283</v>
      </c>
      <c r="D71" s="1360">
        <v>25000</v>
      </c>
      <c r="E71" s="133"/>
      <c r="F71" s="1260" t="s">
        <v>541</v>
      </c>
      <c r="G71" s="248">
        <v>0.25</v>
      </c>
      <c r="H71" s="1350">
        <v>0</v>
      </c>
      <c r="I71" s="693"/>
      <c r="J71" s="1313"/>
      <c r="K71" s="210" t="s">
        <v>273</v>
      </c>
      <c r="L71" s="1341">
        <f>IF(K70&gt;0,K70*1000000/$D$40,0)</f>
        <v>3872.6006532926212</v>
      </c>
      <c r="M71" s="256"/>
      <c r="N71" s="1313" t="s">
        <v>274</v>
      </c>
      <c r="O71" s="253">
        <f>IF(H70&gt;0,((P43*D114))/$D$40,0)</f>
        <v>328.07813182659601</v>
      </c>
      <c r="P71" s="1299">
        <f>IF(O70&gt;0,O70*1000000/$D$40,0)</f>
        <v>749.99691570428172</v>
      </c>
      <c r="Q71" s="133"/>
      <c r="R71" s="805"/>
      <c r="S71" s="806"/>
      <c r="T71" s="806"/>
      <c r="U71" s="806"/>
      <c r="V71" s="806"/>
      <c r="W71" s="806"/>
      <c r="X71" s="806"/>
      <c r="Y71" s="806"/>
      <c r="Z71" s="1385"/>
    </row>
    <row r="72" spans="1:26" ht="17.649999999999999" customHeight="1" outlineLevel="1" x14ac:dyDescent="0.25">
      <c r="A72" s="44"/>
      <c r="B72" s="1313" t="s">
        <v>559</v>
      </c>
      <c r="C72" s="1276" t="s">
        <v>284</v>
      </c>
      <c r="D72" s="1358">
        <v>100</v>
      </c>
      <c r="E72" s="133"/>
      <c r="F72" s="1313" t="s">
        <v>542</v>
      </c>
      <c r="G72" s="239">
        <f>IF('C-Incineração'!$E$7="SIM",'C-Incineração'!$D$17,IF('C-Incineração'!$I$7="SIM",'C-Incineração'!$H$17,IF('C-Incineração'!$M$7="SIM",'C-Incineração'!$L$17,IF('C-Incineração'!$Q$7="SIM",'C-Incineração'!$P$17,IF('C-Incineração'!$U$7="SIM",'C-Incineração'!$T$17,"0")))))</f>
        <v>96000</v>
      </c>
      <c r="H72" s="1355"/>
      <c r="I72" s="693"/>
      <c r="J72" s="1342" t="s">
        <v>275</v>
      </c>
      <c r="K72" s="246">
        <f>IF('C-Incineração'!$E$7="SIM",'C-Incineração'!$E$25,IF('C-Incineração'!$I$7="SIM",'C-Incineração'!$I$25,IF('C-Incineração'!$M$7="SIM",'C-Incineração'!$M$25,IF('C-Incineração'!$Q$7="SIM",'C-Incineração'!$Q$25,IF('C-Incineração'!$U$7="SIM",'C-Incineração'!$U$25,"0")))))</f>
        <v>2.9018751482279193</v>
      </c>
      <c r="L72" s="1344"/>
      <c r="M72" s="256"/>
      <c r="N72" s="1313" t="s">
        <v>276</v>
      </c>
      <c r="O72" s="253">
        <f>IF('C-Incineração'!$E$7="SIM",'C-Incineração'!$E$53,IF('C-Incineração'!$I$7="SIM",'C-Incineração'!$I$53,IF('C-Incineração'!$M$7="SIM",'C-Incineração'!$M$53,IF('C-Incineração'!$Q$7="SIM",'C-Incineração'!$Q$53,IF('C-Incineração'!$U$7="SIM",'C-Incineração'!$U$53,0)))))</f>
        <v>10.684732442826725</v>
      </c>
      <c r="P72" s="1324">
        <f>IF('C-Incineração'!$E$7="SIM",'C-Incineração'!$E$54,IF('C-Incineração'!$I$7="SIM",'C-Incineração'!$I$54,IF('C-Incineração'!$M$7="SIM",'C-Incineração'!$M$54,IF('C-Incineração'!$Q$7="SIM",'C-Incineração'!$Q$54,IF('C-Incineração'!$U$7="SIM",'C-Incineração'!$U$54,0)))))</f>
        <v>287.62676642282679</v>
      </c>
      <c r="Q72" s="133"/>
      <c r="R72" s="805"/>
      <c r="S72" s="806"/>
      <c r="T72" s="806"/>
      <c r="U72" s="806"/>
      <c r="V72" s="806"/>
      <c r="W72" s="806"/>
      <c r="X72" s="806"/>
      <c r="Y72" s="806"/>
      <c r="Z72" s="1385"/>
    </row>
    <row r="73" spans="1:26" ht="17.649999999999999" customHeight="1" outlineLevel="1" x14ac:dyDescent="0.25">
      <c r="A73" s="31"/>
      <c r="B73" s="1313" t="s">
        <v>560</v>
      </c>
      <c r="C73" s="457" t="s">
        <v>278</v>
      </c>
      <c r="D73" s="1358">
        <v>53</v>
      </c>
      <c r="E73" s="133"/>
      <c r="F73" s="899" t="s">
        <v>65</v>
      </c>
      <c r="G73" s="899" t="str">
        <f>'C-Aterro Sanitário'!L2</f>
        <v>Sim</v>
      </c>
      <c r="H73" s="899">
        <f>IF('C-Aterro Sanitário'!D2&gt;0,'C-Aterro Sanitário'!H2,0)</f>
        <v>23358.431014124999</v>
      </c>
      <c r="I73" s="609"/>
      <c r="J73" s="899" t="s">
        <v>65</v>
      </c>
      <c r="K73" s="1409">
        <f>IF('C-Aterro Sanitário'!$E$7="SIM",'C-Aterro Sanitário'!$E$18,IF('C-Aterro Sanitário'!$I$7="SIM",'C-Aterro Sanitário'!$I$18,IF('C-Aterro Sanitário'!$M$7="SIM",'C-Aterro Sanitário'!$M$18,IF('C-Aterro Sanitário'!$Q$7="SIM",'C-Aterro Sanitário'!$Q$18,IF('C-Aterro Sanitário'!$U$7="SIM",'C-Aterro Sanitário'!$U$18,0)))))</f>
        <v>10.110489260506922</v>
      </c>
      <c r="L73" s="899">
        <f>IF('C-Aterro Sanitário'!$E$7="SIM",'C-Aterro Sanitário'!$E$19,IF('C-Aterro Sanitário'!$I$7="SIM",'C-Aterro Sanitário'!$I$19,IF('C-Aterro Sanitário'!$M$7="SIM",'C-Aterro Sanitário'!$M$19,IF('C-Aterro Sanitário'!$Q$7="SIM",'C-Aterro Sanitário'!$Q$19,IF('C-Aterro Sanitário'!$U$7="SIM",'C-Aterro Sanitário'!$U$19,0)))))</f>
        <v>432.84111224735267</v>
      </c>
      <c r="M73" s="255"/>
      <c r="N73" s="899" t="s">
        <v>65</v>
      </c>
      <c r="O73" s="1409">
        <f>IF('C-Aterro Sanitário'!$E$7="SIM",'C-Aterro Sanitário'!$E$46,IF('C-Aterro Sanitário'!$I$7="SIM",'C-Aterro Sanitário'!$I$46,IF('C-Aterro Sanitário'!$M$7="SIM",'C-Aterro Sanitário'!$M$46,IF('C-Aterro Sanitário'!$Q$7="SIM",'C-Aterro Sanitário'!$Q$46,IF('C-Aterro Sanitário'!$U$7="SIM",'C-Aterro Sanitário'!$U$46,0)))))</f>
        <v>3.8932086422593022</v>
      </c>
      <c r="P73" s="899">
        <f>IF('C-Aterro Sanitário'!$E$7="SIM",'C-Aterro Sanitário'!$E$45,IF('C-Aterro Sanitário'!$I$7="SIM",'C-Aterro Sanitário'!$I$45,IF('C-Aterro Sanitário'!$M$7="SIM",'C-Aterro Sanitário'!$M$45,IF('C-Aterro Sanitário'!$Q$7="SIM",'C-Aterro Sanitário'!$Q$45,IF('C-Aterro Sanitário'!$U$7="SIM",'C-Aterro Sanitário'!$U$45,0)))))</f>
        <v>166.67252350575487</v>
      </c>
      <c r="Q73" s="133"/>
      <c r="R73" s="805"/>
      <c r="S73" s="806"/>
      <c r="T73" s="806"/>
      <c r="U73" s="806"/>
      <c r="V73" s="806"/>
      <c r="W73" s="806"/>
      <c r="X73" s="806"/>
      <c r="Y73" s="806"/>
      <c r="Z73" s="1385"/>
    </row>
    <row r="74" spans="1:26" ht="17.649999999999999" customHeight="1" outlineLevel="1" x14ac:dyDescent="0.25">
      <c r="A74" s="44"/>
      <c r="B74" s="1313" t="s">
        <v>561</v>
      </c>
      <c r="C74" s="457" t="s">
        <v>285</v>
      </c>
      <c r="D74" s="1358">
        <v>3</v>
      </c>
      <c r="E74" s="133"/>
      <c r="F74" s="1260" t="s">
        <v>541</v>
      </c>
      <c r="G74" s="248">
        <v>1</v>
      </c>
      <c r="H74" s="1393">
        <v>0</v>
      </c>
      <c r="I74" s="693"/>
      <c r="J74" s="1313"/>
      <c r="K74" s="210" t="s">
        <v>273</v>
      </c>
      <c r="L74" s="1341">
        <f>IF(K73&gt;0,K73*1000000/$D$40,0)</f>
        <v>439.0977546950752</v>
      </c>
      <c r="M74" s="256"/>
      <c r="N74" s="1313" t="s">
        <v>274</v>
      </c>
      <c r="O74" s="253">
        <f>IF(H73&gt;0,((P44*D114+P46*D117))/$D$40,0)</f>
        <v>0</v>
      </c>
      <c r="P74" s="1299">
        <f>IF(O73&gt;0,O73*1000000/$D$40,0)</f>
        <v>169.0817456335254</v>
      </c>
      <c r="Q74" s="133"/>
      <c r="R74" s="805"/>
      <c r="S74" s="806"/>
      <c r="T74" s="806"/>
      <c r="U74" s="806"/>
      <c r="V74" s="806"/>
      <c r="W74" s="806"/>
      <c r="X74" s="806"/>
      <c r="Y74" s="806"/>
      <c r="Z74" s="1385"/>
    </row>
    <row r="75" spans="1:26" ht="17.649999999999999" customHeight="1" outlineLevel="1" x14ac:dyDescent="0.25">
      <c r="A75" s="44"/>
      <c r="B75" s="1313" t="s">
        <v>562</v>
      </c>
      <c r="C75" s="1276" t="s">
        <v>831</v>
      </c>
      <c r="D75" s="1824">
        <v>1.681</v>
      </c>
      <c r="E75" s="133"/>
      <c r="F75" s="1260" t="s">
        <v>286</v>
      </c>
      <c r="G75" s="238">
        <f>IF('C-Aterro Sanitário'!$E$7="SIM",'C-Aterro Sanitário'!$D$17*10000,IF('C-Aterro Sanitário'!$I$7="SIM",'C-Aterro Sanitário'!$H$17*10000,IF('C-Aterro Sanitário'!$M$7="SIM",'C-Aterro Sanitário'!$L$17*10000,IF('C-Aterro Sanitário'!$Q$7="SIM",'C-Aterro Sanitário'!$P$17*10000,IF('C-Aterro Sanitário'!$U$7="SIM",'C-Aterro Sanitário'!$T$17*10000,"0")))))</f>
        <v>35377</v>
      </c>
      <c r="H75" s="1354"/>
      <c r="I75" s="693"/>
      <c r="J75" s="1342" t="s">
        <v>547</v>
      </c>
      <c r="K75" s="253">
        <f>IF('C-Aterro Sanitário'!$E$7="SIM",'C-Aterro Sanitário'!$E$21+'C-Aterro Sanitário'!$E$22,IF('C-Aterro Sanitário'!$I$7="SIM",'C-Aterro Sanitário'!$I$21+'C-Aterro Sanitário'!$I$22,IF('C-Aterro Sanitário'!$M$7="SIM",'C-Aterro Sanitário'!$M$21+'C-Aterro Sanitário'!$M$22,IF('C-Aterro Sanitário'!$Q$7="SIM",'C-Aterro Sanitário'!$Q$21+'C-Aterro Sanitário'!$Q$22,IF('C-Aterro Sanitário'!$U$7="SIM",'C-Aterro Sanitário'!$U$21+'C-Aterro Sanitário'!$U$22,0)))))</f>
        <v>13.910467175348771</v>
      </c>
      <c r="L75" s="1324">
        <f>IF(K73&gt;0,K75*1000000/(H73*20),0)</f>
        <v>29.77611631307132</v>
      </c>
      <c r="M75" s="256"/>
      <c r="N75" s="1313" t="s">
        <v>276</v>
      </c>
      <c r="O75" s="253">
        <f>IF('C-Aterro Sanitário'!$E$7="SIM",'C-Aterro Sanitário'!$E$47,IF('C-Aterro Sanitário'!$I$7="SIM",'C-Aterro Sanitário'!$I$47,IF('C-Aterro Sanitário'!$M$7="SIM",'C-Aterro Sanitário'!$M$47,IF('C-Aterro Sanitário'!$Q$7="SIM",'C-Aterro Sanitário'!$Q$47,IF('C-Aterro Sanitário'!$U$7="SIM",'C-Aterro Sanitário'!$U$47,0)))))</f>
        <v>1.0360635670440734</v>
      </c>
      <c r="P75" s="1324">
        <f>IF('C-Aterro Sanitário'!$E$7="SIM",'C-Aterro Sanitário'!$E$48,IF('C-Aterro Sanitário'!$I$7="SIM",'C-Aterro Sanitário'!$I$48,IF('C-Aterro Sanitário'!$M$7="SIM",'C-Aterro Sanitário'!$M$48,IF('C-Aterro Sanitário'!$Q$7="SIM",'C-Aterro Sanitário'!$Q$48,IF('C-Aterro Sanitário'!$U$7="SIM",'C-Aterro Sanitário'!$U$48,0)))))</f>
        <v>122.31750811890976</v>
      </c>
      <c r="Q75" s="133"/>
      <c r="R75" s="805"/>
      <c r="S75" s="806"/>
      <c r="T75" s="806"/>
      <c r="U75" s="806"/>
      <c r="V75" s="806"/>
      <c r="W75" s="806"/>
      <c r="X75" s="806"/>
      <c r="Y75" s="806"/>
      <c r="Z75" s="1385"/>
    </row>
    <row r="76" spans="1:26" ht="17.649999999999999" customHeight="1" outlineLevel="1" x14ac:dyDescent="0.25">
      <c r="A76" s="44"/>
      <c r="B76" s="1313" t="s">
        <v>563</v>
      </c>
      <c r="C76" s="1276" t="s">
        <v>831</v>
      </c>
      <c r="D76" s="1824">
        <v>1.0780000000000001</v>
      </c>
      <c r="E76" s="133"/>
      <c r="F76" s="1260" t="s">
        <v>287</v>
      </c>
      <c r="G76" s="250">
        <f>IF(K78&lt;&gt;0,(G53*K52+G56*K55+G59*K58+G62*K61+G65*K64+G68*K67+G71*K70+G74*K73)/K78,0)</f>
        <v>0.30631231591032215</v>
      </c>
      <c r="H76" s="1356"/>
      <c r="I76" s="693"/>
      <c r="J76" s="1260"/>
      <c r="K76" s="251"/>
      <c r="L76" s="1330"/>
      <c r="M76" s="256"/>
      <c r="N76" s="1313"/>
      <c r="O76" s="450"/>
      <c r="P76" s="1331"/>
      <c r="Q76" s="133"/>
      <c r="R76" s="805"/>
      <c r="S76" s="806"/>
      <c r="T76" s="806"/>
      <c r="U76" s="806"/>
      <c r="V76" s="806"/>
      <c r="W76" s="806"/>
      <c r="X76" s="806"/>
      <c r="Y76" s="806"/>
      <c r="Z76" s="1385"/>
    </row>
    <row r="77" spans="1:26" ht="17.649999999999999" customHeight="1" outlineLevel="1" x14ac:dyDescent="0.25">
      <c r="A77" s="31"/>
      <c r="B77" s="1313" t="s">
        <v>564</v>
      </c>
      <c r="C77" s="1276" t="s">
        <v>831</v>
      </c>
      <c r="D77" s="1824">
        <v>7.26</v>
      </c>
      <c r="E77" s="133"/>
      <c r="F77" s="1260" t="s">
        <v>544</v>
      </c>
      <c r="G77" s="238">
        <f>G54+G57+G60+G63+G66+G69+G72</f>
        <v>108134.72557505166</v>
      </c>
      <c r="H77" s="1354"/>
      <c r="I77" s="693"/>
      <c r="J77" s="1345" t="s">
        <v>288</v>
      </c>
      <c r="K77" s="254">
        <f>K54+K57+K60+K63+K66+K69+K72</f>
        <v>3.5416825342966423</v>
      </c>
      <c r="L77" s="1314" t="s">
        <v>289</v>
      </c>
      <c r="M77" s="256"/>
      <c r="N77" s="1313"/>
      <c r="O77" s="450"/>
      <c r="P77" s="1331"/>
      <c r="Q77" s="133"/>
      <c r="R77" s="805"/>
      <c r="S77" s="806"/>
      <c r="T77" s="806"/>
      <c r="U77" s="806"/>
      <c r="V77" s="806"/>
      <c r="W77" s="806"/>
      <c r="X77" s="806"/>
      <c r="Y77" s="806"/>
      <c r="Z77" s="1385"/>
    </row>
    <row r="78" spans="1:26" ht="17.649999999999999" customHeight="1" outlineLevel="1" thickBot="1" x14ac:dyDescent="0.3">
      <c r="A78" s="31"/>
      <c r="B78" s="1820" t="s">
        <v>1023</v>
      </c>
      <c r="C78" s="698" t="s">
        <v>1022</v>
      </c>
      <c r="D78" s="1825">
        <v>2.2000000000000002</v>
      </c>
      <c r="E78" s="133"/>
      <c r="F78" s="2814" t="s">
        <v>566</v>
      </c>
      <c r="G78" s="2815"/>
      <c r="H78" s="1334">
        <f>'R-Resumo Bal. Massa'!D16*312</f>
        <v>23025.599999999995</v>
      </c>
      <c r="I78" s="609"/>
      <c r="J78" s="1332" t="s">
        <v>290</v>
      </c>
      <c r="K78" s="1333">
        <f>K52+K55+K58+K61+K64+K67+K70+K73</f>
        <v>134.65734489513767</v>
      </c>
      <c r="L78" s="1334">
        <f>K78*1000000/H78</f>
        <v>5848.1579153263192</v>
      </c>
      <c r="M78" s="255"/>
      <c r="N78" s="1332" t="s">
        <v>548</v>
      </c>
      <c r="O78" s="1333">
        <f>O52+O55+O58+O61+O64+O67+O70+O73</f>
        <v>28.534612404924619</v>
      </c>
      <c r="P78" s="1334">
        <f>O78*1000000/H78</f>
        <v>1239.2559761710716</v>
      </c>
      <c r="Q78" s="133"/>
      <c r="R78" s="805"/>
      <c r="S78" s="806"/>
      <c r="T78" s="806"/>
      <c r="U78" s="806"/>
      <c r="V78" s="806"/>
      <c r="W78" s="806"/>
      <c r="X78" s="806"/>
      <c r="Y78" s="806"/>
      <c r="Z78" s="1385"/>
    </row>
    <row r="79" spans="1:26" ht="15" customHeight="1" outlineLevel="1" thickTop="1" thickBot="1" x14ac:dyDescent="0.3">
      <c r="A79" s="31"/>
      <c r="B79" s="1742" t="s">
        <v>565</v>
      </c>
      <c r="C79" s="1743" t="s">
        <v>278</v>
      </c>
      <c r="D79" s="1821">
        <v>15</v>
      </c>
      <c r="E79" s="133"/>
      <c r="F79" s="136"/>
      <c r="G79" s="133"/>
      <c r="H79" s="133"/>
      <c r="I79" s="133"/>
      <c r="J79" s="133"/>
      <c r="K79" s="98"/>
      <c r="L79" s="133"/>
      <c r="M79" s="133"/>
      <c r="N79" s="133"/>
      <c r="O79" s="133"/>
      <c r="P79" s="133"/>
      <c r="Q79" s="133"/>
      <c r="R79" s="805"/>
      <c r="S79" s="806"/>
      <c r="T79" s="806"/>
      <c r="U79" s="806"/>
      <c r="V79" s="806"/>
      <c r="W79" s="806"/>
      <c r="X79" s="806"/>
      <c r="Y79" s="806"/>
      <c r="Z79" s="1385"/>
    </row>
    <row r="80" spans="1:26" s="691" customFormat="1" ht="10.15" customHeight="1" thickTop="1" thickBot="1" x14ac:dyDescent="0.3">
      <c r="A80" s="38"/>
      <c r="B80" s="136"/>
      <c r="C80" s="236"/>
      <c r="D80" s="236"/>
      <c r="E80" s="653"/>
      <c r="Q80" s="38"/>
      <c r="R80" s="821"/>
      <c r="S80" s="822"/>
      <c r="T80" s="822"/>
      <c r="U80" s="822"/>
      <c r="V80" s="822"/>
      <c r="W80" s="822"/>
      <c r="X80" s="822"/>
      <c r="Y80" s="822"/>
      <c r="Z80" s="1391"/>
    </row>
    <row r="81" spans="1:26" ht="17.649999999999999" customHeight="1" thickTop="1" x14ac:dyDescent="0.25">
      <c r="A81" s="33"/>
      <c r="B81" s="1319" t="s">
        <v>291</v>
      </c>
      <c r="C81" s="1320" t="s">
        <v>239</v>
      </c>
      <c r="D81" s="1321" t="s">
        <v>240</v>
      </c>
      <c r="E81" s="255"/>
      <c r="F81" s="1316" t="s">
        <v>292</v>
      </c>
      <c r="G81" s="1317" t="s">
        <v>239</v>
      </c>
      <c r="H81" s="1282" t="s">
        <v>240</v>
      </c>
      <c r="I81" s="696"/>
      <c r="J81" s="1310" t="s">
        <v>581</v>
      </c>
      <c r="K81" s="1311" t="s">
        <v>239</v>
      </c>
      <c r="L81" s="1312" t="s">
        <v>240</v>
      </c>
      <c r="M81" s="696"/>
      <c r="N81" s="1316" t="s">
        <v>586</v>
      </c>
      <c r="O81" s="1317" t="s">
        <v>239</v>
      </c>
      <c r="P81" s="1282" t="s">
        <v>240</v>
      </c>
      <c r="Q81" s="133"/>
      <c r="R81" s="823"/>
      <c r="S81" s="806"/>
      <c r="T81" s="806"/>
      <c r="U81" s="806"/>
      <c r="V81" s="806"/>
      <c r="W81" s="806"/>
      <c r="X81" s="806"/>
      <c r="Y81" s="806"/>
      <c r="Z81" s="1385"/>
    </row>
    <row r="82" spans="1:26" ht="17.649999999999999" customHeight="1" outlineLevel="1" x14ac:dyDescent="0.25">
      <c r="A82" s="33"/>
      <c r="B82" s="1313" t="s">
        <v>567</v>
      </c>
      <c r="C82" s="455" t="s">
        <v>293</v>
      </c>
      <c r="D82" s="1364">
        <v>0</v>
      </c>
      <c r="E82" s="133"/>
      <c r="F82" s="1313" t="s">
        <v>666</v>
      </c>
      <c r="G82" s="457" t="s">
        <v>243</v>
      </c>
      <c r="H82" s="1336">
        <f>((L36)*D101+(L37)*D102+(L38)*D103+(L39)*D104+(L40+L42)*D105+(L41+L43)*D106)/1000000</f>
        <v>0.60284080793303985</v>
      </c>
      <c r="I82" s="458"/>
      <c r="J82" s="1313" t="s">
        <v>576</v>
      </c>
      <c r="K82" s="457" t="s">
        <v>243</v>
      </c>
      <c r="L82" s="1336">
        <f>D82*D41/1000000</f>
        <v>0</v>
      </c>
      <c r="M82" s="255"/>
      <c r="N82" s="1313" t="s">
        <v>587</v>
      </c>
      <c r="O82" s="455" t="s">
        <v>294</v>
      </c>
      <c r="P82" s="1372">
        <f>IF(AND(O58&lt;&gt;0,O61&lt;&gt;0),(O58+O61)*1000000/(H39+H40),IF(AND(O58&lt;&gt;0,O61=0),O58*1000000/(H39+H40),IF(AND(O61&lt;&gt;0,O58=0),O61*1000000/(H40+H39),0)))</f>
        <v>0</v>
      </c>
      <c r="Q82" s="133"/>
      <c r="R82" s="823"/>
      <c r="S82" s="806"/>
      <c r="T82" s="806"/>
      <c r="U82" s="806"/>
      <c r="V82" s="806"/>
      <c r="W82" s="806"/>
      <c r="X82" s="806"/>
      <c r="Y82" s="806"/>
      <c r="Z82" s="1385"/>
    </row>
    <row r="83" spans="1:26" ht="17.649999999999999" customHeight="1" outlineLevel="1" x14ac:dyDescent="0.25">
      <c r="A83" s="33"/>
      <c r="B83" s="1313" t="s">
        <v>568</v>
      </c>
      <c r="C83" s="455" t="s">
        <v>293</v>
      </c>
      <c r="D83" s="1364">
        <v>0</v>
      </c>
      <c r="E83" s="133"/>
      <c r="F83" s="1313" t="s">
        <v>571</v>
      </c>
      <c r="G83" s="457" t="s">
        <v>243</v>
      </c>
      <c r="H83" s="1336">
        <f>((L44+L45)*D112+(L46+L47)*D111)/1000000</f>
        <v>0</v>
      </c>
      <c r="I83" s="139"/>
      <c r="J83" s="1313" t="s">
        <v>577</v>
      </c>
      <c r="K83" s="457" t="s">
        <v>243</v>
      </c>
      <c r="L83" s="1336">
        <f>D83*D42/1000000</f>
        <v>0</v>
      </c>
      <c r="M83" s="133"/>
      <c r="N83" s="1313" t="s">
        <v>894</v>
      </c>
      <c r="O83" s="455" t="s">
        <v>295</v>
      </c>
      <c r="P83" s="1372">
        <f>IF(O67&lt;&gt;0,O67*1000000/(H37+H38),0)</f>
        <v>0</v>
      </c>
      <c r="Q83" s="133"/>
      <c r="R83" s="823"/>
      <c r="S83" s="806"/>
      <c r="T83" s="806"/>
      <c r="U83" s="806"/>
      <c r="V83" s="806"/>
      <c r="W83" s="806"/>
      <c r="X83" s="806"/>
      <c r="Y83" s="806"/>
      <c r="Z83" s="1385"/>
    </row>
    <row r="84" spans="1:26" ht="17.649999999999999" customHeight="1" outlineLevel="1" x14ac:dyDescent="0.25">
      <c r="A84" s="33"/>
      <c r="B84" s="1313" t="s">
        <v>569</v>
      </c>
      <c r="C84" s="455" t="s">
        <v>293</v>
      </c>
      <c r="D84" s="1364">
        <f>'[3]Arranjos NOVO'!$E$18</f>
        <v>514.64999999999895</v>
      </c>
      <c r="E84" s="133"/>
      <c r="F84" s="1313" t="s">
        <v>667</v>
      </c>
      <c r="G84" s="457" t="s">
        <v>243</v>
      </c>
      <c r="H84" s="1336">
        <f>(L48*D108+L49*D109)/1000000</f>
        <v>0</v>
      </c>
      <c r="I84" s="139"/>
      <c r="J84" s="1313" t="s">
        <v>578</v>
      </c>
      <c r="K84" s="457" t="s">
        <v>243</v>
      </c>
      <c r="L84" s="1336">
        <f>D84*D43/1000000</f>
        <v>11.850125039999973</v>
      </c>
      <c r="M84" s="133"/>
      <c r="N84" s="1313" t="s">
        <v>668</v>
      </c>
      <c r="O84" s="455" t="s">
        <v>296</v>
      </c>
      <c r="P84" s="1372">
        <f>IF(O52&lt;&gt;0,O52*1000000/(SUM(P36:P41)),0)</f>
        <v>0</v>
      </c>
      <c r="Q84" s="133"/>
      <c r="R84" s="823"/>
      <c r="S84" s="806"/>
      <c r="T84" s="806"/>
      <c r="U84" s="806"/>
      <c r="V84" s="806"/>
      <c r="W84" s="806"/>
      <c r="X84" s="806"/>
      <c r="Y84" s="806"/>
      <c r="Z84" s="1385"/>
    </row>
    <row r="85" spans="1:26" ht="17.649999999999999" customHeight="1" outlineLevel="1" x14ac:dyDescent="0.25">
      <c r="A85" s="33"/>
      <c r="B85" s="1402" t="str">
        <f>IF('R-Definição'!$O$120="Sim","Custo Operação Estação Transbordo Coleta Mistos/Rejeitos","")</f>
        <v/>
      </c>
      <c r="C85" s="451" t="str">
        <f>IF('R-Definição'!$O$120="Sim","R$/t","")</f>
        <v/>
      </c>
      <c r="D85" s="1360">
        <f>IF('R-Definição'!$O$120="Sim",10,0)</f>
        <v>0</v>
      </c>
      <c r="E85" s="133"/>
      <c r="F85" s="1313" t="s">
        <v>572</v>
      </c>
      <c r="G85" s="457" t="s">
        <v>243</v>
      </c>
      <c r="H85" s="1336">
        <f>P43*D114/1000000</f>
        <v>7.5541958321864682</v>
      </c>
      <c r="I85" s="139"/>
      <c r="J85" s="1313" t="s">
        <v>579</v>
      </c>
      <c r="K85" s="457" t="s">
        <v>243</v>
      </c>
      <c r="L85" s="1336">
        <f>IF('R-Definição'!O120="Sim",D85*D43/1000000,0)</f>
        <v>0</v>
      </c>
      <c r="M85" s="133"/>
      <c r="N85" s="1313" t="s">
        <v>669</v>
      </c>
      <c r="O85" s="455" t="s">
        <v>296</v>
      </c>
      <c r="P85" s="1372">
        <f>IF(O55&lt;&gt;0,O55*1000000/(SUM(L36:L41)),0)</f>
        <v>32915.589141188451</v>
      </c>
      <c r="Q85" s="133"/>
      <c r="R85" s="823"/>
      <c r="S85" s="806"/>
      <c r="T85" s="806"/>
      <c r="U85" s="806"/>
      <c r="V85" s="806"/>
      <c r="W85" s="806"/>
      <c r="X85" s="806"/>
      <c r="Y85" s="806"/>
      <c r="Z85" s="1385"/>
    </row>
    <row r="86" spans="1:26" ht="17.649999999999999" customHeight="1" outlineLevel="1" x14ac:dyDescent="0.25">
      <c r="A86" s="33"/>
      <c r="B86" s="1313"/>
      <c r="C86" s="457"/>
      <c r="D86" s="1324"/>
      <c r="E86" s="133"/>
      <c r="F86" s="1313" t="s">
        <v>573</v>
      </c>
      <c r="G86" s="457" t="s">
        <v>243</v>
      </c>
      <c r="H86" s="1336">
        <f>P42*D114/1000000</f>
        <v>0</v>
      </c>
      <c r="I86" s="139"/>
      <c r="J86" s="1313"/>
      <c r="K86" s="457"/>
      <c r="L86" s="1336"/>
      <c r="M86" s="133"/>
      <c r="N86" s="1313" t="s">
        <v>588</v>
      </c>
      <c r="O86" s="457" t="s">
        <v>282</v>
      </c>
      <c r="P86" s="1372">
        <f>IF(AND(O64&lt;&gt;0,'R-Definição'!$J$65="Sim"),O64*1000000/P42,0)</f>
        <v>0</v>
      </c>
      <c r="Q86" s="133"/>
      <c r="R86" s="823"/>
      <c r="S86" s="806"/>
      <c r="T86" s="806"/>
      <c r="U86" s="806"/>
      <c r="V86" s="806"/>
      <c r="W86" s="806"/>
      <c r="X86" s="806"/>
      <c r="Y86" s="806"/>
      <c r="Z86" s="1385"/>
    </row>
    <row r="87" spans="1:26" ht="17.649999999999999" customHeight="1" outlineLevel="1" x14ac:dyDescent="0.25">
      <c r="A87" s="33"/>
      <c r="B87" s="1313"/>
      <c r="C87" s="457"/>
      <c r="D87" s="1324"/>
      <c r="E87" s="133"/>
      <c r="F87" s="1313" t="s">
        <v>574</v>
      </c>
      <c r="G87" s="457" t="s">
        <v>243</v>
      </c>
      <c r="H87" s="1336">
        <f>P44*D115/1000000</f>
        <v>0</v>
      </c>
      <c r="I87" s="139"/>
      <c r="J87" s="1313"/>
      <c r="K87" s="457"/>
      <c r="L87" s="1336"/>
      <c r="M87" s="133"/>
      <c r="N87" s="1313" t="s">
        <v>589</v>
      </c>
      <c r="O87" s="457" t="s">
        <v>282</v>
      </c>
      <c r="P87" s="1372">
        <f>IF(O70&lt;&gt;0,O70*1000000/P43,0)</f>
        <v>1143.0157071558322</v>
      </c>
      <c r="Q87" s="133"/>
      <c r="R87" s="823"/>
      <c r="S87" s="806"/>
      <c r="T87" s="806"/>
      <c r="U87" s="806"/>
      <c r="V87" s="806"/>
      <c r="W87" s="806"/>
      <c r="X87" s="806"/>
      <c r="Y87" s="806"/>
      <c r="Z87" s="1385"/>
    </row>
    <row r="88" spans="1:26" ht="17.649999999999999" customHeight="1" outlineLevel="1" x14ac:dyDescent="0.25">
      <c r="A88" s="33"/>
      <c r="B88" s="1313" t="s">
        <v>846</v>
      </c>
      <c r="C88" s="457" t="s">
        <v>293</v>
      </c>
      <c r="D88" s="1360">
        <f>'[3]Arranjos NOVO'!$E$20</f>
        <v>37.099999999999902</v>
      </c>
      <c r="E88" s="133"/>
      <c r="F88" s="1313" t="s">
        <v>730</v>
      </c>
      <c r="G88" s="457" t="s">
        <v>243</v>
      </c>
      <c r="H88" s="1336">
        <f>P45*D117/1000000</f>
        <v>0</v>
      </c>
      <c r="I88" s="139"/>
      <c r="J88" s="1313"/>
      <c r="K88" s="457"/>
      <c r="L88" s="1336"/>
      <c r="M88" s="133"/>
      <c r="N88" s="1313" t="s">
        <v>590</v>
      </c>
      <c r="O88" s="457" t="s">
        <v>282</v>
      </c>
      <c r="P88" s="1372">
        <f>IF(AND(O73&lt;&gt;0,'R-Definição'!$J$123="Sim"),O73*1000000/P44,0)</f>
        <v>0</v>
      </c>
      <c r="Q88" s="133"/>
      <c r="R88" s="823"/>
      <c r="S88" s="806"/>
      <c r="T88" s="806"/>
      <c r="U88" s="806"/>
      <c r="V88" s="806"/>
      <c r="W88" s="806"/>
      <c r="X88" s="806"/>
      <c r="Y88" s="806"/>
      <c r="Z88" s="1385"/>
    </row>
    <row r="89" spans="1:26" ht="17.649999999999999" customHeight="1" outlineLevel="1" x14ac:dyDescent="0.25">
      <c r="A89" s="33"/>
      <c r="B89" s="1313" t="str">
        <f>IF('R-Definição'!$E$121="Existente","Custo para Disposição Aterro Sanitário","Custo calculado na Aba 'Aterro Sanitário'")</f>
        <v>Custo calculado na Aba 'Aterro Sanitário'</v>
      </c>
      <c r="C89" s="457" t="s">
        <v>293</v>
      </c>
      <c r="D89" s="1360">
        <v>0</v>
      </c>
      <c r="E89" s="133"/>
      <c r="F89" s="1313" t="s">
        <v>731</v>
      </c>
      <c r="G89" s="457" t="s">
        <v>243</v>
      </c>
      <c r="H89" s="1336">
        <f>P46*D118/1000000</f>
        <v>0</v>
      </c>
      <c r="I89" s="139"/>
      <c r="J89" s="1298"/>
      <c r="K89" s="457"/>
      <c r="L89" s="1337"/>
      <c r="M89" s="133"/>
      <c r="N89" s="1313" t="s">
        <v>591</v>
      </c>
      <c r="O89" s="455" t="s">
        <v>297</v>
      </c>
      <c r="P89" s="1372">
        <f>IF(AND(O64&lt;&gt;0,'R-Definição'!$J$65="Não"),O64*1000000/P45,0)</f>
        <v>0</v>
      </c>
      <c r="Q89" s="133"/>
      <c r="R89" s="823"/>
      <c r="S89" s="806"/>
      <c r="T89" s="806"/>
      <c r="U89" s="806"/>
      <c r="V89" s="806"/>
      <c r="W89" s="806"/>
      <c r="X89" s="806"/>
      <c r="Y89" s="806"/>
      <c r="Z89" s="1385"/>
    </row>
    <row r="90" spans="1:26" ht="17.649999999999999" customHeight="1" outlineLevel="1" thickBot="1" x14ac:dyDescent="0.3">
      <c r="A90" s="33"/>
      <c r="B90" s="1313" t="s">
        <v>845</v>
      </c>
      <c r="C90" s="457" t="s">
        <v>293</v>
      </c>
      <c r="D90" s="1360">
        <v>250</v>
      </c>
      <c r="E90" s="133"/>
      <c r="F90" s="1346" t="s">
        <v>844</v>
      </c>
      <c r="G90" s="701" t="s">
        <v>243</v>
      </c>
      <c r="H90" s="1347">
        <f>((P36)*D101+(P37)*D102+(P38)*D103+(P39)*D104+(P40)*D105+(P41)*D106)/1000000</f>
        <v>0</v>
      </c>
      <c r="I90" s="139"/>
      <c r="J90" s="1298"/>
      <c r="K90" s="457"/>
      <c r="L90" s="1337"/>
      <c r="M90" s="133"/>
      <c r="N90" s="1315" t="s">
        <v>433</v>
      </c>
      <c r="O90" s="1335" t="s">
        <v>297</v>
      </c>
      <c r="P90" s="1368" t="e">
        <f>IF(AND(O73&lt;&gt;0,'R-Definição'!$J$124="Sim"),O73*1000000/P46,0)</f>
        <v>#DIV/0!</v>
      </c>
      <c r="Q90" s="133"/>
      <c r="R90" s="823"/>
      <c r="S90" s="806"/>
      <c r="T90" s="806"/>
      <c r="U90" s="806"/>
      <c r="V90" s="806"/>
      <c r="W90" s="806"/>
      <c r="X90" s="806"/>
      <c r="Y90" s="806"/>
      <c r="Z90" s="1385"/>
    </row>
    <row r="91" spans="1:26" ht="17.649999999999999" customHeight="1" outlineLevel="1" thickTop="1" x14ac:dyDescent="0.25">
      <c r="A91" s="33"/>
      <c r="B91" s="1313" t="s">
        <v>1033</v>
      </c>
      <c r="C91" s="457" t="s">
        <v>1034</v>
      </c>
      <c r="D91" s="1360">
        <v>15</v>
      </c>
      <c r="E91" s="133"/>
      <c r="F91" s="1348" t="s">
        <v>736</v>
      </c>
      <c r="G91" s="241" t="s">
        <v>243</v>
      </c>
      <c r="H91" s="1339">
        <f>SUM(H82:H89)</f>
        <v>8.1570366401195074</v>
      </c>
      <c r="I91" s="244"/>
      <c r="J91" s="1338" t="s">
        <v>512</v>
      </c>
      <c r="K91" s="241" t="s">
        <v>243</v>
      </c>
      <c r="L91" s="1339">
        <f>SUM(L82:L85)</f>
        <v>11.850125039999973</v>
      </c>
      <c r="M91" s="133"/>
      <c r="N91" s="244"/>
      <c r="O91" s="133"/>
      <c r="P91" s="133"/>
      <c r="Q91" s="133"/>
      <c r="R91" s="823"/>
      <c r="S91" s="806"/>
      <c r="T91" s="806"/>
      <c r="U91" s="806"/>
      <c r="V91" s="806"/>
      <c r="W91" s="806"/>
      <c r="X91" s="806"/>
      <c r="Y91" s="806"/>
      <c r="Z91" s="1385"/>
    </row>
    <row r="92" spans="1:26" ht="17.649999999999999" customHeight="1" outlineLevel="1" x14ac:dyDescent="0.25">
      <c r="A92" s="33"/>
      <c r="B92" s="1313"/>
      <c r="C92" s="457"/>
      <c r="D92" s="1324"/>
      <c r="E92" s="133"/>
      <c r="F92" s="1298" t="s">
        <v>298</v>
      </c>
      <c r="G92" s="457" t="s">
        <v>293</v>
      </c>
      <c r="H92" s="1324">
        <f>H91*1000000/D40</f>
        <v>354.25946077928512</v>
      </c>
      <c r="I92" s="139"/>
      <c r="J92" s="1313" t="s">
        <v>580</v>
      </c>
      <c r="K92" s="457" t="s">
        <v>293</v>
      </c>
      <c r="L92" s="1324">
        <f>L91*1000000/D40</f>
        <v>514.64999999999884</v>
      </c>
      <c r="M92" s="133"/>
      <c r="N92" s="133"/>
      <c r="O92" s="133"/>
      <c r="P92" s="133"/>
      <c r="Q92" s="133"/>
      <c r="R92" s="823"/>
      <c r="S92" s="806"/>
      <c r="T92" s="806"/>
      <c r="U92" s="806"/>
      <c r="V92" s="806"/>
      <c r="W92" s="806"/>
      <c r="X92" s="806"/>
      <c r="Y92" s="806"/>
      <c r="Z92" s="1385"/>
    </row>
    <row r="93" spans="1:26" ht="15" customHeight="1" outlineLevel="1" thickBot="1" x14ac:dyDescent="0.3">
      <c r="A93" s="33"/>
      <c r="B93" s="1315"/>
      <c r="C93" s="1301"/>
      <c r="D93" s="1741"/>
      <c r="E93" s="133"/>
      <c r="F93" s="1300" t="s">
        <v>732</v>
      </c>
      <c r="G93" s="1301" t="s">
        <v>837</v>
      </c>
      <c r="H93" s="1340">
        <f>H92*($D$7*30/$D$6)</f>
        <v>1.9055786270680721</v>
      </c>
      <c r="I93" s="139"/>
      <c r="J93" s="1315" t="s">
        <v>733</v>
      </c>
      <c r="K93" s="1301" t="s">
        <v>250</v>
      </c>
      <c r="L93" s="1340">
        <f>L92*($D$7*30/$D$6)</f>
        <v>2.7683270286226516</v>
      </c>
      <c r="M93" s="133"/>
      <c r="N93" s="133"/>
      <c r="O93" s="133"/>
      <c r="P93" s="133"/>
      <c r="Q93" s="133"/>
      <c r="R93" s="823"/>
      <c r="S93" s="806"/>
      <c r="T93" s="806"/>
      <c r="U93" s="806"/>
      <c r="V93" s="806"/>
      <c r="W93" s="806"/>
      <c r="X93" s="806"/>
      <c r="Y93" s="806"/>
      <c r="Z93" s="1385"/>
    </row>
    <row r="94" spans="1:26" s="691" customFormat="1" ht="19.899999999999999" customHeight="1" outlineLevel="1" thickTop="1" thickBot="1" x14ac:dyDescent="0.3">
      <c r="A94" s="38"/>
      <c r="B94" s="692"/>
      <c r="C94" s="133"/>
      <c r="D94" s="133"/>
      <c r="F94" s="692"/>
      <c r="G94" s="139"/>
      <c r="H94" s="139"/>
      <c r="I94" s="139"/>
      <c r="J94" s="139"/>
      <c r="K94" s="227"/>
      <c r="L94" s="139"/>
      <c r="M94" s="133"/>
      <c r="N94" s="133"/>
      <c r="O94" s="133"/>
      <c r="P94" s="133"/>
      <c r="Q94" s="38"/>
      <c r="R94" s="821"/>
      <c r="S94" s="822"/>
      <c r="T94" s="822"/>
      <c r="U94" s="822"/>
      <c r="V94" s="822"/>
      <c r="W94" s="822"/>
      <c r="X94" s="822"/>
      <c r="Y94" s="822"/>
      <c r="Z94" s="1391"/>
    </row>
    <row r="95" spans="1:26" s="691" customFormat="1" ht="19.899999999999999" customHeight="1" outlineLevel="1" thickTop="1" thickBot="1" x14ac:dyDescent="0.3">
      <c r="A95" s="38"/>
      <c r="B95" s="2807" t="s">
        <v>794</v>
      </c>
      <c r="C95" s="2808"/>
      <c r="D95" s="2808"/>
      <c r="E95" s="2808"/>
      <c r="F95" s="2808"/>
      <c r="G95" s="2808"/>
      <c r="H95" s="2808"/>
      <c r="I95" s="2808"/>
      <c r="J95" s="2808"/>
      <c r="K95" s="2808"/>
      <c r="L95" s="2809"/>
      <c r="M95" s="38"/>
      <c r="N95" s="38"/>
      <c r="O95" s="38"/>
      <c r="P95" s="38"/>
      <c r="Q95" s="38"/>
      <c r="R95" s="821"/>
      <c r="S95" s="822"/>
      <c r="T95" s="822"/>
      <c r="U95" s="822"/>
      <c r="V95" s="822"/>
      <c r="W95" s="822"/>
      <c r="X95" s="822"/>
      <c r="Y95" s="822"/>
      <c r="Z95" s="1391"/>
    </row>
    <row r="96" spans="1:26" ht="10.15" customHeight="1" outlineLevel="1" thickTop="1" thickBot="1" x14ac:dyDescent="0.3">
      <c r="A96" s="33"/>
      <c r="B96" s="692"/>
      <c r="C96" s="133"/>
      <c r="D96" s="133"/>
      <c r="E96" s="133"/>
      <c r="F96" s="98"/>
      <c r="G96" s="98"/>
      <c r="H96" s="98"/>
      <c r="I96" s="98"/>
      <c r="J96" s="98"/>
      <c r="K96" s="98"/>
      <c r="L96" s="98"/>
      <c r="M96" s="133"/>
      <c r="N96" s="133"/>
      <c r="O96" s="133"/>
      <c r="P96" s="133"/>
      <c r="Q96" s="133"/>
      <c r="R96" s="823"/>
      <c r="S96" s="806"/>
      <c r="T96" s="806"/>
      <c r="U96" s="806"/>
      <c r="V96" s="806"/>
      <c r="W96" s="806"/>
      <c r="X96" s="806"/>
      <c r="Y96" s="806"/>
      <c r="Z96" s="1385"/>
    </row>
    <row r="97" spans="1:26" ht="17.649999999999999" customHeight="1" outlineLevel="1" thickTop="1" x14ac:dyDescent="0.25">
      <c r="A97" s="33"/>
      <c r="B97" s="1319" t="s">
        <v>570</v>
      </c>
      <c r="C97" s="1320" t="s">
        <v>239</v>
      </c>
      <c r="D97" s="1321" t="s">
        <v>240</v>
      </c>
      <c r="E97" s="133"/>
      <c r="F97" s="1316" t="s">
        <v>585</v>
      </c>
      <c r="G97" s="1317" t="s">
        <v>239</v>
      </c>
      <c r="H97" s="1282" t="s">
        <v>240</v>
      </c>
      <c r="I97" s="686"/>
      <c r="J97" s="1316" t="s">
        <v>582</v>
      </c>
      <c r="K97" s="1317" t="s">
        <v>239</v>
      </c>
      <c r="L97" s="1282" t="s">
        <v>240</v>
      </c>
      <c r="M97" s="38"/>
      <c r="N97" s="38"/>
      <c r="O97" s="38"/>
      <c r="P97" s="38"/>
      <c r="Q97" s="133"/>
      <c r="R97" s="823"/>
      <c r="S97" s="806"/>
      <c r="T97" s="806"/>
      <c r="U97" s="806"/>
      <c r="V97" s="806"/>
      <c r="W97" s="806"/>
      <c r="X97" s="806"/>
      <c r="Y97" s="806"/>
      <c r="Z97" s="1385"/>
    </row>
    <row r="98" spans="1:26" ht="17.649999999999999" customHeight="1" outlineLevel="1" x14ac:dyDescent="0.25">
      <c r="A98" s="33"/>
      <c r="B98" s="1260" t="s">
        <v>924</v>
      </c>
      <c r="C98" s="240" t="s">
        <v>259</v>
      </c>
      <c r="D98" s="1322" t="s">
        <v>6</v>
      </c>
      <c r="E98" s="133"/>
      <c r="F98" s="1260" t="s">
        <v>575</v>
      </c>
      <c r="G98" s="210" t="s">
        <v>243</v>
      </c>
      <c r="H98" s="1365">
        <f>O78+H9</f>
        <v>28.703929512511518</v>
      </c>
      <c r="I98" s="139"/>
      <c r="J98" s="1260" t="s">
        <v>583</v>
      </c>
      <c r="K98" s="210" t="s">
        <v>243</v>
      </c>
      <c r="L98" s="1365">
        <f>H98+L91</f>
        <v>40.554054552511488</v>
      </c>
      <c r="M98" s="133"/>
      <c r="N98" s="133"/>
      <c r="O98" s="133"/>
      <c r="P98" s="133"/>
      <c r="Q98" s="133"/>
      <c r="R98" s="823"/>
      <c r="S98" s="806"/>
      <c r="T98" s="806"/>
      <c r="U98" s="806"/>
      <c r="V98" s="806"/>
      <c r="W98" s="806"/>
      <c r="X98" s="806"/>
      <c r="Y98" s="806"/>
      <c r="Z98" s="1385"/>
    </row>
    <row r="99" spans="1:26" ht="17.649999999999999" customHeight="1" outlineLevel="1" thickBot="1" x14ac:dyDescent="0.3">
      <c r="A99" s="33"/>
      <c r="B99" s="1313" t="s">
        <v>925</v>
      </c>
      <c r="C99" s="457" t="s">
        <v>194</v>
      </c>
      <c r="D99" s="1539">
        <v>1</v>
      </c>
      <c r="E99" s="133"/>
      <c r="F99" s="1313" t="s">
        <v>575</v>
      </c>
      <c r="G99" s="457" t="s">
        <v>293</v>
      </c>
      <c r="H99" s="1370">
        <f>H98*1000000/D40</f>
        <v>1246.6094048585712</v>
      </c>
      <c r="I99" s="139"/>
      <c r="J99" s="1313" t="s">
        <v>584</v>
      </c>
      <c r="K99" s="457" t="s">
        <v>293</v>
      </c>
      <c r="L99" s="1370">
        <f>L98*1000000/D40</f>
        <v>1761.2594048585702</v>
      </c>
      <c r="M99" s="133"/>
      <c r="N99" s="133"/>
      <c r="O99" s="133"/>
      <c r="P99" s="133"/>
      <c r="Q99" s="133"/>
      <c r="R99" s="823"/>
      <c r="S99" s="806"/>
      <c r="T99" s="806"/>
      <c r="U99" s="806"/>
      <c r="V99" s="806"/>
      <c r="W99" s="806"/>
      <c r="X99" s="806"/>
      <c r="Y99" s="806"/>
      <c r="Z99" s="1385"/>
    </row>
    <row r="100" spans="1:26" ht="17.649999999999999" customHeight="1" outlineLevel="1" thickTop="1" thickBot="1" x14ac:dyDescent="0.3">
      <c r="A100" s="33"/>
      <c r="B100" s="1313" t="s">
        <v>965</v>
      </c>
      <c r="C100" s="457" t="s">
        <v>194</v>
      </c>
      <c r="D100" s="1323">
        <v>0.25</v>
      </c>
      <c r="E100" s="133"/>
      <c r="F100" s="1315" t="s">
        <v>734</v>
      </c>
      <c r="G100" s="1301" t="s">
        <v>837</v>
      </c>
      <c r="H100" s="1371">
        <f>H99*($D$7*30/$D$6)</f>
        <v>6.7055717664532946</v>
      </c>
      <c r="I100" s="139"/>
      <c r="J100" s="1315" t="s">
        <v>735</v>
      </c>
      <c r="K100" s="1301" t="s">
        <v>250</v>
      </c>
      <c r="L100" s="1371">
        <f>L99*($D$7*30/$D$6)</f>
        <v>9.4738987950759466</v>
      </c>
      <c r="M100" s="133"/>
      <c r="N100" s="133"/>
      <c r="O100" s="133"/>
      <c r="P100" s="133"/>
      <c r="Q100" s="133"/>
      <c r="R100" s="823"/>
      <c r="S100" s="806"/>
      <c r="T100" s="806"/>
      <c r="U100" s="806"/>
      <c r="V100" s="806"/>
      <c r="W100" s="806"/>
      <c r="X100" s="806"/>
      <c r="Y100" s="806"/>
      <c r="Z100" s="1385"/>
    </row>
    <row r="101" spans="1:26" ht="17.649999999999999" customHeight="1" outlineLevel="1" thickTop="1" x14ac:dyDescent="0.25">
      <c r="A101" s="33"/>
      <c r="B101" s="1313" t="s">
        <v>951</v>
      </c>
      <c r="C101" s="455" t="s">
        <v>293</v>
      </c>
      <c r="D101" s="1369">
        <v>300</v>
      </c>
      <c r="E101" s="133"/>
      <c r="F101" s="136"/>
      <c r="G101" s="133"/>
      <c r="H101" s="133"/>
      <c r="I101" s="133"/>
      <c r="J101" s="133"/>
      <c r="K101" s="98"/>
      <c r="L101" s="133"/>
      <c r="M101" s="133"/>
      <c r="N101" s="133"/>
      <c r="O101" s="133"/>
      <c r="P101" s="133"/>
      <c r="Q101" s="133"/>
      <c r="R101" s="823"/>
      <c r="S101" s="806"/>
      <c r="T101" s="806"/>
      <c r="U101" s="806"/>
      <c r="V101" s="806"/>
      <c r="W101" s="806"/>
      <c r="X101" s="806"/>
      <c r="Y101" s="806"/>
      <c r="Z101" s="1385"/>
    </row>
    <row r="102" spans="1:26" ht="17.649999999999999" customHeight="1" outlineLevel="1" x14ac:dyDescent="0.25">
      <c r="A102" s="33"/>
      <c r="B102" s="1313" t="s">
        <v>952</v>
      </c>
      <c r="C102" s="455" t="s">
        <v>293</v>
      </c>
      <c r="D102" s="1369">
        <v>750</v>
      </c>
      <c r="E102" s="133"/>
      <c r="F102" s="136"/>
      <c r="G102" s="133"/>
      <c r="H102" s="133"/>
      <c r="I102" s="133"/>
      <c r="J102" s="133"/>
      <c r="K102" s="98"/>
      <c r="L102" s="133"/>
      <c r="M102" s="133"/>
      <c r="N102" s="133"/>
      <c r="O102" s="133"/>
      <c r="P102" s="133"/>
      <c r="Q102" s="133"/>
      <c r="R102" s="823"/>
      <c r="S102" s="806"/>
      <c r="T102" s="806"/>
      <c r="U102" s="806"/>
      <c r="V102" s="806"/>
      <c r="W102" s="806"/>
      <c r="X102" s="806"/>
      <c r="Y102" s="806"/>
      <c r="Z102" s="1385"/>
    </row>
    <row r="103" spans="1:26" ht="17.649999999999999" customHeight="1" outlineLevel="1" x14ac:dyDescent="0.25">
      <c r="A103" s="33"/>
      <c r="B103" s="1313" t="s">
        <v>953</v>
      </c>
      <c r="C103" s="455" t="s">
        <v>293</v>
      </c>
      <c r="D103" s="1369">
        <v>1250</v>
      </c>
      <c r="E103" s="133"/>
      <c r="F103" s="136"/>
      <c r="G103" s="133"/>
      <c r="H103" s="133"/>
      <c r="I103" s="133"/>
      <c r="J103" s="133"/>
      <c r="K103" s="98"/>
      <c r="L103" s="133"/>
      <c r="M103" s="133"/>
      <c r="N103" s="133"/>
      <c r="O103" s="133"/>
      <c r="P103" s="133"/>
      <c r="Q103" s="133"/>
      <c r="R103" s="823"/>
      <c r="S103" s="806"/>
      <c r="T103" s="806"/>
      <c r="U103" s="806"/>
      <c r="V103" s="806"/>
      <c r="W103" s="806"/>
      <c r="X103" s="806"/>
      <c r="Y103" s="806"/>
      <c r="Z103" s="1385"/>
    </row>
    <row r="104" spans="1:26" ht="17.649999999999999" customHeight="1" outlineLevel="1" x14ac:dyDescent="0.25">
      <c r="A104" s="33"/>
      <c r="B104" s="1313" t="s">
        <v>954</v>
      </c>
      <c r="C104" s="239" t="s">
        <v>293</v>
      </c>
      <c r="D104" s="1369">
        <v>50</v>
      </c>
      <c r="E104" s="133"/>
      <c r="F104" s="1493"/>
      <c r="G104" s="133"/>
      <c r="H104" s="133"/>
      <c r="I104" s="133"/>
      <c r="J104" s="133"/>
      <c r="K104" s="98"/>
      <c r="L104" s="133"/>
      <c r="M104" s="133"/>
      <c r="N104" s="133"/>
      <c r="O104" s="133"/>
      <c r="P104" s="133"/>
      <c r="Q104" s="133"/>
      <c r="R104" s="823"/>
      <c r="S104" s="806"/>
      <c r="T104" s="806"/>
      <c r="U104" s="806"/>
      <c r="V104" s="806"/>
      <c r="W104" s="806"/>
      <c r="X104" s="806"/>
      <c r="Y104" s="806"/>
      <c r="Z104" s="1385"/>
    </row>
    <row r="105" spans="1:26" ht="17.649999999999999" customHeight="1" outlineLevel="1" x14ac:dyDescent="0.25">
      <c r="A105" s="33"/>
      <c r="B105" s="1313" t="s">
        <v>955</v>
      </c>
      <c r="C105" s="457" t="s">
        <v>293</v>
      </c>
      <c r="D105" s="1358">
        <v>570</v>
      </c>
      <c r="E105" s="133"/>
      <c r="F105" s="136"/>
      <c r="G105" s="133"/>
      <c r="H105" s="133"/>
      <c r="I105" s="133"/>
      <c r="J105" s="133"/>
      <c r="K105" s="98"/>
      <c r="L105" s="133"/>
      <c r="M105" s="133"/>
      <c r="N105" s="133"/>
      <c r="O105" s="133"/>
      <c r="P105" s="133"/>
      <c r="Q105" s="133"/>
      <c r="R105" s="823"/>
      <c r="S105" s="806"/>
      <c r="T105" s="806"/>
      <c r="U105" s="806"/>
      <c r="V105" s="806"/>
      <c r="W105" s="806"/>
      <c r="X105" s="806"/>
      <c r="Y105" s="806"/>
      <c r="Z105" s="1385"/>
    </row>
    <row r="106" spans="1:26" ht="17.649999999999999" customHeight="1" outlineLevel="1" x14ac:dyDescent="0.25">
      <c r="A106" s="33"/>
      <c r="B106" s="1313" t="s">
        <v>956</v>
      </c>
      <c r="C106" s="457" t="s">
        <v>293</v>
      </c>
      <c r="D106" s="1369">
        <v>900</v>
      </c>
      <c r="E106" s="133"/>
      <c r="F106" s="136"/>
      <c r="G106" s="133"/>
      <c r="H106" s="133"/>
      <c r="I106" s="133"/>
      <c r="J106" s="133"/>
      <c r="K106" s="98"/>
      <c r="L106" s="133"/>
      <c r="M106" s="133"/>
      <c r="N106" s="133"/>
      <c r="O106" s="133"/>
      <c r="P106" s="133"/>
      <c r="Q106" s="133"/>
      <c r="R106" s="823"/>
      <c r="S106" s="806"/>
      <c r="T106" s="806"/>
      <c r="U106" s="806"/>
      <c r="V106" s="806"/>
      <c r="W106" s="806"/>
      <c r="X106" s="806"/>
      <c r="Y106" s="806"/>
      <c r="Z106" s="1385"/>
    </row>
    <row r="107" spans="1:26" ht="17.649999999999999" customHeight="1" outlineLevel="1" x14ac:dyDescent="0.25">
      <c r="A107" s="33"/>
      <c r="B107" s="1313"/>
      <c r="C107" s="457"/>
      <c r="D107" s="1324"/>
      <c r="E107" s="133"/>
      <c r="F107" s="136"/>
      <c r="G107" s="133"/>
      <c r="H107" s="133"/>
      <c r="I107" s="133"/>
      <c r="J107" s="133"/>
      <c r="K107" s="98"/>
      <c r="L107" s="133"/>
      <c r="M107" s="133"/>
      <c r="N107" s="133"/>
      <c r="O107" s="133"/>
      <c r="P107" s="133"/>
      <c r="Q107" s="133"/>
      <c r="R107" s="823"/>
      <c r="S107" s="806"/>
      <c r="T107" s="806"/>
      <c r="U107" s="806"/>
      <c r="V107" s="806"/>
      <c r="W107" s="806"/>
      <c r="X107" s="806"/>
      <c r="Y107" s="806"/>
      <c r="Z107" s="1385"/>
    </row>
    <row r="108" spans="1:26" ht="17.649999999999999" customHeight="1" outlineLevel="1" x14ac:dyDescent="0.25">
      <c r="A108" s="33"/>
      <c r="B108" s="1313" t="s">
        <v>957</v>
      </c>
      <c r="C108" s="457" t="s">
        <v>293</v>
      </c>
      <c r="D108" s="1358">
        <v>0</v>
      </c>
      <c r="E108" s="133"/>
      <c r="F108" s="136"/>
      <c r="G108" s="133"/>
      <c r="H108" s="133"/>
      <c r="I108" s="133"/>
      <c r="J108" s="133"/>
      <c r="K108" s="98"/>
      <c r="L108" s="133"/>
      <c r="M108" s="133"/>
      <c r="N108" s="133"/>
      <c r="O108" s="133"/>
      <c r="P108" s="133"/>
      <c r="Q108" s="133"/>
      <c r="R108" s="823"/>
      <c r="S108" s="806"/>
      <c r="T108" s="806"/>
      <c r="U108" s="806"/>
      <c r="V108" s="806"/>
      <c r="W108" s="806"/>
      <c r="X108" s="806"/>
      <c r="Y108" s="806"/>
      <c r="Z108" s="1385"/>
    </row>
    <row r="109" spans="1:26" ht="17.649999999999999" customHeight="1" outlineLevel="1" x14ac:dyDescent="0.25">
      <c r="A109" s="33"/>
      <c r="B109" s="1313" t="s">
        <v>958</v>
      </c>
      <c r="C109" s="457" t="s">
        <v>293</v>
      </c>
      <c r="D109" s="1358">
        <v>0</v>
      </c>
      <c r="E109" s="133"/>
      <c r="F109" s="136"/>
      <c r="G109" s="133"/>
      <c r="H109" s="133"/>
      <c r="I109" s="133"/>
      <c r="J109" s="133"/>
      <c r="K109" s="98"/>
      <c r="L109" s="133"/>
      <c r="M109" s="133"/>
      <c r="N109" s="133"/>
      <c r="O109" s="133"/>
      <c r="P109" s="133"/>
      <c r="Q109" s="133"/>
      <c r="R109" s="823"/>
      <c r="S109" s="806"/>
      <c r="T109" s="806"/>
      <c r="U109" s="806"/>
      <c r="V109" s="806"/>
      <c r="W109" s="806"/>
      <c r="X109" s="806"/>
      <c r="Y109" s="806"/>
      <c r="Z109" s="1385"/>
    </row>
    <row r="110" spans="1:26" ht="17.649999999999999" customHeight="1" outlineLevel="1" x14ac:dyDescent="0.25">
      <c r="A110" s="33"/>
      <c r="B110" s="1313"/>
      <c r="C110" s="457"/>
      <c r="D110" s="1324"/>
      <c r="E110" s="133"/>
      <c r="F110" s="136"/>
      <c r="G110" s="133"/>
      <c r="H110" s="133"/>
      <c r="I110" s="133"/>
      <c r="J110" s="133"/>
      <c r="K110" s="98"/>
      <c r="L110" s="133"/>
      <c r="M110" s="133"/>
      <c r="N110" s="133"/>
      <c r="O110" s="133"/>
      <c r="P110" s="133"/>
      <c r="Q110" s="133"/>
      <c r="R110" s="823"/>
      <c r="S110" s="806"/>
      <c r="T110" s="806"/>
      <c r="U110" s="806"/>
      <c r="V110" s="806"/>
      <c r="W110" s="806"/>
      <c r="X110" s="806"/>
      <c r="Y110" s="806"/>
      <c r="Z110" s="1385"/>
    </row>
    <row r="111" spans="1:26" ht="17.649999999999999" customHeight="1" outlineLevel="1" x14ac:dyDescent="0.25">
      <c r="A111" s="33"/>
      <c r="B111" s="1313" t="s">
        <v>959</v>
      </c>
      <c r="C111" s="457" t="s">
        <v>293</v>
      </c>
      <c r="D111" s="1358">
        <v>100</v>
      </c>
      <c r="E111" s="133"/>
      <c r="F111" s="136"/>
      <c r="G111" s="133"/>
      <c r="H111" s="133"/>
      <c r="I111" s="133"/>
      <c r="J111" s="133"/>
      <c r="K111" s="98"/>
      <c r="L111" s="133"/>
      <c r="M111" s="133"/>
      <c r="N111" s="133"/>
      <c r="O111" s="133"/>
      <c r="P111" s="133"/>
      <c r="Q111" s="133"/>
      <c r="R111" s="823"/>
      <c r="S111" s="806"/>
      <c r="T111" s="806"/>
      <c r="U111" s="806"/>
      <c r="V111" s="806"/>
      <c r="W111" s="806"/>
      <c r="X111" s="806"/>
      <c r="Y111" s="806"/>
      <c r="Z111" s="1385"/>
    </row>
    <row r="112" spans="1:26" ht="17.649999999999999" customHeight="1" outlineLevel="1" x14ac:dyDescent="0.25">
      <c r="A112" s="33"/>
      <c r="B112" s="1313" t="s">
        <v>960</v>
      </c>
      <c r="C112" s="457" t="s">
        <v>293</v>
      </c>
      <c r="D112" s="1358">
        <v>100</v>
      </c>
      <c r="E112" s="133"/>
      <c r="F112" s="136"/>
      <c r="G112" s="133"/>
      <c r="H112" s="133"/>
      <c r="I112" s="133"/>
      <c r="J112" s="133"/>
      <c r="K112" s="98"/>
      <c r="L112" s="133"/>
      <c r="M112" s="133"/>
      <c r="N112" s="133"/>
      <c r="O112" s="133"/>
      <c r="P112" s="133"/>
      <c r="Q112" s="133"/>
      <c r="R112" s="823"/>
      <c r="S112" s="806"/>
      <c r="T112" s="806"/>
      <c r="U112" s="806"/>
      <c r="V112" s="806"/>
      <c r="W112" s="806"/>
      <c r="X112" s="806"/>
      <c r="Y112" s="806"/>
      <c r="Z112" s="1385"/>
    </row>
    <row r="113" spans="1:26" ht="17.649999999999999" customHeight="1" outlineLevel="1" x14ac:dyDescent="0.25">
      <c r="A113" s="33"/>
      <c r="B113" s="1313"/>
      <c r="C113" s="457"/>
      <c r="D113" s="1324"/>
      <c r="E113" s="133"/>
      <c r="F113" s="136"/>
      <c r="G113" s="133"/>
      <c r="H113" s="133"/>
      <c r="I113" s="133"/>
      <c r="J113" s="133"/>
      <c r="K113" s="98"/>
      <c r="L113" s="133"/>
      <c r="M113" s="133"/>
      <c r="N113" s="133"/>
      <c r="O113" s="133"/>
      <c r="P113" s="133"/>
      <c r="Q113" s="133"/>
      <c r="R113" s="823"/>
      <c r="S113" s="806"/>
      <c r="T113" s="806"/>
      <c r="U113" s="806"/>
      <c r="V113" s="806"/>
      <c r="W113" s="806"/>
      <c r="X113" s="806"/>
      <c r="Y113" s="806"/>
      <c r="Z113" s="1385"/>
    </row>
    <row r="114" spans="1:26" ht="17.649999999999999" customHeight="1" outlineLevel="1" x14ac:dyDescent="0.25">
      <c r="A114" s="33"/>
      <c r="B114" s="1313" t="s">
        <v>961</v>
      </c>
      <c r="C114" s="457" t="s">
        <v>282</v>
      </c>
      <c r="D114" s="1358">
        <v>500</v>
      </c>
      <c r="E114" s="133"/>
      <c r="F114" s="136"/>
      <c r="G114" s="133"/>
      <c r="H114" s="133"/>
      <c r="I114" s="133"/>
      <c r="J114" s="133"/>
      <c r="K114" s="98"/>
      <c r="L114" s="133"/>
      <c r="M114" s="133"/>
      <c r="N114" s="133"/>
      <c r="O114" s="133"/>
      <c r="P114" s="133"/>
      <c r="Q114" s="133"/>
      <c r="R114" s="823"/>
      <c r="S114" s="806"/>
      <c r="T114" s="806"/>
      <c r="U114" s="806"/>
      <c r="V114" s="806"/>
      <c r="W114" s="806"/>
      <c r="X114" s="806"/>
      <c r="Y114" s="806"/>
      <c r="Z114" s="1385"/>
    </row>
    <row r="115" spans="1:26" ht="17.649999999999999" customHeight="1" outlineLevel="1" x14ac:dyDescent="0.25">
      <c r="A115" s="33"/>
      <c r="B115" s="1313" t="s">
        <v>962</v>
      </c>
      <c r="C115" s="457" t="s">
        <v>282</v>
      </c>
      <c r="D115" s="1358">
        <v>500</v>
      </c>
      <c r="E115" s="133"/>
      <c r="F115" s="136"/>
      <c r="G115" s="133"/>
      <c r="H115" s="133"/>
      <c r="I115" s="133"/>
      <c r="J115" s="133"/>
      <c r="K115" s="98"/>
      <c r="L115" s="133"/>
      <c r="M115" s="133"/>
      <c r="N115" s="133"/>
      <c r="O115" s="133"/>
      <c r="P115" s="133"/>
      <c r="Q115" s="133"/>
      <c r="R115" s="823"/>
      <c r="S115" s="806"/>
      <c r="T115" s="806"/>
      <c r="U115" s="806"/>
      <c r="V115" s="806"/>
      <c r="W115" s="806"/>
      <c r="X115" s="806"/>
      <c r="Y115" s="806"/>
      <c r="Z115" s="1385"/>
    </row>
    <row r="116" spans="1:26" ht="18" customHeight="1" outlineLevel="1" x14ac:dyDescent="0.25">
      <c r="B116" s="1313"/>
      <c r="C116" s="457"/>
      <c r="D116" s="1324"/>
      <c r="E116" s="77"/>
      <c r="F116" s="77"/>
      <c r="G116" s="77"/>
      <c r="H116" s="77"/>
      <c r="I116" s="77"/>
      <c r="J116" s="77"/>
      <c r="K116" s="216"/>
      <c r="L116" s="77"/>
      <c r="M116" s="77"/>
      <c r="N116" s="77"/>
      <c r="O116" s="77"/>
      <c r="P116" s="77"/>
      <c r="Q116" s="77"/>
      <c r="R116" s="824"/>
    </row>
    <row r="117" spans="1:26" ht="15" customHeight="1" outlineLevel="1" x14ac:dyDescent="0.25">
      <c r="B117" s="1313" t="s">
        <v>963</v>
      </c>
      <c r="C117" s="457" t="s">
        <v>297</v>
      </c>
      <c r="D117" s="1358">
        <v>1.5</v>
      </c>
    </row>
    <row r="118" spans="1:26" ht="15" customHeight="1" outlineLevel="1" thickBot="1" x14ac:dyDescent="0.3">
      <c r="B118" s="1315" t="s">
        <v>964</v>
      </c>
      <c r="C118" s="1301" t="s">
        <v>297</v>
      </c>
      <c r="D118" s="1363">
        <v>1.5</v>
      </c>
    </row>
    <row r="119" spans="1:26" ht="15" customHeight="1" outlineLevel="1" thickTop="1" x14ac:dyDescent="0.25"/>
  </sheetData>
  <sheetProtection formatRows="0" sort="0" autoFilter="0"/>
  <mergeCells count="7">
    <mergeCell ref="B95:L95"/>
    <mergeCell ref="G2:H2"/>
    <mergeCell ref="G3:H3"/>
    <mergeCell ref="F78:G78"/>
    <mergeCell ref="C66:D66"/>
    <mergeCell ref="C3:D3"/>
    <mergeCell ref="C2:D2"/>
  </mergeCells>
  <conditionalFormatting sqref="F21">
    <cfRule type="expression" dxfId="570" priority="84">
      <formula>$D$24="Sim"</formula>
    </cfRule>
  </conditionalFormatting>
  <conditionalFormatting sqref="F21">
    <cfRule type="expression" dxfId="569" priority="85">
      <formula>$D$24="Não"</formula>
    </cfRule>
  </conditionalFormatting>
  <conditionalFormatting sqref="G21">
    <cfRule type="expression" dxfId="568" priority="86">
      <formula>$D$24="Sim"</formula>
    </cfRule>
  </conditionalFormatting>
  <conditionalFormatting sqref="G21">
    <cfRule type="expression" dxfId="567" priority="87">
      <formula>$D$24="Não"</formula>
    </cfRule>
  </conditionalFormatting>
  <conditionalFormatting sqref="H21">
    <cfRule type="expression" dxfId="566" priority="82">
      <formula>$D$24="Sim"</formula>
    </cfRule>
  </conditionalFormatting>
  <conditionalFormatting sqref="H21">
    <cfRule type="expression" dxfId="565" priority="83">
      <formula>$D$24="Não"</formula>
    </cfRule>
  </conditionalFormatting>
  <conditionalFormatting sqref="D99">
    <cfRule type="expression" dxfId="564" priority="3">
      <formula>$D$98="Sim"</formula>
    </cfRule>
  </conditionalFormatting>
  <conditionalFormatting sqref="D99">
    <cfRule type="expression" dxfId="563" priority="4">
      <formula>$D$98="Não"</formula>
    </cfRule>
  </conditionalFormatting>
  <dataValidations count="1">
    <dataValidation type="list" allowBlank="1" showErrorMessage="1" sqref="D24:D25 D98" xr:uid="{00000000-0002-0000-0700-000000000000}">
      <formula1>$G$1:$H$1</formula1>
    </dataValidation>
  </dataValidations>
  <pageMargins left="0.511811024" right="0.511811024" top="0.78740157499999996" bottom="0.78740157499999996" header="0" footer="0"/>
  <pageSetup paperSize="9" orientation="portrait" r:id="rId1"/>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81" id="{44D1F664-A8DF-429F-9927-6E327F9E0BCF}">
            <xm:f>'R-Definição'!$E$121="Novo"</xm:f>
            <x14:dxf>
              <font>
                <color theme="0"/>
              </font>
              <fill>
                <patternFill>
                  <fgColor theme="0"/>
                  <bgColor theme="0"/>
                </patternFill>
              </fill>
            </x14:dxf>
          </x14:cfRule>
          <xm:sqref>D89</xm:sqref>
        </x14:conditionalFormatting>
        <x14:conditionalFormatting xmlns:xm="http://schemas.microsoft.com/office/excel/2006/main">
          <x14:cfRule type="expression" priority="79" id="{4E71E07F-21EC-48CA-912C-5D2C337C4921}">
            <xm:f>'R-Definição'!$O$120="Não"</xm:f>
            <x14:dxf>
              <font>
                <color theme="0"/>
              </font>
              <fill>
                <patternFill>
                  <bgColor theme="0"/>
                </patternFill>
              </fill>
            </x14:dxf>
          </x14:cfRule>
          <x14:cfRule type="expression" priority="80" id="{25B0FA59-5FC4-40C1-8F3F-DE3CCB052AC2}">
            <xm:f>'R-Definição'!$O$120="Sim"</xm:f>
            <x14:dxf>
              <font>
                <color theme="1"/>
              </font>
              <fill>
                <patternFill>
                  <fgColor theme="0"/>
                  <bgColor theme="9" tint="0.59996337778862885"/>
                </patternFill>
              </fill>
            </x14:dxf>
          </x14:cfRule>
          <xm:sqref>D85</xm:sqref>
        </x14:conditionalFormatting>
        <x14:conditionalFormatting xmlns:xm="http://schemas.microsoft.com/office/excel/2006/main">
          <x14:cfRule type="expression" priority="71" id="{44E07936-3EB3-4C5E-96F2-6EA00DDEF825}">
            <xm:f>AND('C-Aterro Sanitário'!$L$2="Sim",'C-Aterro Sanitário'!$D$2&gt;'C-Aterro Sanitário'!$D$11,'C-Aterro Sanitário'!$D$2&lt;'C-Aterro Sanitário'!$V$11)</xm:f>
            <x14:dxf>
              <font>
                <color theme="0"/>
              </font>
              <fill>
                <patternFill>
                  <bgColor theme="9" tint="-0.499984740745262"/>
                </patternFill>
              </fill>
            </x14:dxf>
          </x14:cfRule>
          <x14:cfRule type="expression" priority="72" id="{36247E30-33F2-4316-858C-24E188A30D93}">
            <xm:f>AND('C-Aterro Sanitário'!$L$2="Sim",'C-Aterro Sanitário'!$D$2&lt;'C-Aterro Sanitário'!$D$11)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73" id="{A9AC2CF3-0086-4D70-ABDC-F290CCE092A0}">
            <xm:f>AND('C-Aterro Sanitário'!$L$2="Sim",'C-Aterro Sanitário'!$D$2&gt;'C-Aterro Sanitário'!$V$11)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F73:H73</xm:sqref>
        </x14:conditionalFormatting>
        <x14:conditionalFormatting xmlns:xm="http://schemas.microsoft.com/office/excel/2006/main">
          <x14:cfRule type="expression" priority="68" id="{0072DF9C-40FE-4438-8CE0-F391D02E4565}">
            <xm:f>AND('C-Compostagem'!$L$2="Sim",'C-Compostagem'!$D$2&gt;'C-Compostagem'!$D$11,'C-Compostagem'!$D$2&lt;'C-Compostagem'!$V$11)</xm:f>
            <x14:dxf>
              <font>
                <color theme="0"/>
              </font>
              <fill>
                <patternFill>
                  <bgColor theme="9" tint="-0.499984740745262"/>
                </patternFill>
              </fill>
            </x14:dxf>
          </x14:cfRule>
          <x14:cfRule type="expression" priority="69" id="{5C15EE4B-D7D2-42DB-829F-AC0BA1C62052}">
            <xm:f>AND('C-Compostagem'!$L$2="Sim",'C-Compostagem'!$D$2&lt;'C-Compostagem'!$D$11)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70" id="{64C9AB3D-0A69-4BC5-B833-395039ECF68F}">
            <xm:f>AND('C-Compostagem'!$L$2="Sim",'C-Compostagem'!$D$2&gt;'C-Compostagem'!$V$11)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F67:H67</xm:sqref>
        </x14:conditionalFormatting>
        <x14:conditionalFormatting xmlns:xm="http://schemas.microsoft.com/office/excel/2006/main">
          <x14:cfRule type="expression" priority="65" id="{62D91397-1A68-4E58-8A96-E196F945A9FF}">
            <xm:f>AND('C-Biodigestão'!$L$2="Sim",'C-Biodigestão'!$D$2&gt;'C-Biodigestão'!$D$11,'C-Biodigestão'!$D$2&lt;'C-Biodigestão'!$V$11)</xm:f>
            <x14:dxf>
              <font>
                <color theme="0"/>
              </font>
              <fill>
                <patternFill>
                  <bgColor theme="9" tint="-0.499984740745262"/>
                </patternFill>
              </fill>
            </x14:dxf>
          </x14:cfRule>
          <x14:cfRule type="expression" priority="66" id="{16752D51-4DEE-4ABD-B459-0C8300C21628}">
            <xm:f>AND('C-Biodigestão'!$L$2="Sim",'C-Biodigestão'!$D$2&lt;'C-Biodigestão'!$D$11)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67" id="{56ADFCC1-7CF7-4847-9B81-9A9FA47F2957}">
            <xm:f>AND('C-Biodigestão'!$L$2="Sim",'C-Biodigestão'!$D$2&gt;'C-Biodigestão'!$V$11)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F64:H64</xm:sqref>
        </x14:conditionalFormatting>
        <x14:conditionalFormatting xmlns:xm="http://schemas.microsoft.com/office/excel/2006/main">
          <x14:cfRule type="expression" priority="62" id="{DD9DB42E-3881-4155-947A-7D36F3FA007F}">
            <xm:f>AND('C-Produção CDR-TMB'!$L$2="Sim",'C-Produção CDR-TMB'!$D$2&gt;'C-Produção CDR-TMB'!$D$11,'C-Produção CDR-TMB'!$D$2&lt;'C-Produção CDR-TMB'!$V$11)</xm:f>
            <x14:dxf>
              <font>
                <color theme="0"/>
              </font>
              <fill>
                <patternFill>
                  <bgColor theme="9" tint="-0.499984740745262"/>
                </patternFill>
              </fill>
            </x14:dxf>
          </x14:cfRule>
          <x14:cfRule type="expression" priority="63" id="{855C2184-B3CB-4C92-B1E2-5D8C1CF8CA66}">
            <xm:f>AND('C-Produção CDR-TMB'!$L$2="Sim",'C-Produção CDR-TMB'!$D$2&lt;'C-Produção CDR-TMB'!$D$11)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64" id="{F2B11AF7-F105-44B8-A203-DEB0D3D0420E}">
            <xm:f>AND('C-Produção CDR-TMB'!$L$2="Sim",'C-Produção CDR-TMB'!$D$2&gt;'C-Produção CDR-TMB'!$V$11)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F61:H61</xm:sqref>
        </x14:conditionalFormatting>
        <x14:conditionalFormatting xmlns:xm="http://schemas.microsoft.com/office/excel/2006/main">
          <x14:cfRule type="expression" priority="59" id="{DA68CBBD-CC3D-4101-97AF-8FB710A66B51}">
            <xm:f>AND('C-Produção CDR-TM'!$L$2="Sim",'C-Produção CDR-TM'!$D$2&gt;'C-Produção CDR-TM'!$D$11,'C-Produção CDR-TM'!$D$2&lt;'C-Produção CDR-TM'!$V$11)</xm:f>
            <x14:dxf>
              <font>
                <color theme="0"/>
              </font>
              <fill>
                <patternFill>
                  <bgColor theme="9" tint="-0.499984740745262"/>
                </patternFill>
              </fill>
            </x14:dxf>
          </x14:cfRule>
          <x14:cfRule type="expression" priority="60" id="{15120D03-E321-41E6-BEBF-0BF632D68297}">
            <xm:f>AND('C-Produção CDR-TM'!$L$2="Sim",'C-Produção CDR-TM'!$D$2&lt;'C-Produção CDR-TM'!$D$11)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61" id="{745B93D2-EBBA-47F1-9ED2-CCAB74E666C7}">
            <xm:f>AND('C-Produção CDR-TM'!$L$2="Sim",'C-Produção CDR-TM'!$D$2&gt;'C-Produção CDR-TM'!$V$11)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F58:H58</xm:sqref>
        </x14:conditionalFormatting>
        <x14:conditionalFormatting xmlns:xm="http://schemas.microsoft.com/office/excel/2006/main">
          <x14:cfRule type="expression" priority="56" id="{8492DC40-3E9B-4FE3-86B3-2149AC2DFDB2}">
            <xm:f>AND('C-Triagem Mec'!$L$2="Sim",'C-Triagem Mec'!$D$2&gt;'C-Triagem Mec'!$D$11,'C-Triagem Mec'!$D$2&lt;'C-Triagem Mec'!$V$11)</xm:f>
            <x14:dxf>
              <font>
                <color theme="0"/>
              </font>
              <fill>
                <patternFill>
                  <bgColor theme="9" tint="-0.499984740745262"/>
                </patternFill>
              </fill>
            </x14:dxf>
          </x14:cfRule>
          <x14:cfRule type="expression" priority="57" id="{CB59B2CA-9320-41F1-ACC5-FAB6AF7FE353}">
            <xm:f>AND('C-Triagem Mec'!$L$2="Sim",'C-Triagem Mec'!$D$2&lt;'C-Triagem Mec'!$D$11)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58" id="{04584D22-7FA9-42AD-BB23-58AEC1898A59}">
            <xm:f>AND('C-Triagem Mec'!$L$2="Sim",'C-Triagem Mec'!$D$2&gt;'C-Triagem Mec'!$V$11)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F55:H55</xm:sqref>
        </x14:conditionalFormatting>
        <x14:conditionalFormatting xmlns:xm="http://schemas.microsoft.com/office/excel/2006/main">
          <x14:cfRule type="expression" priority="53" id="{B96A3A79-48BC-4035-B041-02AD8F220C2D}">
            <xm:f>AND('C-Triagem Man'!$L$2="Sim",'C-Triagem Man'!$D$2&gt;'C-Triagem Man'!$D$11,'C-Triagem Man'!$D$2&lt;'C-Triagem Man'!$V$11)</xm:f>
            <x14:dxf>
              <font>
                <color theme="0"/>
              </font>
              <fill>
                <patternFill>
                  <bgColor theme="9" tint="-0.499984740745262"/>
                </patternFill>
              </fill>
            </x14:dxf>
          </x14:cfRule>
          <x14:cfRule type="expression" priority="54" id="{AE7089B8-1D2E-4765-8DC8-6383D1FBDB9B}">
            <xm:f>AND('C-Triagem Man'!$L$2="Sim",'C-Triagem Man'!$D$2&lt;'C-Triagem Man'!$D$11)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55" id="{1631F034-074A-4C83-BD83-9D15B630B765}">
            <xm:f>AND('C-Triagem Man'!$L$2="Sim",'C-Triagem Man'!$D$2&gt;'C-Triagem Man'!$V$11)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F52:H52</xm:sqref>
        </x14:conditionalFormatting>
        <x14:conditionalFormatting xmlns:xm="http://schemas.microsoft.com/office/excel/2006/main">
          <x14:cfRule type="expression" priority="50" id="{76B3E0A3-97C8-43CB-987C-FA964B899637}">
            <xm:f>AND('C-Triagem Man'!$L$2="Sim",'C-Triagem Man'!$D$2&gt;'C-Triagem Man'!$D$11,'C-Triagem Man'!$D$2&lt;'C-Triagem Man'!$V$11)</xm:f>
            <x14:dxf>
              <font>
                <color theme="0"/>
              </font>
              <fill>
                <patternFill>
                  <bgColor theme="9" tint="-0.499984740745262"/>
                </patternFill>
              </fill>
            </x14:dxf>
          </x14:cfRule>
          <x14:cfRule type="expression" priority="51" id="{A0324EF2-54A6-4594-B640-B4DC32AC0EFD}">
            <xm:f>AND('C-Triagem Man'!$L$2="Sim",'C-Triagem Man'!$D$2&lt;'C-Triagem Man'!$D$11)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52" id="{3AC6007E-B921-4A01-821F-5785CB47882A}">
            <xm:f>AND('C-Triagem Man'!$L$2="Sim",'C-Triagem Man'!$D$2&gt;'C-Triagem Man'!$V$11)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J52:L52</xm:sqref>
        </x14:conditionalFormatting>
        <x14:conditionalFormatting xmlns:xm="http://schemas.microsoft.com/office/excel/2006/main">
          <x14:cfRule type="expression" priority="47" id="{C9BEBD8E-5973-42DA-A071-A2E043161071}">
            <xm:f>AND('C-Triagem Mec'!$L$2="Sim",'C-Triagem Mec'!$D$2&gt;'C-Triagem Mec'!$D$11,'C-Triagem Mec'!$D$2&lt;'C-Triagem Mec'!$V$11)</xm:f>
            <x14:dxf>
              <font>
                <color theme="0"/>
              </font>
              <fill>
                <patternFill>
                  <bgColor theme="9" tint="-0.499984740745262"/>
                </patternFill>
              </fill>
            </x14:dxf>
          </x14:cfRule>
          <x14:cfRule type="expression" priority="48" id="{E76FAED3-D5B6-4F49-BADA-31212A513CF2}">
            <xm:f>AND('C-Triagem Mec'!$L$2="Sim",'C-Triagem Mec'!$D$2&lt;'C-Triagem Mec'!$D$11)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49" id="{9423A82B-11E9-46A5-B0F1-2537F70F6A92}">
            <xm:f>AND('C-Triagem Mec'!$L$2="Sim",'C-Triagem Mec'!$D$2&gt;'C-Triagem Mec'!$V$11)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J55:L55</xm:sqref>
        </x14:conditionalFormatting>
        <x14:conditionalFormatting xmlns:xm="http://schemas.microsoft.com/office/excel/2006/main">
          <x14:cfRule type="expression" priority="44" id="{F9BC2333-D81F-4911-8720-21AEB4666DCA}">
            <xm:f>AND('C-Produção CDR-TM'!$L$2="Sim",'C-Produção CDR-TM'!$D$2&gt;'C-Produção CDR-TM'!$D$11,'C-Produção CDR-TM'!$D$2&lt;'C-Produção CDR-TM'!$V$11)</xm:f>
            <x14:dxf>
              <font>
                <color theme="0"/>
              </font>
              <fill>
                <patternFill>
                  <bgColor theme="9" tint="-0.499984740745262"/>
                </patternFill>
              </fill>
            </x14:dxf>
          </x14:cfRule>
          <x14:cfRule type="expression" priority="45" id="{8C014553-7AF6-4530-9A28-531960312C23}">
            <xm:f>AND('C-Produção CDR-TM'!$L$2="Sim",'C-Produção CDR-TM'!$D$2&lt;'C-Produção CDR-TM'!$D$11)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46" id="{72FA7438-8BA3-4EC1-8E75-E600C7FA1645}">
            <xm:f>AND('C-Produção CDR-TM'!$L$2="Sim",'C-Produção CDR-TM'!$D$2&gt;'C-Produção CDR-TM'!$V$11)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J58:L58</xm:sqref>
        </x14:conditionalFormatting>
        <x14:conditionalFormatting xmlns:xm="http://schemas.microsoft.com/office/excel/2006/main">
          <x14:cfRule type="expression" priority="41" id="{9D9F6D36-F68F-4FF5-8941-0F0E79F78750}">
            <xm:f>AND('C-Produção CDR-TMB'!$L$2="Sim",'C-Produção CDR-TMB'!$D$2&gt;'C-Produção CDR-TMB'!$D$11,'C-Produção CDR-TMB'!$D$2&lt;'C-Produção CDR-TMB'!$V$11)</xm:f>
            <x14:dxf>
              <font>
                <color theme="0"/>
              </font>
              <fill>
                <patternFill>
                  <bgColor theme="9" tint="-0.499984740745262"/>
                </patternFill>
              </fill>
            </x14:dxf>
          </x14:cfRule>
          <x14:cfRule type="expression" priority="42" id="{2108DCAB-9653-441D-88CA-457CC153500C}">
            <xm:f>AND('C-Produção CDR-TMB'!$L$2="Sim",'C-Produção CDR-TMB'!$D$2&lt;'C-Produção CDR-TMB'!$D$11)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43" id="{2A25DE3F-59DD-45DA-9266-8096DE35C00C}">
            <xm:f>AND('C-Produção CDR-TMB'!$L$2="Sim",'C-Produção CDR-TMB'!$D$2&gt;'C-Produção CDR-TMB'!$V$11)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J61:L61</xm:sqref>
        </x14:conditionalFormatting>
        <x14:conditionalFormatting xmlns:xm="http://schemas.microsoft.com/office/excel/2006/main">
          <x14:cfRule type="expression" priority="38" id="{BB20CAFB-D8FA-443E-B6BA-F8D04D18F106}">
            <xm:f>AND('C-Biodigestão'!$L$2="Sim",'C-Biodigestão'!$D$2&gt;'C-Biodigestão'!$D$11,'C-Biodigestão'!$D$2&lt;'C-Biodigestão'!$V$11)</xm:f>
            <x14:dxf>
              <font>
                <color theme="0"/>
              </font>
              <fill>
                <patternFill>
                  <bgColor theme="9" tint="-0.499984740745262"/>
                </patternFill>
              </fill>
            </x14:dxf>
          </x14:cfRule>
          <x14:cfRule type="expression" priority="39" id="{B3FDD344-19E1-4E96-8893-3451B64A674F}">
            <xm:f>AND('C-Biodigestão'!$L$2="Sim",'C-Biodigestão'!$D$2&lt;'C-Biodigestão'!$D$11)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40" id="{57C34628-888A-4F44-86A5-A47577313835}">
            <xm:f>AND('C-Biodigestão'!$L$2="Sim",'C-Biodigestão'!$D$2&gt;'C-Biodigestão'!$V$11)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J64:L64</xm:sqref>
        </x14:conditionalFormatting>
        <x14:conditionalFormatting xmlns:xm="http://schemas.microsoft.com/office/excel/2006/main">
          <x14:cfRule type="expression" priority="35" id="{07B7CBCC-B158-4E41-9255-D8EE2EA8D2A1}">
            <xm:f>AND('C-Compostagem'!$L$2="Sim",'C-Compostagem'!$D$2&gt;'C-Compostagem'!$D$11,'C-Compostagem'!$D$2&lt;'C-Compostagem'!$V$11)</xm:f>
            <x14:dxf>
              <font>
                <color theme="0"/>
              </font>
              <fill>
                <patternFill>
                  <bgColor theme="9" tint="-0.499984740745262"/>
                </patternFill>
              </fill>
            </x14:dxf>
          </x14:cfRule>
          <x14:cfRule type="expression" priority="36" id="{3BD9A93C-D1C7-41A9-B875-E1A12A160902}">
            <xm:f>AND('C-Compostagem'!$L$2="Sim",'C-Compostagem'!$D$2&lt;'C-Compostagem'!$D$11)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37" id="{D322F8BD-744A-450C-81AC-C0D2963EB6F5}">
            <xm:f>AND('C-Compostagem'!$L$2="Sim",'C-Compostagem'!$D$2&gt;'C-Compostagem'!$V$11)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J67:L67</xm:sqref>
        </x14:conditionalFormatting>
        <x14:conditionalFormatting xmlns:xm="http://schemas.microsoft.com/office/excel/2006/main">
          <x14:cfRule type="expression" priority="29" id="{EAF2150E-8A0D-459B-A646-3FB9E36A38F2}">
            <xm:f>AND('C-Aterro Sanitário'!$L$2="Sim",'C-Aterro Sanitário'!$D$2&gt;'C-Aterro Sanitário'!$D$11,'C-Aterro Sanitário'!$D$2&lt;'C-Aterro Sanitário'!$V$11)</xm:f>
            <x14:dxf>
              <font>
                <color theme="0"/>
              </font>
              <fill>
                <patternFill>
                  <bgColor theme="9" tint="-0.499984740745262"/>
                </patternFill>
              </fill>
            </x14:dxf>
          </x14:cfRule>
          <x14:cfRule type="expression" priority="30" id="{CA92068E-14AE-43F3-A512-AA36147F5096}">
            <xm:f>AND('C-Aterro Sanitário'!$L$2="Sim",'C-Aterro Sanitário'!$D$2&lt;'C-Aterro Sanitário'!$D$11)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31" id="{E8F20F52-EB47-4720-91C0-55D4E7A9763C}">
            <xm:f>AND('C-Aterro Sanitário'!$L$2="Sim",'C-Aterro Sanitário'!$D$2&gt;'C-Aterro Sanitário'!$V$11)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J73:L73</xm:sqref>
        </x14:conditionalFormatting>
        <x14:conditionalFormatting xmlns:xm="http://schemas.microsoft.com/office/excel/2006/main">
          <x14:cfRule type="expression" priority="26" id="{98F0D65B-04FC-4EB0-94C8-C400C0FF56B1}">
            <xm:f>AND('C-Triagem Man'!$L$2="Sim",'C-Triagem Man'!$D$2&gt;'C-Triagem Man'!$D$11,'C-Triagem Man'!$D$2&lt;'C-Triagem Man'!$V$11)</xm:f>
            <x14:dxf>
              <font>
                <color theme="0"/>
              </font>
              <fill>
                <patternFill>
                  <bgColor theme="9" tint="-0.499984740745262"/>
                </patternFill>
              </fill>
            </x14:dxf>
          </x14:cfRule>
          <x14:cfRule type="expression" priority="27" id="{9A3C8FD0-C2E4-4F47-8D72-1879DCDFBF3C}">
            <xm:f>AND('C-Triagem Man'!$L$2="Sim",'C-Triagem Man'!$D$2&lt;'C-Triagem Man'!$D$11)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28" id="{1FD1D6C4-B6B9-47D6-B82F-5FE84B5F2281}">
            <xm:f>AND('C-Triagem Man'!$L$2="Sim",'C-Triagem Man'!$D$2&gt;'C-Triagem Man'!$V$11)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N52:P52</xm:sqref>
        </x14:conditionalFormatting>
        <x14:conditionalFormatting xmlns:xm="http://schemas.microsoft.com/office/excel/2006/main">
          <x14:cfRule type="expression" priority="23" id="{633FD487-DD70-46F8-BBF7-7D232BE53F2B}">
            <xm:f>AND('C-Triagem Mec'!$L$2="Sim",'C-Triagem Mec'!$D$2&gt;'C-Triagem Mec'!$D$11,'C-Triagem Mec'!$D$2&lt;'C-Triagem Mec'!$V$11)</xm:f>
            <x14:dxf>
              <font>
                <color theme="0"/>
              </font>
              <fill>
                <patternFill>
                  <bgColor theme="9" tint="-0.499984740745262"/>
                </patternFill>
              </fill>
            </x14:dxf>
          </x14:cfRule>
          <x14:cfRule type="expression" priority="24" id="{95DA0CC7-79E8-4981-AE31-8FBE1B0B3C3B}">
            <xm:f>AND('C-Triagem Mec'!$L$2="Sim",'C-Triagem Mec'!$D$2&lt;'C-Triagem Mec'!$D$11)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25" id="{7A42856D-5701-41EA-804E-2CAD559DE664}">
            <xm:f>AND('C-Triagem Mec'!$L$2="Sim",'C-Triagem Mec'!$D$2&gt;'C-Triagem Mec'!$V$11)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N55:P55</xm:sqref>
        </x14:conditionalFormatting>
        <x14:conditionalFormatting xmlns:xm="http://schemas.microsoft.com/office/excel/2006/main">
          <x14:cfRule type="expression" priority="20" id="{0C503357-70FD-4D8B-8A7F-B16B9216685D}">
            <xm:f>AND('C-Produção CDR-TM'!$L$2="Sim",'C-Produção CDR-TM'!$D$2&gt;'C-Produção CDR-TM'!$D$11,'C-Produção CDR-TM'!$D$2&lt;'C-Produção CDR-TM'!$V$11)</xm:f>
            <x14:dxf>
              <font>
                <color theme="0"/>
              </font>
              <fill>
                <patternFill>
                  <bgColor theme="9" tint="-0.499984740745262"/>
                </patternFill>
              </fill>
            </x14:dxf>
          </x14:cfRule>
          <x14:cfRule type="expression" priority="21" id="{508A4F5E-7709-4203-96D6-7C73951146FF}">
            <xm:f>AND('C-Produção CDR-TM'!$L$2="Sim",'C-Produção CDR-TM'!$D$2&lt;'C-Produção CDR-TM'!$D$11)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22" id="{3660E09C-6FC6-43B5-9FAC-E49158C757C9}">
            <xm:f>AND('C-Produção CDR-TM'!$L$2="Sim",'C-Produção CDR-TM'!$D$2&gt;'C-Produção CDR-TM'!$V$11)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N58:P58</xm:sqref>
        </x14:conditionalFormatting>
        <x14:conditionalFormatting xmlns:xm="http://schemas.microsoft.com/office/excel/2006/main">
          <x14:cfRule type="expression" priority="17" id="{540259D9-60A8-49C6-ADF4-5435A7D4E5E1}">
            <xm:f>AND('C-Produção CDR-TMB'!$L$2="Sim",'C-Produção CDR-TMB'!$D$2&gt;'C-Produção CDR-TMB'!$D$11,'C-Produção CDR-TMB'!$D$2&lt;'C-Produção CDR-TMB'!$V$11)</xm:f>
            <x14:dxf>
              <font>
                <color theme="0"/>
              </font>
              <fill>
                <patternFill>
                  <bgColor theme="9" tint="-0.499984740745262"/>
                </patternFill>
              </fill>
            </x14:dxf>
          </x14:cfRule>
          <x14:cfRule type="expression" priority="18" id="{B3D00323-48AC-4B67-9AF8-833029FC6822}">
            <xm:f>AND('C-Produção CDR-TMB'!$L$2="Sim",'C-Produção CDR-TMB'!$D$2&lt;'C-Produção CDR-TMB'!$D$11)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19" id="{D4DB9845-B71D-4C4C-8AA0-007B5DDE5A75}">
            <xm:f>AND('C-Produção CDR-TMB'!$L$2="Sim",'C-Produção CDR-TMB'!$D$2&gt;'C-Produção CDR-TMB'!$V$11)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N61:P61</xm:sqref>
        </x14:conditionalFormatting>
        <x14:conditionalFormatting xmlns:xm="http://schemas.microsoft.com/office/excel/2006/main">
          <x14:cfRule type="expression" priority="14" id="{72E7500A-E162-4D57-A997-214C0BFA9FB8}">
            <xm:f>AND('C-Biodigestão'!$L$2="Sim",'C-Biodigestão'!$D$2&gt;'C-Biodigestão'!$D$11,'C-Biodigestão'!$D$2&lt;'C-Biodigestão'!$V$11)</xm:f>
            <x14:dxf>
              <font>
                <color theme="0"/>
              </font>
              <fill>
                <patternFill>
                  <bgColor theme="9" tint="-0.499984740745262"/>
                </patternFill>
              </fill>
            </x14:dxf>
          </x14:cfRule>
          <x14:cfRule type="expression" priority="15" id="{BBF396B6-8C03-48E2-994A-CF9230E06E67}">
            <xm:f>AND('C-Biodigestão'!$L$2="Sim",'C-Biodigestão'!$D$2&lt;'C-Biodigestão'!$D$11)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16" id="{51D64A55-F544-42FD-8273-6736445FDDBD}">
            <xm:f>AND('C-Biodigestão'!$L$2="Sim",'C-Biodigestão'!$D$2&gt;'C-Biodigestão'!$V$11)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N64:P64</xm:sqref>
        </x14:conditionalFormatting>
        <x14:conditionalFormatting xmlns:xm="http://schemas.microsoft.com/office/excel/2006/main">
          <x14:cfRule type="expression" priority="11" id="{CD6FD957-1E51-4452-905C-E5BE15CFA1DE}">
            <xm:f>AND('C-Compostagem'!$L$2="Sim",'C-Compostagem'!$D$2&gt;'C-Compostagem'!$D$11,'C-Compostagem'!$D$2&lt;'C-Compostagem'!$V$11)</xm:f>
            <x14:dxf>
              <font>
                <color theme="0"/>
              </font>
              <fill>
                <patternFill>
                  <bgColor theme="9" tint="-0.499984740745262"/>
                </patternFill>
              </fill>
            </x14:dxf>
          </x14:cfRule>
          <x14:cfRule type="expression" priority="12" id="{77E7E316-DC8B-4563-848D-EC026AC5E3B4}">
            <xm:f>AND('C-Compostagem'!$L$2="Sim",'C-Compostagem'!$D$2&lt;'C-Compostagem'!$D$11)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13" id="{A20237FA-D343-426A-A239-D943150EEE9C}">
            <xm:f>AND('C-Compostagem'!$L$2="Sim",'C-Compostagem'!$D$2&gt;'C-Compostagem'!$V$11)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N67:P67</xm:sqref>
        </x14:conditionalFormatting>
        <x14:conditionalFormatting xmlns:xm="http://schemas.microsoft.com/office/excel/2006/main">
          <x14:cfRule type="expression" priority="5" id="{2F5E4CCE-EE4C-4DA2-84C1-6C1D66F16C04}">
            <xm:f>AND('C-Aterro Sanitário'!$L$2="Sim",'C-Aterro Sanitário'!$D$2&gt;'C-Aterro Sanitário'!$D$11,'C-Aterro Sanitário'!$D$2&lt;'C-Aterro Sanitário'!$V$11)</xm:f>
            <x14:dxf>
              <font>
                <color theme="0"/>
              </font>
              <fill>
                <patternFill>
                  <bgColor theme="9" tint="-0.499984740745262"/>
                </patternFill>
              </fill>
            </x14:dxf>
          </x14:cfRule>
          <x14:cfRule type="expression" priority="6" id="{F00A9561-9F9A-4687-AC2B-42E4B71C87D8}">
            <xm:f>AND('C-Aterro Sanitário'!$L$2="Sim",'C-Aterro Sanitário'!$D$2&lt;'C-Aterro Sanitário'!$D$11)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7" id="{1E3BE9E6-3ECB-416C-8798-77B844C74D35}">
            <xm:f>AND('C-Aterro Sanitário'!$L$2="Sim",'C-Aterro Sanitário'!$D$2&gt;'C-Aterro Sanitário'!$V$11)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N73:P73</xm:sqref>
        </x14:conditionalFormatting>
        <x14:conditionalFormatting xmlns:xm="http://schemas.microsoft.com/office/excel/2006/main">
          <x14:cfRule type="expression" priority="400" id="{62C51CFD-D34F-41A2-A504-80A65B2878FA}">
            <xm:f>AND('C-Incineração'!$L$2="Sim",'C-Incineração'!$D$2&gt;'C-Incineração'!$D$11,'C-Incineração'!$D$2&lt;'C-Incineração'!$V$11)</xm:f>
            <x14:dxf>
              <font>
                <color theme="0"/>
              </font>
              <fill>
                <patternFill>
                  <bgColor theme="9" tint="-0.499984740745262"/>
                </patternFill>
              </fill>
            </x14:dxf>
          </x14:cfRule>
          <x14:cfRule type="expression" priority="401" id="{87335FA5-6859-4D00-9F75-2008ED579D78}">
            <xm:f>AND('C-Incineração'!$L$2="Sim",'C-Incineração'!$D$2&lt;'C-Incineração'!$D$11)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402" id="{42967DF4-F8B0-4F39-BB51-A16F944667DB}">
            <xm:f>AND('C-Incineração'!$L$2="Sim",'C-Incineração'!$D$2&gt;'C-Incineração'!$V$11)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F70:H70 J70:L70 N70:P70</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ErrorMessage="1" xr:uid="{00000000-0002-0000-0700-000001000000}">
          <x14:formula1>
            <xm:f>'C-Triagem Man'!$L$3:$M$3</xm:f>
          </x14:formula1>
          <xm:sqref>C66</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4">
    <tabColor theme="9" tint="0.59999389629810485"/>
    <outlinePr summaryBelow="0" summaryRight="0"/>
  </sheetPr>
  <dimension ref="A1:AB103"/>
  <sheetViews>
    <sheetView zoomScale="70" zoomScaleNormal="70" workbookViewId="0">
      <selection activeCell="F102" sqref="F102"/>
    </sheetView>
  </sheetViews>
  <sheetFormatPr defaultColWidth="14.42578125" defaultRowHeight="15" customHeight="1" outlineLevelRow="1" outlineLevelCol="1" x14ac:dyDescent="0.25"/>
  <cols>
    <col min="1" max="1" width="1" style="59" customWidth="1"/>
    <col min="2" max="2" width="65.7109375" style="61" customWidth="1"/>
    <col min="3" max="3" width="20.7109375" style="62" customWidth="1"/>
    <col min="4" max="4" width="18.28515625" style="61" customWidth="1"/>
    <col min="5" max="5" width="3.28515625" style="61" customWidth="1"/>
    <col min="6" max="7" width="30.7109375" style="61" customWidth="1"/>
    <col min="8" max="8" width="18.28515625" style="61" customWidth="1"/>
    <col min="9" max="9" width="3.42578125" style="61" customWidth="1"/>
    <col min="10" max="13" width="18.28515625" style="61" customWidth="1"/>
    <col min="14" max="14" width="5" style="61" customWidth="1"/>
    <col min="15" max="15" width="18.28515625" style="61" customWidth="1" outlineLevel="1"/>
    <col min="16" max="16" width="3.42578125" style="61" customWidth="1" outlineLevel="1"/>
    <col min="17" max="17" width="18.28515625" style="61" customWidth="1" outlineLevel="1"/>
    <col min="18" max="18" width="3.42578125" style="61" customWidth="1" outlineLevel="1"/>
    <col min="19" max="19" width="18.28515625" style="61" customWidth="1" outlineLevel="1"/>
    <col min="20" max="21" width="23.28515625" style="61" customWidth="1" outlineLevel="1"/>
    <col min="22" max="22" width="28.42578125" style="61" customWidth="1" outlineLevel="1"/>
    <col min="23" max="23" width="23.28515625" style="62" customWidth="1" outlineLevel="1"/>
    <col min="24" max="24" width="28.42578125" style="61" customWidth="1" outlineLevel="1"/>
    <col min="25" max="25" width="21.85546875" style="62" customWidth="1" outlineLevel="1"/>
    <col min="26" max="26" width="11.28515625" style="61" customWidth="1" outlineLevel="1"/>
    <col min="27" max="27" width="8.7109375" style="61" customWidth="1" outlineLevel="1"/>
    <col min="28" max="16384" width="14.42578125" style="59"/>
  </cols>
  <sheetData>
    <row r="1" spans="1:28" ht="4.9000000000000004" customHeight="1" x14ac:dyDescent="0.25"/>
    <row r="2" spans="1:28" s="237" customFormat="1" ht="17.649999999999999" customHeight="1" x14ac:dyDescent="0.25">
      <c r="A2" s="417"/>
      <c r="B2" s="2874" t="s">
        <v>877</v>
      </c>
      <c r="C2" s="2874"/>
      <c r="D2" s="2874"/>
      <c r="E2" s="2874"/>
      <c r="F2" s="2874"/>
      <c r="G2" s="2874"/>
      <c r="H2" s="2874"/>
      <c r="I2" s="2874"/>
      <c r="J2" s="2874"/>
      <c r="K2" s="2874"/>
      <c r="L2" s="2874"/>
      <c r="M2" s="2874"/>
      <c r="N2" s="408"/>
      <c r="O2" s="2873" t="s">
        <v>595</v>
      </c>
      <c r="P2" s="2873"/>
      <c r="Q2" s="2873"/>
      <c r="R2" s="2873"/>
      <c r="S2" s="2873"/>
      <c r="T2" s="2873"/>
      <c r="U2" s="2873"/>
      <c r="V2" s="2873"/>
      <c r="W2" s="2873"/>
      <c r="X2" s="2873"/>
      <c r="Y2" s="2873"/>
      <c r="Z2" s="2873"/>
      <c r="AA2" s="2873"/>
      <c r="AB2" s="423"/>
    </row>
    <row r="3" spans="1:28" s="731" customFormat="1" ht="17.649999999999999" customHeight="1" x14ac:dyDescent="0.25">
      <c r="A3" s="729"/>
      <c r="B3" s="2874"/>
      <c r="C3" s="2874"/>
      <c r="D3" s="2874"/>
      <c r="E3" s="2874"/>
      <c r="F3" s="2874"/>
      <c r="G3" s="2874"/>
      <c r="H3" s="2874"/>
      <c r="I3" s="2874"/>
      <c r="J3" s="2874"/>
      <c r="K3" s="2874"/>
      <c r="L3" s="2874"/>
      <c r="M3" s="2874"/>
      <c r="N3" s="730"/>
      <c r="O3" s="2873"/>
      <c r="P3" s="2873"/>
      <c r="Q3" s="2873"/>
      <c r="R3" s="2873"/>
      <c r="S3" s="2873"/>
      <c r="T3" s="2873"/>
      <c r="U3" s="2873"/>
      <c r="V3" s="2873"/>
      <c r="W3" s="2873"/>
      <c r="X3" s="2873"/>
      <c r="Y3" s="2873"/>
      <c r="Z3" s="2873"/>
      <c r="AA3" s="2873"/>
      <c r="AB3" s="423"/>
    </row>
    <row r="4" spans="1:28" s="237" customFormat="1" ht="7.5" customHeight="1" thickBot="1" x14ac:dyDescent="0.3">
      <c r="A4" s="408"/>
      <c r="B4" s="408"/>
      <c r="C4" s="409"/>
      <c r="D4" s="408"/>
      <c r="E4" s="408"/>
      <c r="F4" s="408"/>
      <c r="G4" s="408"/>
      <c r="H4" s="409"/>
      <c r="I4" s="408"/>
      <c r="J4" s="409"/>
      <c r="K4" s="409"/>
      <c r="L4" s="409"/>
      <c r="M4" s="409"/>
      <c r="N4" s="408"/>
      <c r="O4" s="408"/>
      <c r="P4" s="408"/>
      <c r="Q4" s="408"/>
      <c r="R4" s="408"/>
      <c r="S4" s="408"/>
      <c r="T4" s="408"/>
      <c r="U4" s="408"/>
      <c r="V4" s="408"/>
      <c r="W4" s="412"/>
      <c r="X4" s="408"/>
      <c r="Y4" s="409"/>
      <c r="Z4" s="408"/>
      <c r="AA4" s="408"/>
      <c r="AB4" s="423"/>
    </row>
    <row r="5" spans="1:28" s="237" customFormat="1" ht="19.899999999999999" customHeight="1" collapsed="1" thickTop="1" x14ac:dyDescent="0.25">
      <c r="A5" s="408"/>
      <c r="B5" s="1294" t="s">
        <v>857</v>
      </c>
      <c r="C5" s="1295" t="s">
        <v>299</v>
      </c>
      <c r="D5" s="1296" t="s">
        <v>240</v>
      </c>
      <c r="E5" s="408"/>
      <c r="F5" s="1307" t="s">
        <v>858</v>
      </c>
      <c r="G5" s="1295" t="s">
        <v>300</v>
      </c>
      <c r="H5" s="1296" t="s">
        <v>301</v>
      </c>
      <c r="I5" s="408"/>
      <c r="J5" s="2855" t="s">
        <v>302</v>
      </c>
      <c r="K5" s="2853" t="s">
        <v>303</v>
      </c>
      <c r="L5" s="408"/>
      <c r="M5" s="409"/>
      <c r="N5" s="408"/>
      <c r="O5" s="2881" t="s">
        <v>785</v>
      </c>
      <c r="P5" s="408"/>
      <c r="Q5" s="2881" t="s">
        <v>786</v>
      </c>
      <c r="R5" s="408"/>
      <c r="S5" s="2881" t="s">
        <v>787</v>
      </c>
      <c r="T5" s="408"/>
      <c r="U5" s="2881" t="s">
        <v>788</v>
      </c>
      <c r="V5" s="408"/>
      <c r="W5" s="2881" t="s">
        <v>789</v>
      </c>
      <c r="X5" s="408"/>
      <c r="Y5" s="2881" t="s">
        <v>795</v>
      </c>
      <c r="Z5" s="408"/>
      <c r="AA5" s="408"/>
      <c r="AB5" s="423"/>
    </row>
    <row r="6" spans="1:28" s="237" customFormat="1" ht="19.899999999999999" hidden="1" customHeight="1" outlineLevel="1" x14ac:dyDescent="0.25">
      <c r="A6" s="408"/>
      <c r="B6" s="1466" t="s">
        <v>596</v>
      </c>
      <c r="C6" s="1427" t="s">
        <v>243</v>
      </c>
      <c r="D6" s="1442">
        <f>D7*D8/1000000</f>
        <v>34.346721223252622</v>
      </c>
      <c r="E6" s="413"/>
      <c r="F6" s="1462" t="s">
        <v>879</v>
      </c>
      <c r="G6" s="1414">
        <f>J7*(1-K7)</f>
        <v>109759.20000000001</v>
      </c>
      <c r="H6" s="1456">
        <f>G6/$G$11</f>
        <v>0.66654521075030615</v>
      </c>
      <c r="I6" s="408"/>
      <c r="J6" s="2856"/>
      <c r="K6" s="2854"/>
      <c r="L6" s="408"/>
      <c r="M6" s="418"/>
      <c r="N6" s="410"/>
      <c r="O6" s="2882"/>
      <c r="P6" s="408"/>
      <c r="Q6" s="2882"/>
      <c r="R6" s="408"/>
      <c r="S6" s="2882"/>
      <c r="T6" s="408"/>
      <c r="U6" s="2882"/>
      <c r="V6" s="408"/>
      <c r="W6" s="2882"/>
      <c r="X6" s="408"/>
      <c r="Y6" s="2882"/>
      <c r="Z6" s="408"/>
      <c r="AA6" s="408"/>
      <c r="AB6" s="423"/>
    </row>
    <row r="7" spans="1:28" s="237" customFormat="1" ht="19.899999999999999" hidden="1" customHeight="1" outlineLevel="1" x14ac:dyDescent="0.25">
      <c r="A7" s="408"/>
      <c r="B7" s="1462" t="s">
        <v>597</v>
      </c>
      <c r="C7" s="1425" t="s">
        <v>293</v>
      </c>
      <c r="D7" s="1443">
        <f>'R&amp;C-Painel de Controle'!H33</f>
        <v>1491.675405776728</v>
      </c>
      <c r="E7" s="413"/>
      <c r="F7" s="1462" t="s">
        <v>880</v>
      </c>
      <c r="G7" s="1414">
        <f>J7*K7</f>
        <v>27439.800000000003</v>
      </c>
      <c r="H7" s="1456">
        <f>G7/$G$11</f>
        <v>0.16663630268757654</v>
      </c>
      <c r="I7" s="408"/>
      <c r="J7" s="2885">
        <f>'R&amp;C-Painel de Controle'!D6/3</f>
        <v>137199</v>
      </c>
      <c r="K7" s="2883">
        <v>0.2</v>
      </c>
      <c r="L7" s="408"/>
      <c r="M7" s="418"/>
      <c r="N7" s="410"/>
      <c r="O7" s="1373">
        <v>0.01</v>
      </c>
      <c r="P7" s="1291" t="s">
        <v>796</v>
      </c>
      <c r="Q7" s="1373">
        <v>0.01</v>
      </c>
      <c r="R7" s="1291" t="s">
        <v>796</v>
      </c>
      <c r="S7" s="1373">
        <v>2.5000000000000001E-2</v>
      </c>
      <c r="T7" s="1291" t="s">
        <v>784</v>
      </c>
      <c r="U7" s="1373">
        <v>2.5000000000000001E-2</v>
      </c>
      <c r="V7" s="1291" t="s">
        <v>784</v>
      </c>
      <c r="W7" s="1373">
        <v>2.5000000000000001E-2</v>
      </c>
      <c r="X7" s="1291" t="s">
        <v>784</v>
      </c>
      <c r="Y7" s="1373">
        <v>0.05</v>
      </c>
      <c r="Z7" s="1291" t="s">
        <v>784</v>
      </c>
      <c r="AA7" s="408"/>
      <c r="AB7" s="423"/>
    </row>
    <row r="8" spans="1:28" s="237" customFormat="1" ht="19.899999999999999" hidden="1" customHeight="1" outlineLevel="1" thickBot="1" x14ac:dyDescent="0.3">
      <c r="A8" s="408"/>
      <c r="B8" s="1462" t="s">
        <v>598</v>
      </c>
      <c r="C8" s="1425" t="s">
        <v>249</v>
      </c>
      <c r="D8" s="1443">
        <f>'R&amp;C-Painel de Controle'!D8</f>
        <v>23025.599999999999</v>
      </c>
      <c r="E8" s="413"/>
      <c r="F8" s="1462" t="s">
        <v>881</v>
      </c>
      <c r="G8" s="1457">
        <f>J7/5</f>
        <v>27439.8</v>
      </c>
      <c r="H8" s="1456">
        <f>G8/$G$11</f>
        <v>0.16663630268757654</v>
      </c>
      <c r="I8" s="408"/>
      <c r="J8" s="2886"/>
      <c r="K8" s="2884"/>
      <c r="L8" s="408"/>
      <c r="M8" s="418"/>
      <c r="N8" s="410"/>
      <c r="O8" s="1293">
        <f>(O12-O10)/O10</f>
        <v>1.2145591636766743E-6</v>
      </c>
      <c r="P8" s="410"/>
      <c r="Q8" s="1293">
        <f>(Q12-Q10)/Q10</f>
        <v>-5.8327040398668539E-3</v>
      </c>
      <c r="R8" s="410"/>
      <c r="S8" s="1293">
        <f>(S12-S10)/S10</f>
        <v>-5.8327040398668444E-3</v>
      </c>
      <c r="T8" s="408"/>
      <c r="U8" s="1293">
        <f>(U12-U10)/U10</f>
        <v>2.2914268472023186E-2</v>
      </c>
      <c r="V8" s="408"/>
      <c r="W8" s="1293">
        <f>(W12-W10)/W10</f>
        <v>2.2914268472023186E-2</v>
      </c>
      <c r="X8" s="408"/>
      <c r="Y8" s="1410" t="s">
        <v>289</v>
      </c>
      <c r="Z8" s="408"/>
      <c r="AA8" s="408"/>
      <c r="AB8" s="423"/>
    </row>
    <row r="9" spans="1:28" s="237" customFormat="1" ht="19.899999999999999" hidden="1" customHeight="1" outlineLevel="1" thickTop="1" x14ac:dyDescent="0.25">
      <c r="A9" s="408"/>
      <c r="B9" s="1466" t="s">
        <v>599</v>
      </c>
      <c r="C9" s="1427" t="s">
        <v>878</v>
      </c>
      <c r="D9" s="1444">
        <v>155</v>
      </c>
      <c r="E9" s="413"/>
      <c r="F9" s="1462" t="s">
        <v>882</v>
      </c>
      <c r="G9" s="1457">
        <v>25</v>
      </c>
      <c r="H9" s="1456">
        <f>G9/$G$11</f>
        <v>1.5181989545074722E-4</v>
      </c>
      <c r="I9" s="408"/>
      <c r="J9" s="417"/>
      <c r="K9" s="412"/>
      <c r="L9" s="409"/>
      <c r="M9" s="418"/>
      <c r="N9" s="410"/>
      <c r="O9" s="832" t="s">
        <v>304</v>
      </c>
      <c r="P9" s="410"/>
      <c r="Q9" s="832" t="s">
        <v>304</v>
      </c>
      <c r="R9" s="410"/>
      <c r="S9" s="832" t="s">
        <v>304</v>
      </c>
      <c r="T9" s="424"/>
      <c r="U9" s="832" t="s">
        <v>304</v>
      </c>
      <c r="V9" s="408"/>
      <c r="W9" s="832" t="s">
        <v>304</v>
      </c>
      <c r="X9" s="408"/>
      <c r="Y9" s="832" t="s">
        <v>304</v>
      </c>
      <c r="Z9" s="408"/>
      <c r="AA9" s="408"/>
      <c r="AB9" s="423"/>
    </row>
    <row r="10" spans="1:28" s="237" customFormat="1" ht="19.899999999999999" hidden="1" customHeight="1" outlineLevel="1" x14ac:dyDescent="0.25">
      <c r="A10" s="408"/>
      <c r="B10" s="1464" t="s">
        <v>848</v>
      </c>
      <c r="C10" s="1425" t="s">
        <v>305</v>
      </c>
      <c r="D10" s="1443">
        <f>D9*30*12*'R&amp;C-Painel de Controle'!D6/1000</f>
        <v>22967112.600000001</v>
      </c>
      <c r="E10" s="413"/>
      <c r="F10" s="1462" t="s">
        <v>883</v>
      </c>
      <c r="G10" s="1457">
        <v>5</v>
      </c>
      <c r="H10" s="1456">
        <f>G10/$G$11</f>
        <v>3.0363979090149441E-5</v>
      </c>
      <c r="I10" s="408"/>
      <c r="J10" s="417"/>
      <c r="K10" s="419"/>
      <c r="L10" s="418"/>
      <c r="M10" s="418"/>
      <c r="N10" s="410"/>
      <c r="O10" s="240">
        <f>G11</f>
        <v>164668.79999999999</v>
      </c>
      <c r="P10" s="410"/>
      <c r="Q10" s="251">
        <f>D25</f>
        <v>37.335315303690898</v>
      </c>
      <c r="R10" s="410"/>
      <c r="S10" s="240">
        <f>D8</f>
        <v>23025.599999999999</v>
      </c>
      <c r="T10" s="408"/>
      <c r="U10" s="240">
        <f>D10*(1+D24)</f>
        <v>22967112.600000001</v>
      </c>
      <c r="V10" s="408"/>
      <c r="W10" s="240">
        <f>D10*(1+D24)</f>
        <v>22967112.600000001</v>
      </c>
      <c r="X10" s="408"/>
      <c r="Y10" s="1292">
        <f>Y7</f>
        <v>0.05</v>
      </c>
      <c r="Z10" s="408"/>
      <c r="AA10" s="408"/>
      <c r="AB10" s="423"/>
    </row>
    <row r="11" spans="1:28" s="237" customFormat="1" ht="19.899999999999999" hidden="1" customHeight="1" outlineLevel="1" thickBot="1" x14ac:dyDescent="0.3">
      <c r="A11" s="408"/>
      <c r="B11" s="1464" t="s">
        <v>670</v>
      </c>
      <c r="C11" s="1445" t="s">
        <v>308</v>
      </c>
      <c r="D11" s="1446">
        <f>D10/D8</f>
        <v>997.45989681050673</v>
      </c>
      <c r="E11" s="413"/>
      <c r="F11" s="1463" t="s">
        <v>836</v>
      </c>
      <c r="G11" s="1458">
        <f>SUM(G6:G10)</f>
        <v>164668.79999999999</v>
      </c>
      <c r="H11" s="1459">
        <f>SUM(H6:H10)</f>
        <v>1.0000000000000002</v>
      </c>
      <c r="I11" s="408"/>
      <c r="J11" s="417"/>
      <c r="K11" s="419"/>
      <c r="L11" s="418"/>
      <c r="M11" s="418"/>
      <c r="N11" s="410"/>
      <c r="O11" s="833" t="s">
        <v>306</v>
      </c>
      <c r="P11" s="410"/>
      <c r="Q11" s="833" t="s">
        <v>307</v>
      </c>
      <c r="R11" s="410"/>
      <c r="S11" s="833" t="s">
        <v>307</v>
      </c>
      <c r="T11" s="408"/>
      <c r="U11" s="833" t="s">
        <v>307</v>
      </c>
      <c r="V11" s="408"/>
      <c r="W11" s="833" t="s">
        <v>307</v>
      </c>
      <c r="X11" s="408"/>
      <c r="Y11" s="833" t="s">
        <v>307</v>
      </c>
      <c r="Z11" s="408"/>
      <c r="AA11" s="408"/>
      <c r="AB11" s="423"/>
    </row>
    <row r="12" spans="1:28" s="237" customFormat="1" ht="19.899999999999999" hidden="1" customHeight="1" outlineLevel="1" thickTop="1" thickBot="1" x14ac:dyDescent="0.3">
      <c r="A12" s="408"/>
      <c r="B12" s="1467" t="s">
        <v>852</v>
      </c>
      <c r="C12" s="1447" t="s">
        <v>278</v>
      </c>
      <c r="D12" s="1448">
        <f>D7/D11</f>
        <v>1.4954740642170501</v>
      </c>
      <c r="E12" s="408"/>
      <c r="F12" s="408"/>
      <c r="G12" s="408"/>
      <c r="H12" s="409"/>
      <c r="I12" s="408"/>
      <c r="J12" s="409"/>
      <c r="K12" s="409"/>
      <c r="L12" s="409"/>
      <c r="M12" s="409"/>
      <c r="N12" s="408"/>
      <c r="O12" s="240">
        <f>O33</f>
        <v>164669</v>
      </c>
      <c r="P12" s="410"/>
      <c r="Q12" s="251">
        <f>Q33</f>
        <v>37.117549459289357</v>
      </c>
      <c r="R12" s="410"/>
      <c r="S12" s="240">
        <f>S33*(1+$D$17+$D$18+$D$19)</f>
        <v>22891.298489859641</v>
      </c>
      <c r="T12" s="408"/>
      <c r="U12" s="240">
        <f>U33</f>
        <v>23493387.184143588</v>
      </c>
      <c r="V12" s="408"/>
      <c r="W12" s="240">
        <f>W33</f>
        <v>23493387.184143588</v>
      </c>
      <c r="X12" s="408"/>
      <c r="Y12" s="1290">
        <f>1-((AA39+AA41+AA42+AA43+AA44+AA45+AA52+AA54+AA55+AA56+AA57+AA58+AA65+AA67+AA68+AA69+AA70+AA71+AA78+AA80+AA81+AA82+AA83+AA84+AA91+AA93+AA94+AA95+AA96)/29)</f>
        <v>0</v>
      </c>
      <c r="Z12" s="408"/>
      <c r="AA12" s="408"/>
      <c r="AB12" s="423"/>
    </row>
    <row r="13" spans="1:28" s="237" customFormat="1" ht="10.15" hidden="1" customHeight="1" outlineLevel="1" thickTop="1" thickBot="1" x14ac:dyDescent="0.3">
      <c r="A13" s="408"/>
      <c r="B13" s="408"/>
      <c r="C13" s="409"/>
      <c r="D13" s="408"/>
      <c r="E13" s="413"/>
      <c r="F13" s="415"/>
      <c r="G13" s="415"/>
      <c r="H13" s="416"/>
      <c r="I13" s="414"/>
      <c r="J13" s="414"/>
      <c r="K13" s="418"/>
      <c r="L13" s="418"/>
      <c r="M13" s="418"/>
      <c r="N13" s="410"/>
      <c r="P13" s="410"/>
      <c r="AA13" s="408"/>
      <c r="AB13" s="423"/>
    </row>
    <row r="14" spans="1:28" s="237" customFormat="1" ht="19.899999999999999" hidden="1" customHeight="1" outlineLevel="1" thickTop="1" x14ac:dyDescent="0.25">
      <c r="A14" s="408"/>
      <c r="B14" s="1302" t="s">
        <v>752</v>
      </c>
      <c r="C14" s="1303" t="s">
        <v>299</v>
      </c>
      <c r="D14" s="1304" t="s">
        <v>240</v>
      </c>
      <c r="E14" s="413"/>
      <c r="F14" s="1305" t="s">
        <v>737</v>
      </c>
      <c r="G14" s="1303" t="s">
        <v>299</v>
      </c>
      <c r="H14" s="1306" t="s">
        <v>240</v>
      </c>
      <c r="I14" s="408"/>
      <c r="J14" s="408"/>
      <c r="K14" s="418"/>
      <c r="L14" s="418"/>
      <c r="M14" s="418"/>
      <c r="N14" s="410"/>
      <c r="O14" s="416"/>
      <c r="P14" s="410"/>
      <c r="Q14" s="422"/>
      <c r="R14" s="410"/>
      <c r="S14" s="416"/>
      <c r="T14" s="408"/>
      <c r="U14" s="416"/>
      <c r="V14" s="408"/>
      <c r="W14" s="409"/>
      <c r="X14" s="408"/>
      <c r="Y14" s="409"/>
      <c r="Z14" s="408"/>
      <c r="AA14" s="408"/>
      <c r="AB14" s="423"/>
    </row>
    <row r="15" spans="1:28" s="237" customFormat="1" ht="19.899999999999999" hidden="1" customHeight="1" outlineLevel="1" x14ac:dyDescent="0.25">
      <c r="A15" s="408"/>
      <c r="B15" s="1468" t="s">
        <v>600</v>
      </c>
      <c r="C15" s="1427" t="s">
        <v>194</v>
      </c>
      <c r="D15" s="1449">
        <v>1</v>
      </c>
      <c r="E15" s="408"/>
      <c r="F15" s="2875" t="s">
        <v>884</v>
      </c>
      <c r="G15" s="2877" t="s">
        <v>194</v>
      </c>
      <c r="H15" s="2879">
        <v>0.2</v>
      </c>
      <c r="I15" s="408"/>
      <c r="J15" s="420"/>
      <c r="K15" s="418"/>
      <c r="L15" s="418"/>
      <c r="M15" s="418"/>
      <c r="N15" s="410"/>
      <c r="O15" s="410"/>
      <c r="P15" s="410"/>
      <c r="Q15" s="410"/>
      <c r="R15" s="410"/>
      <c r="S15" s="408"/>
      <c r="T15" s="408"/>
      <c r="U15" s="418"/>
      <c r="V15" s="408"/>
      <c r="W15" s="409"/>
      <c r="X15" s="408"/>
      <c r="Y15" s="409"/>
      <c r="Z15" s="408"/>
      <c r="AA15" s="408"/>
      <c r="AB15" s="423"/>
    </row>
    <row r="16" spans="1:28" s="237" customFormat="1" ht="19.899999999999999" hidden="1" customHeight="1" outlineLevel="1" thickBot="1" x14ac:dyDescent="0.3">
      <c r="A16" s="408"/>
      <c r="B16" s="1469" t="s">
        <v>887</v>
      </c>
      <c r="C16" s="1425" t="s">
        <v>243</v>
      </c>
      <c r="D16" s="1450">
        <f>D10*D12*(1-D15)/1000000</f>
        <v>0</v>
      </c>
      <c r="E16" s="408"/>
      <c r="F16" s="2876"/>
      <c r="G16" s="2878"/>
      <c r="H16" s="2880"/>
      <c r="I16" s="408"/>
      <c r="J16" s="421"/>
      <c r="K16" s="409"/>
      <c r="L16" s="409"/>
      <c r="M16" s="409"/>
      <c r="N16" s="408"/>
      <c r="O16" s="408"/>
      <c r="P16" s="408"/>
      <c r="Q16" s="408"/>
      <c r="R16" s="408"/>
      <c r="S16" s="408"/>
      <c r="T16" s="408"/>
      <c r="U16" s="418"/>
      <c r="V16" s="408"/>
      <c r="W16" s="409"/>
      <c r="X16" s="408"/>
      <c r="Y16" s="409"/>
      <c r="Z16" s="408"/>
      <c r="AA16" s="408"/>
      <c r="AB16" s="423"/>
    </row>
    <row r="17" spans="1:28" s="237" customFormat="1" ht="19.899999999999999" hidden="1" customHeight="1" outlineLevel="1" thickTop="1" x14ac:dyDescent="0.25">
      <c r="A17" s="408"/>
      <c r="B17" s="1466" t="s">
        <v>849</v>
      </c>
      <c r="C17" s="1427" t="s">
        <v>194</v>
      </c>
      <c r="D17" s="1451">
        <v>0.01</v>
      </c>
      <c r="E17" s="408"/>
      <c r="F17" s="408"/>
      <c r="G17" s="408"/>
      <c r="H17" s="409"/>
      <c r="I17" s="408"/>
      <c r="J17" s="408"/>
      <c r="K17" s="408"/>
      <c r="L17" s="408"/>
      <c r="M17" s="408"/>
      <c r="N17" s="408"/>
      <c r="O17" s="408"/>
      <c r="P17" s="408"/>
      <c r="Q17" s="408"/>
      <c r="R17" s="408"/>
      <c r="S17" s="408"/>
      <c r="T17" s="408"/>
      <c r="U17" s="418"/>
      <c r="V17" s="408"/>
      <c r="W17" s="409"/>
      <c r="X17" s="408"/>
      <c r="Y17" s="409"/>
      <c r="Z17" s="408"/>
      <c r="AA17" s="408"/>
      <c r="AB17" s="423"/>
    </row>
    <row r="18" spans="1:28" s="237" customFormat="1" ht="19.899999999999999" hidden="1" customHeight="1" outlineLevel="1" x14ac:dyDescent="0.25">
      <c r="A18" s="408"/>
      <c r="B18" s="1466" t="s">
        <v>850</v>
      </c>
      <c r="C18" s="1427" t="s">
        <v>194</v>
      </c>
      <c r="D18" s="1451">
        <v>0.05</v>
      </c>
      <c r="E18" s="408"/>
      <c r="F18" s="408"/>
      <c r="G18" s="408"/>
      <c r="H18" s="409"/>
      <c r="I18" s="408"/>
      <c r="J18" s="408"/>
      <c r="K18" s="408"/>
      <c r="L18" s="408"/>
      <c r="M18" s="408"/>
      <c r="N18" s="408"/>
      <c r="O18" s="408"/>
      <c r="P18" s="408"/>
      <c r="Q18" s="408"/>
      <c r="R18" s="408"/>
      <c r="S18" s="408"/>
      <c r="T18" s="408"/>
      <c r="U18" s="418"/>
      <c r="V18" s="408"/>
      <c r="W18" s="409"/>
      <c r="X18" s="408"/>
      <c r="Y18" s="409"/>
      <c r="Z18" s="408"/>
      <c r="AA18" s="408"/>
      <c r="AB18" s="423"/>
    </row>
    <row r="19" spans="1:28" s="237" customFormat="1" ht="19.899999999999999" hidden="1" customHeight="1" outlineLevel="1" x14ac:dyDescent="0.25">
      <c r="A19" s="408"/>
      <c r="B19" s="1466" t="s">
        <v>851</v>
      </c>
      <c r="C19" s="1452" t="s">
        <v>194</v>
      </c>
      <c r="D19" s="1453">
        <v>2.5000000000000001E-2</v>
      </c>
      <c r="E19" s="408"/>
      <c r="F19" s="408"/>
      <c r="G19" s="408"/>
      <c r="H19" s="409"/>
      <c r="I19" s="408"/>
      <c r="J19" s="408"/>
      <c r="K19" s="408"/>
      <c r="L19" s="408"/>
      <c r="M19" s="408"/>
      <c r="N19" s="408"/>
      <c r="O19" s="408"/>
      <c r="P19" s="408"/>
      <c r="Q19" s="408"/>
      <c r="R19" s="408"/>
      <c r="S19" s="408"/>
      <c r="T19" s="408"/>
      <c r="U19" s="418"/>
      <c r="V19" s="408"/>
      <c r="W19" s="409"/>
      <c r="X19" s="408"/>
      <c r="Y19" s="409"/>
      <c r="Z19" s="408"/>
      <c r="AA19" s="408"/>
      <c r="AB19" s="423"/>
    </row>
    <row r="20" spans="1:28" s="237" customFormat="1" ht="34.9" hidden="1" customHeight="1" outlineLevel="1" x14ac:dyDescent="0.25">
      <c r="A20" s="408"/>
      <c r="B20" s="1468" t="s">
        <v>854</v>
      </c>
      <c r="C20" s="1427" t="s">
        <v>243</v>
      </c>
      <c r="D20" s="1454">
        <f>D10*D12*(1+D17)*(1+D18)*(1+D19)*D15/1000000</f>
        <v>37.335315303690898</v>
      </c>
      <c r="E20" s="408"/>
      <c r="F20" s="408"/>
      <c r="G20" s="408"/>
      <c r="H20" s="409"/>
      <c r="I20" s="408"/>
      <c r="J20" s="408"/>
      <c r="K20" s="408"/>
      <c r="L20" s="408"/>
      <c r="M20" s="408"/>
      <c r="N20" s="408"/>
      <c r="O20" s="408"/>
      <c r="P20" s="408"/>
      <c r="Q20" s="408"/>
      <c r="R20" s="408"/>
      <c r="S20" s="408"/>
      <c r="T20" s="408"/>
      <c r="U20" s="418"/>
      <c r="V20" s="408"/>
      <c r="W20" s="409"/>
      <c r="X20" s="408"/>
      <c r="Y20" s="409"/>
      <c r="Z20" s="408"/>
      <c r="AA20" s="408"/>
      <c r="AB20" s="423"/>
    </row>
    <row r="21" spans="1:28" s="237" customFormat="1" ht="34.9" hidden="1" customHeight="1" outlineLevel="1" thickBot="1" x14ac:dyDescent="0.3">
      <c r="A21" s="408"/>
      <c r="B21" s="1465" t="s">
        <v>853</v>
      </c>
      <c r="C21" s="1447" t="s">
        <v>278</v>
      </c>
      <c r="D21" s="1448">
        <f>D20*1000000/D10</f>
        <v>1.6255990012297363</v>
      </c>
      <c r="E21" s="408"/>
      <c r="F21" s="408"/>
      <c r="G21" s="408"/>
      <c r="H21" s="409"/>
      <c r="I21" s="408"/>
      <c r="J21" s="409"/>
      <c r="K21" s="409"/>
      <c r="L21" s="409"/>
      <c r="M21" s="409"/>
      <c r="N21" s="408"/>
      <c r="O21" s="416"/>
      <c r="P21" s="408"/>
      <c r="Q21" s="422"/>
      <c r="R21" s="408"/>
      <c r="S21" s="416"/>
      <c r="T21" s="408"/>
      <c r="U21" s="416"/>
      <c r="V21" s="408"/>
      <c r="W21" s="409"/>
      <c r="X21" s="408"/>
      <c r="Y21" s="409"/>
      <c r="Z21" s="408"/>
      <c r="AA21" s="408"/>
      <c r="AB21" s="423"/>
    </row>
    <row r="22" spans="1:28" s="237" customFormat="1" ht="7.5" hidden="1" customHeight="1" outlineLevel="1" thickTop="1" thickBot="1" x14ac:dyDescent="0.3">
      <c r="A22" s="408"/>
      <c r="B22" s="408"/>
      <c r="C22" s="409"/>
      <c r="D22" s="408"/>
      <c r="E22" s="413"/>
      <c r="F22" s="408"/>
      <c r="G22" s="408"/>
      <c r="H22" s="409"/>
      <c r="I22" s="408"/>
      <c r="J22" s="409"/>
      <c r="K22" s="418"/>
      <c r="L22" s="418"/>
      <c r="M22" s="418"/>
      <c r="N22" s="410"/>
      <c r="O22" s="416"/>
      <c r="P22" s="410"/>
      <c r="Q22" s="422"/>
      <c r="R22" s="410"/>
      <c r="S22" s="416"/>
      <c r="T22" s="408"/>
      <c r="U22" s="416"/>
      <c r="V22" s="408"/>
      <c r="W22" s="409"/>
      <c r="X22" s="408"/>
      <c r="Y22" s="409"/>
      <c r="Z22" s="408"/>
      <c r="AA22" s="408"/>
      <c r="AB22" s="423"/>
    </row>
    <row r="23" spans="1:28" s="237" customFormat="1" ht="19.899999999999999" hidden="1" customHeight="1" outlineLevel="1" thickTop="1" x14ac:dyDescent="0.25">
      <c r="A23" s="408"/>
      <c r="B23" s="1302" t="s">
        <v>856</v>
      </c>
      <c r="C23" s="1303" t="s">
        <v>299</v>
      </c>
      <c r="D23" s="1304" t="s">
        <v>240</v>
      </c>
      <c r="E23" s="408"/>
      <c r="F23" s="2850" t="s">
        <v>847</v>
      </c>
      <c r="G23" s="2851"/>
      <c r="H23" s="2852"/>
      <c r="I23" s="408"/>
      <c r="J23" s="417"/>
      <c r="K23" s="409"/>
      <c r="L23" s="409"/>
      <c r="M23" s="409"/>
      <c r="N23" s="408"/>
      <c r="O23" s="408"/>
      <c r="P23" s="408"/>
      <c r="Q23" s="408"/>
      <c r="R23" s="408"/>
      <c r="S23" s="408"/>
      <c r="T23" s="408"/>
      <c r="U23" s="418"/>
      <c r="V23" s="408"/>
      <c r="W23" s="409"/>
      <c r="X23" s="408"/>
      <c r="Y23" s="409"/>
      <c r="Z23" s="408"/>
      <c r="AA23" s="408"/>
      <c r="AB23" s="423"/>
    </row>
    <row r="24" spans="1:28" s="237" customFormat="1" ht="19.899999999999999" hidden="1" customHeight="1" outlineLevel="1" x14ac:dyDescent="0.25">
      <c r="A24" s="408"/>
      <c r="B24" s="1468" t="s">
        <v>855</v>
      </c>
      <c r="C24" s="1427" t="s">
        <v>194</v>
      </c>
      <c r="D24" s="1455">
        <v>0</v>
      </c>
      <c r="E24" s="408"/>
      <c r="F24" s="1464" t="s">
        <v>885</v>
      </c>
      <c r="G24" s="1425" t="s">
        <v>309</v>
      </c>
      <c r="H24" s="1460">
        <f>D26*(D10)/G11</f>
        <v>226.72974664108136</v>
      </c>
      <c r="I24" s="408"/>
      <c r="J24" s="417"/>
      <c r="K24" s="418"/>
      <c r="L24" s="418"/>
      <c r="M24" s="418"/>
      <c r="N24" s="410"/>
      <c r="O24" s="410"/>
      <c r="P24" s="410"/>
      <c r="Q24" s="410"/>
      <c r="R24" s="410"/>
      <c r="S24" s="408"/>
      <c r="T24" s="408"/>
      <c r="U24" s="418"/>
      <c r="V24" s="408"/>
      <c r="W24" s="409"/>
      <c r="X24" s="408"/>
      <c r="Y24" s="409"/>
      <c r="Z24" s="408"/>
      <c r="AA24" s="408"/>
      <c r="AB24" s="423"/>
    </row>
    <row r="25" spans="1:28" s="237" customFormat="1" ht="34.9" hidden="1" customHeight="1" outlineLevel="1" thickBot="1" x14ac:dyDescent="0.3">
      <c r="A25" s="408"/>
      <c r="B25" s="1464" t="s">
        <v>888</v>
      </c>
      <c r="C25" s="1425" t="s">
        <v>243</v>
      </c>
      <c r="D25" s="1450">
        <f>D20</f>
        <v>37.335315303690898</v>
      </c>
      <c r="E25" s="408"/>
      <c r="F25" s="1465" t="s">
        <v>886</v>
      </c>
      <c r="G25" s="1447" t="s">
        <v>310</v>
      </c>
      <c r="H25" s="1461">
        <f>H24/12</f>
        <v>18.894145553423446</v>
      </c>
      <c r="I25" s="408"/>
      <c r="J25" s="417"/>
      <c r="K25" s="418"/>
      <c r="L25" s="418"/>
      <c r="M25" s="418"/>
      <c r="N25" s="410"/>
      <c r="O25" s="410"/>
      <c r="P25" s="410"/>
      <c r="Q25" s="410"/>
      <c r="R25" s="410"/>
      <c r="S25" s="408"/>
      <c r="T25" s="408"/>
      <c r="U25" s="418"/>
      <c r="V25" s="408"/>
      <c r="W25" s="409"/>
      <c r="X25" s="408"/>
      <c r="Y25" s="409"/>
      <c r="Z25" s="408"/>
      <c r="AA25" s="408"/>
      <c r="AB25" s="423"/>
    </row>
    <row r="26" spans="1:28" s="237" customFormat="1" ht="34.9" hidden="1" customHeight="1" outlineLevel="1" thickTop="1" thickBot="1" x14ac:dyDescent="0.3">
      <c r="A26" s="408"/>
      <c r="B26" s="1465" t="s">
        <v>889</v>
      </c>
      <c r="C26" s="1447" t="s">
        <v>278</v>
      </c>
      <c r="D26" s="1448">
        <f>(D25*1000000/(D8*D11))*(1-D24)</f>
        <v>1.6255990012297363</v>
      </c>
      <c r="E26" s="408"/>
      <c r="F26" s="408"/>
      <c r="G26" s="408"/>
      <c r="H26" s="409"/>
      <c r="I26" s="408"/>
      <c r="J26" s="412"/>
      <c r="K26" s="418"/>
      <c r="L26" s="418"/>
      <c r="M26" s="418"/>
      <c r="N26" s="410"/>
      <c r="O26" s="410"/>
      <c r="P26" s="410"/>
      <c r="Q26" s="410"/>
      <c r="R26" s="410"/>
      <c r="S26" s="408"/>
      <c r="T26" s="408"/>
      <c r="U26" s="418"/>
      <c r="V26" s="408"/>
      <c r="W26" s="409"/>
      <c r="X26" s="408"/>
      <c r="Y26" s="409"/>
      <c r="Z26" s="408"/>
      <c r="AA26" s="408"/>
      <c r="AB26" s="423"/>
    </row>
    <row r="27" spans="1:28" s="237" customFormat="1" ht="7.15" customHeight="1" x14ac:dyDescent="0.25">
      <c r="A27" s="408"/>
      <c r="B27" s="408"/>
      <c r="C27" s="409"/>
      <c r="D27" s="408"/>
      <c r="E27" s="408"/>
      <c r="F27" s="408"/>
      <c r="G27" s="408"/>
      <c r="H27" s="409"/>
      <c r="I27" s="409"/>
      <c r="J27" s="409"/>
      <c r="K27" s="409"/>
      <c r="L27" s="409"/>
      <c r="M27" s="409"/>
      <c r="N27" s="408"/>
      <c r="O27" s="408"/>
      <c r="P27" s="408"/>
      <c r="Q27" s="408"/>
      <c r="R27" s="408"/>
      <c r="S27" s="408"/>
      <c r="T27" s="408"/>
      <c r="U27" s="418"/>
      <c r="V27" s="408"/>
      <c r="W27" s="409"/>
      <c r="X27" s="408"/>
      <c r="Y27" s="409"/>
      <c r="Z27" s="408"/>
      <c r="AA27" s="408"/>
      <c r="AB27" s="423"/>
    </row>
    <row r="28" spans="1:28" s="237" customFormat="1" ht="7.15" customHeight="1" x14ac:dyDescent="0.25">
      <c r="A28" s="408"/>
      <c r="B28" s="408"/>
      <c r="C28" s="409"/>
      <c r="D28" s="408"/>
      <c r="E28" s="408"/>
      <c r="F28" s="408"/>
      <c r="G28" s="408"/>
      <c r="H28" s="409"/>
      <c r="I28" s="408"/>
      <c r="J28" s="409"/>
      <c r="K28" s="409"/>
      <c r="L28" s="409"/>
      <c r="M28" s="409"/>
      <c r="N28" s="408"/>
      <c r="O28" s="408"/>
      <c r="P28" s="408"/>
      <c r="Q28" s="408"/>
      <c r="R28" s="408"/>
      <c r="S28" s="408"/>
      <c r="T28" s="408"/>
      <c r="U28" s="418"/>
      <c r="V28" s="408"/>
      <c r="W28" s="409"/>
      <c r="X28" s="408"/>
      <c r="Y28" s="409"/>
      <c r="Z28" s="408"/>
      <c r="AA28" s="408"/>
      <c r="AB28" s="423"/>
    </row>
    <row r="29" spans="1:28" s="237" customFormat="1" ht="61.15" customHeight="1" x14ac:dyDescent="0.25">
      <c r="A29" s="408"/>
      <c r="B29" s="2866" t="s">
        <v>870</v>
      </c>
      <c r="C29" s="2867"/>
      <c r="D29" s="2867"/>
      <c r="E29" s="2868"/>
      <c r="F29" s="408"/>
      <c r="G29" s="408"/>
      <c r="H29" s="409"/>
      <c r="I29" s="408"/>
      <c r="J29" s="409"/>
      <c r="K29" s="2863" t="s">
        <v>311</v>
      </c>
      <c r="L29" s="2864"/>
      <c r="M29" s="2865"/>
      <c r="N29" s="408"/>
      <c r="O29" s="2869" t="s">
        <v>708</v>
      </c>
      <c r="P29" s="2870"/>
      <c r="Q29" s="2870"/>
      <c r="R29" s="2870"/>
      <c r="S29" s="2870"/>
      <c r="T29" s="2870"/>
      <c r="U29" s="2870"/>
      <c r="V29" s="2870"/>
      <c r="W29" s="2870"/>
      <c r="X29" s="2870"/>
      <c r="Y29" s="2870"/>
      <c r="Z29" s="2870"/>
      <c r="AA29" s="408"/>
      <c r="AB29" s="423"/>
    </row>
    <row r="30" spans="1:28" s="237" customFormat="1" ht="4.9000000000000004" customHeight="1" x14ac:dyDescent="0.25">
      <c r="A30" s="408"/>
      <c r="B30" s="408"/>
      <c r="C30" s="409"/>
      <c r="D30" s="408"/>
      <c r="E30" s="408"/>
      <c r="F30" s="408"/>
      <c r="G30" s="408"/>
      <c r="H30" s="409"/>
      <c r="I30" s="408"/>
      <c r="J30" s="409"/>
      <c r="K30" s="409"/>
      <c r="L30" s="409"/>
      <c r="M30" s="409"/>
      <c r="N30" s="408"/>
      <c r="O30" s="408"/>
      <c r="P30" s="408"/>
      <c r="Q30" s="408"/>
      <c r="R30" s="408"/>
      <c r="S30" s="408"/>
      <c r="T30" s="408"/>
      <c r="U30" s="418"/>
      <c r="V30" s="408"/>
      <c r="W30" s="409"/>
      <c r="X30" s="408"/>
      <c r="Y30" s="409"/>
      <c r="Z30" s="408"/>
      <c r="AA30" s="408"/>
      <c r="AB30" s="423"/>
    </row>
    <row r="31" spans="1:28" s="237" customFormat="1" ht="19.899999999999999" customHeight="1" x14ac:dyDescent="0.25">
      <c r="A31" s="408"/>
      <c r="B31" s="2859" t="s">
        <v>871</v>
      </c>
      <c r="C31" s="2860"/>
      <c r="D31" s="2860"/>
      <c r="E31" s="2860"/>
      <c r="F31" s="2860"/>
      <c r="G31" s="2860"/>
      <c r="H31" s="2860"/>
      <c r="I31" s="2860"/>
      <c r="J31" s="2860"/>
      <c r="K31" s="2860"/>
      <c r="L31" s="1415" t="s">
        <v>312</v>
      </c>
      <c r="M31" s="1415" t="s">
        <v>313</v>
      </c>
      <c r="N31" s="408"/>
      <c r="O31" s="2821" t="s">
        <v>601</v>
      </c>
      <c r="P31" s="408"/>
      <c r="Q31" s="2821" t="s">
        <v>314</v>
      </c>
      <c r="R31" s="408"/>
      <c r="S31" s="2821" t="s">
        <v>602</v>
      </c>
      <c r="T31" s="408"/>
      <c r="U31" s="2821" t="s">
        <v>603</v>
      </c>
      <c r="V31" s="408"/>
      <c r="W31" s="2821" t="s">
        <v>603</v>
      </c>
      <c r="X31" s="408"/>
      <c r="Y31" s="2821" t="s">
        <v>414</v>
      </c>
      <c r="Z31" s="408"/>
      <c r="AA31" s="408"/>
      <c r="AB31" s="423"/>
    </row>
    <row r="32" spans="1:28" s="237" customFormat="1" ht="19.899999999999999" customHeight="1" x14ac:dyDescent="0.25">
      <c r="A32" s="408"/>
      <c r="B32" s="2861"/>
      <c r="C32" s="2860"/>
      <c r="D32" s="2860"/>
      <c r="E32" s="2860"/>
      <c r="F32" s="2860"/>
      <c r="G32" s="2860"/>
      <c r="H32" s="2860"/>
      <c r="I32" s="2860"/>
      <c r="J32" s="2860"/>
      <c r="K32" s="2860"/>
      <c r="L32" s="1416">
        <f>H24</f>
        <v>226.72974664108136</v>
      </c>
      <c r="M32" s="1417">
        <f>H25</f>
        <v>18.894145553423446</v>
      </c>
      <c r="N32" s="411"/>
      <c r="O32" s="2733"/>
      <c r="P32" s="411"/>
      <c r="Q32" s="2733"/>
      <c r="R32" s="411"/>
      <c r="S32" s="2733"/>
      <c r="T32" s="408"/>
      <c r="U32" s="2733"/>
      <c r="V32" s="408"/>
      <c r="W32" s="2733"/>
      <c r="X32" s="408"/>
      <c r="Y32" s="2862"/>
      <c r="Z32" s="408"/>
      <c r="AA32" s="408"/>
      <c r="AB32" s="423"/>
    </row>
    <row r="33" spans="1:28" s="237" customFormat="1" ht="15" customHeight="1" collapsed="1" x14ac:dyDescent="0.25">
      <c r="A33" s="408"/>
      <c r="B33" s="408"/>
      <c r="C33" s="409"/>
      <c r="D33" s="408"/>
      <c r="E33" s="408"/>
      <c r="F33" s="408"/>
      <c r="G33" s="408"/>
      <c r="H33" s="409"/>
      <c r="I33" s="408"/>
      <c r="J33" s="409"/>
      <c r="K33" s="409"/>
      <c r="L33" s="409"/>
      <c r="M33" s="409"/>
      <c r="N33" s="408"/>
      <c r="O33" s="240">
        <f>O36+O49+O62+O75+O88</f>
        <v>164669</v>
      </c>
      <c r="P33" s="408"/>
      <c r="Q33" s="240">
        <f>(Q36+Q49+Q62+Q75+Q88)*12/1000000</f>
        <v>37.117549459289357</v>
      </c>
      <c r="R33" s="408"/>
      <c r="S33" s="240">
        <f>12*S34</f>
        <v>21097.970958395981</v>
      </c>
      <c r="T33" s="408" t="s">
        <v>315</v>
      </c>
      <c r="U33" s="240">
        <f>12*U34</f>
        <v>23493387.184143588</v>
      </c>
      <c r="V33" s="408" t="s">
        <v>316</v>
      </c>
      <c r="W33" s="240">
        <f>12*W34</f>
        <v>23493387.184143588</v>
      </c>
      <c r="X33" s="408" t="s">
        <v>316</v>
      </c>
      <c r="Y33" s="2871">
        <v>0.1</v>
      </c>
      <c r="Z33" s="408"/>
      <c r="AA33" s="408"/>
      <c r="AB33" s="423"/>
    </row>
    <row r="34" spans="1:28" s="237" customFormat="1" ht="34.9" hidden="1" customHeight="1" outlineLevel="1" x14ac:dyDescent="0.25">
      <c r="A34" s="408"/>
      <c r="B34" s="2831" t="s">
        <v>317</v>
      </c>
      <c r="C34" s="2832"/>
      <c r="D34" s="2832"/>
      <c r="E34" s="2832"/>
      <c r="F34" s="2832"/>
      <c r="G34" s="2832"/>
      <c r="H34" s="2832"/>
      <c r="I34" s="2832"/>
      <c r="J34" s="2832"/>
      <c r="K34" s="2832"/>
      <c r="L34" s="2832"/>
      <c r="M34" s="2832"/>
      <c r="N34" s="411"/>
      <c r="O34" s="711"/>
      <c r="P34" s="411"/>
      <c r="Q34" s="711"/>
      <c r="R34" s="411"/>
      <c r="S34" s="240">
        <f>S36+S49+S62+S75+S88</f>
        <v>1758.1642465329985</v>
      </c>
      <c r="T34" s="408" t="s">
        <v>318</v>
      </c>
      <c r="U34" s="240">
        <f>U36+U49+U62+U75+U88</f>
        <v>1957782.2653452989</v>
      </c>
      <c r="V34" s="408" t="s">
        <v>319</v>
      </c>
      <c r="W34" s="240">
        <f>W36+W49+W62+W75+W88</f>
        <v>1957782.2653452989</v>
      </c>
      <c r="X34" s="408" t="s">
        <v>319</v>
      </c>
      <c r="Y34" s="2872"/>
      <c r="Z34" s="408"/>
      <c r="AA34" s="408"/>
      <c r="AB34" s="423"/>
    </row>
    <row r="35" spans="1:28" s="237" customFormat="1" ht="25.15" hidden="1" customHeight="1" outlineLevel="1" x14ac:dyDescent="0.25">
      <c r="A35" s="408"/>
      <c r="B35" s="2833" t="s">
        <v>320</v>
      </c>
      <c r="C35" s="2825"/>
      <c r="D35" s="2825"/>
      <c r="E35" s="2834"/>
      <c r="F35" s="2825"/>
      <c r="G35" s="2825"/>
      <c r="H35" s="2825"/>
      <c r="I35" s="2834"/>
      <c r="J35" s="2825"/>
      <c r="K35" s="2825"/>
      <c r="L35" s="2825"/>
      <c r="M35" s="2825"/>
      <c r="N35" s="411"/>
      <c r="O35" s="713">
        <f>G9</f>
        <v>25</v>
      </c>
      <c r="P35" s="712"/>
      <c r="Q35" s="716"/>
      <c r="R35" s="411"/>
      <c r="S35" s="711"/>
      <c r="T35" s="408"/>
      <c r="U35" s="720"/>
      <c r="V35" s="408"/>
      <c r="W35" s="720"/>
      <c r="X35" s="408"/>
      <c r="Y35" s="258"/>
      <c r="Z35" s="408"/>
      <c r="AA35" s="408"/>
      <c r="AB35" s="423"/>
    </row>
    <row r="36" spans="1:28" s="237" customFormat="1" ht="36" hidden="1" customHeight="1" outlineLevel="1" x14ac:dyDescent="0.25">
      <c r="A36" s="408"/>
      <c r="B36" s="2833" t="s">
        <v>321</v>
      </c>
      <c r="C36" s="2833" t="s">
        <v>322</v>
      </c>
      <c r="D36" s="2836"/>
      <c r="E36" s="1308"/>
      <c r="F36" s="2824" t="s">
        <v>323</v>
      </c>
      <c r="G36" s="2825"/>
      <c r="H36" s="2826"/>
      <c r="I36" s="709"/>
      <c r="J36" s="2822" t="s">
        <v>876</v>
      </c>
      <c r="K36" s="2823"/>
      <c r="L36" s="2823"/>
      <c r="M36" s="2823"/>
      <c r="N36" s="408"/>
      <c r="O36" s="240">
        <f>O39+O41+O42+O43+O44+O45</f>
        <v>25</v>
      </c>
      <c r="P36" s="417"/>
      <c r="Q36" s="717">
        <f>Q39+Q41+Q42+Q43+Q44+Q45</f>
        <v>441.06021026272856</v>
      </c>
      <c r="R36" s="408"/>
      <c r="S36" s="2820">
        <f>IF(AND(Q36&lt;&gt;0,O36&lt;&gt;0),Q36/(1+$D$17+$D$18+$D$19)/(($D$25*1000000/$D$8)),0)</f>
        <v>0.25070285195506636</v>
      </c>
      <c r="T36" s="2857" t="s">
        <v>324</v>
      </c>
      <c r="U36" s="2820">
        <f>U39+U41+U42+U43+U44+U45</f>
        <v>250.06604084120022</v>
      </c>
      <c r="V36" s="417" t="s">
        <v>325</v>
      </c>
      <c r="W36" s="2820">
        <f>W39*O39+W41*O41+W42*O42+W43*O43+W44*O44+W45*O45</f>
        <v>250.06604084120022</v>
      </c>
      <c r="X36" s="417" t="s">
        <v>325</v>
      </c>
      <c r="Y36" s="694" t="s">
        <v>326</v>
      </c>
      <c r="Z36" s="408"/>
      <c r="AA36" s="408"/>
      <c r="AB36" s="423"/>
    </row>
    <row r="37" spans="1:28" s="237" customFormat="1" ht="24" hidden="1" customHeight="1" outlineLevel="1" x14ac:dyDescent="0.25">
      <c r="A37" s="408"/>
      <c r="B37" s="2835"/>
      <c r="C37" s="1418" t="s">
        <v>327</v>
      </c>
      <c r="D37" s="1419" t="s">
        <v>328</v>
      </c>
      <c r="E37" s="1309"/>
      <c r="F37" s="2827"/>
      <c r="G37" s="2825"/>
      <c r="H37" s="2826"/>
      <c r="I37" s="710"/>
      <c r="J37" s="2828" t="s">
        <v>329</v>
      </c>
      <c r="K37" s="2829"/>
      <c r="L37" s="2830" t="s">
        <v>330</v>
      </c>
      <c r="M37" s="2829"/>
      <c r="N37" s="408"/>
      <c r="O37" s="714" t="s">
        <v>331</v>
      </c>
      <c r="P37" s="417"/>
      <c r="Q37" s="718">
        <v>0.5</v>
      </c>
      <c r="R37" s="408"/>
      <c r="S37" s="2799"/>
      <c r="T37" s="2858"/>
      <c r="U37" s="2799"/>
      <c r="V37" s="417"/>
      <c r="W37" s="2796"/>
      <c r="X37" s="417"/>
      <c r="Y37" s="721">
        <f>$Y$33</f>
        <v>0.1</v>
      </c>
      <c r="Z37" s="408"/>
      <c r="AA37" s="408"/>
      <c r="AB37" s="423"/>
    </row>
    <row r="38" spans="1:28" s="237" customFormat="1" ht="24" hidden="1" customHeight="1" outlineLevel="1" x14ac:dyDescent="0.25">
      <c r="A38" s="408"/>
      <c r="B38" s="2843">
        <v>1</v>
      </c>
      <c r="C38" s="2843">
        <v>1</v>
      </c>
      <c r="D38" s="2846">
        <v>1.25</v>
      </c>
      <c r="E38" s="710"/>
      <c r="F38" s="1423" t="s">
        <v>872</v>
      </c>
      <c r="G38" s="1424" t="s">
        <v>873</v>
      </c>
      <c r="H38" s="1426" t="s">
        <v>332</v>
      </c>
      <c r="I38" s="1420"/>
      <c r="J38" s="1428" t="s">
        <v>312</v>
      </c>
      <c r="K38" s="1429" t="s">
        <v>313</v>
      </c>
      <c r="L38" s="1428" t="s">
        <v>312</v>
      </c>
      <c r="M38" s="1429" t="s">
        <v>313</v>
      </c>
      <c r="N38" s="408"/>
      <c r="O38" s="263"/>
      <c r="P38" s="417"/>
      <c r="Q38" s="264"/>
      <c r="R38" s="408"/>
      <c r="S38" s="129"/>
      <c r="T38" s="417"/>
      <c r="U38" s="129"/>
      <c r="V38" s="417"/>
      <c r="W38" s="267"/>
      <c r="X38" s="417"/>
      <c r="Y38" s="267"/>
      <c r="Z38" s="408"/>
      <c r="AA38" s="408"/>
      <c r="AB38" s="423"/>
    </row>
    <row r="39" spans="1:28" s="237" customFormat="1" ht="24" hidden="1" customHeight="1" outlineLevel="1" x14ac:dyDescent="0.25">
      <c r="A39" s="408"/>
      <c r="B39" s="2844"/>
      <c r="C39" s="2845"/>
      <c r="D39" s="2847"/>
      <c r="E39" s="710"/>
      <c r="F39" s="1473" t="s">
        <v>289</v>
      </c>
      <c r="G39" s="1474">
        <v>5</v>
      </c>
      <c r="H39" s="1475">
        <v>0.35</v>
      </c>
      <c r="I39" s="1309"/>
      <c r="J39" s="1476">
        <f>$L$32*H39*$B$38*$C$38</f>
        <v>79.355411324378466</v>
      </c>
      <c r="K39" s="1477">
        <f>$M$32*H39*$B$38*$C$38</f>
        <v>6.6129509436982055</v>
      </c>
      <c r="L39" s="1476">
        <f>J39*$D$38</f>
        <v>99.194264155473078</v>
      </c>
      <c r="M39" s="1477">
        <f>K39*$D$38</f>
        <v>8.2661886796227577</v>
      </c>
      <c r="N39" s="408"/>
      <c r="O39" s="715">
        <v>5</v>
      </c>
      <c r="P39" s="417"/>
      <c r="Q39" s="261">
        <f>O39*$Q$37*M39+O39*(1-$Q$37)*K39</f>
        <v>37.19784905830241</v>
      </c>
      <c r="R39" s="408"/>
      <c r="S39" s="719">
        <f>IF(AND(Q39&lt;&gt;0,O39&lt;&gt;0),Q39/(1+$D$17+$D$18+$D$19)/O39/30/(($D$25*1000000/$D$8))*1000,0)</f>
        <v>0.14095742680204534</v>
      </c>
      <c r="T39" s="417" t="s">
        <v>333</v>
      </c>
      <c r="U39" s="699">
        <f>S39*O39*30*$D$11*(1+$D$24)/1000</f>
        <v>21.089907058896404</v>
      </c>
      <c r="V39" s="417" t="s">
        <v>334</v>
      </c>
      <c r="W39" s="699">
        <f>IF(O39&lt;&gt;0,U39/O39,0)</f>
        <v>4.2179814117792809</v>
      </c>
      <c r="X39" s="417" t="s">
        <v>335</v>
      </c>
      <c r="Y39" s="262" t="str">
        <f>IF(O39=0,"-", IF(W39&lt;=(G39*(1+$Y$37)),"OK", "NOK"))</f>
        <v>OK</v>
      </c>
      <c r="Z39" s="139"/>
      <c r="AA39" s="227">
        <f>IF(OR(Y39="OK",Y39="-"),1,0)</f>
        <v>1</v>
      </c>
      <c r="AB39" s="423"/>
    </row>
    <row r="40" spans="1:28" s="237" customFormat="1" ht="24" hidden="1" customHeight="1" outlineLevel="1" x14ac:dyDescent="0.25">
      <c r="A40" s="408"/>
      <c r="B40" s="2844"/>
      <c r="C40" s="2845"/>
      <c r="D40" s="2847"/>
      <c r="E40" s="710"/>
      <c r="F40" s="1423" t="s">
        <v>874</v>
      </c>
      <c r="G40" s="1424" t="s">
        <v>875</v>
      </c>
      <c r="H40" s="1426" t="s">
        <v>332</v>
      </c>
      <c r="I40" s="1420"/>
      <c r="J40" s="1421"/>
      <c r="K40" s="1422"/>
      <c r="L40" s="1421"/>
      <c r="M40" s="1422"/>
      <c r="N40" s="408"/>
      <c r="O40" s="263"/>
      <c r="P40" s="417"/>
      <c r="Q40" s="264"/>
      <c r="R40" s="408"/>
      <c r="S40" s="265"/>
      <c r="T40" s="417"/>
      <c r="U40" s="266"/>
      <c r="V40" s="417"/>
      <c r="W40" s="266"/>
      <c r="X40" s="417"/>
      <c r="Y40" s="267"/>
      <c r="Z40" s="408"/>
      <c r="AA40" s="409"/>
      <c r="AB40" s="423"/>
    </row>
    <row r="41" spans="1:28" s="237" customFormat="1" ht="24" hidden="1" customHeight="1" outlineLevel="1" x14ac:dyDescent="0.25">
      <c r="A41" s="408"/>
      <c r="B41" s="2844"/>
      <c r="C41" s="2845"/>
      <c r="D41" s="2847"/>
      <c r="E41" s="710"/>
      <c r="F41" s="1473">
        <f>G39</f>
        <v>5</v>
      </c>
      <c r="G41" s="1474">
        <v>15</v>
      </c>
      <c r="H41" s="1475">
        <v>0.06</v>
      </c>
      <c r="I41" s="1309"/>
      <c r="J41" s="1476">
        <f>$L$32*(H39+(G41-F41)*H41)*$B$38*$C$38</f>
        <v>215.39325930902729</v>
      </c>
      <c r="K41" s="1477">
        <f>$M$32*(H39+(G41-F41)*H41)*$B$38*$C$38</f>
        <v>17.949438275752271</v>
      </c>
      <c r="L41" s="1476">
        <f t="shared" ref="L41:M45" si="0">J41*$D$38</f>
        <v>269.2415741362841</v>
      </c>
      <c r="M41" s="1477">
        <f t="shared" si="0"/>
        <v>22.436797844690339</v>
      </c>
      <c r="N41" s="408"/>
      <c r="O41" s="715">
        <v>20</v>
      </c>
      <c r="P41" s="417"/>
      <c r="Q41" s="261">
        <f>O41*$Q$37*M41+O41*(1-$Q$37)*K41</f>
        <v>403.86236120442612</v>
      </c>
      <c r="R41" s="408"/>
      <c r="S41" s="719">
        <f>IF(AND(Q41&lt;&gt;0,O41&lt;&gt;0),Q41/(1+$D$17+$D$18+$D$19)/O41/30/(($D$25*1000000/$D$8))*1000,0)</f>
        <v>0.38259872989126587</v>
      </c>
      <c r="T41" s="417" t="s">
        <v>333</v>
      </c>
      <c r="U41" s="699">
        <f>S41*O41*30*$D$11*(1+$D$24)/1000</f>
        <v>228.9761337823038</v>
      </c>
      <c r="V41" s="417" t="s">
        <v>334</v>
      </c>
      <c r="W41" s="699">
        <f>IF(O41&lt;&gt;0,U41/O41,0)</f>
        <v>11.448806689115191</v>
      </c>
      <c r="X41" s="417" t="s">
        <v>335</v>
      </c>
      <c r="Y41" s="240" t="str">
        <f>IF(O41=0,"-",IF(AND(((F41*(1-$Y$37))&lt;W41),(W41&lt;(G41*(1+$Y$37)))),"OK", "NOK"))</f>
        <v>OK</v>
      </c>
      <c r="Z41" s="139"/>
      <c r="AA41" s="227">
        <f>IF(OR(Y41="OK",Y41="-"),1,0)</f>
        <v>1</v>
      </c>
      <c r="AB41" s="423"/>
    </row>
    <row r="42" spans="1:28" s="237" customFormat="1" ht="24" hidden="1" customHeight="1" outlineLevel="1" x14ac:dyDescent="0.25">
      <c r="A42" s="408"/>
      <c r="B42" s="2844"/>
      <c r="C42" s="2845"/>
      <c r="D42" s="2847"/>
      <c r="E42" s="710"/>
      <c r="F42" s="1473">
        <f>G41</f>
        <v>15</v>
      </c>
      <c r="G42" s="1474">
        <v>25</v>
      </c>
      <c r="H42" s="1475">
        <v>0.05</v>
      </c>
      <c r="I42" s="1309"/>
      <c r="J42" s="1476">
        <f>$L$32*(H39+(G41-F41)*H41+(G42-F42)*H42)*$B$38*$C$38</f>
        <v>328.75813262956797</v>
      </c>
      <c r="K42" s="1477">
        <f>$M$32*(H39+(G41-F41)*H41+(G42-F42)*H42)*$B$38*$C$38</f>
        <v>27.396511052463996</v>
      </c>
      <c r="L42" s="1476">
        <f t="shared" si="0"/>
        <v>410.94766578695999</v>
      </c>
      <c r="M42" s="1477">
        <f t="shared" si="0"/>
        <v>34.245638815579994</v>
      </c>
      <c r="N42" s="408"/>
      <c r="O42" s="715">
        <v>0</v>
      </c>
      <c r="P42" s="417"/>
      <c r="Q42" s="261">
        <f>O42*$Q$37*M42+O42*(1-$Q$37)*K42</f>
        <v>0</v>
      </c>
      <c r="R42" s="408"/>
      <c r="S42" s="719">
        <f>IF(AND(Q42&lt;&gt;0,O42&lt;&gt;0),Q42/(1+$D$17+$D$18+$D$19)/O42/30/(($D$25*1000000/$D$8))*1000,0)</f>
        <v>0</v>
      </c>
      <c r="T42" s="417" t="s">
        <v>333</v>
      </c>
      <c r="U42" s="699">
        <f>S42*O42*30*$D$11*(1+$D$24)/1000</f>
        <v>0</v>
      </c>
      <c r="V42" s="417" t="s">
        <v>334</v>
      </c>
      <c r="W42" s="699">
        <f>IF(O42&lt;&gt;0,U42/O42,0)</f>
        <v>0</v>
      </c>
      <c r="X42" s="417" t="s">
        <v>335</v>
      </c>
      <c r="Y42" s="240" t="str">
        <f>IF(O42=0,"-",IF(AND(((F42*(1-$Y$37))&lt;W42),(W42&lt;(G42*(1+$Y$37)))),"OK", "NOK"))</f>
        <v>-</v>
      </c>
      <c r="Z42" s="139"/>
      <c r="AA42" s="227">
        <f>IF(OR(Y42="OK",Y42="-"),1,0)</f>
        <v>1</v>
      </c>
      <c r="AB42" s="423"/>
    </row>
    <row r="43" spans="1:28" s="237" customFormat="1" ht="24" hidden="1" customHeight="1" outlineLevel="1" x14ac:dyDescent="0.25">
      <c r="A43" s="408"/>
      <c r="B43" s="2844"/>
      <c r="C43" s="2845"/>
      <c r="D43" s="2847"/>
      <c r="E43" s="710"/>
      <c r="F43" s="1473">
        <f>G42</f>
        <v>25</v>
      </c>
      <c r="G43" s="1474">
        <v>35</v>
      </c>
      <c r="H43" s="1475">
        <v>3.5000000000000003E-2</v>
      </c>
      <c r="I43" s="1309"/>
      <c r="J43" s="1476">
        <f>$L$32*(H39+(G41-F41)*H41+(G42-F42)*H42+(G43-F43)*H43)*$B$38*$C$38</f>
        <v>408.11354395394648</v>
      </c>
      <c r="K43" s="1477">
        <f>$M$32*(H39+(G41-F41)*H41+(G42-F42)*H42+(G43-F43)*H43)*$B$38*$C$38</f>
        <v>34.009461996162202</v>
      </c>
      <c r="L43" s="1476">
        <f t="shared" si="0"/>
        <v>510.14192994243308</v>
      </c>
      <c r="M43" s="1477">
        <f t="shared" si="0"/>
        <v>42.511827495202752</v>
      </c>
      <c r="N43" s="408"/>
      <c r="O43" s="715">
        <v>0</v>
      </c>
      <c r="P43" s="417"/>
      <c r="Q43" s="261">
        <f>O43*$Q$37*M43+O43*(1-$Q$37)*K43</f>
        <v>0</v>
      </c>
      <c r="R43" s="408"/>
      <c r="S43" s="719">
        <f>IF(AND(Q43&lt;&gt;0,O43&lt;&gt;0),Q43/(1+$D$17+$D$18+$D$19)/O43/30/(($D$25*1000000/$D$8))*1000,0)</f>
        <v>0</v>
      </c>
      <c r="T43" s="417" t="s">
        <v>333</v>
      </c>
      <c r="U43" s="699">
        <f>S43*O43*30*$D$11*(1+$D$24)/1000</f>
        <v>0</v>
      </c>
      <c r="V43" s="417" t="s">
        <v>334</v>
      </c>
      <c r="W43" s="699">
        <f>IF(O43&lt;&gt;0,U43/O43,0)</f>
        <v>0</v>
      </c>
      <c r="X43" s="417" t="s">
        <v>335</v>
      </c>
      <c r="Y43" s="240" t="str">
        <f>IF(O43=0,"-",IF(AND(((F43*(1-$Y$37))&lt;W43),(W43&lt;(G43*(1+$Y$37)))),"OK", "NOK"))</f>
        <v>-</v>
      </c>
      <c r="Z43" s="139"/>
      <c r="AA43" s="227">
        <f>IF(OR(Y43="OK",Y43="-"),1,0)</f>
        <v>1</v>
      </c>
      <c r="AB43" s="423"/>
    </row>
    <row r="44" spans="1:28" s="237" customFormat="1" ht="24" hidden="1" customHeight="1" outlineLevel="1" x14ac:dyDescent="0.25">
      <c r="A44" s="408"/>
      <c r="B44" s="2844"/>
      <c r="C44" s="2845"/>
      <c r="D44" s="2847"/>
      <c r="E44" s="710"/>
      <c r="F44" s="1473">
        <f>G43</f>
        <v>35</v>
      </c>
      <c r="G44" s="1474">
        <v>50</v>
      </c>
      <c r="H44" s="1475">
        <f>0.03</f>
        <v>0.03</v>
      </c>
      <c r="I44" s="1309"/>
      <c r="J44" s="1476">
        <f>$L$32*(H39+(G41-F41)*H41+(G42-F42)*H42+(G43-F43)*H43+(G44-F44)*H44)*$B$38*$C$38</f>
        <v>510.14192994243308</v>
      </c>
      <c r="K44" s="1477">
        <f>$M$32*(H39+(G41-F41)*H41+(G42-F42)*H42+(G43-F43)*H43+(G44-F44)*H44)*$B$38*$C$38</f>
        <v>42.511827495202752</v>
      </c>
      <c r="L44" s="1476">
        <f t="shared" si="0"/>
        <v>637.67741242804141</v>
      </c>
      <c r="M44" s="1477">
        <f t="shared" si="0"/>
        <v>53.139784369003436</v>
      </c>
      <c r="N44" s="408"/>
      <c r="O44" s="715">
        <v>0</v>
      </c>
      <c r="P44" s="417"/>
      <c r="Q44" s="261">
        <f>O44*$Q$37*M44+O44*(1-$Q$37)*K44</f>
        <v>0</v>
      </c>
      <c r="R44" s="408"/>
      <c r="S44" s="719">
        <f>IF(AND(Q44&lt;&gt;0,O44&lt;&gt;0),Q44/(1+$D$17+$D$18+$D$19)/O44/30/(($D$25*1000000/$D$8))*1000,0)</f>
        <v>0</v>
      </c>
      <c r="T44" s="417" t="s">
        <v>333</v>
      </c>
      <c r="U44" s="699">
        <f>S44*O44*30*$D$11*(1+$D$24)/1000</f>
        <v>0</v>
      </c>
      <c r="V44" s="417" t="s">
        <v>334</v>
      </c>
      <c r="W44" s="699">
        <f>IF(O44&lt;&gt;0,U44/O44,0)</f>
        <v>0</v>
      </c>
      <c r="X44" s="417" t="s">
        <v>335</v>
      </c>
      <c r="Y44" s="240" t="str">
        <f>IF(O44=0,"-",IF(AND(((F44*(1-$Y$37))&lt;W44),(W44&lt;(G44*(1+$Y$37)))),"OK", "NOK"))</f>
        <v>-</v>
      </c>
      <c r="Z44" s="139"/>
      <c r="AA44" s="227">
        <f>IF(OR(Y44="OK",Y44="-"),1,0)</f>
        <v>1</v>
      </c>
      <c r="AB44" s="423"/>
    </row>
    <row r="45" spans="1:28" s="237" customFormat="1" ht="24" hidden="1" customHeight="1" outlineLevel="1" x14ac:dyDescent="0.25">
      <c r="A45" s="408"/>
      <c r="B45" s="2844"/>
      <c r="C45" s="2845"/>
      <c r="D45" s="2847"/>
      <c r="E45" s="710"/>
      <c r="F45" s="1473">
        <f>G44</f>
        <v>50</v>
      </c>
      <c r="G45" s="1474">
        <v>100</v>
      </c>
      <c r="H45" s="1475">
        <v>2.5000000000000001E-2</v>
      </c>
      <c r="I45" s="1309"/>
      <c r="J45" s="1476">
        <f>$L$32*(H39+(G41-F41)*H41+(G42-F42)*H42+(G43-F43)*H43+(G44-F44)*H44+(G45-F45)*H45)*$B$38*$C$38</f>
        <v>793.55411324378474</v>
      </c>
      <c r="K45" s="1477">
        <f>$M$32*(H39+(G41-F41)*H41+(G42-F42)*H42+(G43-F43)*H43+(G44-F44)*H44+(G45-F45)*H45)*$B$38*$C$38</f>
        <v>66.129509436982062</v>
      </c>
      <c r="L45" s="1476">
        <f t="shared" si="0"/>
        <v>991.94264155473093</v>
      </c>
      <c r="M45" s="1477">
        <f t="shared" si="0"/>
        <v>82.661886796227577</v>
      </c>
      <c r="N45" s="408"/>
      <c r="O45" s="715">
        <v>0</v>
      </c>
      <c r="P45" s="417"/>
      <c r="Q45" s="261">
        <f>O45*$Q$37*M45+O45*(1-$Q$37)*K45</f>
        <v>0</v>
      </c>
      <c r="R45" s="408"/>
      <c r="S45" s="719">
        <f>IF(AND(Q45&lt;&gt;0,O45&lt;&gt;0),Q45/(1+$D$17+$D$18+$D$19)/O45/30/(($D$25*1000000/$D$8))*1000,0)</f>
        <v>0</v>
      </c>
      <c r="T45" s="417" t="s">
        <v>333</v>
      </c>
      <c r="U45" s="699">
        <f>S45*O45*30*$D$11*(1+$D$24)/1000</f>
        <v>0</v>
      </c>
      <c r="V45" s="417" t="s">
        <v>334</v>
      </c>
      <c r="W45" s="699">
        <f>IF(O45&lt;&gt;0,U45/O45,0)</f>
        <v>0</v>
      </c>
      <c r="X45" s="417" t="s">
        <v>335</v>
      </c>
      <c r="Y45" s="240" t="str">
        <f>IF(O45=0,"-",IF(AND(((F45*(1-$Y$37))&lt;W45),(W45&lt;(G45*(1+$Y$37)))),"OK", "NOK"))</f>
        <v>-</v>
      </c>
      <c r="Z45" s="139"/>
      <c r="AA45" s="227">
        <f>IF(OR(Y45="OK",Y45="-"),1,0)</f>
        <v>1</v>
      </c>
      <c r="AB45" s="423"/>
    </row>
    <row r="46" spans="1:28" s="237" customFormat="1" ht="10.15" hidden="1" customHeight="1" outlineLevel="1" x14ac:dyDescent="0.25">
      <c r="A46" s="408"/>
      <c r="B46" s="408"/>
      <c r="C46" s="409"/>
      <c r="D46" s="408"/>
      <c r="E46" s="408"/>
      <c r="F46" s="409"/>
      <c r="G46" s="409"/>
      <c r="H46" s="409"/>
      <c r="I46" s="408"/>
      <c r="J46" s="409"/>
      <c r="K46" s="409"/>
      <c r="L46" s="409"/>
      <c r="M46" s="409"/>
      <c r="N46" s="408"/>
      <c r="O46" s="408"/>
      <c r="P46" s="408"/>
      <c r="Q46" s="408"/>
      <c r="R46" s="408"/>
      <c r="S46" s="408"/>
      <c r="T46" s="408"/>
      <c r="U46" s="408"/>
      <c r="V46" s="408"/>
      <c r="W46" s="409"/>
      <c r="X46" s="408"/>
      <c r="Y46" s="409"/>
      <c r="Z46" s="408"/>
      <c r="AA46" s="408"/>
      <c r="AB46" s="423"/>
    </row>
    <row r="47" spans="1:28" s="237" customFormat="1" ht="34.9" hidden="1" customHeight="1" outlineLevel="1" x14ac:dyDescent="0.25">
      <c r="A47" s="408"/>
      <c r="B47" s="2831" t="s">
        <v>336</v>
      </c>
      <c r="C47" s="2832"/>
      <c r="D47" s="2832"/>
      <c r="E47" s="2832"/>
      <c r="F47" s="2832"/>
      <c r="G47" s="2832"/>
      <c r="H47" s="2832"/>
      <c r="I47" s="2832"/>
      <c r="J47" s="2832"/>
      <c r="K47" s="2832"/>
      <c r="L47" s="2832"/>
      <c r="M47" s="2832"/>
      <c r="N47" s="411"/>
      <c r="O47" s="408"/>
      <c r="P47" s="411"/>
      <c r="Q47" s="408"/>
      <c r="R47" s="411"/>
      <c r="S47" s="408"/>
      <c r="T47" s="408"/>
      <c r="U47" s="408"/>
      <c r="V47" s="408"/>
      <c r="W47" s="409"/>
      <c r="X47" s="408"/>
      <c r="Y47" s="409"/>
      <c r="Z47" s="408"/>
      <c r="AA47" s="408"/>
      <c r="AB47" s="423"/>
    </row>
    <row r="48" spans="1:28" s="1437" customFormat="1" ht="25.15" hidden="1" customHeight="1" outlineLevel="1" x14ac:dyDescent="0.45">
      <c r="A48" s="1430"/>
      <c r="B48" s="2833" t="s">
        <v>320</v>
      </c>
      <c r="C48" s="2825"/>
      <c r="D48" s="2825"/>
      <c r="E48" s="2834"/>
      <c r="F48" s="2825"/>
      <c r="G48" s="2825"/>
      <c r="H48" s="2825"/>
      <c r="I48" s="2834"/>
      <c r="J48" s="2825"/>
      <c r="K48" s="2825"/>
      <c r="L48" s="2825"/>
      <c r="M48" s="2825"/>
      <c r="N48" s="1431"/>
      <c r="O48" s="1432">
        <f>G6</f>
        <v>109759.20000000001</v>
      </c>
      <c r="P48" s="1433"/>
      <c r="Q48" s="1434"/>
      <c r="R48" s="1431"/>
      <c r="S48" s="1434"/>
      <c r="T48" s="1430"/>
      <c r="U48" s="1430"/>
      <c r="V48" s="1430"/>
      <c r="W48" s="1435"/>
      <c r="X48" s="1430"/>
      <c r="Y48" s="1435"/>
      <c r="Z48" s="1430"/>
      <c r="AA48" s="1430"/>
      <c r="AB48" s="1436"/>
    </row>
    <row r="49" spans="1:28" s="237" customFormat="1" ht="43.9" hidden="1" customHeight="1" outlineLevel="1" x14ac:dyDescent="0.25">
      <c r="A49" s="408"/>
      <c r="B49" s="2833" t="s">
        <v>321</v>
      </c>
      <c r="C49" s="2833" t="s">
        <v>322</v>
      </c>
      <c r="D49" s="2836"/>
      <c r="E49" s="1308"/>
      <c r="F49" s="2824" t="s">
        <v>323</v>
      </c>
      <c r="G49" s="2825"/>
      <c r="H49" s="2826"/>
      <c r="I49" s="709"/>
      <c r="J49" s="2822" t="s">
        <v>876</v>
      </c>
      <c r="K49" s="2823"/>
      <c r="L49" s="2823"/>
      <c r="M49" s="2823"/>
      <c r="N49" s="408"/>
      <c r="O49" s="240">
        <f>O52+O54+O55+O56+O57+O58</f>
        <v>109759</v>
      </c>
      <c r="P49" s="417"/>
      <c r="Q49" s="723">
        <f>Q52+Q54+Q55+Q56+Q57+Q58</f>
        <v>1700507.64066795</v>
      </c>
      <c r="R49" s="408"/>
      <c r="S49" s="2839">
        <f>IF(AND(Q49&lt;&gt;0,O49&lt;&gt;0),Q49/(1+$D$17+$D$18+$D$19)/(($D$25*1000000/$D$8)),0)</f>
        <v>966.58484571275835</v>
      </c>
      <c r="T49" s="2857" t="s">
        <v>324</v>
      </c>
      <c r="U49" s="2820">
        <f>U52+U54+U55+U56+U57+U58</f>
        <v>964129.62046324741</v>
      </c>
      <c r="V49" s="417" t="s">
        <v>325</v>
      </c>
      <c r="W49" s="2837">
        <f>W52*O52+W54*O54+W55*O55+W56*O56+W57*O57+W58*O58</f>
        <v>964129.62046324741</v>
      </c>
      <c r="X49" s="417" t="s">
        <v>325</v>
      </c>
      <c r="Y49" s="694" t="s">
        <v>326</v>
      </c>
      <c r="Z49" s="408"/>
      <c r="AA49" s="408"/>
      <c r="AB49" s="423"/>
    </row>
    <row r="50" spans="1:28" s="237" customFormat="1" ht="24" hidden="1" customHeight="1" outlineLevel="1" x14ac:dyDescent="0.25">
      <c r="A50" s="408"/>
      <c r="B50" s="2835"/>
      <c r="C50" s="1418" t="s">
        <v>327</v>
      </c>
      <c r="D50" s="1419" t="s">
        <v>328</v>
      </c>
      <c r="E50" s="1309"/>
      <c r="F50" s="2827"/>
      <c r="G50" s="2825"/>
      <c r="H50" s="2826"/>
      <c r="I50" s="710"/>
      <c r="J50" s="2828" t="s">
        <v>329</v>
      </c>
      <c r="K50" s="2829"/>
      <c r="L50" s="2830" t="s">
        <v>330</v>
      </c>
      <c r="M50" s="2829"/>
      <c r="N50" s="408"/>
      <c r="O50" s="722" t="s">
        <v>331</v>
      </c>
      <c r="P50" s="417"/>
      <c r="Q50" s="718">
        <v>0.5</v>
      </c>
      <c r="R50" s="408"/>
      <c r="S50" s="2799"/>
      <c r="T50" s="2858"/>
      <c r="U50" s="2799"/>
      <c r="V50" s="417"/>
      <c r="W50" s="2838"/>
      <c r="X50" s="417"/>
      <c r="Y50" s="721">
        <f>$Y$33</f>
        <v>0.1</v>
      </c>
      <c r="Z50" s="408"/>
      <c r="AA50" s="408"/>
      <c r="AB50" s="423"/>
    </row>
    <row r="51" spans="1:28" s="237" customFormat="1" ht="24" hidden="1" customHeight="1" outlineLevel="1" x14ac:dyDescent="0.25">
      <c r="A51" s="408"/>
      <c r="B51" s="2843">
        <v>1</v>
      </c>
      <c r="C51" s="2843">
        <v>1</v>
      </c>
      <c r="D51" s="2846">
        <v>1.25</v>
      </c>
      <c r="E51" s="710"/>
      <c r="F51" s="1423" t="s">
        <v>832</v>
      </c>
      <c r="G51" s="1424" t="s">
        <v>834</v>
      </c>
      <c r="H51" s="1426" t="s">
        <v>332</v>
      </c>
      <c r="I51" s="1420"/>
      <c r="J51" s="1428" t="s">
        <v>312</v>
      </c>
      <c r="K51" s="1429" t="s">
        <v>313</v>
      </c>
      <c r="L51" s="1428" t="s">
        <v>312</v>
      </c>
      <c r="M51" s="1429" t="s">
        <v>313</v>
      </c>
      <c r="N51" s="408"/>
      <c r="O51" s="263"/>
      <c r="P51" s="417"/>
      <c r="Q51" s="264"/>
      <c r="R51" s="408"/>
      <c r="S51" s="129"/>
      <c r="T51" s="417"/>
      <c r="U51" s="129"/>
      <c r="V51" s="417"/>
      <c r="W51" s="258"/>
      <c r="X51" s="417"/>
      <c r="Y51" s="724"/>
      <c r="Z51" s="408"/>
      <c r="AA51" s="408"/>
      <c r="AB51" s="423"/>
    </row>
    <row r="52" spans="1:28" s="237" customFormat="1" ht="24" hidden="1" customHeight="1" outlineLevel="1" x14ac:dyDescent="0.25">
      <c r="A52" s="408"/>
      <c r="B52" s="2844"/>
      <c r="C52" s="2845"/>
      <c r="D52" s="2847"/>
      <c r="E52" s="710"/>
      <c r="F52" s="1473" t="s">
        <v>289</v>
      </c>
      <c r="G52" s="1474">
        <v>5</v>
      </c>
      <c r="H52" s="1475">
        <f>0.35-0.05</f>
        <v>0.3</v>
      </c>
      <c r="I52" s="1309"/>
      <c r="J52" s="1476">
        <f>$L$32*H52*$B$51*$C$51</f>
        <v>68.018923992324403</v>
      </c>
      <c r="K52" s="1477">
        <f>$M$32*H52*$B$51*$C$51</f>
        <v>5.6682436660270339</v>
      </c>
      <c r="L52" s="1476">
        <f>J52*$D$51</f>
        <v>85.023654990405504</v>
      </c>
      <c r="M52" s="1477">
        <f>K52*$D$51</f>
        <v>7.0853045825337926</v>
      </c>
      <c r="N52" s="408"/>
      <c r="O52" s="715">
        <v>76400</v>
      </c>
      <c r="P52" s="417"/>
      <c r="Q52" s="261">
        <f>O52*$Q$50*M52+O52*(1-$Q$50)*K52</f>
        <v>487185.54309502355</v>
      </c>
      <c r="R52" s="408"/>
      <c r="S52" s="719">
        <f>IF(AND(Q52&lt;&gt;0,O52&lt;&gt;0),Q52/(1+$D$17+$D$18+$D$19)/O52/30/(($D$25*1000000/$D$8))*1000,0)</f>
        <v>0.12082065154461029</v>
      </c>
      <c r="T52" s="417" t="s">
        <v>333</v>
      </c>
      <c r="U52" s="699">
        <f>S52*O52*30*$D$11*(1+$D$24)/1000</f>
        <v>276217.52559423173</v>
      </c>
      <c r="V52" s="417" t="s">
        <v>334</v>
      </c>
      <c r="W52" s="699">
        <f>IF(O52&lt;&gt;0,U52/O52,0)</f>
        <v>3.6154126386679546</v>
      </c>
      <c r="X52" s="417" t="s">
        <v>335</v>
      </c>
      <c r="Y52" s="262" t="str">
        <f>IF(O52=0,"-", IF(W52&lt;=(G52*(1+$Y$50)),"OK", "NOK"))</f>
        <v>OK</v>
      </c>
      <c r="Z52" s="139"/>
      <c r="AA52" s="227">
        <f>IF(OR(Y52="OK",Y52="-"),1,0)</f>
        <v>1</v>
      </c>
      <c r="AB52" s="423"/>
    </row>
    <row r="53" spans="1:28" s="237" customFormat="1" ht="24" hidden="1" customHeight="1" outlineLevel="1" x14ac:dyDescent="0.25">
      <c r="A53" s="408"/>
      <c r="B53" s="2844"/>
      <c r="C53" s="2845"/>
      <c r="D53" s="2847"/>
      <c r="E53" s="710"/>
      <c r="F53" s="1423" t="s">
        <v>833</v>
      </c>
      <c r="G53" s="1424" t="s">
        <v>835</v>
      </c>
      <c r="H53" s="1426" t="s">
        <v>332</v>
      </c>
      <c r="I53" s="1420"/>
      <c r="J53" s="1421"/>
      <c r="K53" s="1422"/>
      <c r="L53" s="1421"/>
      <c r="M53" s="1422"/>
      <c r="N53" s="408"/>
      <c r="O53" s="263"/>
      <c r="P53" s="417"/>
      <c r="Q53" s="264"/>
      <c r="R53" s="408"/>
      <c r="S53" s="265"/>
      <c r="T53" s="417"/>
      <c r="U53" s="266"/>
      <c r="V53" s="417"/>
      <c r="W53" s="725"/>
      <c r="X53" s="417"/>
      <c r="Y53" s="724"/>
      <c r="Z53" s="408"/>
      <c r="AA53" s="409"/>
      <c r="AB53" s="423"/>
    </row>
    <row r="54" spans="1:28" s="237" customFormat="1" ht="24" hidden="1" customHeight="1" outlineLevel="1" x14ac:dyDescent="0.25">
      <c r="A54" s="408"/>
      <c r="B54" s="2844"/>
      <c r="C54" s="2845"/>
      <c r="D54" s="2847"/>
      <c r="E54" s="710"/>
      <c r="F54" s="1473">
        <f>G52</f>
        <v>5</v>
      </c>
      <c r="G54" s="1474">
        <v>15</v>
      </c>
      <c r="H54" s="1475">
        <f>0.08</f>
        <v>0.08</v>
      </c>
      <c r="I54" s="1309"/>
      <c r="J54" s="1476">
        <f>$L$32*(H52+(G54-F54)*H54)*$B$51*$C$51</f>
        <v>249.40272130518952</v>
      </c>
      <c r="K54" s="1477">
        <f>$M$32*(H52+(G54-F54)*H54)*$B$51*$C$51</f>
        <v>20.783560108765791</v>
      </c>
      <c r="L54" s="1476">
        <f t="shared" ref="L54:M58" si="1">J54*$D$51</f>
        <v>311.75340163148689</v>
      </c>
      <c r="M54" s="1477">
        <f t="shared" si="1"/>
        <v>25.979450135957237</v>
      </c>
      <c r="N54" s="408"/>
      <c r="O54" s="715">
        <v>16500</v>
      </c>
      <c r="P54" s="417"/>
      <c r="Q54" s="261">
        <f>O54*$Q$50*M54+O54*(1-$Q$50)*K54</f>
        <v>385794.83451896498</v>
      </c>
      <c r="R54" s="408"/>
      <c r="S54" s="719">
        <f>IF(AND(Q54&lt;&gt;0,O54&lt;&gt;0),Q54/(1+$D$17+$D$18+$D$19)/O54/30/(($D$25*1000000/$D$8))*1000,0)</f>
        <v>0.44300905566357102</v>
      </c>
      <c r="T54" s="417" t="s">
        <v>333</v>
      </c>
      <c r="U54" s="699">
        <f>S54*O54*30*$D$11*(1+$D$24)/1000</f>
        <v>218732.46463941128</v>
      </c>
      <c r="V54" s="417" t="s">
        <v>334</v>
      </c>
      <c r="W54" s="726">
        <f>IF(O54&lt;&gt;0,U54/O54,0)</f>
        <v>13.256513008449168</v>
      </c>
      <c r="X54" s="417" t="s">
        <v>335</v>
      </c>
      <c r="Y54" s="262" t="str">
        <f>IF(O54=0,"-",IF(AND(((F54*(1-$Y$50))&lt;W54),(W54&lt;(G54*(1+$Y$50)))),"OK", "NOK"))</f>
        <v>OK</v>
      </c>
      <c r="Z54" s="139"/>
      <c r="AA54" s="227">
        <f>IF(OR(Y54="OK",Y54="-"),1,0)</f>
        <v>1</v>
      </c>
      <c r="AB54" s="423"/>
    </row>
    <row r="55" spans="1:28" s="237" customFormat="1" ht="24" hidden="1" customHeight="1" outlineLevel="1" x14ac:dyDescent="0.25">
      <c r="A55" s="408"/>
      <c r="B55" s="2844"/>
      <c r="C55" s="2845"/>
      <c r="D55" s="2847"/>
      <c r="E55" s="710"/>
      <c r="F55" s="1473">
        <f>G54</f>
        <v>15</v>
      </c>
      <c r="G55" s="1474">
        <v>25</v>
      </c>
      <c r="H55" s="1475">
        <f>0.0725</f>
        <v>7.2499999999999995E-2</v>
      </c>
      <c r="I55" s="1309"/>
      <c r="J55" s="1476">
        <f>$L$32*(H52+(G54-F54)*H54+(G55-F55)*H55)*$B$51*$C$51</f>
        <v>413.7817876199735</v>
      </c>
      <c r="K55" s="1477">
        <f>$M$32*(H52+(G54-F54)*H54+(G55-F55)*H55)*$B$51*$C$51</f>
        <v>34.481815634997794</v>
      </c>
      <c r="L55" s="1476">
        <f t="shared" si="1"/>
        <v>517.22723452496689</v>
      </c>
      <c r="M55" s="1477">
        <f t="shared" si="1"/>
        <v>43.102269543747241</v>
      </c>
      <c r="N55" s="408"/>
      <c r="O55" s="715">
        <v>10000</v>
      </c>
      <c r="P55" s="417"/>
      <c r="Q55" s="261">
        <f>O55*$Q$50*M55+O55*(1-$Q$50)*K55</f>
        <v>387920.42589372519</v>
      </c>
      <c r="R55" s="408"/>
      <c r="S55" s="719">
        <f>IF(AND(Q55&lt;&gt;0,O55&lt;&gt;0),Q55/(1+$D$17+$D$18+$D$19)/O55/30/(($D$25*1000000/$D$8))*1000,0)</f>
        <v>0.73499229689637935</v>
      </c>
      <c r="T55" s="417" t="s">
        <v>333</v>
      </c>
      <c r="U55" s="699">
        <f>S55*O55*30*$D$11*(1+$D$24)/1000</f>
        <v>219937.60218563396</v>
      </c>
      <c r="V55" s="417" t="s">
        <v>334</v>
      </c>
      <c r="W55" s="727">
        <f>IF(O55&lt;&gt;0,U55/O55,0)</f>
        <v>21.993760218563395</v>
      </c>
      <c r="X55" s="417" t="s">
        <v>335</v>
      </c>
      <c r="Y55" s="262" t="str">
        <f>IF(O55=0,"-",IF(AND(((F55*(1-$Y$50))&lt;W55),(W55&lt;(G55*(1+$Y$50)))),"OK", "NOK"))</f>
        <v>OK</v>
      </c>
      <c r="Z55" s="139"/>
      <c r="AA55" s="227">
        <f>IF(OR(Y55="OK",Y55="-"),1,0)</f>
        <v>1</v>
      </c>
      <c r="AB55" s="423"/>
    </row>
    <row r="56" spans="1:28" s="237" customFormat="1" ht="24" hidden="1" customHeight="1" outlineLevel="1" x14ac:dyDescent="0.25">
      <c r="A56" s="408"/>
      <c r="B56" s="2844"/>
      <c r="C56" s="2845"/>
      <c r="D56" s="2847"/>
      <c r="E56" s="710"/>
      <c r="F56" s="1473">
        <f>G55</f>
        <v>25</v>
      </c>
      <c r="G56" s="1474">
        <v>35</v>
      </c>
      <c r="H56" s="1475">
        <v>6.5000000000000002E-2</v>
      </c>
      <c r="I56" s="1309"/>
      <c r="J56" s="1476">
        <f>$L$32*(H52+(G54-F54)*H54+(G55-F55)*H55+(G56-F56)*H56)*$B$51*$C$51</f>
        <v>561.15612293667641</v>
      </c>
      <c r="K56" s="1477">
        <f>$M$32*(H52+(G54-F54)*H54+(G55-F55)*H55+(G56-F56)*H56)*$B$51*$C$51</f>
        <v>46.763010244723027</v>
      </c>
      <c r="L56" s="1476">
        <f t="shared" si="1"/>
        <v>701.44515367084546</v>
      </c>
      <c r="M56" s="1477">
        <f t="shared" si="1"/>
        <v>58.453762805903786</v>
      </c>
      <c r="N56" s="408"/>
      <c r="O56" s="715">
        <v>5500</v>
      </c>
      <c r="P56" s="417"/>
      <c r="Q56" s="261">
        <f>O56*$Q$50*M56+O56*(1-$Q$50)*K56</f>
        <v>289346.12588922377</v>
      </c>
      <c r="R56" s="408"/>
      <c r="S56" s="719">
        <f>IF(AND(Q56&lt;&gt;0,O56&lt;&gt;0),Q56/(1+$D$17+$D$18+$D$19)/O56/30/(($D$25*1000000/$D$8))*1000,0)</f>
        <v>0.99677037524303513</v>
      </c>
      <c r="T56" s="417" t="s">
        <v>333</v>
      </c>
      <c r="U56" s="699">
        <f>S56*O56*30*$D$11*(1+$D$24)/1000</f>
        <v>164049.34847955848</v>
      </c>
      <c r="V56" s="417" t="s">
        <v>334</v>
      </c>
      <c r="W56" s="727">
        <f>IF(O56&lt;&gt;0,U56/O56,0)</f>
        <v>29.827154269010634</v>
      </c>
      <c r="X56" s="417" t="s">
        <v>335</v>
      </c>
      <c r="Y56" s="262" t="str">
        <f>IF(O56=0,"-",IF(AND(((F56*(1-$Y$50))&lt;W56),(W56&lt;(G56*(1+$Y$50)))),"OK", "NOK"))</f>
        <v>OK</v>
      </c>
      <c r="Z56" s="139"/>
      <c r="AA56" s="227">
        <f>IF(OR(Y56="OK",Y56="-"),1,0)</f>
        <v>1</v>
      </c>
      <c r="AB56" s="423"/>
    </row>
    <row r="57" spans="1:28" s="237" customFormat="1" ht="24" hidden="1" customHeight="1" outlineLevel="1" x14ac:dyDescent="0.25">
      <c r="A57" s="408"/>
      <c r="B57" s="2844"/>
      <c r="C57" s="2845"/>
      <c r="D57" s="2847"/>
      <c r="E57" s="710"/>
      <c r="F57" s="1473">
        <f>G56</f>
        <v>35</v>
      </c>
      <c r="G57" s="1474">
        <v>50</v>
      </c>
      <c r="H57" s="1475">
        <f>0.06</f>
        <v>0.06</v>
      </c>
      <c r="I57" s="1309"/>
      <c r="J57" s="1476">
        <f>$L$32*(H52+(G54-F54)*H54+(G55-F55)*H55+(G56-F56)*H56+(G57-F57)*H57)*$B$51*$C$51</f>
        <v>765.21289491364962</v>
      </c>
      <c r="K57" s="1477">
        <f>$M$32*(H52+(G54-F54)*H54+(G55-F55)*H55+(G56-F56)*H56+(G57-F57)*H57)*$B$51*$C$51</f>
        <v>63.767741242804128</v>
      </c>
      <c r="L57" s="1476">
        <f t="shared" si="1"/>
        <v>956.516118642062</v>
      </c>
      <c r="M57" s="1477">
        <f t="shared" si="1"/>
        <v>79.709676553505162</v>
      </c>
      <c r="N57" s="408"/>
      <c r="O57" s="715">
        <v>366</v>
      </c>
      <c r="P57" s="417"/>
      <c r="Q57" s="261">
        <f>O57*$Q$50*M57+O57*(1-$Q$50)*K57</f>
        <v>26256.367456724598</v>
      </c>
      <c r="R57" s="408"/>
      <c r="S57" s="719">
        <f>IF(AND(Q57&lt;&gt;0,O57&lt;&gt;0),Q57/(1+$D$17+$D$18+$D$19)/O57/30/(($D$25*1000000/$D$8))*1000,0)</f>
        <v>1.3592323298768658</v>
      </c>
      <c r="T57" s="417" t="s">
        <v>333</v>
      </c>
      <c r="U57" s="699">
        <f>S57*O57*30*$D$11*(1+$D$24)/1000</f>
        <v>14886.461539715307</v>
      </c>
      <c r="V57" s="417" t="s">
        <v>334</v>
      </c>
      <c r="W57" s="727">
        <f>IF(O57&lt;&gt;0,U57/O57,0)</f>
        <v>40.673392185014499</v>
      </c>
      <c r="X57" s="417" t="s">
        <v>335</v>
      </c>
      <c r="Y57" s="262" t="str">
        <f>IF(O57=0,"-",IF(AND(((F57*(1-$Y$50))&lt;W57),(W57&lt;(G57*(1+$Y$50)))),"OK", "NOK"))</f>
        <v>OK</v>
      </c>
      <c r="Z57" s="139"/>
      <c r="AA57" s="227">
        <f>IF(OR(Y57="OK",Y57="-"),1,0)</f>
        <v>1</v>
      </c>
      <c r="AB57" s="423"/>
    </row>
    <row r="58" spans="1:28" s="237" customFormat="1" ht="24" hidden="1" customHeight="1" outlineLevel="1" x14ac:dyDescent="0.25">
      <c r="A58" s="408"/>
      <c r="B58" s="2844"/>
      <c r="C58" s="2845"/>
      <c r="D58" s="2847"/>
      <c r="E58" s="710"/>
      <c r="F58" s="1473">
        <f>G57</f>
        <v>50</v>
      </c>
      <c r="G58" s="1474">
        <v>100</v>
      </c>
      <c r="H58" s="1475">
        <v>0.05</v>
      </c>
      <c r="I58" s="1309"/>
      <c r="J58" s="1476">
        <f>$L$32*(H52+(G54-F54)*H54+(G55-F55)*H55+(G56-F56)*H56+(G57-F57)*H57+(G58-F58)*H58)*$B$51*$C$51</f>
        <v>1332.0372615163531</v>
      </c>
      <c r="K58" s="1477">
        <f>$M$32*(H52+(G54-F54)*H54+(G55-F55)*H55+(G56-F56)*H56+(G57-F57)*H57+(G58-F58)*H58)*$B$51*$C$51</f>
        <v>111.00310512636274</v>
      </c>
      <c r="L58" s="1476">
        <f t="shared" si="1"/>
        <v>1665.0465768954414</v>
      </c>
      <c r="M58" s="1477">
        <f t="shared" si="1"/>
        <v>138.75388140795343</v>
      </c>
      <c r="N58" s="408"/>
      <c r="O58" s="715">
        <v>993</v>
      </c>
      <c r="P58" s="417"/>
      <c r="Q58" s="261">
        <f>O58*$Q$50*M58+O58*(1-$Q$50)*K58</f>
        <v>124004.34381428797</v>
      </c>
      <c r="R58" s="408"/>
      <c r="S58" s="719">
        <f>IF(AND(Q58&lt;&gt;0,O58&lt;&gt;0),Q58/(1+$D$17+$D$18+$D$19)/O58/30/(($D$25*1000000/$D$8))*1000,0)</f>
        <v>2.3660710927486184</v>
      </c>
      <c r="T58" s="417" t="s">
        <v>333</v>
      </c>
      <c r="U58" s="699">
        <f>S58*O58*30*$D$11*(1+$D$24)/1000</f>
        <v>70306.218024696718</v>
      </c>
      <c r="V58" s="417" t="s">
        <v>334</v>
      </c>
      <c r="W58" s="728">
        <f>IF(O58&lt;&gt;0,U58/O58,0)</f>
        <v>70.801830840580777</v>
      </c>
      <c r="X58" s="417" t="s">
        <v>335</v>
      </c>
      <c r="Y58" s="262" t="str">
        <f>IF(O58=0,"-",IF(AND(((F58*(1-$Y$50))&lt;W58),(W58&lt;(G58*(1+$Y$50)))),"OK", "NOK"))</f>
        <v>OK</v>
      </c>
      <c r="Z58" s="139"/>
      <c r="AA58" s="227">
        <f>IF(OR(Y58="OK",Y58="-"),1,0)</f>
        <v>1</v>
      </c>
      <c r="AB58" s="423"/>
    </row>
    <row r="59" spans="1:28" s="237" customFormat="1" ht="10.15" hidden="1" customHeight="1" outlineLevel="1" x14ac:dyDescent="0.25">
      <c r="A59" s="408"/>
      <c r="B59" s="417"/>
      <c r="C59" s="412"/>
      <c r="D59" s="417"/>
      <c r="E59" s="417"/>
      <c r="F59" s="417"/>
      <c r="G59" s="417"/>
      <c r="H59" s="412"/>
      <c r="I59" s="417"/>
      <c r="J59" s="412"/>
      <c r="K59" s="412"/>
      <c r="L59" s="412"/>
      <c r="M59" s="412"/>
      <c r="N59" s="408"/>
      <c r="O59" s="408"/>
      <c r="P59" s="408"/>
      <c r="Q59" s="408"/>
      <c r="R59" s="408"/>
      <c r="S59" s="408"/>
      <c r="T59" s="408"/>
      <c r="U59" s="408"/>
      <c r="V59" s="408"/>
      <c r="W59" s="409"/>
      <c r="X59" s="408"/>
      <c r="Y59" s="409"/>
      <c r="Z59" s="408"/>
      <c r="AA59" s="408"/>
      <c r="AB59" s="423"/>
    </row>
    <row r="60" spans="1:28" s="237" customFormat="1" ht="34.9" hidden="1" customHeight="1" outlineLevel="1" x14ac:dyDescent="0.25">
      <c r="A60" s="408"/>
      <c r="B60" s="2831" t="s">
        <v>337</v>
      </c>
      <c r="C60" s="2832"/>
      <c r="D60" s="2832"/>
      <c r="E60" s="2832"/>
      <c r="F60" s="2832"/>
      <c r="G60" s="2832"/>
      <c r="H60" s="2832"/>
      <c r="I60" s="2832"/>
      <c r="J60" s="2832"/>
      <c r="K60" s="2832"/>
      <c r="L60" s="2832"/>
      <c r="M60" s="2832"/>
      <c r="N60" s="411"/>
      <c r="O60" s="408"/>
      <c r="P60" s="411"/>
      <c r="Q60" s="408"/>
      <c r="R60" s="411"/>
      <c r="S60" s="408"/>
      <c r="T60" s="408"/>
      <c r="U60" s="408"/>
      <c r="V60" s="408"/>
      <c r="W60" s="409"/>
      <c r="X60" s="408"/>
      <c r="Y60" s="409"/>
      <c r="Z60" s="408"/>
      <c r="AA60" s="408"/>
      <c r="AB60" s="423"/>
    </row>
    <row r="61" spans="1:28" s="1437" customFormat="1" ht="25.15" hidden="1" customHeight="1" outlineLevel="1" x14ac:dyDescent="0.45">
      <c r="A61" s="1430"/>
      <c r="B61" s="2833" t="s">
        <v>320</v>
      </c>
      <c r="C61" s="2825"/>
      <c r="D61" s="2825"/>
      <c r="E61" s="2834"/>
      <c r="F61" s="2825"/>
      <c r="G61" s="2825"/>
      <c r="H61" s="2825"/>
      <c r="I61" s="2834"/>
      <c r="J61" s="2825"/>
      <c r="K61" s="2825"/>
      <c r="L61" s="2825"/>
      <c r="M61" s="2825"/>
      <c r="N61" s="1431"/>
      <c r="O61" s="1432">
        <f>G7</f>
        <v>27439.800000000003</v>
      </c>
      <c r="P61" s="1433"/>
      <c r="Q61" s="1438"/>
      <c r="R61" s="1431"/>
      <c r="S61" s="1438"/>
      <c r="T61" s="1430"/>
      <c r="U61" s="1430"/>
      <c r="V61" s="1430"/>
      <c r="W61" s="1435"/>
      <c r="X61" s="1430"/>
      <c r="Y61" s="1435"/>
      <c r="Z61" s="1430"/>
      <c r="AA61" s="1430"/>
      <c r="AB61" s="1436"/>
    </row>
    <row r="62" spans="1:28" s="237" customFormat="1" ht="43.9" hidden="1" customHeight="1" outlineLevel="1" x14ac:dyDescent="0.25">
      <c r="A62" s="408"/>
      <c r="B62" s="2833" t="s">
        <v>321</v>
      </c>
      <c r="C62" s="2833" t="s">
        <v>322</v>
      </c>
      <c r="D62" s="2836"/>
      <c r="E62" s="1308"/>
      <c r="F62" s="2824" t="s">
        <v>323</v>
      </c>
      <c r="G62" s="2825"/>
      <c r="H62" s="2826"/>
      <c r="I62" s="709"/>
      <c r="J62" s="2822" t="s">
        <v>876</v>
      </c>
      <c r="K62" s="2823"/>
      <c r="L62" s="2823"/>
      <c r="M62" s="2823"/>
      <c r="N62" s="408"/>
      <c r="O62" s="240">
        <f>O65+O67+O68+O69+O70+O71</f>
        <v>27440</v>
      </c>
      <c r="P62" s="417"/>
      <c r="Q62" s="717">
        <f>Q65+Q67+Q68+Q69+Q70+Q71</f>
        <v>89989.532413165958</v>
      </c>
      <c r="R62" s="408"/>
      <c r="S62" s="2820">
        <f>IF(AND(Q62&lt;&gt;0,O62&lt;&gt;0),Q62/(1+$D$17+$D$18+$D$19)/(($D$25*1000000/$D$8)),0)</f>
        <v>51.150912952779812</v>
      </c>
      <c r="T62" s="2857" t="s">
        <v>324</v>
      </c>
      <c r="U62" s="2820">
        <f>U65+U67+U68+U69+U70+U71</f>
        <v>255104.92177821486</v>
      </c>
      <c r="V62" s="417" t="s">
        <v>325</v>
      </c>
      <c r="W62" s="2820">
        <f>W65*O65+W67*O67+W68*O68+W69*O69+W70*O70+W71*O71</f>
        <v>255104.92177821486</v>
      </c>
      <c r="X62" s="417" t="s">
        <v>325</v>
      </c>
      <c r="Y62" s="694" t="s">
        <v>326</v>
      </c>
      <c r="Z62" s="408"/>
      <c r="AA62" s="408"/>
      <c r="AB62" s="423"/>
    </row>
    <row r="63" spans="1:28" s="237" customFormat="1" ht="24" hidden="1" customHeight="1" outlineLevel="1" x14ac:dyDescent="0.25">
      <c r="A63" s="408"/>
      <c r="B63" s="2835"/>
      <c r="C63" s="1418" t="s">
        <v>327</v>
      </c>
      <c r="D63" s="1419" t="s">
        <v>328</v>
      </c>
      <c r="E63" s="1309"/>
      <c r="F63" s="2827"/>
      <c r="G63" s="2825"/>
      <c r="H63" s="2826"/>
      <c r="I63" s="710"/>
      <c r="J63" s="2828" t="s">
        <v>329</v>
      </c>
      <c r="K63" s="2829"/>
      <c r="L63" s="2830" t="s">
        <v>330</v>
      </c>
      <c r="M63" s="2829"/>
      <c r="N63" s="408"/>
      <c r="O63" s="722" t="s">
        <v>331</v>
      </c>
      <c r="P63" s="417"/>
      <c r="Q63" s="718">
        <v>0.25</v>
      </c>
      <c r="R63" s="408"/>
      <c r="S63" s="2799"/>
      <c r="T63" s="2858"/>
      <c r="U63" s="2799"/>
      <c r="V63" s="417"/>
      <c r="W63" s="2796"/>
      <c r="X63" s="417"/>
      <c r="Y63" s="721">
        <f>$Y$33</f>
        <v>0.1</v>
      </c>
      <c r="Z63" s="408"/>
      <c r="AA63" s="408"/>
      <c r="AB63" s="423"/>
    </row>
    <row r="64" spans="1:28" s="237" customFormat="1" ht="24" hidden="1" customHeight="1" outlineLevel="1" x14ac:dyDescent="0.25">
      <c r="A64" s="408"/>
      <c r="B64" s="2840">
        <f>B51*$H$15</f>
        <v>0.2</v>
      </c>
      <c r="C64" s="2840">
        <f>C51</f>
        <v>1</v>
      </c>
      <c r="D64" s="2840">
        <f>D51</f>
        <v>1.25</v>
      </c>
      <c r="E64" s="710"/>
      <c r="F64" s="1423" t="s">
        <v>872</v>
      </c>
      <c r="G64" s="1424" t="s">
        <v>873</v>
      </c>
      <c r="H64" s="1426" t="s">
        <v>332</v>
      </c>
      <c r="I64" s="1420"/>
      <c r="J64" s="1441" t="s">
        <v>312</v>
      </c>
      <c r="K64" s="1429" t="s">
        <v>313</v>
      </c>
      <c r="L64" s="1428" t="s">
        <v>312</v>
      </c>
      <c r="M64" s="1429" t="s">
        <v>313</v>
      </c>
      <c r="N64" s="408"/>
      <c r="O64" s="263"/>
      <c r="P64" s="417"/>
      <c r="Q64" s="264"/>
      <c r="R64" s="408"/>
      <c r="S64" s="129"/>
      <c r="T64" s="417"/>
      <c r="U64" s="129"/>
      <c r="V64" s="417"/>
      <c r="W64" s="267"/>
      <c r="X64" s="417"/>
      <c r="Y64" s="724"/>
      <c r="Z64" s="408"/>
      <c r="AA64" s="408"/>
      <c r="AB64" s="423"/>
    </row>
    <row r="65" spans="1:28" s="237" customFormat="1" ht="24" hidden="1" customHeight="1" outlineLevel="1" x14ac:dyDescent="0.25">
      <c r="A65" s="408"/>
      <c r="B65" s="2841"/>
      <c r="C65" s="2841"/>
      <c r="D65" s="2841"/>
      <c r="E65" s="710"/>
      <c r="F65" s="1473" t="s">
        <v>289</v>
      </c>
      <c r="G65" s="1478">
        <f>G52</f>
        <v>5</v>
      </c>
      <c r="H65" s="1479">
        <f>H52</f>
        <v>0.3</v>
      </c>
      <c r="I65" s="1309"/>
      <c r="J65" s="1480">
        <f>$L$32*H65*$B$64*$C$64</f>
        <v>13.603784798464881</v>
      </c>
      <c r="K65" s="1477">
        <f>$M$32*H65*$B$64*$C$64</f>
        <v>1.1336487332054068</v>
      </c>
      <c r="L65" s="1476">
        <f>J65*$D$51</f>
        <v>17.004730998081101</v>
      </c>
      <c r="M65" s="1477">
        <f>K65*$D$51</f>
        <v>1.4170609165067585</v>
      </c>
      <c r="N65" s="408"/>
      <c r="O65" s="715">
        <v>15000</v>
      </c>
      <c r="P65" s="417"/>
      <c r="Q65" s="261">
        <f>O65*$Q$63*M65+O65*(1-$Q$63)*K65</f>
        <v>18067.526685461169</v>
      </c>
      <c r="R65" s="408"/>
      <c r="S65" s="719">
        <f>IF(AND(Q65&lt;&gt;0,O65&lt;&gt;0),Q65/(1+$D$17+$D$18+$D$19)/$H$15/O65/30/(($D$25*1000000/$D$8))*1000,0)</f>
        <v>0.11410839312546527</v>
      </c>
      <c r="T65" s="417" t="s">
        <v>333</v>
      </c>
      <c r="U65" s="699">
        <f>S65*O65*30*$D$11*(1+$D$24)/1000</f>
        <v>51218.345714462695</v>
      </c>
      <c r="V65" s="417" t="s">
        <v>334</v>
      </c>
      <c r="W65" s="699">
        <f>IF(O65&lt;&gt;0,U65/O65,0)</f>
        <v>3.4145563809641799</v>
      </c>
      <c r="X65" s="417" t="s">
        <v>335</v>
      </c>
      <c r="Y65" s="262" t="str">
        <f>IF(O65=0,"-", IF(W65&lt;=(G65*(1+$Y$63)),"OK", "NOK"))</f>
        <v>OK</v>
      </c>
      <c r="Z65" s="259">
        <f>W65/$H$15</f>
        <v>17.0727819048209</v>
      </c>
      <c r="AA65" s="227">
        <f>IF(OR(Y65="OK",Y65="-"),1,0)</f>
        <v>1</v>
      </c>
      <c r="AB65" s="409"/>
    </row>
    <row r="66" spans="1:28" s="237" customFormat="1" ht="24" hidden="1" customHeight="1" outlineLevel="1" x14ac:dyDescent="0.25">
      <c r="A66" s="408"/>
      <c r="B66" s="2841"/>
      <c r="C66" s="2841"/>
      <c r="D66" s="2841"/>
      <c r="E66" s="710"/>
      <c r="F66" s="1423" t="s">
        <v>874</v>
      </c>
      <c r="G66" s="1424" t="s">
        <v>875</v>
      </c>
      <c r="H66" s="1426" t="s">
        <v>332</v>
      </c>
      <c r="I66" s="1420"/>
      <c r="J66" s="1440"/>
      <c r="K66" s="1422"/>
      <c r="L66" s="1421"/>
      <c r="M66" s="1422"/>
      <c r="N66" s="408"/>
      <c r="O66" s="263"/>
      <c r="P66" s="417"/>
      <c r="Q66" s="264"/>
      <c r="R66" s="408"/>
      <c r="S66" s="265"/>
      <c r="T66" s="417"/>
      <c r="U66" s="266"/>
      <c r="V66" s="417"/>
      <c r="W66" s="266"/>
      <c r="X66" s="417"/>
      <c r="Y66" s="724"/>
      <c r="Z66" s="425"/>
      <c r="AA66" s="409"/>
      <c r="AB66" s="409"/>
    </row>
    <row r="67" spans="1:28" s="237" customFormat="1" ht="24" hidden="1" customHeight="1" outlineLevel="1" x14ac:dyDescent="0.25">
      <c r="A67" s="408"/>
      <c r="B67" s="2841"/>
      <c r="C67" s="2841"/>
      <c r="D67" s="2841"/>
      <c r="E67" s="710"/>
      <c r="F67" s="1473">
        <f>G65</f>
        <v>5</v>
      </c>
      <c r="G67" s="1478">
        <f t="shared" ref="G67:H71" si="2">G54</f>
        <v>15</v>
      </c>
      <c r="H67" s="1479">
        <f t="shared" si="2"/>
        <v>0.08</v>
      </c>
      <c r="I67" s="1309"/>
      <c r="J67" s="1480">
        <f>$L$32*(H65+(G67-F67)*H67)*$B$64*$C$64</f>
        <v>49.880544261037905</v>
      </c>
      <c r="K67" s="1477">
        <f>$M$32*(H65+(G67-F67)*H67)*$B$64*$C$64</f>
        <v>4.1567120217531581</v>
      </c>
      <c r="L67" s="1476">
        <f t="shared" ref="L67:M71" si="3">J67*$D$51</f>
        <v>62.350680326297379</v>
      </c>
      <c r="M67" s="1477">
        <f t="shared" si="3"/>
        <v>5.1958900271914477</v>
      </c>
      <c r="N67" s="408"/>
      <c r="O67" s="715">
        <v>8400</v>
      </c>
      <c r="P67" s="417"/>
      <c r="Q67" s="261">
        <f>O67*$Q$63*M67+O67*(1-$Q$63)*K67</f>
        <v>37098.654794146933</v>
      </c>
      <c r="R67" s="408"/>
      <c r="S67" s="719">
        <f>IF(AND(Q67&lt;&gt;0,O67&lt;&gt;0),Q67/(1+$D$17+$D$18+$D$19)/$H$15/O67/30/(($D$25*1000000/$D$8))*1000,0)</f>
        <v>0.41839744146003938</v>
      </c>
      <c r="T67" s="417" t="s">
        <v>333</v>
      </c>
      <c r="U67" s="699">
        <f>S67*O67*30*$D$11*(1+$D$24)/1000</f>
        <v>105168.33653369674</v>
      </c>
      <c r="V67" s="417" t="s">
        <v>334</v>
      </c>
      <c r="W67" s="699">
        <f>IF(O67&lt;&gt;0,U67/O67,0)</f>
        <v>12.520040063535326</v>
      </c>
      <c r="X67" s="417" t="s">
        <v>335</v>
      </c>
      <c r="Y67" s="262" t="str">
        <f>IF(O67=0,"-",IF(AND(((F67*(1-$Y$63))&lt;W67),(W67&lt;(G67*(1+$Y$63)))),"OK", "NOK"))</f>
        <v>OK</v>
      </c>
      <c r="Z67" s="259">
        <f>W67/$H$15</f>
        <v>62.600200317676631</v>
      </c>
      <c r="AA67" s="227">
        <f>IF(OR(Y67="OK",Y67="-"),1,0)</f>
        <v>1</v>
      </c>
      <c r="AB67" s="409"/>
    </row>
    <row r="68" spans="1:28" s="237" customFormat="1" ht="24" hidden="1" customHeight="1" outlineLevel="1" x14ac:dyDescent="0.25">
      <c r="A68" s="408"/>
      <c r="B68" s="2841"/>
      <c r="C68" s="2841"/>
      <c r="D68" s="2841"/>
      <c r="E68" s="710"/>
      <c r="F68" s="1473">
        <f>G67</f>
        <v>15</v>
      </c>
      <c r="G68" s="1478">
        <f t="shared" si="2"/>
        <v>25</v>
      </c>
      <c r="H68" s="1479">
        <f t="shared" si="2"/>
        <v>7.2499999999999995E-2</v>
      </c>
      <c r="I68" s="1309"/>
      <c r="J68" s="1480">
        <f>$L$32*(H65+(G67-F67)*H67+(G68-F68)*H68)*$B$64*$C$64</f>
        <v>82.756357523994708</v>
      </c>
      <c r="K68" s="1477">
        <f>$M$32*(H65+(G67-F67)*H67+(G68-F68)*H68)*$B$64*$C$64</f>
        <v>6.8963631269995593</v>
      </c>
      <c r="L68" s="1476">
        <f t="shared" si="3"/>
        <v>103.44544690499339</v>
      </c>
      <c r="M68" s="1477">
        <f t="shared" si="3"/>
        <v>8.6204539087494485</v>
      </c>
      <c r="N68" s="408"/>
      <c r="O68" s="715">
        <v>2960</v>
      </c>
      <c r="P68" s="417"/>
      <c r="Q68" s="261">
        <f>O68*$Q$63*M68+O68*(1-$Q$63)*K68</f>
        <v>21689.062034413615</v>
      </c>
      <c r="R68" s="408"/>
      <c r="S68" s="719">
        <f>IF(AND(Q68&lt;&gt;0,O68&lt;&gt;0),Q68/(1+$D$17+$D$18+$D$19)/$H$15/O68/30/(($D$25*1000000/$D$8))*1000,0)</f>
        <v>0.69415939151324735</v>
      </c>
      <c r="T68" s="417" t="s">
        <v>333</v>
      </c>
      <c r="U68" s="699">
        <f>S68*O68*30*$D$11*(1+$D$24)/1000</f>
        <v>61484.778566561683</v>
      </c>
      <c r="V68" s="417" t="s">
        <v>334</v>
      </c>
      <c r="W68" s="699">
        <f>IF(O68&lt;&gt;0,U68/O68,0)</f>
        <v>20.771884650865434</v>
      </c>
      <c r="X68" s="417" t="s">
        <v>335</v>
      </c>
      <c r="Y68" s="262" t="str">
        <f>IF(O68=0,"-",IF(AND(((F68*(1-$Y$63))&lt;W68),(W68&lt;(G68*(1+$Y$63)))),"OK", "NOK"))</f>
        <v>OK</v>
      </c>
      <c r="Z68" s="259">
        <f>W68/$H$15</f>
        <v>103.85942325432717</v>
      </c>
      <c r="AA68" s="227">
        <f>IF(OR(Y68="OK",Y68="-"),1,0)</f>
        <v>1</v>
      </c>
      <c r="AB68" s="409"/>
    </row>
    <row r="69" spans="1:28" s="237" customFormat="1" ht="24" hidden="1" customHeight="1" outlineLevel="1" x14ac:dyDescent="0.25">
      <c r="A69" s="408"/>
      <c r="B69" s="2841"/>
      <c r="C69" s="2841"/>
      <c r="D69" s="2841"/>
      <c r="E69" s="710"/>
      <c r="F69" s="1473">
        <f>G68</f>
        <v>25</v>
      </c>
      <c r="G69" s="1478">
        <f t="shared" si="2"/>
        <v>35</v>
      </c>
      <c r="H69" s="1479">
        <f t="shared" si="2"/>
        <v>6.5000000000000002E-2</v>
      </c>
      <c r="I69" s="1309"/>
      <c r="J69" s="1480">
        <f>$L$32*(H65+(G67-F67)*H67+(G68-F68)*H68+(G69-F69)*H69)*$B$64*$C$64</f>
        <v>112.23122458733529</v>
      </c>
      <c r="K69" s="1477">
        <f>$M$32*(H65+(G67-F67)*H67+(G68-F68)*H68+(G69-F69)*H69)*$B$64*$C$64</f>
        <v>9.3526020489446058</v>
      </c>
      <c r="L69" s="1476">
        <f t="shared" si="3"/>
        <v>140.2890307341691</v>
      </c>
      <c r="M69" s="1477">
        <f t="shared" si="3"/>
        <v>11.690752561180757</v>
      </c>
      <c r="N69" s="408"/>
      <c r="O69" s="715">
        <v>693</v>
      </c>
      <c r="P69" s="417"/>
      <c r="Q69" s="261">
        <f>O69*$Q$63*M69+O69*(1-$Q$63)*K69</f>
        <v>6886.4377961635255</v>
      </c>
      <c r="R69" s="408"/>
      <c r="S69" s="719">
        <f>IF(AND(Q69&lt;&gt;0,O69&lt;&gt;0),Q69/(1+$D$17+$D$18+$D$19)/$H$15/O69/30/(($D$25*1000000/$D$8))*1000,0)</f>
        <v>0.94139424328508836</v>
      </c>
      <c r="T69" s="417" t="s">
        <v>333</v>
      </c>
      <c r="U69" s="699">
        <f>S69*O69*30*$D$11*(1+$D$24)/1000</f>
        <v>19521.872469067453</v>
      </c>
      <c r="V69" s="417" t="s">
        <v>334</v>
      </c>
      <c r="W69" s="699">
        <f>IF(O69&lt;&gt;0,U69/O69,0)</f>
        <v>28.170090142954479</v>
      </c>
      <c r="X69" s="417" t="s">
        <v>335</v>
      </c>
      <c r="Y69" s="262" t="str">
        <f>IF(O69=0,"-",IF(AND(((F69*(1-$Y$63))&lt;W69),(W69&lt;(G69*(1+$Y$63)))),"OK", "NOK"))</f>
        <v>OK</v>
      </c>
      <c r="Z69" s="259">
        <f>W69/$H$15</f>
        <v>140.85045071477239</v>
      </c>
      <c r="AA69" s="227">
        <f>IF(OR(Y69="OK",Y69="-"),1,0)</f>
        <v>1</v>
      </c>
      <c r="AB69" s="409"/>
    </row>
    <row r="70" spans="1:28" s="237" customFormat="1" ht="24" hidden="1" customHeight="1" outlineLevel="1" x14ac:dyDescent="0.25">
      <c r="A70" s="408"/>
      <c r="B70" s="2841"/>
      <c r="C70" s="2841"/>
      <c r="D70" s="2841"/>
      <c r="E70" s="710"/>
      <c r="F70" s="1473">
        <f>G69</f>
        <v>35</v>
      </c>
      <c r="G70" s="1478">
        <f t="shared" si="2"/>
        <v>50</v>
      </c>
      <c r="H70" s="1479">
        <f t="shared" si="2"/>
        <v>0.06</v>
      </c>
      <c r="I70" s="1309"/>
      <c r="J70" s="1480">
        <f>$L$32*(H65+(G67-F67)*H67+(G68-F68)*H68+(G69-F69)*H69+(G70-F70)*H70)*$B$64*$C$64</f>
        <v>153.04257898272994</v>
      </c>
      <c r="K70" s="1477">
        <f>$M$32*(H65+(G67-F67)*H67+(G68-F68)*H68+(G69-F69)*H69+(G70-F70)*H70)*$B$64*$C$64</f>
        <v>12.753548248560826</v>
      </c>
      <c r="L70" s="1476">
        <f t="shared" si="3"/>
        <v>191.30322372841243</v>
      </c>
      <c r="M70" s="1477">
        <f t="shared" si="3"/>
        <v>15.941935310701032</v>
      </c>
      <c r="N70" s="408"/>
      <c r="O70" s="715">
        <v>287</v>
      </c>
      <c r="P70" s="417"/>
      <c r="Q70" s="261">
        <f>O70*$Q$63*M70+O70*(1-$Q$63)*K70</f>
        <v>3889.0351190455167</v>
      </c>
      <c r="R70" s="408"/>
      <c r="S70" s="719">
        <f>IF(AND(Q70&lt;&gt;0,O70&lt;&gt;0),Q70/(1+$D$17+$D$18+$D$19)/$H$15/O70/30/(($D$25*1000000/$D$8))*1000,0)</f>
        <v>1.2837194226614841</v>
      </c>
      <c r="T70" s="417" t="s">
        <v>333</v>
      </c>
      <c r="U70" s="699">
        <f>S70*O70*30*$D$11*(1+$D$24)/1000</f>
        <v>11024.748915038093</v>
      </c>
      <c r="V70" s="417" t="s">
        <v>334</v>
      </c>
      <c r="W70" s="699">
        <f>IF(O70&lt;&gt;0,U70/O70,0)</f>
        <v>38.413759285847014</v>
      </c>
      <c r="X70" s="417" t="s">
        <v>335</v>
      </c>
      <c r="Y70" s="262" t="str">
        <f>IF(O70=0,"-",IF(AND(((F70*(1-$Y$63))&lt;W70),(W70&lt;(G70*(1+$Y$63)))),"OK", "NOK"))</f>
        <v>OK</v>
      </c>
      <c r="Z70" s="259">
        <f>W70/$H$15</f>
        <v>192.06879642923505</v>
      </c>
      <c r="AA70" s="227">
        <f>IF(OR(Y70="OK",Y70="-"),1,0)</f>
        <v>1</v>
      </c>
      <c r="AB70" s="409"/>
    </row>
    <row r="71" spans="1:28" s="237" customFormat="1" ht="24" hidden="1" customHeight="1" outlineLevel="1" x14ac:dyDescent="0.25">
      <c r="A71" s="408"/>
      <c r="B71" s="2842"/>
      <c r="C71" s="2842"/>
      <c r="D71" s="2842"/>
      <c r="E71" s="710"/>
      <c r="F71" s="1473">
        <f>G70</f>
        <v>50</v>
      </c>
      <c r="G71" s="1478">
        <f t="shared" si="2"/>
        <v>100</v>
      </c>
      <c r="H71" s="1479">
        <f t="shared" si="2"/>
        <v>0.05</v>
      </c>
      <c r="I71" s="1309"/>
      <c r="J71" s="1480">
        <f>$L$32*(H65+(G67-F67)*H67+(G68-F68)*H68+(G69-F69)*H69+(G70-F70)*H70+(G71-F71)*H71)*$B$64*$C$64</f>
        <v>266.40745230327065</v>
      </c>
      <c r="K71" s="1477">
        <f>$M$32*(H65+(G67-F67)*H67+(G68-F68)*H68+(G69-F69)*H69+(G70-F70)*H70+(G71-F71)*H71)*$B$64*$C$64</f>
        <v>22.20062102527255</v>
      </c>
      <c r="L71" s="1476">
        <f t="shared" si="3"/>
        <v>333.00931537908832</v>
      </c>
      <c r="M71" s="1477">
        <f t="shared" si="3"/>
        <v>27.750776281590689</v>
      </c>
      <c r="N71" s="408"/>
      <c r="O71" s="715">
        <v>100</v>
      </c>
      <c r="P71" s="417"/>
      <c r="Q71" s="261">
        <f>O71*$Q$63*M71+O71*(1-$Q$63)*K71</f>
        <v>2358.8159839352084</v>
      </c>
      <c r="R71" s="408"/>
      <c r="S71" s="719">
        <f>IF(AND(Q71&lt;&gt;0,O71&lt;&gt;0),Q71/(1+$D$17+$D$18+$D$19)/$H$15/O71/30/(($D$25*1000000/$D$8))*1000,0)</f>
        <v>2.2346226987070281</v>
      </c>
      <c r="T71" s="417" t="s">
        <v>333</v>
      </c>
      <c r="U71" s="699">
        <f>S71*O71*30*$D$11*(1+$D$24)/1000</f>
        <v>6686.8395793881855</v>
      </c>
      <c r="V71" s="417" t="s">
        <v>334</v>
      </c>
      <c r="W71" s="699">
        <f>IF(O71&lt;&gt;0,U71/O71,0)</f>
        <v>66.868395793881859</v>
      </c>
      <c r="X71" s="417" t="s">
        <v>335</v>
      </c>
      <c r="Y71" s="262" t="str">
        <f>IF(O71=0,"-",IF(AND(((F71*(1-$Y$63))&lt;W71),(W71&lt;(G71*(1+$Y$63)))),"OK", "NOK"))</f>
        <v>OK</v>
      </c>
      <c r="Z71" s="259">
        <f>W71/$H$15</f>
        <v>334.3419789694093</v>
      </c>
      <c r="AA71" s="227">
        <f>IF(OR(Y71="OK",Y71="-"),1,0)</f>
        <v>1</v>
      </c>
      <c r="AB71" s="409"/>
    </row>
    <row r="72" spans="1:28" s="237" customFormat="1" ht="10.15" hidden="1" customHeight="1" outlineLevel="1" x14ac:dyDescent="0.25">
      <c r="A72" s="408"/>
      <c r="B72" s="408"/>
      <c r="C72" s="409"/>
      <c r="D72" s="408"/>
      <c r="E72" s="408"/>
      <c r="F72" s="408"/>
      <c r="G72" s="408"/>
      <c r="H72" s="409"/>
      <c r="I72" s="408"/>
      <c r="J72" s="409"/>
      <c r="K72" s="409"/>
      <c r="L72" s="409"/>
      <c r="M72" s="409"/>
      <c r="N72" s="408"/>
      <c r="O72" s="408"/>
      <c r="P72" s="408"/>
      <c r="Q72" s="408"/>
      <c r="R72" s="408"/>
      <c r="S72" s="408"/>
      <c r="T72" s="408"/>
      <c r="U72" s="408"/>
      <c r="V72" s="408"/>
      <c r="W72" s="409"/>
      <c r="X72" s="408"/>
      <c r="Y72" s="409"/>
      <c r="Z72" s="408"/>
      <c r="AA72" s="408"/>
      <c r="AB72" s="423"/>
    </row>
    <row r="73" spans="1:28" s="237" customFormat="1" ht="34.9" hidden="1" customHeight="1" outlineLevel="1" x14ac:dyDescent="0.25">
      <c r="A73" s="408"/>
      <c r="B73" s="2831" t="s">
        <v>707</v>
      </c>
      <c r="C73" s="2832"/>
      <c r="D73" s="2832"/>
      <c r="E73" s="2832"/>
      <c r="F73" s="2832"/>
      <c r="G73" s="2832"/>
      <c r="H73" s="2832"/>
      <c r="I73" s="2832"/>
      <c r="J73" s="2832"/>
      <c r="K73" s="2832"/>
      <c r="L73" s="2832"/>
      <c r="M73" s="2832"/>
      <c r="N73" s="408"/>
      <c r="O73" s="408"/>
      <c r="P73" s="408"/>
      <c r="Q73" s="408"/>
      <c r="R73" s="408"/>
      <c r="S73" s="408"/>
      <c r="T73" s="408"/>
      <c r="U73" s="408"/>
      <c r="V73" s="408"/>
      <c r="W73" s="409"/>
      <c r="X73" s="408"/>
      <c r="Y73" s="409"/>
      <c r="Z73" s="408"/>
      <c r="AA73" s="408"/>
      <c r="AB73" s="423"/>
    </row>
    <row r="74" spans="1:28" s="1437" customFormat="1" ht="25.15" hidden="1" customHeight="1" outlineLevel="1" x14ac:dyDescent="0.45">
      <c r="A74" s="1430"/>
      <c r="B74" s="2833" t="s">
        <v>320</v>
      </c>
      <c r="C74" s="2825"/>
      <c r="D74" s="2825"/>
      <c r="E74" s="2834"/>
      <c r="F74" s="2825"/>
      <c r="G74" s="2825"/>
      <c r="H74" s="2825"/>
      <c r="I74" s="2834"/>
      <c r="J74" s="2825"/>
      <c r="K74" s="2825"/>
      <c r="L74" s="2825"/>
      <c r="M74" s="2825"/>
      <c r="N74" s="1430"/>
      <c r="O74" s="1432">
        <f>G8</f>
        <v>27439.8</v>
      </c>
      <c r="P74" s="1439"/>
      <c r="Q74" s="1430"/>
      <c r="R74" s="1430"/>
      <c r="S74" s="1430"/>
      <c r="T74" s="1430"/>
      <c r="U74" s="1430"/>
      <c r="V74" s="1430"/>
      <c r="W74" s="1435"/>
      <c r="X74" s="1430"/>
      <c r="Y74" s="1435"/>
      <c r="Z74" s="1430"/>
      <c r="AA74" s="1430"/>
      <c r="AB74" s="1436"/>
    </row>
    <row r="75" spans="1:28" s="237" customFormat="1" ht="37.9" hidden="1" customHeight="1" outlineLevel="1" x14ac:dyDescent="0.25">
      <c r="A75" s="409"/>
      <c r="B75" s="2833" t="s">
        <v>321</v>
      </c>
      <c r="C75" s="2833" t="s">
        <v>322</v>
      </c>
      <c r="D75" s="2836"/>
      <c r="E75" s="1308"/>
      <c r="F75" s="2824" t="s">
        <v>323</v>
      </c>
      <c r="G75" s="2825"/>
      <c r="H75" s="2826"/>
      <c r="I75" s="709"/>
      <c r="J75" s="2822" t="s">
        <v>876</v>
      </c>
      <c r="K75" s="2823"/>
      <c r="L75" s="2823"/>
      <c r="M75" s="2823"/>
      <c r="N75" s="408"/>
      <c r="O75" s="240">
        <f>O78+O80+O81+O82+O83+O84</f>
        <v>27440</v>
      </c>
      <c r="P75" s="417"/>
      <c r="Q75" s="717">
        <f>Q78+Q80+Q81+Q82+Q83+Q84</f>
        <v>1301089.3596303035</v>
      </c>
      <c r="R75" s="408"/>
      <c r="S75" s="2820">
        <f>IF(AND(Q75&lt;&gt;0,O75&lt;&gt;0),Q75/(1+$D$17+$D$18+$D$19)/(($D$25*1000000/$D$8)),0)</f>
        <v>739.55166555016763</v>
      </c>
      <c r="T75" s="2857" t="s">
        <v>324</v>
      </c>
      <c r="U75" s="2820">
        <f>U78+U80+U81+U82+U83+U84</f>
        <v>737673.12800570857</v>
      </c>
      <c r="V75" s="417" t="s">
        <v>325</v>
      </c>
      <c r="W75" s="2820">
        <f>W78*O78+W80*O80+W81*O81+W82*O82+W83*O83+W84*O84</f>
        <v>737673.12800570868</v>
      </c>
      <c r="X75" s="417" t="s">
        <v>325</v>
      </c>
      <c r="Y75" s="694" t="s">
        <v>326</v>
      </c>
      <c r="Z75" s="139"/>
      <c r="AA75" s="139"/>
      <c r="AB75" s="423"/>
    </row>
    <row r="76" spans="1:28" s="237" customFormat="1" ht="24" hidden="1" customHeight="1" outlineLevel="1" x14ac:dyDescent="0.25">
      <c r="A76" s="409"/>
      <c r="B76" s="2835"/>
      <c r="C76" s="1418" t="s">
        <v>327</v>
      </c>
      <c r="D76" s="1419" t="s">
        <v>328</v>
      </c>
      <c r="E76" s="1309"/>
      <c r="F76" s="2827"/>
      <c r="G76" s="2825"/>
      <c r="H76" s="2826"/>
      <c r="I76" s="710"/>
      <c r="J76" s="2828" t="s">
        <v>329</v>
      </c>
      <c r="K76" s="2829"/>
      <c r="L76" s="2830" t="s">
        <v>330</v>
      </c>
      <c r="M76" s="2829"/>
      <c r="N76" s="408"/>
      <c r="O76" s="722" t="s">
        <v>331</v>
      </c>
      <c r="P76" s="417"/>
      <c r="Q76" s="718">
        <v>0.5</v>
      </c>
      <c r="R76" s="408"/>
      <c r="S76" s="2799"/>
      <c r="T76" s="2858"/>
      <c r="U76" s="2799"/>
      <c r="V76" s="417"/>
      <c r="W76" s="2796"/>
      <c r="X76" s="417"/>
      <c r="Y76" s="721">
        <f>$Y$33</f>
        <v>0.1</v>
      </c>
      <c r="Z76" s="139"/>
      <c r="AA76" s="139"/>
      <c r="AB76" s="423"/>
    </row>
    <row r="77" spans="1:28" s="237" customFormat="1" ht="24" hidden="1" customHeight="1" outlineLevel="1" x14ac:dyDescent="0.25">
      <c r="A77" s="409"/>
      <c r="B77" s="2843">
        <v>2</v>
      </c>
      <c r="C77" s="2843">
        <v>1</v>
      </c>
      <c r="D77" s="2846">
        <v>1.25</v>
      </c>
      <c r="E77" s="710"/>
      <c r="F77" s="1423" t="s">
        <v>832</v>
      </c>
      <c r="G77" s="1424" t="s">
        <v>834</v>
      </c>
      <c r="H77" s="1426" t="s">
        <v>332</v>
      </c>
      <c r="I77" s="1420"/>
      <c r="J77" s="1428" t="s">
        <v>312</v>
      </c>
      <c r="K77" s="1429" t="s">
        <v>313</v>
      </c>
      <c r="L77" s="1428" t="s">
        <v>312</v>
      </c>
      <c r="M77" s="1429" t="s">
        <v>313</v>
      </c>
      <c r="N77" s="408"/>
      <c r="O77" s="263"/>
      <c r="P77" s="417"/>
      <c r="Q77" s="264"/>
      <c r="R77" s="408"/>
      <c r="S77" s="129"/>
      <c r="T77" s="417"/>
      <c r="U77" s="129"/>
      <c r="V77" s="417"/>
      <c r="W77" s="267"/>
      <c r="X77" s="417"/>
      <c r="Y77" s="267"/>
      <c r="Z77" s="139"/>
      <c r="AA77" s="139"/>
      <c r="AB77" s="423"/>
    </row>
    <row r="78" spans="1:28" s="237" customFormat="1" ht="24" hidden="1" customHeight="1" outlineLevel="1" x14ac:dyDescent="0.25">
      <c r="A78" s="408"/>
      <c r="B78" s="2844"/>
      <c r="C78" s="2848"/>
      <c r="D78" s="2849"/>
      <c r="E78" s="710"/>
      <c r="F78" s="1473" t="s">
        <v>289</v>
      </c>
      <c r="G78" s="1474">
        <v>5</v>
      </c>
      <c r="H78" s="1475">
        <f>0.35-0.25</f>
        <v>9.9999999999999978E-2</v>
      </c>
      <c r="I78" s="1309"/>
      <c r="J78" s="1476">
        <f>$L$32*H78*$B$77*$C$77</f>
        <v>45.345949328216264</v>
      </c>
      <c r="K78" s="1477">
        <f>$M$32*H78*$B$77*$C$77</f>
        <v>3.7788291106846885</v>
      </c>
      <c r="L78" s="1476">
        <f>J78*$D$77</f>
        <v>56.682436660270326</v>
      </c>
      <c r="M78" s="1477">
        <f>K78*$D$77</f>
        <v>4.7235363883558605</v>
      </c>
      <c r="N78" s="408"/>
      <c r="O78" s="715">
        <v>7692</v>
      </c>
      <c r="P78" s="417"/>
      <c r="Q78" s="261">
        <f>O78*$Q$76*M78+O78*(1-$Q$76)*K78</f>
        <v>32700.09770930995</v>
      </c>
      <c r="R78" s="408"/>
      <c r="S78" s="719">
        <f>IF(AND(Q78&lt;&gt;0,O78&lt;&gt;0),Q78/(1+$D$17+$D$18+$D$19)/O78/30/(($D$25*1000000/$D$8))*1000,0)</f>
        <v>8.0547101029740165E-2</v>
      </c>
      <c r="T78" s="417" t="s">
        <v>333</v>
      </c>
      <c r="U78" s="699">
        <f>S78*O78*30*$D$11*(1+$D$24)/1000</f>
        <v>18539.836011089265</v>
      </c>
      <c r="V78" s="417" t="s">
        <v>334</v>
      </c>
      <c r="W78" s="699">
        <f>IF(O78&lt;&gt;0,U78/O78,0)</f>
        <v>2.410275092445302</v>
      </c>
      <c r="X78" s="417" t="s">
        <v>334</v>
      </c>
      <c r="Y78" s="262" t="str">
        <f>IF(O78=0,"-", IF(W78&lt;=(G78*(1+$Y$76)),"OK", "NOK"))</f>
        <v>OK</v>
      </c>
      <c r="Z78" s="139"/>
      <c r="AA78" s="227">
        <f>IF(OR(Y78="OK",Y78="-"),1,0)</f>
        <v>1</v>
      </c>
      <c r="AB78" s="423"/>
    </row>
    <row r="79" spans="1:28" s="237" customFormat="1" ht="24" hidden="1" customHeight="1" outlineLevel="1" x14ac:dyDescent="0.25">
      <c r="A79" s="408"/>
      <c r="B79" s="2844"/>
      <c r="C79" s="2848"/>
      <c r="D79" s="2849"/>
      <c r="E79" s="710"/>
      <c r="F79" s="1423" t="s">
        <v>833</v>
      </c>
      <c r="G79" s="1424" t="s">
        <v>835</v>
      </c>
      <c r="H79" s="1426" t="s">
        <v>332</v>
      </c>
      <c r="I79" s="1420"/>
      <c r="J79" s="1421"/>
      <c r="K79" s="1422"/>
      <c r="L79" s="1421"/>
      <c r="M79" s="1422"/>
      <c r="N79" s="408"/>
      <c r="O79" s="263"/>
      <c r="P79" s="417"/>
      <c r="Q79" s="264"/>
      <c r="R79" s="408"/>
      <c r="S79" s="265"/>
      <c r="T79" s="417"/>
      <c r="U79" s="266"/>
      <c r="V79" s="417"/>
      <c r="W79" s="266"/>
      <c r="X79" s="417"/>
      <c r="Y79" s="267"/>
      <c r="Z79" s="139"/>
      <c r="AA79" s="227"/>
      <c r="AB79" s="423"/>
    </row>
    <row r="80" spans="1:28" s="237" customFormat="1" ht="24" hidden="1" customHeight="1" outlineLevel="1" x14ac:dyDescent="0.25">
      <c r="A80" s="408"/>
      <c r="B80" s="2844"/>
      <c r="C80" s="2848"/>
      <c r="D80" s="2849"/>
      <c r="E80" s="710"/>
      <c r="F80" s="1473">
        <f>G78</f>
        <v>5</v>
      </c>
      <c r="G80" s="1474">
        <v>20</v>
      </c>
      <c r="H80" s="1475">
        <f>0.05</f>
        <v>0.05</v>
      </c>
      <c r="I80" s="1309"/>
      <c r="J80" s="1476">
        <f>$L$32*(H78+(G80-F80)*H80)*$B$77*$C$77</f>
        <v>385.44056928983832</v>
      </c>
      <c r="K80" s="1477">
        <f>$M$32*(H78+(G80-F80)*H80)*$B$77*$C$77</f>
        <v>32.12004744081986</v>
      </c>
      <c r="L80" s="1476">
        <f t="shared" ref="L80:M84" si="4">J80*$D$77</f>
        <v>481.8007116122979</v>
      </c>
      <c r="M80" s="1477">
        <f t="shared" si="4"/>
        <v>40.150059301024825</v>
      </c>
      <c r="N80" s="408"/>
      <c r="O80" s="715">
        <v>8500</v>
      </c>
      <c r="P80" s="417"/>
      <c r="Q80" s="261">
        <f>O80*$Q$76*M80+O80*(1-$Q$76)*K80</f>
        <v>307147.95365283987</v>
      </c>
      <c r="R80" s="408"/>
      <c r="S80" s="719">
        <f>IF(AND(Q80&lt;&gt;0,O80&lt;&gt;0),Q80/(1+$D$17+$D$18+$D$19)/O80/30/(($D$25*1000000/$D$8))*1000,0)</f>
        <v>0.68465035875279168</v>
      </c>
      <c r="T80" s="417" t="s">
        <v>333</v>
      </c>
      <c r="U80" s="699">
        <f>S80*O80*30*$D$11*(1+$D$24)/1000</f>
        <v>174142.3754291732</v>
      </c>
      <c r="V80" s="417" t="s">
        <v>334</v>
      </c>
      <c r="W80" s="699">
        <f>IF(O80&lt;&gt;0,U80/O80,0)</f>
        <v>20.487338285785082</v>
      </c>
      <c r="X80" s="417" t="s">
        <v>334</v>
      </c>
      <c r="Y80" s="262" t="str">
        <f>IF(O80=0,"-",IF(AND(((F80*(1-$Y$76))&lt;W80),(W80&lt;(G80*(1+$Y$76)))),"OK", "NOK"))</f>
        <v>OK</v>
      </c>
      <c r="Z80" s="139"/>
      <c r="AA80" s="227">
        <f>IF(OR(Y80="OK",Y80="-"),1,0)</f>
        <v>1</v>
      </c>
      <c r="AB80" s="423"/>
    </row>
    <row r="81" spans="1:28" s="237" customFormat="1" ht="24" hidden="1" customHeight="1" outlineLevel="1" x14ac:dyDescent="0.25">
      <c r="A81" s="408"/>
      <c r="B81" s="2844"/>
      <c r="C81" s="2848"/>
      <c r="D81" s="2849"/>
      <c r="E81" s="710"/>
      <c r="F81" s="1473">
        <f>G80</f>
        <v>20</v>
      </c>
      <c r="G81" s="1474">
        <v>30</v>
      </c>
      <c r="H81" s="1475">
        <f>0.045</f>
        <v>4.4999999999999998E-2</v>
      </c>
      <c r="I81" s="1309"/>
      <c r="J81" s="1476">
        <f>$L$32*(H78+(G80-F80)*H80+(G81-F81)*H81)*$B$77*$C$77</f>
        <v>589.49734126681142</v>
      </c>
      <c r="K81" s="1477">
        <f>$M$32*(H78+(G80-F80)*H80+(G81-F81)*H81)*$B$77*$C$77</f>
        <v>49.124778438900954</v>
      </c>
      <c r="L81" s="1476">
        <f t="shared" si="4"/>
        <v>736.87167658351427</v>
      </c>
      <c r="M81" s="1477">
        <f t="shared" si="4"/>
        <v>61.405973048626194</v>
      </c>
      <c r="N81" s="408"/>
      <c r="O81" s="715">
        <v>2573</v>
      </c>
      <c r="P81" s="417"/>
      <c r="Q81" s="261">
        <f>O81*$Q$76*M81+O81*(1-$Q$76)*K81</f>
        <v>142197.81178870366</v>
      </c>
      <c r="R81" s="408"/>
      <c r="S81" s="719">
        <f>IF(AND(Q81&lt;&gt;0,O81&lt;&gt;0),Q81/(1+$D$17+$D$18+$D$19)/O81/30/(($D$25*1000000/$D$8))*1000,0)</f>
        <v>1.0471123133866225</v>
      </c>
      <c r="T81" s="417" t="s">
        <v>333</v>
      </c>
      <c r="U81" s="699">
        <f>S81*O81*30*$D$11*(1+$D$24)/1000</f>
        <v>80621.291567202948</v>
      </c>
      <c r="V81" s="417" t="s">
        <v>334</v>
      </c>
      <c r="W81" s="699">
        <f>IF(O81&lt;&gt;0,U81/O81,0)</f>
        <v>31.333576201788944</v>
      </c>
      <c r="X81" s="417" t="s">
        <v>334</v>
      </c>
      <c r="Y81" s="262" t="str">
        <f>IF(O81=0,"-",IF(AND(((F81*(1-$Y$76))&lt;W81),(W81&lt;(G81*(1+$Y$76)))),"OK", "NOK"))</f>
        <v>OK</v>
      </c>
      <c r="Z81" s="139"/>
      <c r="AA81" s="227">
        <f>IF(OR(Y81="OK",Y81="-"),1,0)</f>
        <v>1</v>
      </c>
      <c r="AB81" s="423"/>
    </row>
    <row r="82" spans="1:28" s="237" customFormat="1" ht="24" hidden="1" customHeight="1" outlineLevel="1" x14ac:dyDescent="0.25">
      <c r="A82" s="408"/>
      <c r="B82" s="2844"/>
      <c r="C82" s="2848"/>
      <c r="D82" s="2849"/>
      <c r="E82" s="710"/>
      <c r="F82" s="1473">
        <f>G81</f>
        <v>30</v>
      </c>
      <c r="G82" s="1474">
        <v>40</v>
      </c>
      <c r="H82" s="1475">
        <f>0.04</f>
        <v>0.04</v>
      </c>
      <c r="I82" s="1309"/>
      <c r="J82" s="1476">
        <f>$L$32*(H78+(G80-F80)*H80+(G81-F81)*H81+(G82-F82)*H82)*$B$77*$C$77</f>
        <v>770.88113857967653</v>
      </c>
      <c r="K82" s="1477">
        <f>$M$32*(H78+(G80-F80)*H80+(G81-F81)*H81+(G82-F82)*H82)*$B$77*$C$77</f>
        <v>64.240094881639706</v>
      </c>
      <c r="L82" s="1476">
        <f t="shared" si="4"/>
        <v>963.60142322459569</v>
      </c>
      <c r="M82" s="1477">
        <f t="shared" si="4"/>
        <v>80.300118602049636</v>
      </c>
      <c r="N82" s="408"/>
      <c r="O82" s="715">
        <v>4825</v>
      </c>
      <c r="P82" s="417"/>
      <c r="Q82" s="261">
        <f>O82*$Q$76*M82+O82*(1-$Q$76)*K82</f>
        <v>348703.26502940053</v>
      </c>
      <c r="R82" s="408"/>
      <c r="S82" s="719">
        <f>IF(AND(Q82&lt;&gt;0,O82&lt;&gt;0),Q82/(1+$D$17+$D$18+$D$19)/O82/30/(($D$25*1000000/$D$8))*1000,0)</f>
        <v>1.3693007175055834</v>
      </c>
      <c r="T82" s="417" t="s">
        <v>333</v>
      </c>
      <c r="U82" s="699">
        <f>S82*O82*30*$D$11*(1+$D$24)/1000</f>
        <v>197702.81445782603</v>
      </c>
      <c r="V82" s="417" t="s">
        <v>334</v>
      </c>
      <c r="W82" s="699">
        <f>IF(O82&lt;&gt;0,U82/O82,0)</f>
        <v>40.974676571570164</v>
      </c>
      <c r="X82" s="417" t="s">
        <v>334</v>
      </c>
      <c r="Y82" s="262" t="str">
        <f>IF(O82=0,"-",IF(AND(((F82*(1-$Y$76))&lt;W82),(W82&lt;(G82*(1+$Y$76)))),"OK", "NOK"))</f>
        <v>OK</v>
      </c>
      <c r="Z82" s="139"/>
      <c r="AA82" s="227">
        <f>IF(OR(Y82="OK",Y82="-"),1,0)</f>
        <v>1</v>
      </c>
      <c r="AB82" s="423"/>
    </row>
    <row r="83" spans="1:28" s="237" customFormat="1" ht="24" hidden="1" customHeight="1" outlineLevel="1" x14ac:dyDescent="0.25">
      <c r="A83" s="408"/>
      <c r="B83" s="2844"/>
      <c r="C83" s="2848"/>
      <c r="D83" s="2849"/>
      <c r="E83" s="710"/>
      <c r="F83" s="1473">
        <f>G82</f>
        <v>40</v>
      </c>
      <c r="G83" s="1474">
        <v>55</v>
      </c>
      <c r="H83" s="1475">
        <f>0.035</f>
        <v>3.5000000000000003E-2</v>
      </c>
      <c r="I83" s="1309"/>
      <c r="J83" s="1476">
        <f>$L$32*(H78+(G80-F80)*H80+(G81-F81)*H81+(G82-F82)*H82+(G83-F83)*H83)*$B$77*$C$77</f>
        <v>1008.9473725528119</v>
      </c>
      <c r="K83" s="1477">
        <f>$M$32*(H78+(G80-F80)*H80+(G81-F81)*H81+(G82-F82)*H82+(G83-F83)*H83)*$B$77*$C$77</f>
        <v>84.078947712734319</v>
      </c>
      <c r="L83" s="1476">
        <f t="shared" si="4"/>
        <v>1261.1842156910147</v>
      </c>
      <c r="M83" s="1477">
        <f t="shared" si="4"/>
        <v>105.0986846409179</v>
      </c>
      <c r="N83" s="408"/>
      <c r="O83" s="715">
        <v>2000</v>
      </c>
      <c r="P83" s="417"/>
      <c r="Q83" s="261">
        <f>O83*$Q$76*M83+O83*(1-$Q$76)*K83</f>
        <v>189177.63235365221</v>
      </c>
      <c r="R83" s="408"/>
      <c r="S83" s="719">
        <f>IF(AND(Q83&lt;&gt;0,O83&lt;&gt;0),Q83/(1+$D$17+$D$18+$D$19)/O83/30/(($D$25*1000000/$D$8))*1000,0)</f>
        <v>1.7921729979117187</v>
      </c>
      <c r="T83" s="417" t="s">
        <v>333</v>
      </c>
      <c r="U83" s="699">
        <f>S83*O83*30*$D$11*(1+$D$24)/1000</f>
        <v>107257.24161381596</v>
      </c>
      <c r="V83" s="458" t="s">
        <v>334</v>
      </c>
      <c r="W83" s="699">
        <f>IF(O83&lt;&gt;0,U83/O83,0)</f>
        <v>53.628620806907982</v>
      </c>
      <c r="X83" s="417" t="s">
        <v>334</v>
      </c>
      <c r="Y83" s="262" t="str">
        <f>IF(O83=0,"-",IF(AND(((F83*(1-$Y$76))&lt;W83),(W83&lt;(G83*(1+$Y$76)))),"OK", "NOK"))</f>
        <v>OK</v>
      </c>
      <c r="Z83" s="139"/>
      <c r="AA83" s="227">
        <f>IF(OR(Y83="OK",Y83="-"),1,0)</f>
        <v>1</v>
      </c>
      <c r="AB83" s="423"/>
    </row>
    <row r="84" spans="1:28" s="237" customFormat="1" ht="24" hidden="1" customHeight="1" outlineLevel="1" x14ac:dyDescent="0.25">
      <c r="A84" s="408"/>
      <c r="B84" s="2844"/>
      <c r="C84" s="2848"/>
      <c r="D84" s="2849"/>
      <c r="E84" s="710"/>
      <c r="F84" s="1473">
        <f>G83</f>
        <v>55</v>
      </c>
      <c r="G84" s="1474">
        <v>100</v>
      </c>
      <c r="H84" s="1475">
        <f>0.03</f>
        <v>0.03</v>
      </c>
      <c r="I84" s="1309"/>
      <c r="J84" s="1476">
        <f>$L$32*(H78+(G80-F80)*H80+(G81-F81)*H81+(G82-F82)*H82+(G83-F83)*H83+(G84-F84)*H84)*$B$77*$C$77</f>
        <v>1621.1176884837314</v>
      </c>
      <c r="K84" s="1477">
        <f>$M$32*(H78+(G80-F80)*H80+(G81-F81)*H81+(G82-F82)*H82+(G83-F83)*H83+(G84-F84)*H84)*$B$77*$C$77</f>
        <v>135.09314070697761</v>
      </c>
      <c r="L84" s="1476">
        <f t="shared" si="4"/>
        <v>2026.3971106046642</v>
      </c>
      <c r="M84" s="1477">
        <f t="shared" si="4"/>
        <v>168.866425883722</v>
      </c>
      <c r="N84" s="408"/>
      <c r="O84" s="715">
        <v>1850</v>
      </c>
      <c r="P84" s="417"/>
      <c r="Q84" s="261">
        <f>O84*$Q$76*M84+O84*(1-$Q$76)*K84</f>
        <v>281162.59909639717</v>
      </c>
      <c r="R84" s="408"/>
      <c r="S84" s="719">
        <f>IF(AND(Q84&lt;&gt;0,O84&lt;&gt;0),Q84/(1+$D$17+$D$18+$D$19)/O84/30/(($D$25*1000000/$D$8))*1000,0)</f>
        <v>2.8795588618132113</v>
      </c>
      <c r="T84" s="417" t="s">
        <v>333</v>
      </c>
      <c r="U84" s="699">
        <f>S84*O84*30*$D$11*(1+$D$24)/1000</f>
        <v>159409.56892660121</v>
      </c>
      <c r="V84" s="417" t="s">
        <v>334</v>
      </c>
      <c r="W84" s="699">
        <f>IF(O84&lt;&gt;0,U84/O84,0)</f>
        <v>86.167334554919577</v>
      </c>
      <c r="X84" s="417" t="s">
        <v>334</v>
      </c>
      <c r="Y84" s="262" t="str">
        <f>IF(O84=0,"-",IF(AND(((F84*(1-$Y$76))&lt;W84),(W84&lt;(G84*(1+$Y$76)))),"OK", "NOK"))</f>
        <v>OK</v>
      </c>
      <c r="Z84" s="139"/>
      <c r="AA84" s="227">
        <f>IF(OR(Y84="OK",Y84="-"),1,0)</f>
        <v>1</v>
      </c>
      <c r="AB84" s="423"/>
    </row>
    <row r="85" spans="1:28" s="237" customFormat="1" ht="10.15" hidden="1" customHeight="1" outlineLevel="1" x14ac:dyDescent="0.25">
      <c r="A85" s="408"/>
      <c r="B85" s="408"/>
      <c r="C85" s="409"/>
      <c r="D85" s="408"/>
      <c r="E85" s="408"/>
      <c r="F85" s="408"/>
      <c r="G85" s="408"/>
      <c r="H85" s="409"/>
      <c r="I85" s="408"/>
      <c r="J85" s="409"/>
      <c r="K85" s="409"/>
      <c r="L85" s="409"/>
      <c r="M85" s="409"/>
      <c r="N85" s="408"/>
      <c r="O85" s="408"/>
      <c r="P85" s="408"/>
      <c r="Q85" s="408"/>
      <c r="R85" s="408"/>
      <c r="S85" s="408"/>
      <c r="T85" s="408"/>
      <c r="U85" s="408"/>
      <c r="V85" s="408"/>
      <c r="W85" s="409"/>
      <c r="X85" s="408"/>
      <c r="Y85" s="409"/>
      <c r="Z85" s="408"/>
      <c r="AA85" s="408"/>
      <c r="AB85" s="423"/>
    </row>
    <row r="86" spans="1:28" s="237" customFormat="1" ht="34.9" hidden="1" customHeight="1" outlineLevel="1" x14ac:dyDescent="0.25">
      <c r="A86" s="408"/>
      <c r="B86" s="2831" t="s">
        <v>338</v>
      </c>
      <c r="C86" s="2832"/>
      <c r="D86" s="2832"/>
      <c r="E86" s="2832"/>
      <c r="F86" s="2832"/>
      <c r="G86" s="2832"/>
      <c r="H86" s="2832"/>
      <c r="I86" s="2832"/>
      <c r="J86" s="2832"/>
      <c r="K86" s="2832"/>
      <c r="L86" s="2832"/>
      <c r="M86" s="2832"/>
      <c r="N86" s="408"/>
      <c r="O86" s="408"/>
      <c r="P86" s="408"/>
      <c r="Q86" s="408"/>
      <c r="R86" s="408"/>
      <c r="S86" s="408"/>
      <c r="T86" s="408"/>
      <c r="U86" s="408"/>
      <c r="V86" s="408"/>
      <c r="W86" s="409"/>
      <c r="X86" s="408"/>
      <c r="Y86" s="409"/>
      <c r="Z86" s="408"/>
      <c r="AA86" s="408"/>
      <c r="AB86" s="423"/>
    </row>
    <row r="87" spans="1:28" s="1437" customFormat="1" ht="25.15" hidden="1" customHeight="1" outlineLevel="1" x14ac:dyDescent="0.45">
      <c r="A87" s="1430"/>
      <c r="B87" s="2833" t="s">
        <v>320</v>
      </c>
      <c r="C87" s="2825"/>
      <c r="D87" s="2825"/>
      <c r="E87" s="2834"/>
      <c r="F87" s="2825"/>
      <c r="G87" s="2825"/>
      <c r="H87" s="2825"/>
      <c r="I87" s="2834"/>
      <c r="J87" s="2825"/>
      <c r="K87" s="2825"/>
      <c r="L87" s="2825"/>
      <c r="M87" s="2825"/>
      <c r="N87" s="1430"/>
      <c r="O87" s="1432">
        <f>G10</f>
        <v>5</v>
      </c>
      <c r="P87" s="1439"/>
      <c r="Q87" s="1430"/>
      <c r="R87" s="1430"/>
      <c r="S87" s="1430"/>
      <c r="T87" s="1430"/>
      <c r="U87" s="1430"/>
      <c r="V87" s="1430"/>
      <c r="W87" s="1435"/>
      <c r="X87" s="1430"/>
      <c r="Y87" s="1435"/>
      <c r="Z87" s="1430"/>
      <c r="AA87" s="1430"/>
      <c r="AB87" s="1436"/>
    </row>
    <row r="88" spans="1:28" s="237" customFormat="1" ht="46.9" hidden="1" customHeight="1" outlineLevel="1" x14ac:dyDescent="0.25">
      <c r="A88" s="408"/>
      <c r="B88" s="2833" t="s">
        <v>321</v>
      </c>
      <c r="C88" s="2833" t="s">
        <v>322</v>
      </c>
      <c r="D88" s="2836"/>
      <c r="E88" s="1308"/>
      <c r="F88" s="2824" t="s">
        <v>323</v>
      </c>
      <c r="G88" s="2825"/>
      <c r="H88" s="2826"/>
      <c r="I88" s="709"/>
      <c r="J88" s="2822" t="s">
        <v>876</v>
      </c>
      <c r="K88" s="2823"/>
      <c r="L88" s="2823"/>
      <c r="M88" s="2823"/>
      <c r="N88" s="408"/>
      <c r="O88" s="262">
        <f>O91+O93+O94+O95+O96</f>
        <v>5</v>
      </c>
      <c r="P88" s="417"/>
      <c r="Q88" s="717">
        <f>Q91+Q93+Q94+Q95+Q96</f>
        <v>1101.528685764587</v>
      </c>
      <c r="R88" s="408"/>
      <c r="S88" s="2820">
        <f>IF(AND(Q88&lt;&gt;0,O88&lt;&gt;0),Q88/(1+$D$17+$D$18+$D$19)/(($D$25*1000000/$D$8)),0)</f>
        <v>0.62611946533784713</v>
      </c>
      <c r="T88" s="2857" t="s">
        <v>324</v>
      </c>
      <c r="U88" s="2820">
        <f>U91+U93+U94+U95+U96+Z97</f>
        <v>624.52905728693872</v>
      </c>
      <c r="V88" s="408" t="s">
        <v>325</v>
      </c>
      <c r="W88" s="2820">
        <f>W91*O91+W93*O93+W94*O94+W95*O95+W96*O96</f>
        <v>624.52905728693872</v>
      </c>
      <c r="X88" s="417" t="s">
        <v>325</v>
      </c>
      <c r="Y88" s="694" t="s">
        <v>326</v>
      </c>
      <c r="Z88" s="139"/>
      <c r="AA88" s="139"/>
      <c r="AB88" s="423"/>
    </row>
    <row r="89" spans="1:28" s="237" customFormat="1" ht="24" hidden="1" customHeight="1" outlineLevel="1" x14ac:dyDescent="0.25">
      <c r="A89" s="408"/>
      <c r="B89" s="2835"/>
      <c r="C89" s="1418" t="s">
        <v>327</v>
      </c>
      <c r="D89" s="1419" t="s">
        <v>328</v>
      </c>
      <c r="E89" s="1309"/>
      <c r="F89" s="2827"/>
      <c r="G89" s="2825"/>
      <c r="H89" s="2826"/>
      <c r="I89" s="710"/>
      <c r="J89" s="2828" t="s">
        <v>329</v>
      </c>
      <c r="K89" s="2829"/>
      <c r="L89" s="2830" t="s">
        <v>330</v>
      </c>
      <c r="M89" s="2829"/>
      <c r="N89" s="408"/>
      <c r="O89" s="722" t="s">
        <v>331</v>
      </c>
      <c r="P89" s="417"/>
      <c r="Q89" s="718">
        <v>0.25</v>
      </c>
      <c r="R89" s="408"/>
      <c r="S89" s="2799"/>
      <c r="T89" s="2858"/>
      <c r="U89" s="2799"/>
      <c r="V89" s="408"/>
      <c r="W89" s="2796"/>
      <c r="X89" s="417"/>
      <c r="Y89" s="721">
        <f>$Y$33</f>
        <v>0.1</v>
      </c>
      <c r="Z89" s="139"/>
      <c r="AA89" s="139"/>
      <c r="AB89" s="423"/>
    </row>
    <row r="90" spans="1:28" s="237" customFormat="1" ht="24" hidden="1" customHeight="1" outlineLevel="1" x14ac:dyDescent="0.25">
      <c r="A90" s="408"/>
      <c r="B90" s="2843">
        <v>2</v>
      </c>
      <c r="C90" s="2843">
        <v>1</v>
      </c>
      <c r="D90" s="2846">
        <v>1.2</v>
      </c>
      <c r="E90" s="710"/>
      <c r="F90" s="1423" t="s">
        <v>832</v>
      </c>
      <c r="G90" s="1424" t="s">
        <v>834</v>
      </c>
      <c r="H90" s="1426" t="s">
        <v>332</v>
      </c>
      <c r="I90" s="710"/>
      <c r="J90" s="1428" t="s">
        <v>312</v>
      </c>
      <c r="K90" s="1429" t="s">
        <v>313</v>
      </c>
      <c r="L90" s="1428" t="s">
        <v>312</v>
      </c>
      <c r="M90" s="1429" t="s">
        <v>313</v>
      </c>
      <c r="N90" s="408"/>
      <c r="O90" s="263"/>
      <c r="P90" s="417"/>
      <c r="Q90" s="264"/>
      <c r="R90" s="408"/>
      <c r="S90" s="129"/>
      <c r="T90" s="417"/>
      <c r="U90" s="129"/>
      <c r="V90" s="408"/>
      <c r="W90" s="267"/>
      <c r="X90" s="417"/>
      <c r="Y90" s="412"/>
      <c r="Z90" s="408"/>
      <c r="AA90" s="408"/>
      <c r="AB90" s="423"/>
    </row>
    <row r="91" spans="1:28" s="237" customFormat="1" ht="24" hidden="1" customHeight="1" outlineLevel="1" x14ac:dyDescent="0.25">
      <c r="A91" s="408"/>
      <c r="B91" s="2844"/>
      <c r="C91" s="2845"/>
      <c r="D91" s="2847"/>
      <c r="E91" s="710"/>
      <c r="F91" s="1473" t="s">
        <v>289</v>
      </c>
      <c r="G91" s="1474">
        <v>5</v>
      </c>
      <c r="H91" s="1475">
        <v>0.35</v>
      </c>
      <c r="I91" s="1309"/>
      <c r="J91" s="1476">
        <f>$L$32*H91*$B$90*$C$90</f>
        <v>158.71082264875693</v>
      </c>
      <c r="K91" s="1477">
        <f>$M$32*H91*$B$90*$C$90</f>
        <v>13.225901887396411</v>
      </c>
      <c r="L91" s="1476">
        <f>J91*$D$90</f>
        <v>190.45298717850832</v>
      </c>
      <c r="M91" s="1477">
        <f>K91*$D$90</f>
        <v>15.871082264875692</v>
      </c>
      <c r="N91" s="408"/>
      <c r="O91" s="715">
        <v>0</v>
      </c>
      <c r="P91" s="417"/>
      <c r="Q91" s="261">
        <f>O91*$Q$76*M91+O91*(1-$Q$76)*K91</f>
        <v>0</v>
      </c>
      <c r="R91" s="408"/>
      <c r="S91" s="719">
        <f>IF(AND(Q91&lt;&gt;0,O91&lt;&gt;0),Q91/(1+$D$17+$D$18+$D$19)/O91/30/(($D$25*1000000/$D$8))*1000,0)</f>
        <v>0</v>
      </c>
      <c r="T91" s="417" t="s">
        <v>333</v>
      </c>
      <c r="U91" s="699">
        <f>S91*O91*30*$D$11*(1+$D$24)/1000</f>
        <v>0</v>
      </c>
      <c r="V91" s="408" t="s">
        <v>334</v>
      </c>
      <c r="W91" s="699">
        <f>IF(O91&lt;&gt;0,U91/O91,0)</f>
        <v>0</v>
      </c>
      <c r="X91" s="417" t="s">
        <v>334</v>
      </c>
      <c r="Y91" s="240" t="str">
        <f>IF(O91=0,"-", IF(W91&lt;=(G91*(1+$Y$89)),"OK", "NOK"))</f>
        <v>-</v>
      </c>
      <c r="Z91" s="139"/>
      <c r="AA91" s="227">
        <f>IF(OR(Y91="OK",Y91="-"),1,0)</f>
        <v>1</v>
      </c>
      <c r="AB91" s="423"/>
    </row>
    <row r="92" spans="1:28" s="237" customFormat="1" ht="24" hidden="1" customHeight="1" outlineLevel="1" x14ac:dyDescent="0.25">
      <c r="A92" s="408"/>
      <c r="B92" s="2844"/>
      <c r="C92" s="2845"/>
      <c r="D92" s="2847"/>
      <c r="E92" s="710"/>
      <c r="F92" s="1423" t="s">
        <v>833</v>
      </c>
      <c r="G92" s="1424" t="s">
        <v>835</v>
      </c>
      <c r="H92" s="1426" t="s">
        <v>332</v>
      </c>
      <c r="I92" s="710"/>
      <c r="J92" s="1421"/>
      <c r="K92" s="1422"/>
      <c r="L92" s="1421"/>
      <c r="M92" s="1422"/>
      <c r="N92" s="408"/>
      <c r="O92" s="263"/>
      <c r="P92" s="417"/>
      <c r="Q92" s="264"/>
      <c r="R92" s="408"/>
      <c r="S92" s="265"/>
      <c r="T92" s="417"/>
      <c r="U92" s="266"/>
      <c r="V92" s="408"/>
      <c r="W92" s="266"/>
      <c r="X92" s="417"/>
      <c r="Y92" s="457"/>
      <c r="Z92" s="139"/>
      <c r="AA92" s="227"/>
      <c r="AB92" s="423"/>
    </row>
    <row r="93" spans="1:28" s="237" customFormat="1" ht="24" hidden="1" customHeight="1" outlineLevel="1" x14ac:dyDescent="0.25">
      <c r="A93" s="408"/>
      <c r="B93" s="2844"/>
      <c r="C93" s="2845"/>
      <c r="D93" s="2847"/>
      <c r="E93" s="710"/>
      <c r="F93" s="1473">
        <f>G91</f>
        <v>5</v>
      </c>
      <c r="G93" s="1474">
        <v>30</v>
      </c>
      <c r="H93" s="1475">
        <v>0.05</v>
      </c>
      <c r="I93" s="1309"/>
      <c r="J93" s="1476">
        <f>$L$32*(H91+(G93-F93)*H93)*$B$90*$C$90</f>
        <v>725.53518925146045</v>
      </c>
      <c r="K93" s="1477">
        <f>$M$32*(H91+(G93-F93)*H93)*$B$90*$C$90</f>
        <v>60.461265770955031</v>
      </c>
      <c r="L93" s="1476">
        <f t="shared" ref="L93:M96" si="5">J93*$D$90</f>
        <v>870.6422271017525</v>
      </c>
      <c r="M93" s="1477">
        <f t="shared" si="5"/>
        <v>72.553518925146037</v>
      </c>
      <c r="N93" s="408"/>
      <c r="O93" s="715">
        <v>0</v>
      </c>
      <c r="P93" s="417"/>
      <c r="Q93" s="261">
        <f>O93*$Q$76*M93+O93*(1-$Q$76)*K93</f>
        <v>0</v>
      </c>
      <c r="R93" s="408"/>
      <c r="S93" s="719">
        <f>IF(AND(Q93&lt;&gt;0,O93&lt;&gt;0),Q93/(1+$D$17+$D$18+$D$19)/O93/30/(($D$25*1000000/$D$8))*1000,0)</f>
        <v>0</v>
      </c>
      <c r="T93" s="417" t="s">
        <v>333</v>
      </c>
      <c r="U93" s="699">
        <f>S93*O93*30*$D$11*(1+$D$24)/1000</f>
        <v>0</v>
      </c>
      <c r="V93" s="408" t="s">
        <v>334</v>
      </c>
      <c r="W93" s="699">
        <f>IF(O93&lt;&gt;0,U93/O93,0)</f>
        <v>0</v>
      </c>
      <c r="X93" s="417" t="s">
        <v>334</v>
      </c>
      <c r="Y93" s="240" t="str">
        <f>IF(O93=0,"-",IF(AND(((F93*(1-$Y$89))&lt;W93),(W93&lt;(G93*(1+$Y$89)))),"OK", "NOK"))</f>
        <v>-</v>
      </c>
      <c r="Z93" s="139"/>
      <c r="AA93" s="227">
        <f>IF(OR(Y93="OK",Y93="-"),1,0)</f>
        <v>1</v>
      </c>
      <c r="AB93" s="423"/>
    </row>
    <row r="94" spans="1:28" s="237" customFormat="1" ht="24" hidden="1" customHeight="1" outlineLevel="1" x14ac:dyDescent="0.25">
      <c r="A94" s="408"/>
      <c r="B94" s="2844"/>
      <c r="C94" s="2845"/>
      <c r="D94" s="2847"/>
      <c r="E94" s="710"/>
      <c r="F94" s="1473">
        <f>G93</f>
        <v>30</v>
      </c>
      <c r="G94" s="1474">
        <v>100</v>
      </c>
      <c r="H94" s="1475">
        <v>0.03</v>
      </c>
      <c r="I94" s="1309"/>
      <c r="J94" s="1476">
        <f>$L$32*(H91+(G93-F93)*H93+(G94-F94)*H94)*$B$90*$C$90</f>
        <v>1677.8001251440021</v>
      </c>
      <c r="K94" s="1477">
        <f>$M$32*(H91+(G93-F93)*H93+(G94-F94)*H94)*$B$90*$C$90</f>
        <v>139.81667709533352</v>
      </c>
      <c r="L94" s="1476">
        <f t="shared" si="5"/>
        <v>2013.3601501728024</v>
      </c>
      <c r="M94" s="1477">
        <f t="shared" si="5"/>
        <v>167.78001251440023</v>
      </c>
      <c r="N94" s="408"/>
      <c r="O94" s="715">
        <v>4</v>
      </c>
      <c r="P94" s="417"/>
      <c r="Q94" s="261">
        <f>O94*$Q$76*M94+O94*(1-$Q$76)*K94</f>
        <v>615.19337921946749</v>
      </c>
      <c r="R94" s="408"/>
      <c r="S94" s="719">
        <f>IF(AND(Q94&lt;&gt;0,O94&lt;&gt;0),Q94/(1+$D$17+$D$18+$D$19)/O94/30/(($D$25*1000000/$D$8))*1000,0)</f>
        <v>2.9140151216981574</v>
      </c>
      <c r="T94" s="417" t="s">
        <v>333</v>
      </c>
      <c r="U94" s="699">
        <f>S94*O94*30*$D$11*(1+$D$24)/1000</f>
        <v>348.79358671119604</v>
      </c>
      <c r="V94" s="408" t="s">
        <v>334</v>
      </c>
      <c r="W94" s="699">
        <f>IF(O94&lt;&gt;0,U94/O94,0)</f>
        <v>87.19839667779901</v>
      </c>
      <c r="X94" s="417" t="s">
        <v>334</v>
      </c>
      <c r="Y94" s="240" t="str">
        <f>IF(O94=0,"-",IF(AND(((F94*(1-$Y$89))&lt;W94),(W94&lt;(G94*(1+$Y$89)))),"OK", "NOK"))</f>
        <v>OK</v>
      </c>
      <c r="Z94" s="139"/>
      <c r="AA94" s="227">
        <f>IF(OR(Y94="OK",Y94="-"),1,0)</f>
        <v>1</v>
      </c>
      <c r="AB94" s="423"/>
    </row>
    <row r="95" spans="1:28" s="237" customFormat="1" ht="24" hidden="1" customHeight="1" outlineLevel="1" x14ac:dyDescent="0.25">
      <c r="A95" s="408"/>
      <c r="B95" s="2844"/>
      <c r="C95" s="2845"/>
      <c r="D95" s="2847"/>
      <c r="E95" s="710"/>
      <c r="F95" s="1473">
        <f>G94</f>
        <v>100</v>
      </c>
      <c r="G95" s="1474">
        <v>500</v>
      </c>
      <c r="H95" s="1475">
        <v>0.02</v>
      </c>
      <c r="I95" s="1309"/>
      <c r="J95" s="1476">
        <f>$L$32*(H91+(G93-F93)*H93+(G94-F94)*H94+(G95-F95)*H95)*$B$90*$C$90</f>
        <v>5305.4760714013037</v>
      </c>
      <c r="K95" s="1477">
        <f>$M$32*(H91+(G93-F93)*H93+(G94-F94)*H94+(G95-F95)*H95)*$B$90*$C$90</f>
        <v>442.12300595010862</v>
      </c>
      <c r="L95" s="1476">
        <f t="shared" si="5"/>
        <v>6366.5712856815644</v>
      </c>
      <c r="M95" s="1477">
        <f t="shared" si="5"/>
        <v>530.54760714013037</v>
      </c>
      <c r="N95" s="408"/>
      <c r="O95" s="715">
        <v>1</v>
      </c>
      <c r="P95" s="417"/>
      <c r="Q95" s="261">
        <f>O95*$Q$76*M95+O95*(1-$Q$76)*K95</f>
        <v>486.33530654511947</v>
      </c>
      <c r="R95" s="408"/>
      <c r="S95" s="719">
        <f>IF(AND(Q95&lt;&gt;0,O95&lt;&gt;0),Q95/(1+$D$17+$D$18+$D$19)/O95/30/(($D$25*1000000/$D$8))*1000,0)</f>
        <v>9.2145883578022758</v>
      </c>
      <c r="T95" s="417" t="s">
        <v>333</v>
      </c>
      <c r="U95" s="699">
        <f>S95*O95*30*$D$11*(1+$D$24)/1000</f>
        <v>275.73547057574262</v>
      </c>
      <c r="V95" s="408" t="s">
        <v>334</v>
      </c>
      <c r="W95" s="699">
        <f>IF(O95&lt;&gt;0,U95/O95,0)</f>
        <v>275.73547057574262</v>
      </c>
      <c r="X95" s="417" t="s">
        <v>334</v>
      </c>
      <c r="Y95" s="240" t="str">
        <f>IF(O95=0,"-",IF(AND(((F95*(1-$Y$89))&lt;W95),(W95&lt;(G95*(1+$Y$89)))),"OK", "NOK"))</f>
        <v>OK</v>
      </c>
      <c r="Z95" s="139"/>
      <c r="AA95" s="227">
        <f>IF(OR(Y95="OK",Y95="-"),1,0)</f>
        <v>1</v>
      </c>
      <c r="AB95" s="423"/>
    </row>
    <row r="96" spans="1:28" s="237" customFormat="1" ht="24" hidden="1" customHeight="1" outlineLevel="1" x14ac:dyDescent="0.25">
      <c r="A96" s="408"/>
      <c r="B96" s="2844"/>
      <c r="C96" s="2845"/>
      <c r="D96" s="2847"/>
      <c r="E96" s="710"/>
      <c r="F96" s="1473">
        <f>G95</f>
        <v>500</v>
      </c>
      <c r="G96" s="1474">
        <v>1000</v>
      </c>
      <c r="H96" s="1475">
        <v>0.01</v>
      </c>
      <c r="I96" s="1309"/>
      <c r="J96" s="1476">
        <f>$L$32*(H91+(G93-F93)*H93+(G94-F94)*H94+(G95-F95)*H95+(G96-F96)*H96)*$B$90*$C$90</f>
        <v>7572.773537812117</v>
      </c>
      <c r="K96" s="1477">
        <f>$M$32*(H91+(G93-F93)*H93+(G94-F94)*H94+(G95-F95)*H95+(G96-F96)*H96)*$B$90*$C$90</f>
        <v>631.06446148434304</v>
      </c>
      <c r="L96" s="1476">
        <f t="shared" si="5"/>
        <v>9087.3282453745396</v>
      </c>
      <c r="M96" s="1477">
        <f t="shared" si="5"/>
        <v>757.27735378121167</v>
      </c>
      <c r="N96" s="408"/>
      <c r="O96" s="715">
        <v>0</v>
      </c>
      <c r="P96" s="417"/>
      <c r="Q96" s="261">
        <f>O96*$Q$76*M96+O96*(1-$Q$76)*K96</f>
        <v>0</v>
      </c>
      <c r="R96" s="408"/>
      <c r="S96" s="719">
        <f>IF(AND(Q96&lt;&gt;0,O96&lt;&gt;0),Q96/(1+$D$17+$D$18+$D$19)/O96/30/(($D$25*1000000/$D$8))*1000,0)</f>
        <v>0</v>
      </c>
      <c r="T96" s="417" t="s">
        <v>333</v>
      </c>
      <c r="U96" s="699">
        <f>S96*O96*30*$D$11*(1+$D$24)/1000</f>
        <v>0</v>
      </c>
      <c r="V96" s="408" t="s">
        <v>334</v>
      </c>
      <c r="W96" s="699">
        <f>IF(O96&lt;&gt;0,U96/O96,0)</f>
        <v>0</v>
      </c>
      <c r="X96" s="417" t="s">
        <v>334</v>
      </c>
      <c r="Y96" s="262" t="str">
        <f>IF(O96=0,"-",IF(AND(((F96*(1-$Y$89))&lt;W96),(W96&lt;(G96*(1+$Y$89)))),"OK", "NOK"))</f>
        <v>-</v>
      </c>
      <c r="Z96" s="139"/>
      <c r="AA96" s="227">
        <f>IF(OR(Y96="OK",Y96="-"),1,0)</f>
        <v>1</v>
      </c>
      <c r="AB96" s="423"/>
    </row>
    <row r="97" spans="1:27" s="237" customFormat="1" ht="24" hidden="1" customHeight="1" outlineLevel="1" x14ac:dyDescent="0.25">
      <c r="A97" s="408"/>
      <c r="B97" s="139"/>
      <c r="C97" s="227"/>
      <c r="D97" s="139"/>
      <c r="E97" s="139"/>
      <c r="F97" s="139"/>
      <c r="G97" s="139"/>
      <c r="H97" s="227"/>
      <c r="I97" s="139"/>
      <c r="J97" s="227"/>
      <c r="K97" s="227"/>
      <c r="L97" s="227"/>
      <c r="M97" s="227"/>
      <c r="N97" s="227"/>
      <c r="O97" s="227"/>
      <c r="P97" s="227"/>
      <c r="Q97" s="227"/>
      <c r="R97" s="227"/>
      <c r="S97" s="772"/>
      <c r="T97" s="139"/>
      <c r="U97" s="773"/>
      <c r="V97" s="139"/>
      <c r="W97" s="227"/>
      <c r="X97" s="139"/>
      <c r="Y97" s="227"/>
      <c r="Z97" s="259"/>
      <c r="AA97" s="227"/>
    </row>
    <row r="98" spans="1:27" s="237" customFormat="1" ht="24" customHeight="1" x14ac:dyDescent="0.25">
      <c r="A98" s="408"/>
      <c r="B98" s="139"/>
      <c r="C98" s="227"/>
      <c r="D98" s="139"/>
      <c r="E98" s="139"/>
      <c r="F98" s="139"/>
      <c r="G98" s="139"/>
      <c r="H98" s="227"/>
      <c r="I98" s="139"/>
      <c r="J98" s="227"/>
      <c r="K98" s="227"/>
      <c r="L98" s="227"/>
      <c r="M98" s="227"/>
      <c r="N98" s="139"/>
      <c r="O98" s="139"/>
      <c r="P98" s="139"/>
      <c r="Q98" s="139"/>
      <c r="R98" s="139"/>
      <c r="S98" s="139"/>
      <c r="T98" s="139"/>
      <c r="U98" s="774"/>
      <c r="V98" s="139"/>
      <c r="W98" s="227"/>
      <c r="X98" s="139"/>
      <c r="Y98" s="227"/>
      <c r="Z98" s="139"/>
      <c r="AA98" s="139"/>
    </row>
    <row r="99" spans="1:27" ht="14.25" customHeight="1" x14ac:dyDescent="0.25">
      <c r="A99" s="61"/>
      <c r="H99" s="62"/>
      <c r="J99" s="62"/>
      <c r="K99" s="62"/>
      <c r="L99" s="62"/>
      <c r="M99" s="62"/>
      <c r="T99" s="52"/>
      <c r="U99" s="63"/>
      <c r="V99" s="52"/>
    </row>
    <row r="100" spans="1:27" ht="14.25" customHeight="1" x14ac:dyDescent="0.25">
      <c r="A100" s="61"/>
      <c r="H100" s="62"/>
      <c r="J100" s="62"/>
      <c r="K100" s="62"/>
      <c r="L100" s="62"/>
      <c r="M100" s="62"/>
      <c r="T100" s="52"/>
      <c r="U100" s="63"/>
      <c r="V100" s="52"/>
    </row>
    <row r="101" spans="1:27" ht="14.25" customHeight="1" x14ac:dyDescent="0.25">
      <c r="A101" s="61"/>
      <c r="H101" s="62"/>
      <c r="J101" s="62"/>
      <c r="K101" s="62"/>
      <c r="L101" s="62"/>
      <c r="M101" s="62"/>
      <c r="T101" s="52"/>
      <c r="U101" s="63"/>
      <c r="V101" s="52"/>
    </row>
    <row r="102" spans="1:27" ht="14.25" customHeight="1" x14ac:dyDescent="0.25">
      <c r="A102" s="61"/>
      <c r="H102" s="62"/>
      <c r="J102" s="62"/>
      <c r="K102" s="62"/>
      <c r="L102" s="62"/>
      <c r="M102" s="62"/>
      <c r="T102" s="52"/>
      <c r="U102" s="63"/>
      <c r="V102" s="52"/>
    </row>
    <row r="103" spans="1:27" ht="14.25" customHeight="1" x14ac:dyDescent="0.25">
      <c r="A103" s="61"/>
      <c r="H103" s="62"/>
      <c r="J103" s="62"/>
      <c r="K103" s="62"/>
      <c r="L103" s="62"/>
      <c r="M103" s="62"/>
      <c r="T103" s="52"/>
      <c r="U103" s="63"/>
      <c r="V103" s="52"/>
    </row>
  </sheetData>
  <sheetProtection algorithmName="SHA-512" hashValue="ukC05CbrToxS7rx5pTwWQPopY2vamnhZXNHmOXym33EH4RTsqiD2/x0woJvnpCxxnhgoWNrw9o081gxYUiyb/g==" saltValue="KuGJvWk1fWPsylVu8VvrwA==" spinCount="100000" sheet="1" formatColumns="0" formatRows="0" sort="0" autoFilter="0"/>
  <mergeCells count="102">
    <mergeCell ref="O2:AA3"/>
    <mergeCell ref="B2:M3"/>
    <mergeCell ref="F15:F16"/>
    <mergeCell ref="G15:G16"/>
    <mergeCell ref="H15:H16"/>
    <mergeCell ref="O5:O6"/>
    <mergeCell ref="Q5:Q6"/>
    <mergeCell ref="S5:S6"/>
    <mergeCell ref="U5:U6"/>
    <mergeCell ref="W5:W6"/>
    <mergeCell ref="Y5:Y6"/>
    <mergeCell ref="K7:K8"/>
    <mergeCell ref="J7:J8"/>
    <mergeCell ref="Y31:Y32"/>
    <mergeCell ref="K29:M29"/>
    <mergeCell ref="B51:B58"/>
    <mergeCell ref="C51:C58"/>
    <mergeCell ref="D51:D58"/>
    <mergeCell ref="B49:B50"/>
    <mergeCell ref="C49:D49"/>
    <mergeCell ref="J49:M49"/>
    <mergeCell ref="J36:M36"/>
    <mergeCell ref="U49:U50"/>
    <mergeCell ref="B48:M48"/>
    <mergeCell ref="T49:T50"/>
    <mergeCell ref="B29:E29"/>
    <mergeCell ref="B38:B45"/>
    <mergeCell ref="C38:C45"/>
    <mergeCell ref="D38:D45"/>
    <mergeCell ref="B47:M47"/>
    <mergeCell ref="O29:Z29"/>
    <mergeCell ref="W31:W32"/>
    <mergeCell ref="U36:U37"/>
    <mergeCell ref="Y33:Y34"/>
    <mergeCell ref="F23:H23"/>
    <mergeCell ref="F49:H50"/>
    <mergeCell ref="J50:K50"/>
    <mergeCell ref="L50:M50"/>
    <mergeCell ref="K5:K6"/>
    <mergeCell ref="J5:J6"/>
    <mergeCell ref="W88:W89"/>
    <mergeCell ref="U88:U89"/>
    <mergeCell ref="S88:S89"/>
    <mergeCell ref="T88:T89"/>
    <mergeCell ref="J76:K76"/>
    <mergeCell ref="L76:M76"/>
    <mergeCell ref="W75:W76"/>
    <mergeCell ref="S36:S37"/>
    <mergeCell ref="T36:T37"/>
    <mergeCell ref="U62:U63"/>
    <mergeCell ref="S75:S76"/>
    <mergeCell ref="T75:T76"/>
    <mergeCell ref="W36:W37"/>
    <mergeCell ref="S62:S63"/>
    <mergeCell ref="T62:T63"/>
    <mergeCell ref="J75:M75"/>
    <mergeCell ref="B60:M60"/>
    <mergeCell ref="B31:K32"/>
    <mergeCell ref="U75:U76"/>
    <mergeCell ref="B73:M73"/>
    <mergeCell ref="B74:M74"/>
    <mergeCell ref="C88:D88"/>
    <mergeCell ref="J88:M88"/>
    <mergeCell ref="B77:B84"/>
    <mergeCell ref="C77:C84"/>
    <mergeCell ref="D77:D84"/>
    <mergeCell ref="F88:H89"/>
    <mergeCell ref="B75:B76"/>
    <mergeCell ref="C75:D75"/>
    <mergeCell ref="C64:C71"/>
    <mergeCell ref="D64:D71"/>
    <mergeCell ref="F75:H76"/>
    <mergeCell ref="B90:B96"/>
    <mergeCell ref="C90:C96"/>
    <mergeCell ref="D90:D96"/>
    <mergeCell ref="B86:M86"/>
    <mergeCell ref="B87:M87"/>
    <mergeCell ref="B88:B89"/>
    <mergeCell ref="J89:K89"/>
    <mergeCell ref="L89:M89"/>
    <mergeCell ref="B64:B71"/>
    <mergeCell ref="W62:W63"/>
    <mergeCell ref="S31:S32"/>
    <mergeCell ref="U31:U32"/>
    <mergeCell ref="J62:M62"/>
    <mergeCell ref="F62:H63"/>
    <mergeCell ref="J63:K63"/>
    <mergeCell ref="L63:M63"/>
    <mergeCell ref="F36:H37"/>
    <mergeCell ref="B34:M34"/>
    <mergeCell ref="B35:M35"/>
    <mergeCell ref="B36:B37"/>
    <mergeCell ref="C36:D36"/>
    <mergeCell ref="B61:M61"/>
    <mergeCell ref="B62:B63"/>
    <mergeCell ref="C62:D62"/>
    <mergeCell ref="O31:O32"/>
    <mergeCell ref="Q31:Q32"/>
    <mergeCell ref="J37:K37"/>
    <mergeCell ref="L37:M37"/>
    <mergeCell ref="W49:W50"/>
    <mergeCell ref="S49:S50"/>
  </mergeCells>
  <conditionalFormatting sqref="O36 O49 O62 O75 O88">
    <cfRule type="expression" dxfId="493" priority="37">
      <formula>OR(O36&lt;O35*99.75%,O36&gt;O35*100.25%)</formula>
    </cfRule>
  </conditionalFormatting>
  <conditionalFormatting sqref="O36 O49 O62 O75 O88">
    <cfRule type="expression" dxfId="492" priority="38">
      <formula>OR(O36&lt;O35*100.25%,O36&gt;O35*99.75%)</formula>
    </cfRule>
  </conditionalFormatting>
  <conditionalFormatting sqref="Y39">
    <cfRule type="expression" dxfId="491" priority="55">
      <formula>Y39="NOK"</formula>
    </cfRule>
  </conditionalFormatting>
  <conditionalFormatting sqref="Y39">
    <cfRule type="expression" dxfId="490" priority="56">
      <formula>Y39="OK"</formula>
    </cfRule>
  </conditionalFormatting>
  <conditionalFormatting sqref="Y41:Y45">
    <cfRule type="expression" dxfId="489" priority="57">
      <formula>Y41="NOK"</formula>
    </cfRule>
  </conditionalFormatting>
  <conditionalFormatting sqref="Y41:Y45">
    <cfRule type="expression" dxfId="488" priority="58">
      <formula>Y41="OK"</formula>
    </cfRule>
  </conditionalFormatting>
  <conditionalFormatting sqref="Y52">
    <cfRule type="expression" dxfId="487" priority="59">
      <formula>Y52="NOK"</formula>
    </cfRule>
  </conditionalFormatting>
  <conditionalFormatting sqref="Y52">
    <cfRule type="expression" dxfId="486" priority="60">
      <formula>Y52="OK"</formula>
    </cfRule>
  </conditionalFormatting>
  <conditionalFormatting sqref="Y54:Y58">
    <cfRule type="expression" dxfId="485" priority="61">
      <formula>Y54="NOK"</formula>
    </cfRule>
  </conditionalFormatting>
  <conditionalFormatting sqref="Y54:Y58">
    <cfRule type="expression" dxfId="484" priority="62">
      <formula>Y54="OK"</formula>
    </cfRule>
  </conditionalFormatting>
  <conditionalFormatting sqref="Y65">
    <cfRule type="expression" dxfId="483" priority="63">
      <formula>Y65="NOK"</formula>
    </cfRule>
  </conditionalFormatting>
  <conditionalFormatting sqref="Y65">
    <cfRule type="expression" dxfId="482" priority="64">
      <formula>Y65="OK"</formula>
    </cfRule>
  </conditionalFormatting>
  <conditionalFormatting sqref="Y67:Y71">
    <cfRule type="expression" dxfId="481" priority="65">
      <formula>Y67="NOK"</formula>
    </cfRule>
  </conditionalFormatting>
  <conditionalFormatting sqref="Y67:Y71">
    <cfRule type="expression" dxfId="480" priority="66">
      <formula>Y67="OK"</formula>
    </cfRule>
  </conditionalFormatting>
  <conditionalFormatting sqref="Y78">
    <cfRule type="expression" dxfId="479" priority="67">
      <formula>Y78="NOK"</formula>
    </cfRule>
  </conditionalFormatting>
  <conditionalFormatting sqref="Y78">
    <cfRule type="expression" dxfId="478" priority="68">
      <formula>Y78="OK"</formula>
    </cfRule>
  </conditionalFormatting>
  <conditionalFormatting sqref="Y80:Y84">
    <cfRule type="expression" dxfId="477" priority="69">
      <formula>Y80="NOK"</formula>
    </cfRule>
  </conditionalFormatting>
  <conditionalFormatting sqref="Y80:Y84">
    <cfRule type="expression" dxfId="476" priority="70">
      <formula>Y80="OK"</formula>
    </cfRule>
  </conditionalFormatting>
  <conditionalFormatting sqref="Y91">
    <cfRule type="expression" dxfId="475" priority="71">
      <formula>Y91="NOK"</formula>
    </cfRule>
  </conditionalFormatting>
  <conditionalFormatting sqref="Y91">
    <cfRule type="expression" dxfId="474" priority="72">
      <formula>Y91="OK"</formula>
    </cfRule>
  </conditionalFormatting>
  <conditionalFormatting sqref="Y93:Y96">
    <cfRule type="expression" dxfId="473" priority="73">
      <formula>Y93="NOK"</formula>
    </cfRule>
  </conditionalFormatting>
  <conditionalFormatting sqref="Y93:Y96">
    <cfRule type="expression" dxfId="472" priority="74">
      <formula>Y93="OK"</formula>
    </cfRule>
  </conditionalFormatting>
  <conditionalFormatting sqref="Y12">
    <cfRule type="expression" dxfId="471" priority="75">
      <formula>Y12&gt;20%</formula>
    </cfRule>
  </conditionalFormatting>
  <conditionalFormatting sqref="Y12">
    <cfRule type="expression" dxfId="470" priority="76">
      <formula>Y12&lt;=20%</formula>
    </cfRule>
  </conditionalFormatting>
  <conditionalFormatting sqref="O5">
    <cfRule type="expression" dxfId="469" priority="375">
      <formula>ABS(O8)&gt;=O7</formula>
    </cfRule>
    <cfRule type="expression" dxfId="468" priority="376">
      <formula>ABS(O8)&lt;O7</formula>
    </cfRule>
  </conditionalFormatting>
  <conditionalFormatting sqref="Q5">
    <cfRule type="expression" dxfId="467" priority="9">
      <formula>ABS(Q8)&gt;=Q7</formula>
    </cfRule>
    <cfRule type="expression" dxfId="466" priority="10">
      <formula>ABS(Q8)&lt;Q7</formula>
    </cfRule>
  </conditionalFormatting>
  <conditionalFormatting sqref="S5">
    <cfRule type="expression" dxfId="465" priority="7">
      <formula>ABS(S8)&gt;=S7</formula>
    </cfRule>
    <cfRule type="expression" dxfId="464" priority="8">
      <formula>ABS(S8)&lt;S7</formula>
    </cfRule>
  </conditionalFormatting>
  <conditionalFormatting sqref="U5">
    <cfRule type="expression" dxfId="463" priority="5">
      <formula>ABS(U8)&gt;=U7</formula>
    </cfRule>
    <cfRule type="expression" dxfId="462" priority="6">
      <formula>ABS(U8)&lt;U7</formula>
    </cfRule>
  </conditionalFormatting>
  <conditionalFormatting sqref="W5">
    <cfRule type="expression" dxfId="461" priority="3">
      <formula>ABS(W8)&gt;=W7</formula>
    </cfRule>
    <cfRule type="expression" dxfId="460" priority="4">
      <formula>ABS(W8)&lt;W7</formula>
    </cfRule>
  </conditionalFormatting>
  <conditionalFormatting sqref="Y5">
    <cfRule type="expression" dxfId="459" priority="1">
      <formula>ABS(Y12)&gt;=Y10</formula>
    </cfRule>
    <cfRule type="expression" dxfId="458" priority="2">
      <formula>ABS(Y12)&lt;Y10</formula>
    </cfRule>
  </conditionalFormatting>
  <pageMargins left="0.511811024" right="0.511811024" top="0.78740157499999996" bottom="0.78740157499999996" header="0" footer="0"/>
  <pageSetup orientation="landscape"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2">
    <tabColor theme="9" tint="0.59999389629810485"/>
    <outlinePr summaryBelow="0"/>
  </sheetPr>
  <dimension ref="A1:BF194"/>
  <sheetViews>
    <sheetView showGridLines="0" zoomScale="70" zoomScaleNormal="70" workbookViewId="0">
      <selection activeCell="B2" sqref="B2:D4"/>
    </sheetView>
  </sheetViews>
  <sheetFormatPr defaultColWidth="14.42578125" defaultRowHeight="15" customHeight="1" outlineLevelRow="1" x14ac:dyDescent="0.25"/>
  <cols>
    <col min="1" max="1" width="1" style="61" customWidth="1"/>
    <col min="2" max="2" width="55.7109375" style="61" customWidth="1"/>
    <col min="3" max="3" width="10.7109375" style="61" customWidth="1"/>
    <col min="4" max="4" width="11.140625" style="61" bestFit="1" customWidth="1"/>
    <col min="5" max="5" width="18.28515625" style="61" customWidth="1"/>
    <col min="6" max="8" width="23.28515625" style="61" customWidth="1"/>
    <col min="9" max="9" width="10.7109375" style="61" customWidth="1"/>
    <col min="10" max="10" width="15.7109375" style="61" customWidth="1"/>
    <col min="11" max="12" width="18.28515625" style="61" customWidth="1"/>
    <col min="13" max="13" width="10.42578125" style="61" customWidth="1"/>
    <col min="14" max="14" width="15.42578125" style="61" customWidth="1"/>
    <col min="15" max="15" width="18.42578125" style="61" customWidth="1"/>
    <col min="16" max="16" width="14.7109375" style="61" customWidth="1"/>
    <col min="17" max="17" width="11.42578125" style="61" customWidth="1"/>
    <col min="18" max="18" width="13.28515625" style="61" customWidth="1"/>
    <col min="19" max="52" width="11.42578125" style="61" customWidth="1"/>
    <col min="53" max="54" width="10.42578125" style="61" customWidth="1"/>
    <col min="55" max="55" width="10.28515625" style="61" customWidth="1"/>
    <col min="56" max="58" width="8.42578125" style="61" customWidth="1"/>
    <col min="59" max="16384" width="14.42578125" style="61"/>
  </cols>
  <sheetData>
    <row r="1" spans="1:20" ht="4.9000000000000004" customHeight="1" x14ac:dyDescent="0.25">
      <c r="A1" s="61" t="s">
        <v>1004</v>
      </c>
      <c r="R1" s="62"/>
    </row>
    <row r="2" spans="1:20" s="192" customFormat="1" ht="25.15" customHeight="1" x14ac:dyDescent="0.25">
      <c r="B2" s="2892" t="s">
        <v>777</v>
      </c>
      <c r="C2" s="2892"/>
      <c r="D2" s="2892"/>
      <c r="F2" s="268"/>
      <c r="G2" s="268"/>
      <c r="H2" s="268"/>
      <c r="I2" s="1379" t="s">
        <v>424</v>
      </c>
      <c r="J2" s="1380"/>
      <c r="K2" s="1380"/>
      <c r="L2" s="268"/>
      <c r="M2" s="1494"/>
      <c r="N2" s="1495"/>
      <c r="O2" s="268"/>
      <c r="P2" s="268"/>
      <c r="Q2" s="268"/>
      <c r="R2" s="268"/>
      <c r="S2" s="268"/>
      <c r="T2" s="268"/>
    </row>
    <row r="3" spans="1:20" s="192" customFormat="1" ht="19.899999999999999" customHeight="1" x14ac:dyDescent="0.25">
      <c r="B3" s="2892"/>
      <c r="C3" s="2892"/>
      <c r="D3" s="2892"/>
      <c r="F3" s="268"/>
      <c r="G3" s="268"/>
      <c r="H3" s="268"/>
      <c r="I3" s="1380" t="str">
        <f>Apresentação!I2</f>
        <v>RC-RSU V.1.0 - 15/10/2020</v>
      </c>
      <c r="J3" s="1380"/>
      <c r="K3" s="1380"/>
      <c r="L3" s="268"/>
      <c r="M3" s="683"/>
      <c r="N3" s="1496"/>
      <c r="O3" s="268"/>
      <c r="P3" s="268"/>
      <c r="Q3" s="268"/>
      <c r="R3" s="268"/>
      <c r="S3" s="268"/>
      <c r="T3" s="268"/>
    </row>
    <row r="4" spans="1:20" s="192" customFormat="1" ht="19.899999999999999" customHeight="1" x14ac:dyDescent="0.25">
      <c r="B4" s="2892"/>
      <c r="C4" s="2892"/>
      <c r="D4" s="2892"/>
      <c r="F4" s="1264"/>
      <c r="G4" s="1264"/>
      <c r="H4" s="1264"/>
      <c r="I4" s="1264"/>
      <c r="J4" s="1264"/>
      <c r="K4" s="1264"/>
      <c r="L4" s="1264"/>
      <c r="M4" s="683"/>
      <c r="N4" s="1497"/>
      <c r="O4" s="1264"/>
      <c r="P4" s="1264"/>
      <c r="Q4" s="1264"/>
      <c r="R4" s="1264"/>
      <c r="S4" s="1264"/>
      <c r="T4" s="268"/>
    </row>
    <row r="5" spans="1:20" s="192" customFormat="1" ht="12.4" customHeight="1" thickBot="1" x14ac:dyDescent="0.3">
      <c r="F5" s="1264"/>
      <c r="G5" s="1264"/>
      <c r="H5" s="1264"/>
      <c r="I5" s="1264"/>
      <c r="J5" s="1264"/>
      <c r="K5" s="1264"/>
      <c r="L5" s="1264"/>
      <c r="M5" s="1264"/>
      <c r="N5" s="1264"/>
      <c r="O5" s="1264"/>
      <c r="P5" s="1264"/>
      <c r="Q5" s="1264"/>
      <c r="R5" s="1264"/>
      <c r="S5" s="1381"/>
      <c r="T5" s="268"/>
    </row>
    <row r="6" spans="1:20" s="1281" customFormat="1" ht="19.899999999999999" customHeight="1" thickTop="1" thickBot="1" x14ac:dyDescent="0.3">
      <c r="B6" s="1682" t="s">
        <v>778</v>
      </c>
      <c r="C6" s="1693" t="s">
        <v>1006</v>
      </c>
      <c r="D6" s="1724" t="s">
        <v>1005</v>
      </c>
      <c r="E6" s="1277"/>
      <c r="F6" s="2889" t="s">
        <v>340</v>
      </c>
      <c r="G6" s="2890"/>
      <c r="H6" s="2891"/>
      <c r="I6" s="1278"/>
      <c r="J6" s="1278"/>
      <c r="K6" s="1278"/>
      <c r="L6" s="1278"/>
      <c r="M6" s="1278"/>
      <c r="N6" s="1278"/>
      <c r="O6" s="1278"/>
      <c r="P6" s="1278"/>
      <c r="Q6" s="1278"/>
      <c r="R6" s="1278"/>
      <c r="S6" s="1279"/>
      <c r="T6" s="1280"/>
    </row>
    <row r="7" spans="1:20" s="1283" customFormat="1" ht="19.899999999999999" customHeight="1" outlineLevel="1" thickTop="1" thickBot="1" x14ac:dyDescent="0.3">
      <c r="B7" s="1670" t="s">
        <v>610</v>
      </c>
      <c r="C7" s="1694" t="s">
        <v>240</v>
      </c>
      <c r="D7" s="1725" t="s">
        <v>240</v>
      </c>
      <c r="E7" s="1283" t="s">
        <v>194</v>
      </c>
      <c r="F7" s="1400"/>
      <c r="G7" s="1401" t="s">
        <v>341</v>
      </c>
      <c r="H7" s="1729" t="s">
        <v>342</v>
      </c>
      <c r="I7" s="1284"/>
      <c r="J7" s="1284"/>
      <c r="K7" s="1284"/>
      <c r="L7" s="1285"/>
      <c r="M7" s="1285"/>
      <c r="N7" s="1284"/>
      <c r="O7" s="1284"/>
      <c r="P7" s="1284"/>
      <c r="Q7" s="1284"/>
      <c r="R7" s="1284"/>
      <c r="S7" s="1286"/>
      <c r="T7" s="1284"/>
    </row>
    <row r="8" spans="1:20" s="192" customFormat="1" ht="17.649999999999999" customHeight="1" outlineLevel="1" thickTop="1" x14ac:dyDescent="0.25">
      <c r="B8" s="1671" t="s">
        <v>611</v>
      </c>
      <c r="C8" s="1695">
        <f>'R&amp;C-Painel de Controle'!D27</f>
        <v>4.7000000000000002E-3</v>
      </c>
      <c r="D8" s="1677">
        <f>C8</f>
        <v>4.7000000000000002E-3</v>
      </c>
      <c r="E8" s="192" t="s">
        <v>194</v>
      </c>
      <c r="F8" s="1710" t="s">
        <v>344</v>
      </c>
      <c r="G8" s="1711">
        <f>SUMIF(C33:BC33,1,C159:BC159)</f>
        <v>-24.938805391818391</v>
      </c>
      <c r="H8" s="1712">
        <f>SUMIF(C33:BC33,1,C178:BC178)</f>
        <v>-27.190466500143735</v>
      </c>
      <c r="I8" s="268"/>
      <c r="J8" s="268"/>
      <c r="K8" s="268"/>
      <c r="L8" s="268"/>
      <c r="M8" s="268"/>
      <c r="N8" s="268"/>
      <c r="O8" s="268"/>
      <c r="P8" s="268"/>
      <c r="Q8" s="268"/>
      <c r="R8" s="268"/>
      <c r="S8" s="270"/>
      <c r="T8" s="268"/>
    </row>
    <row r="9" spans="1:20" s="192" customFormat="1" ht="17.649999999999999" customHeight="1" outlineLevel="1" x14ac:dyDescent="0.25">
      <c r="B9" s="1671" t="s">
        <v>343</v>
      </c>
      <c r="C9" s="1696">
        <v>0</v>
      </c>
      <c r="D9" s="1678">
        <f>C9</f>
        <v>0</v>
      </c>
      <c r="F9" s="1713" t="s">
        <v>345</v>
      </c>
      <c r="G9" s="1714">
        <f>IF(C31=1,C165,IF(D31=1,D165,IF(E31=1,E165,IF(F31=1,F165,IF(G31=1,G165,IF(H31=1,H165,IF(I31=1,I165,IF(J31=1,J165,IF(K31=1,K165,IF(L31=1,L165,IF(M31=1,M165,IF(N31=1,N165,IF(O31=1,O165,IF(P31=1,P165,IF(Q31=1,Q165,IF(R31=1,R165,IF(S31=1,S165,IF(T31=1,T165,IF(U31=1,U165,IF(V31=1,V165,IF(X31=1,X165,IF(W31=1,W165,IF(Y31=1,Y165,IF(Z31=1,Z165,IF(AA31=1,AA165,IF(AB31=1,AB165,IF( AC31=1,AC165, IF(AD31=1,AD165,IF(AE31=1,AE165,IF(AF31=1,AF165,IF(AG31=1,AG165,IF(AH31=1,AH165,IF(AI31=1,AI165,IF(AJ31=1,AJ165,IF(AK31=1,AK165,IF(AL31=1,AL165,IF(AM31=1,AM165,IF(AN31=1,AN165,IF(AO31=1,AO165,IF(AP31=1,AP165,IF(AQ31=1,AQ165,IF(AR31=1,AR165,IF(AS31=1,AS165,IF(AT31=1,AT165,IF(AU31=1,AU165,IF(AV31=1,AV165,IF(AW31=1,AW165,IF(AX31=1,AX165,IF(AY31=1,AY165,IF(AZ31=1,AZ165, IF(BA31=1,BA165,IF(BB31=1,BB165,IF(BC31=1,BC165, "-")))))))))))))))))))))))))))))))))))))))))))))))))))))</f>
        <v>-1.5188156891934756E-2</v>
      </c>
      <c r="H9" s="1715">
        <f>IF(C31=1,C184,IF(D31=1,D184,IF(E31=1,E184,IF(F31=1,F184,IF(G31=1,G184,IF(H31=1,H184,IF(I31=1,I184,IF(J31=1,J184,IF(K31=1,K184,IF(L31=1,L184,IF(M31=1,M184,IF(N31=1,N184,IF(O31=1,O184,IF(P31=1,P184,IF(Q31=1,Q184,IF(R31=1,R184,IF(S31=1,S184,IF(T31=1,T184,IF(U31=1,U184,IF(V31=1,V184,IF(X31=1,X184,IF(W31=1,W184,IF(Y31=1,Y184,IF(Z31=1,Z184,IF(AA31=1,AA184,IF(AB31=1,AB184,IF( AC31=1,AC184, IF(AD31=1,AD184,IF(AE31=1,AE184,IF(AF31=1,AF184,IF(AG31=1,AG184,IF(AH31=1,AH184,IF(AI31=1,AI184,IF(AJ31=1,AJ184,IF(AK31=1,AK184,IF(AL31=1,AL184,IF(AM31=1,AM184,IF(AN31=1,AN184,IF(AO31=1,AO184,IF(AP31=1,AP184,IF(AQ31=1,AQ184,IF(AR31=1,AR184,IF(AS31=1,AS184,IF(AT31=1,AT184,IF(AU31=1,AU184,IF(AV31=1,AV184,IF(AW31=1,AW184,IF(AX31=1,AX184,IF(AY31=1,AY184,IF(AZ31=1,AZ184, IF(BA31=1,BA184,IF(BB31=1,BB184,IF(BC31=1,BC184, "-")))))))))))))))))))))))))))))))))))))))))))))))))))))</f>
        <v>0.192118513653595</v>
      </c>
      <c r="I9" s="271"/>
      <c r="J9" s="271"/>
      <c r="K9" s="268"/>
      <c r="L9" s="268"/>
      <c r="M9" s="268"/>
      <c r="N9" s="268"/>
      <c r="O9" s="268"/>
      <c r="P9" s="268"/>
      <c r="Q9" s="268"/>
      <c r="R9" s="268"/>
      <c r="S9" s="270"/>
      <c r="T9" s="268"/>
    </row>
    <row r="10" spans="1:20" s="192" customFormat="1" ht="17.649999999999999" customHeight="1" outlineLevel="1" x14ac:dyDescent="0.25">
      <c r="B10" s="1671" t="s">
        <v>912</v>
      </c>
      <c r="C10" s="1697">
        <v>0.05</v>
      </c>
      <c r="D10" s="1679">
        <f>C10</f>
        <v>0.05</v>
      </c>
      <c r="E10" s="192" t="s">
        <v>194</v>
      </c>
      <c r="F10" s="1713" t="s">
        <v>346</v>
      </c>
      <c r="G10" s="1714">
        <f>G9-C28</f>
        <v>-0.11258815689193476</v>
      </c>
      <c r="H10" s="1715">
        <f>H9-C28</f>
        <v>9.4718513653595002E-2</v>
      </c>
      <c r="I10" s="268"/>
      <c r="J10" s="273"/>
      <c r="K10" s="268"/>
      <c r="L10" s="268"/>
      <c r="M10" s="268"/>
      <c r="N10" s="268"/>
      <c r="O10" s="268"/>
      <c r="P10" s="268"/>
      <c r="Q10" s="268"/>
      <c r="R10" s="268"/>
      <c r="S10" s="270"/>
      <c r="T10" s="268"/>
    </row>
    <row r="11" spans="1:20" s="192" customFormat="1" ht="19.899999999999999" customHeight="1" outlineLevel="1" thickBot="1" x14ac:dyDescent="0.3">
      <c r="B11" s="1671" t="s">
        <v>913</v>
      </c>
      <c r="C11" s="1697">
        <v>0.12</v>
      </c>
      <c r="D11" s="1679">
        <f>C11</f>
        <v>0.12</v>
      </c>
      <c r="E11" s="192" t="s">
        <v>194</v>
      </c>
      <c r="F11" s="1713" t="s">
        <v>347</v>
      </c>
      <c r="G11" s="1716">
        <f>SUMIF(C33:BC33,1,C63:BC63)</f>
        <v>183.79244019207451</v>
      </c>
      <c r="H11" s="1717">
        <f>SUMIF(C33:BC33,1,C63:BC63)</f>
        <v>183.79244019207451</v>
      </c>
      <c r="I11" s="273"/>
      <c r="J11" s="273"/>
      <c r="K11" s="268"/>
      <c r="L11" s="268"/>
      <c r="M11" s="268"/>
      <c r="N11" s="268"/>
      <c r="O11" s="268"/>
      <c r="P11" s="268"/>
      <c r="Q11" s="268"/>
      <c r="R11" s="268"/>
      <c r="S11" s="270"/>
      <c r="T11" s="268"/>
    </row>
    <row r="12" spans="1:20" s="192" customFormat="1" ht="19.899999999999999" customHeight="1" outlineLevel="1" thickTop="1" thickBot="1" x14ac:dyDescent="0.3">
      <c r="B12" s="1672" t="s">
        <v>779</v>
      </c>
      <c r="C12" s="1698" t="s">
        <v>1006</v>
      </c>
      <c r="D12" s="1726" t="s">
        <v>1005</v>
      </c>
      <c r="F12" s="1713" t="s">
        <v>348</v>
      </c>
      <c r="G12" s="1714">
        <f>G8/G11</f>
        <v>-0.13569004995937695</v>
      </c>
      <c r="H12" s="1715">
        <f>H8/H11</f>
        <v>-0.14794115836172592</v>
      </c>
      <c r="I12" s="273"/>
      <c r="J12" s="273"/>
      <c r="K12" s="268"/>
      <c r="L12" s="268"/>
      <c r="M12" s="268"/>
      <c r="N12" s="268"/>
      <c r="O12" s="268"/>
      <c r="P12" s="268"/>
      <c r="Q12" s="268"/>
      <c r="R12" s="268"/>
      <c r="S12" s="270"/>
      <c r="T12" s="268"/>
    </row>
    <row r="13" spans="1:20" s="192" customFormat="1" ht="17.649999999999999" customHeight="1" outlineLevel="1" x14ac:dyDescent="0.25">
      <c r="B13" s="1673" t="s">
        <v>447</v>
      </c>
      <c r="C13" s="1699" t="s">
        <v>240</v>
      </c>
      <c r="D13" s="1725" t="s">
        <v>240</v>
      </c>
      <c r="F13" s="1718" t="s">
        <v>349</v>
      </c>
      <c r="G13" s="1719">
        <f>IF(G8&lt;0,SUM(C164:BC164),SUM(C164:BC164))</f>
        <v>41.531987759232535</v>
      </c>
      <c r="H13" s="1720">
        <f>IF(H8&lt;0,SUM(C183:BC183),SUM(C183:BC183))</f>
        <v>39.860323627927869</v>
      </c>
      <c r="I13" s="271"/>
      <c r="J13" s="271"/>
      <c r="K13" s="268"/>
      <c r="L13" s="268"/>
      <c r="M13" s="268"/>
      <c r="N13" s="268"/>
      <c r="O13" s="268"/>
      <c r="P13" s="268"/>
      <c r="Q13" s="268"/>
      <c r="R13" s="268"/>
      <c r="S13" s="270"/>
      <c r="T13" s="268"/>
    </row>
    <row r="14" spans="1:20" s="192" customFormat="1" ht="19.899999999999999" customHeight="1" outlineLevel="1" thickBot="1" x14ac:dyDescent="0.3">
      <c r="B14" s="1671" t="s">
        <v>612</v>
      </c>
      <c r="C14" s="1700">
        <v>0.7</v>
      </c>
      <c r="D14" s="1692">
        <v>0.3</v>
      </c>
      <c r="E14" s="192" t="s">
        <v>194</v>
      </c>
      <c r="F14" s="1721" t="s">
        <v>613</v>
      </c>
      <c r="G14" s="1722">
        <f>(SUMIF(C33:BC33,1,C159:BC159)+SUMIF(C33:BC33,1,C63:BC63))/SUMIF(C33:BC33,1,C63:BC63)</f>
        <v>0.86430995004062305</v>
      </c>
      <c r="H14" s="1723">
        <f>(SUMIF(C33:BC33,1,C178:BC178)+SUMIF(C33:BC33,1,C63:BC63))/SUMIF(C33:BC33,1,C63:BC63)</f>
        <v>0.85205884163827406</v>
      </c>
      <c r="I14" s="271"/>
      <c r="J14" s="271"/>
      <c r="K14" s="268"/>
      <c r="L14" s="268"/>
      <c r="M14" s="268"/>
      <c r="N14" s="268"/>
      <c r="O14" s="268"/>
      <c r="P14" s="268"/>
      <c r="Q14" s="268"/>
      <c r="R14" s="268"/>
      <c r="S14" s="270"/>
      <c r="T14" s="268"/>
    </row>
    <row r="15" spans="1:20" s="192" customFormat="1" ht="4.9000000000000004" customHeight="1" outlineLevel="1" thickTop="1" thickBot="1" x14ac:dyDescent="0.3">
      <c r="B15" s="1274"/>
      <c r="C15" s="1701"/>
      <c r="D15" s="1680"/>
      <c r="F15" s="1261"/>
      <c r="G15" s="1262"/>
      <c r="H15" s="1263"/>
      <c r="I15" s="271"/>
      <c r="J15" s="271"/>
      <c r="K15" s="268"/>
      <c r="L15" s="268"/>
      <c r="M15" s="268"/>
      <c r="N15" s="268"/>
      <c r="O15" s="268"/>
      <c r="P15" s="268"/>
      <c r="Q15" s="268"/>
      <c r="R15" s="268"/>
      <c r="S15" s="270"/>
      <c r="T15" s="268"/>
    </row>
    <row r="16" spans="1:20" s="1287" customFormat="1" ht="40.15" customHeight="1" outlineLevel="1" thickTop="1" thickBot="1" x14ac:dyDescent="0.3">
      <c r="B16" s="1674" t="s">
        <v>709</v>
      </c>
      <c r="C16" s="1746">
        <v>0.125</v>
      </c>
      <c r="D16" s="1747">
        <v>0.125</v>
      </c>
      <c r="E16" s="192" t="s">
        <v>350</v>
      </c>
      <c r="F16" s="2903" t="s">
        <v>780</v>
      </c>
      <c r="G16" s="1733" t="s">
        <v>261</v>
      </c>
      <c r="H16" s="1727" t="s">
        <v>351</v>
      </c>
      <c r="I16" s="1684"/>
      <c r="J16" s="1683"/>
      <c r="K16" s="1288"/>
      <c r="L16" s="1288"/>
      <c r="M16" s="1288"/>
      <c r="N16" s="1288"/>
      <c r="O16" s="1288"/>
      <c r="P16" s="1288"/>
      <c r="Q16" s="1288"/>
      <c r="R16" s="1288"/>
      <c r="S16" s="1289"/>
      <c r="T16" s="1288"/>
    </row>
    <row r="17" spans="1:58" s="192" customFormat="1" ht="17.649999999999999" customHeight="1" outlineLevel="1" thickTop="1" x14ac:dyDescent="0.25">
      <c r="B17" s="1675" t="s">
        <v>782</v>
      </c>
      <c r="C17" s="1702" t="s">
        <v>240</v>
      </c>
      <c r="D17" s="1727" t="s">
        <v>240</v>
      </c>
      <c r="E17" s="1287"/>
      <c r="F17" s="2904"/>
      <c r="G17" s="2907" t="s">
        <v>781</v>
      </c>
      <c r="H17" s="2909"/>
      <c r="I17" s="1685"/>
      <c r="J17" s="1686"/>
      <c r="K17" s="268"/>
      <c r="L17" s="268"/>
      <c r="M17" s="268"/>
      <c r="N17" s="268"/>
      <c r="O17" s="268"/>
      <c r="P17" s="268"/>
      <c r="Q17" s="268"/>
      <c r="R17" s="268"/>
      <c r="S17" s="270"/>
      <c r="T17" s="268"/>
    </row>
    <row r="18" spans="1:58" s="192" customFormat="1" ht="17.649999999999999" customHeight="1" outlineLevel="1" x14ac:dyDescent="0.25">
      <c r="B18" s="1671" t="s">
        <v>614</v>
      </c>
      <c r="C18" s="1703">
        <f>1-C14</f>
        <v>0.30000000000000004</v>
      </c>
      <c r="D18" s="1828">
        <f>1-D14</f>
        <v>0.7</v>
      </c>
      <c r="E18" s="192" t="s">
        <v>194</v>
      </c>
      <c r="F18" s="2904"/>
      <c r="G18" s="2908"/>
      <c r="H18" s="2910"/>
      <c r="I18" s="1689"/>
      <c r="J18" s="1264"/>
      <c r="K18" s="268"/>
      <c r="L18" s="268"/>
      <c r="M18" s="268"/>
      <c r="N18" s="268"/>
      <c r="O18" s="268"/>
      <c r="P18" s="268"/>
      <c r="Q18" s="268"/>
      <c r="R18" s="268"/>
      <c r="S18" s="270"/>
    </row>
    <row r="19" spans="1:58" s="192" customFormat="1" ht="2.65" customHeight="1" outlineLevel="1" x14ac:dyDescent="0.25">
      <c r="B19" s="1274"/>
      <c r="C19" s="1701"/>
      <c r="D19" s="1680"/>
      <c r="F19" s="2904"/>
      <c r="G19" s="1669"/>
      <c r="H19" s="1730"/>
      <c r="I19" s="1690"/>
      <c r="J19" s="268"/>
      <c r="K19" s="268"/>
      <c r="L19" s="268"/>
      <c r="M19" s="268"/>
      <c r="N19" s="268"/>
      <c r="O19" s="268"/>
      <c r="P19" s="268"/>
      <c r="Q19" s="268"/>
      <c r="R19" s="268"/>
      <c r="S19" s="270"/>
    </row>
    <row r="20" spans="1:58" s="192" customFormat="1" ht="17.649999999999999" customHeight="1" outlineLevel="1" x14ac:dyDescent="0.25">
      <c r="B20" s="1671" t="s">
        <v>710</v>
      </c>
      <c r="C20" s="1744" t="s">
        <v>1009</v>
      </c>
      <c r="D20" s="1745" t="s">
        <v>1009</v>
      </c>
      <c r="F20" s="2904"/>
      <c r="G20" s="1268">
        <v>0.05</v>
      </c>
      <c r="H20" s="1269">
        <v>4.3499999999999997E-2</v>
      </c>
      <c r="I20" s="1687"/>
      <c r="J20" s="1264"/>
      <c r="K20" s="268"/>
      <c r="L20" s="268"/>
      <c r="M20" s="268"/>
      <c r="N20" s="268"/>
      <c r="O20" s="268"/>
      <c r="P20" s="268"/>
      <c r="Q20" s="268"/>
      <c r="R20" s="268"/>
      <c r="S20" s="270"/>
      <c r="T20" s="268"/>
    </row>
    <row r="21" spans="1:58" s="192" customFormat="1" ht="17.649999999999999" customHeight="1" outlineLevel="1" x14ac:dyDescent="0.25">
      <c r="B21" s="1671" t="s">
        <v>615</v>
      </c>
      <c r="C21" s="1704">
        <v>0.05</v>
      </c>
      <c r="D21" s="1826">
        <v>0.05</v>
      </c>
      <c r="E21" s="192" t="s">
        <v>350</v>
      </c>
      <c r="F21" s="2904"/>
      <c r="G21" s="1270">
        <v>20</v>
      </c>
      <c r="H21" s="1271">
        <v>20</v>
      </c>
      <c r="I21" s="1688"/>
      <c r="J21" s="1264"/>
      <c r="K21" s="268"/>
      <c r="L21" s="268"/>
      <c r="M21" s="268"/>
      <c r="N21" s="268"/>
      <c r="O21" s="268"/>
      <c r="P21" s="268"/>
      <c r="Q21" s="268"/>
      <c r="R21" s="268"/>
      <c r="S21" s="270"/>
      <c r="T21" s="268"/>
    </row>
    <row r="22" spans="1:58" s="192" customFormat="1" ht="17.649999999999999" customHeight="1" outlineLevel="1" x14ac:dyDescent="0.25">
      <c r="B22" s="1691" t="s">
        <v>616</v>
      </c>
      <c r="C22" s="1705">
        <v>20</v>
      </c>
      <c r="D22" s="1827">
        <v>20</v>
      </c>
      <c r="E22" s="192" t="s">
        <v>339</v>
      </c>
      <c r="F22" s="2904"/>
      <c r="G22" s="1270">
        <v>2</v>
      </c>
      <c r="H22" s="1271">
        <v>2</v>
      </c>
      <c r="I22" s="1688"/>
      <c r="J22" s="1264"/>
      <c r="K22" s="268"/>
      <c r="L22" s="268"/>
      <c r="M22" s="268"/>
      <c r="N22" s="268"/>
      <c r="O22" s="268"/>
      <c r="P22" s="268"/>
      <c r="Q22" s="268"/>
      <c r="R22" s="268"/>
      <c r="S22" s="270"/>
      <c r="T22" s="268"/>
    </row>
    <row r="23" spans="1:58" s="192" customFormat="1" ht="17.649999999999999" customHeight="1" outlineLevel="1" thickBot="1" x14ac:dyDescent="0.3">
      <c r="B23" s="1691" t="s">
        <v>617</v>
      </c>
      <c r="C23" s="1705">
        <v>2</v>
      </c>
      <c r="D23" s="1827">
        <v>2</v>
      </c>
      <c r="E23" s="192" t="s">
        <v>339</v>
      </c>
      <c r="F23" s="2905"/>
      <c r="G23" s="1272">
        <v>4.3499999999999997E-2</v>
      </c>
      <c r="H23" s="1273">
        <v>4.3499999999999997E-2</v>
      </c>
      <c r="I23" s="1687"/>
      <c r="J23" s="1264"/>
      <c r="K23" s="268"/>
      <c r="L23" s="268"/>
      <c r="M23" s="268"/>
      <c r="N23" s="268"/>
      <c r="O23" s="268"/>
      <c r="P23" s="268"/>
      <c r="Q23" s="268"/>
      <c r="R23" s="268"/>
      <c r="S23" s="270"/>
      <c r="T23" s="268"/>
    </row>
    <row r="24" spans="1:58" s="192" customFormat="1" ht="17.649999999999999" customHeight="1" outlineLevel="1" thickTop="1" thickBot="1" x14ac:dyDescent="0.3">
      <c r="B24" s="1691" t="s">
        <v>618</v>
      </c>
      <c r="C24" s="1704">
        <v>4.3499999999999997E-2</v>
      </c>
      <c r="D24" s="1826">
        <v>4.3499999999999997E-2</v>
      </c>
      <c r="E24" s="192" t="s">
        <v>350</v>
      </c>
      <c r="I24" s="268"/>
      <c r="J24" s="268"/>
      <c r="K24" s="268"/>
      <c r="L24" s="268"/>
      <c r="M24" s="268"/>
      <c r="N24" s="268"/>
      <c r="O24" s="268"/>
      <c r="P24" s="268"/>
      <c r="Q24" s="268"/>
      <c r="R24" s="268"/>
      <c r="S24" s="270"/>
      <c r="T24" s="268"/>
    </row>
    <row r="25" spans="1:58" s="192" customFormat="1" ht="17.649999999999999" customHeight="1" outlineLevel="1" thickTop="1" thickBot="1" x14ac:dyDescent="0.3">
      <c r="B25" s="1671" t="s">
        <v>711</v>
      </c>
      <c r="C25" s="1706">
        <v>0.09</v>
      </c>
      <c r="D25" s="1679">
        <f>C25</f>
        <v>0.09</v>
      </c>
      <c r="E25" s="192" t="s">
        <v>194</v>
      </c>
      <c r="F25" s="1731" t="s">
        <v>783</v>
      </c>
      <c r="G25" s="1732"/>
      <c r="H25" s="1732"/>
      <c r="I25" s="1667"/>
      <c r="J25" s="1667"/>
      <c r="K25" s="1667"/>
      <c r="L25" s="1667"/>
      <c r="M25" s="1667"/>
      <c r="N25" s="1667"/>
      <c r="O25" s="1667"/>
      <c r="P25" s="1667"/>
      <c r="Q25" s="1667"/>
      <c r="R25" s="1667"/>
      <c r="S25" s="1668"/>
      <c r="T25" s="268"/>
    </row>
    <row r="26" spans="1:58" s="192" customFormat="1" ht="17.649999999999999" customHeight="1" outlineLevel="1" thickTop="1" thickBot="1" x14ac:dyDescent="0.3">
      <c r="B26" s="1676" t="s">
        <v>712</v>
      </c>
      <c r="C26" s="1707">
        <v>0.25</v>
      </c>
      <c r="D26" s="1679">
        <f>C26</f>
        <v>0.25</v>
      </c>
      <c r="E26" s="192" t="s">
        <v>194</v>
      </c>
      <c r="F26" s="2906" t="s">
        <v>1007</v>
      </c>
      <c r="G26" s="2898"/>
      <c r="H26" s="1265">
        <f>'R&amp;C-Painel de Controle'!D33</f>
        <v>1396.7092707049733</v>
      </c>
      <c r="I26" s="1395" t="s">
        <v>246</v>
      </c>
      <c r="J26" s="1394"/>
      <c r="K26" s="2897" t="s">
        <v>604</v>
      </c>
      <c r="L26" s="2898"/>
      <c r="M26" s="1266">
        <f>G8</f>
        <v>-24.938805391818391</v>
      </c>
      <c r="N26" s="1395" t="s">
        <v>255</v>
      </c>
      <c r="O26" s="2887" t="s">
        <v>605</v>
      </c>
      <c r="P26" s="2887"/>
      <c r="Q26" s="2888"/>
      <c r="R26" s="1267">
        <f>G14</f>
        <v>0.86430995004062305</v>
      </c>
      <c r="S26" s="1397" t="s">
        <v>194</v>
      </c>
      <c r="T26" s="268"/>
    </row>
    <row r="27" spans="1:58" s="192" customFormat="1" ht="19.899999999999999" customHeight="1" outlineLevel="1" thickTop="1" x14ac:dyDescent="0.25">
      <c r="B27" s="1672" t="s">
        <v>352</v>
      </c>
      <c r="C27" s="1708" t="s">
        <v>240</v>
      </c>
      <c r="D27" s="1728" t="s">
        <v>240</v>
      </c>
      <c r="F27" s="2902" t="s">
        <v>606</v>
      </c>
      <c r="G27" s="2900"/>
      <c r="H27" s="735">
        <f>'R&amp;C-Painel de Controle'!D32</f>
        <v>35</v>
      </c>
      <c r="I27" s="1396" t="s">
        <v>339</v>
      </c>
      <c r="J27" s="1274"/>
      <c r="K27" s="2899" t="s">
        <v>607</v>
      </c>
      <c r="L27" s="2900"/>
      <c r="M27" s="736">
        <f>G9</f>
        <v>-1.5188156891934756E-2</v>
      </c>
      <c r="N27" s="1396" t="s">
        <v>194</v>
      </c>
      <c r="O27" s="1274"/>
      <c r="P27" s="1398"/>
      <c r="Q27" s="749"/>
      <c r="R27" s="749"/>
      <c r="S27" s="1399"/>
      <c r="T27" s="268"/>
    </row>
    <row r="28" spans="1:58" s="192" customFormat="1" ht="18" customHeight="1" outlineLevel="1" thickBot="1" x14ac:dyDescent="0.3">
      <c r="B28" s="1676" t="s">
        <v>619</v>
      </c>
      <c r="C28" s="1709">
        <f>C14*C16+C18*C21*(1-(C25+C26))</f>
        <v>9.74E-2</v>
      </c>
      <c r="D28" s="1681">
        <f>D14*D16+D18*D21*(1-(D25+D26))</f>
        <v>6.0600000000000001E-2</v>
      </c>
      <c r="E28" s="192" t="s">
        <v>350</v>
      </c>
      <c r="F28" s="2893" t="s">
        <v>608</v>
      </c>
      <c r="G28" s="2894"/>
      <c r="H28" s="1734">
        <f>H26*('R&amp;C-Painel de Controle'!D7*30/'R&amp;C-Painel de Controle'!D6)</f>
        <v>7.5129661424665652</v>
      </c>
      <c r="I28" s="1735" t="s">
        <v>250</v>
      </c>
      <c r="J28" s="1274"/>
      <c r="K28" s="2901" t="s">
        <v>609</v>
      </c>
      <c r="L28" s="2894"/>
      <c r="M28" s="1736">
        <f>G13</f>
        <v>41.531987759232535</v>
      </c>
      <c r="N28" s="1396" t="s">
        <v>339</v>
      </c>
      <c r="O28" s="1274"/>
      <c r="P28" s="1274"/>
      <c r="Q28" s="1274"/>
      <c r="R28" s="1274"/>
      <c r="S28" s="1399"/>
      <c r="T28" s="268"/>
    </row>
    <row r="29" spans="1:58" s="192" customFormat="1" ht="18" customHeight="1" outlineLevel="1" thickTop="1" thickBot="1" x14ac:dyDescent="0.3">
      <c r="B29" s="290"/>
      <c r="F29" s="2895" t="s">
        <v>1008</v>
      </c>
      <c r="G29" s="2896"/>
      <c r="H29" s="1737">
        <f>'R&amp;C-Painel de Controle'!H33</f>
        <v>1491.675405776728</v>
      </c>
      <c r="I29" s="1738" t="s">
        <v>246</v>
      </c>
      <c r="J29" s="1739"/>
      <c r="K29" s="1739"/>
      <c r="L29" s="1739"/>
      <c r="M29" s="1739"/>
      <c r="N29" s="1739"/>
      <c r="O29" s="1739"/>
      <c r="P29" s="1739"/>
      <c r="Q29" s="1739"/>
      <c r="R29" s="1739"/>
      <c r="S29" s="1740"/>
    </row>
    <row r="30" spans="1:58" s="192" customFormat="1" ht="18" customHeight="1" thickTop="1" x14ac:dyDescent="0.25">
      <c r="B30" s="290"/>
      <c r="R30" s="274"/>
    </row>
    <row r="31" spans="1:58" s="192" customFormat="1" ht="27" customHeight="1" x14ac:dyDescent="0.25">
      <c r="B31" s="595" t="s">
        <v>353</v>
      </c>
      <c r="C31" s="1275">
        <f t="shared" ref="C31:BC31" si="0">IF(AND(C33=1,D33=0,B33=1),1,0)</f>
        <v>0</v>
      </c>
      <c r="D31" s="274">
        <f t="shared" si="0"/>
        <v>0</v>
      </c>
      <c r="E31" s="274">
        <f t="shared" si="0"/>
        <v>0</v>
      </c>
      <c r="F31" s="274">
        <f t="shared" si="0"/>
        <v>0</v>
      </c>
      <c r="G31" s="274">
        <f t="shared" si="0"/>
        <v>0</v>
      </c>
      <c r="H31" s="274">
        <f t="shared" si="0"/>
        <v>0</v>
      </c>
      <c r="I31" s="274">
        <f t="shared" si="0"/>
        <v>0</v>
      </c>
      <c r="J31" s="274">
        <f t="shared" si="0"/>
        <v>0</v>
      </c>
      <c r="K31" s="274">
        <f t="shared" si="0"/>
        <v>0</v>
      </c>
      <c r="L31" s="274">
        <f t="shared" si="0"/>
        <v>0</v>
      </c>
      <c r="M31" s="274">
        <f t="shared" si="0"/>
        <v>0</v>
      </c>
      <c r="N31" s="274">
        <f t="shared" si="0"/>
        <v>0</v>
      </c>
      <c r="O31" s="274">
        <f t="shared" si="0"/>
        <v>0</v>
      </c>
      <c r="P31" s="274">
        <f t="shared" si="0"/>
        <v>0</v>
      </c>
      <c r="Q31" s="274">
        <f t="shared" si="0"/>
        <v>0</v>
      </c>
      <c r="R31" s="274">
        <f t="shared" si="0"/>
        <v>0</v>
      </c>
      <c r="S31" s="274">
        <f t="shared" si="0"/>
        <v>0</v>
      </c>
      <c r="T31" s="274">
        <f t="shared" si="0"/>
        <v>0</v>
      </c>
      <c r="U31" s="274">
        <f t="shared" si="0"/>
        <v>0</v>
      </c>
      <c r="V31" s="274">
        <f t="shared" si="0"/>
        <v>0</v>
      </c>
      <c r="W31" s="274">
        <f t="shared" si="0"/>
        <v>0</v>
      </c>
      <c r="X31" s="274">
        <f t="shared" si="0"/>
        <v>0</v>
      </c>
      <c r="Y31" s="274">
        <f t="shared" si="0"/>
        <v>0</v>
      </c>
      <c r="Z31" s="274">
        <f t="shared" si="0"/>
        <v>0</v>
      </c>
      <c r="AA31" s="274">
        <f t="shared" si="0"/>
        <v>0</v>
      </c>
      <c r="AB31" s="274">
        <f t="shared" si="0"/>
        <v>0</v>
      </c>
      <c r="AC31" s="274">
        <f t="shared" si="0"/>
        <v>0</v>
      </c>
      <c r="AD31" s="274">
        <f t="shared" si="0"/>
        <v>0</v>
      </c>
      <c r="AE31" s="274">
        <f t="shared" si="0"/>
        <v>0</v>
      </c>
      <c r="AF31" s="274">
        <f t="shared" si="0"/>
        <v>0</v>
      </c>
      <c r="AG31" s="274">
        <f t="shared" si="0"/>
        <v>0</v>
      </c>
      <c r="AH31" s="274">
        <f t="shared" si="0"/>
        <v>0</v>
      </c>
      <c r="AI31" s="274">
        <f t="shared" si="0"/>
        <v>0</v>
      </c>
      <c r="AJ31" s="274">
        <f t="shared" si="0"/>
        <v>0</v>
      </c>
      <c r="AK31" s="274">
        <f t="shared" si="0"/>
        <v>1</v>
      </c>
      <c r="AL31" s="274">
        <f t="shared" si="0"/>
        <v>0</v>
      </c>
      <c r="AM31" s="274">
        <f t="shared" si="0"/>
        <v>0</v>
      </c>
      <c r="AN31" s="274">
        <f t="shared" si="0"/>
        <v>0</v>
      </c>
      <c r="AO31" s="274">
        <f t="shared" si="0"/>
        <v>0</v>
      </c>
      <c r="AP31" s="274">
        <f t="shared" si="0"/>
        <v>0</v>
      </c>
      <c r="AQ31" s="274">
        <f t="shared" si="0"/>
        <v>0</v>
      </c>
      <c r="AR31" s="274">
        <f t="shared" si="0"/>
        <v>0</v>
      </c>
      <c r="AS31" s="274">
        <f t="shared" si="0"/>
        <v>0</v>
      </c>
      <c r="AT31" s="274">
        <f t="shared" si="0"/>
        <v>0</v>
      </c>
      <c r="AU31" s="274">
        <f t="shared" si="0"/>
        <v>0</v>
      </c>
      <c r="AV31" s="274">
        <f t="shared" si="0"/>
        <v>0</v>
      </c>
      <c r="AW31" s="274">
        <f t="shared" si="0"/>
        <v>0</v>
      </c>
      <c r="AX31" s="274">
        <f t="shared" si="0"/>
        <v>0</v>
      </c>
      <c r="AY31" s="274">
        <f t="shared" si="0"/>
        <v>0</v>
      </c>
      <c r="AZ31" s="274">
        <f t="shared" si="0"/>
        <v>0</v>
      </c>
      <c r="BA31" s="274">
        <f t="shared" si="0"/>
        <v>0</v>
      </c>
      <c r="BB31" s="274">
        <f t="shared" si="0"/>
        <v>0</v>
      </c>
      <c r="BC31" s="274">
        <f t="shared" si="0"/>
        <v>0</v>
      </c>
    </row>
    <row r="32" spans="1:58" s="192" customFormat="1" ht="27" customHeight="1" x14ac:dyDescent="0.25">
      <c r="A32" s="275"/>
      <c r="B32" s="733" t="s">
        <v>354</v>
      </c>
      <c r="C32" s="737">
        <v>0</v>
      </c>
      <c r="D32" s="291">
        <f t="shared" ref="D32:BC32" si="1">C32+1</f>
        <v>1</v>
      </c>
      <c r="E32" s="291">
        <f t="shared" si="1"/>
        <v>2</v>
      </c>
      <c r="F32" s="291">
        <f t="shared" si="1"/>
        <v>3</v>
      </c>
      <c r="G32" s="291">
        <f t="shared" si="1"/>
        <v>4</v>
      </c>
      <c r="H32" s="291">
        <f t="shared" si="1"/>
        <v>5</v>
      </c>
      <c r="I32" s="291">
        <f t="shared" si="1"/>
        <v>6</v>
      </c>
      <c r="J32" s="291">
        <f t="shared" si="1"/>
        <v>7</v>
      </c>
      <c r="K32" s="291">
        <f t="shared" si="1"/>
        <v>8</v>
      </c>
      <c r="L32" s="291">
        <f t="shared" si="1"/>
        <v>9</v>
      </c>
      <c r="M32" s="291">
        <f t="shared" si="1"/>
        <v>10</v>
      </c>
      <c r="N32" s="291">
        <f t="shared" si="1"/>
        <v>11</v>
      </c>
      <c r="O32" s="291">
        <f t="shared" si="1"/>
        <v>12</v>
      </c>
      <c r="P32" s="291">
        <f t="shared" si="1"/>
        <v>13</v>
      </c>
      <c r="Q32" s="291">
        <f t="shared" si="1"/>
        <v>14</v>
      </c>
      <c r="R32" s="291">
        <f t="shared" si="1"/>
        <v>15</v>
      </c>
      <c r="S32" s="291">
        <f t="shared" si="1"/>
        <v>16</v>
      </c>
      <c r="T32" s="291">
        <f t="shared" si="1"/>
        <v>17</v>
      </c>
      <c r="U32" s="291">
        <f t="shared" si="1"/>
        <v>18</v>
      </c>
      <c r="V32" s="291">
        <f t="shared" si="1"/>
        <v>19</v>
      </c>
      <c r="W32" s="291">
        <f t="shared" si="1"/>
        <v>20</v>
      </c>
      <c r="X32" s="291">
        <f t="shared" si="1"/>
        <v>21</v>
      </c>
      <c r="Y32" s="291">
        <f t="shared" si="1"/>
        <v>22</v>
      </c>
      <c r="Z32" s="291">
        <f t="shared" si="1"/>
        <v>23</v>
      </c>
      <c r="AA32" s="291">
        <f t="shared" si="1"/>
        <v>24</v>
      </c>
      <c r="AB32" s="291">
        <f t="shared" si="1"/>
        <v>25</v>
      </c>
      <c r="AC32" s="291">
        <f t="shared" si="1"/>
        <v>26</v>
      </c>
      <c r="AD32" s="291">
        <f t="shared" si="1"/>
        <v>27</v>
      </c>
      <c r="AE32" s="291">
        <f t="shared" si="1"/>
        <v>28</v>
      </c>
      <c r="AF32" s="291">
        <f t="shared" si="1"/>
        <v>29</v>
      </c>
      <c r="AG32" s="291">
        <f t="shared" si="1"/>
        <v>30</v>
      </c>
      <c r="AH32" s="291">
        <f t="shared" si="1"/>
        <v>31</v>
      </c>
      <c r="AI32" s="291">
        <f t="shared" si="1"/>
        <v>32</v>
      </c>
      <c r="AJ32" s="291">
        <f t="shared" si="1"/>
        <v>33</v>
      </c>
      <c r="AK32" s="291">
        <f t="shared" si="1"/>
        <v>34</v>
      </c>
      <c r="AL32" s="291">
        <f t="shared" si="1"/>
        <v>35</v>
      </c>
      <c r="AM32" s="291">
        <f t="shared" si="1"/>
        <v>36</v>
      </c>
      <c r="AN32" s="291">
        <f t="shared" si="1"/>
        <v>37</v>
      </c>
      <c r="AO32" s="291">
        <f t="shared" si="1"/>
        <v>38</v>
      </c>
      <c r="AP32" s="291">
        <f t="shared" si="1"/>
        <v>39</v>
      </c>
      <c r="AQ32" s="291">
        <f t="shared" si="1"/>
        <v>40</v>
      </c>
      <c r="AR32" s="291">
        <f t="shared" si="1"/>
        <v>41</v>
      </c>
      <c r="AS32" s="291">
        <f t="shared" si="1"/>
        <v>42</v>
      </c>
      <c r="AT32" s="291">
        <f t="shared" si="1"/>
        <v>43</v>
      </c>
      <c r="AU32" s="291">
        <f t="shared" si="1"/>
        <v>44</v>
      </c>
      <c r="AV32" s="291">
        <f t="shared" si="1"/>
        <v>45</v>
      </c>
      <c r="AW32" s="291">
        <f t="shared" si="1"/>
        <v>46</v>
      </c>
      <c r="AX32" s="291">
        <f t="shared" si="1"/>
        <v>47</v>
      </c>
      <c r="AY32" s="291">
        <f t="shared" si="1"/>
        <v>48</v>
      </c>
      <c r="AZ32" s="291">
        <f t="shared" si="1"/>
        <v>49</v>
      </c>
      <c r="BA32" s="291">
        <f t="shared" si="1"/>
        <v>50</v>
      </c>
      <c r="BB32" s="291">
        <f t="shared" si="1"/>
        <v>51</v>
      </c>
      <c r="BC32" s="291">
        <f t="shared" si="1"/>
        <v>52</v>
      </c>
      <c r="BD32" s="275"/>
      <c r="BE32" s="275"/>
      <c r="BF32" s="275"/>
    </row>
    <row r="33" spans="1:58" s="192" customFormat="1" ht="18" customHeight="1" x14ac:dyDescent="0.25">
      <c r="B33" s="290"/>
      <c r="C33" s="274">
        <f t="shared" ref="C33:AH33" si="2">IF(C32&lt;=$H$27-1,1,0)</f>
        <v>1</v>
      </c>
      <c r="D33" s="274">
        <f t="shared" si="2"/>
        <v>1</v>
      </c>
      <c r="E33" s="274">
        <f t="shared" si="2"/>
        <v>1</v>
      </c>
      <c r="F33" s="274">
        <f t="shared" si="2"/>
        <v>1</v>
      </c>
      <c r="G33" s="274">
        <f t="shared" si="2"/>
        <v>1</v>
      </c>
      <c r="H33" s="274">
        <f t="shared" si="2"/>
        <v>1</v>
      </c>
      <c r="I33" s="274">
        <f t="shared" si="2"/>
        <v>1</v>
      </c>
      <c r="J33" s="274">
        <f t="shared" si="2"/>
        <v>1</v>
      </c>
      <c r="K33" s="274">
        <f t="shared" si="2"/>
        <v>1</v>
      </c>
      <c r="L33" s="274">
        <f t="shared" si="2"/>
        <v>1</v>
      </c>
      <c r="M33" s="274">
        <f t="shared" si="2"/>
        <v>1</v>
      </c>
      <c r="N33" s="274">
        <f t="shared" si="2"/>
        <v>1</v>
      </c>
      <c r="O33" s="274">
        <f t="shared" si="2"/>
        <v>1</v>
      </c>
      <c r="P33" s="274">
        <f t="shared" si="2"/>
        <v>1</v>
      </c>
      <c r="Q33" s="274">
        <f t="shared" si="2"/>
        <v>1</v>
      </c>
      <c r="R33" s="274">
        <f t="shared" si="2"/>
        <v>1</v>
      </c>
      <c r="S33" s="274">
        <f t="shared" si="2"/>
        <v>1</v>
      </c>
      <c r="T33" s="274">
        <f t="shared" si="2"/>
        <v>1</v>
      </c>
      <c r="U33" s="274">
        <f t="shared" si="2"/>
        <v>1</v>
      </c>
      <c r="V33" s="274">
        <f t="shared" si="2"/>
        <v>1</v>
      </c>
      <c r="W33" s="274">
        <f t="shared" si="2"/>
        <v>1</v>
      </c>
      <c r="X33" s="274">
        <f t="shared" si="2"/>
        <v>1</v>
      </c>
      <c r="Y33" s="274">
        <f t="shared" si="2"/>
        <v>1</v>
      </c>
      <c r="Z33" s="274">
        <f t="shared" si="2"/>
        <v>1</v>
      </c>
      <c r="AA33" s="274">
        <f t="shared" si="2"/>
        <v>1</v>
      </c>
      <c r="AB33" s="274">
        <f t="shared" si="2"/>
        <v>1</v>
      </c>
      <c r="AC33" s="274">
        <f t="shared" si="2"/>
        <v>1</v>
      </c>
      <c r="AD33" s="274">
        <f t="shared" si="2"/>
        <v>1</v>
      </c>
      <c r="AE33" s="274">
        <f t="shared" si="2"/>
        <v>1</v>
      </c>
      <c r="AF33" s="274">
        <f t="shared" si="2"/>
        <v>1</v>
      </c>
      <c r="AG33" s="274">
        <f t="shared" si="2"/>
        <v>1</v>
      </c>
      <c r="AH33" s="274">
        <f t="shared" si="2"/>
        <v>1</v>
      </c>
      <c r="AI33" s="274">
        <f t="shared" ref="AI33:BC33" si="3">IF(AI32&lt;=$H$27-1,1,0)</f>
        <v>1</v>
      </c>
      <c r="AJ33" s="274">
        <f t="shared" si="3"/>
        <v>1</v>
      </c>
      <c r="AK33" s="274">
        <f t="shared" si="3"/>
        <v>1</v>
      </c>
      <c r="AL33" s="274">
        <f t="shared" si="3"/>
        <v>0</v>
      </c>
      <c r="AM33" s="274">
        <f t="shared" si="3"/>
        <v>0</v>
      </c>
      <c r="AN33" s="274">
        <f t="shared" si="3"/>
        <v>0</v>
      </c>
      <c r="AO33" s="274">
        <f t="shared" si="3"/>
        <v>0</v>
      </c>
      <c r="AP33" s="274">
        <f t="shared" si="3"/>
        <v>0</v>
      </c>
      <c r="AQ33" s="274">
        <f t="shared" si="3"/>
        <v>0</v>
      </c>
      <c r="AR33" s="274">
        <f t="shared" si="3"/>
        <v>0</v>
      </c>
      <c r="AS33" s="274">
        <f t="shared" si="3"/>
        <v>0</v>
      </c>
      <c r="AT33" s="274">
        <f t="shared" si="3"/>
        <v>0</v>
      </c>
      <c r="AU33" s="274">
        <f t="shared" si="3"/>
        <v>0</v>
      </c>
      <c r="AV33" s="274">
        <f t="shared" si="3"/>
        <v>0</v>
      </c>
      <c r="AW33" s="274">
        <f t="shared" si="3"/>
        <v>0</v>
      </c>
      <c r="AX33" s="274">
        <f t="shared" si="3"/>
        <v>0</v>
      </c>
      <c r="AY33" s="274">
        <f t="shared" si="3"/>
        <v>0</v>
      </c>
      <c r="AZ33" s="274">
        <f t="shared" si="3"/>
        <v>0</v>
      </c>
      <c r="BA33" s="274">
        <f t="shared" si="3"/>
        <v>0</v>
      </c>
      <c r="BB33" s="274">
        <f t="shared" si="3"/>
        <v>0</v>
      </c>
      <c r="BC33" s="274">
        <f t="shared" si="3"/>
        <v>0</v>
      </c>
    </row>
    <row r="34" spans="1:58" s="192" customFormat="1" ht="18" customHeight="1" x14ac:dyDescent="0.25">
      <c r="B34" s="290"/>
      <c r="C34" s="279">
        <f>AVERAGE(C35:AF35)/312</f>
        <v>79.057269915667192</v>
      </c>
      <c r="D34" s="192">
        <v>1.8092028670075588E+55</v>
      </c>
      <c r="E34" s="276"/>
      <c r="F34" s="276"/>
      <c r="G34" s="277"/>
      <c r="H34" s="275"/>
      <c r="I34" s="278"/>
      <c r="J34" s="278"/>
      <c r="K34" s="278"/>
      <c r="L34" s="275"/>
      <c r="M34" s="275"/>
      <c r="O34" s="269"/>
      <c r="P34" s="269"/>
      <c r="Q34" s="269"/>
      <c r="R34" s="269"/>
      <c r="S34" s="269"/>
    </row>
    <row r="35" spans="1:58" s="192" customFormat="1" ht="34.9" customHeight="1" collapsed="1" x14ac:dyDescent="0.25">
      <c r="B35" s="733" t="s">
        <v>355</v>
      </c>
      <c r="C35" s="279">
        <f>'R&amp;C-Painel de Controle'!D8</f>
        <v>23025.599999999999</v>
      </c>
      <c r="D35" s="279">
        <f>C35*(1+$C$8)</f>
        <v>23133.820319999995</v>
      </c>
      <c r="E35" s="279">
        <f t="shared" ref="E35:AI35" si="4">D35*(1+$C$8)</f>
        <v>23242.549275503992</v>
      </c>
      <c r="F35" s="279">
        <f t="shared" si="4"/>
        <v>23351.789257098859</v>
      </c>
      <c r="G35" s="279">
        <f t="shared" si="4"/>
        <v>23461.542666607224</v>
      </c>
      <c r="H35" s="279">
        <f t="shared" si="4"/>
        <v>23571.811917140276</v>
      </c>
      <c r="I35" s="279">
        <f t="shared" si="4"/>
        <v>23682.599433150834</v>
      </c>
      <c r="J35" s="279">
        <f t="shared" si="4"/>
        <v>23793.907650486643</v>
      </c>
      <c r="K35" s="279">
        <f t="shared" si="4"/>
        <v>23905.739016443928</v>
      </c>
      <c r="L35" s="279">
        <f t="shared" si="4"/>
        <v>24018.095989821213</v>
      </c>
      <c r="M35" s="279">
        <f t="shared" si="4"/>
        <v>24130.981040973373</v>
      </c>
      <c r="N35" s="279">
        <f t="shared" si="4"/>
        <v>24244.396651865947</v>
      </c>
      <c r="O35" s="279">
        <f t="shared" si="4"/>
        <v>24358.345316129715</v>
      </c>
      <c r="P35" s="279">
        <f t="shared" si="4"/>
        <v>24472.829539115522</v>
      </c>
      <c r="Q35" s="279">
        <f t="shared" si="4"/>
        <v>24587.851837949365</v>
      </c>
      <c r="R35" s="279">
        <f t="shared" si="4"/>
        <v>24703.414741587727</v>
      </c>
      <c r="S35" s="279">
        <f t="shared" si="4"/>
        <v>24819.520790873186</v>
      </c>
      <c r="T35" s="279">
        <f t="shared" si="4"/>
        <v>24936.17253859029</v>
      </c>
      <c r="U35" s="279">
        <f t="shared" si="4"/>
        <v>25053.372549521664</v>
      </c>
      <c r="V35" s="279">
        <f t="shared" si="4"/>
        <v>25171.123400504413</v>
      </c>
      <c r="W35" s="279">
        <f t="shared" si="4"/>
        <v>25289.427680486784</v>
      </c>
      <c r="X35" s="279">
        <f t="shared" si="4"/>
        <v>25408.287990585071</v>
      </c>
      <c r="Y35" s="279">
        <f t="shared" si="4"/>
        <v>25527.70694414082</v>
      </c>
      <c r="Z35" s="279">
        <f t="shared" si="4"/>
        <v>25647.68716677828</v>
      </c>
      <c r="AA35" s="279">
        <f t="shared" si="4"/>
        <v>25768.231296462134</v>
      </c>
      <c r="AB35" s="279">
        <f t="shared" si="4"/>
        <v>25889.341983555503</v>
      </c>
      <c r="AC35" s="279">
        <f t="shared" si="4"/>
        <v>26011.021890878212</v>
      </c>
      <c r="AD35" s="279">
        <f t="shared" si="4"/>
        <v>26133.273693765339</v>
      </c>
      <c r="AE35" s="279">
        <f t="shared" si="4"/>
        <v>26256.100080126034</v>
      </c>
      <c r="AF35" s="279">
        <f t="shared" si="4"/>
        <v>26379.503750502623</v>
      </c>
      <c r="AG35" s="279">
        <f t="shared" si="4"/>
        <v>26503.487418129982</v>
      </c>
      <c r="AH35" s="279">
        <f t="shared" si="4"/>
        <v>26628.053808995192</v>
      </c>
      <c r="AI35" s="279">
        <f t="shared" si="4"/>
        <v>26753.205661897468</v>
      </c>
      <c r="AJ35" s="279">
        <f t="shared" ref="AJ35:BC35" si="5">AI35*(1+$C$8)</f>
        <v>26878.945728508384</v>
      </c>
      <c r="AK35" s="279">
        <f t="shared" si="5"/>
        <v>27005.276773432372</v>
      </c>
      <c r="AL35" s="279">
        <f t="shared" si="5"/>
        <v>27132.201574267503</v>
      </c>
      <c r="AM35" s="279">
        <f t="shared" si="5"/>
        <v>27259.722921666558</v>
      </c>
      <c r="AN35" s="279">
        <f t="shared" si="5"/>
        <v>27387.843619398391</v>
      </c>
      <c r="AO35" s="279">
        <f t="shared" si="5"/>
        <v>27516.566484409563</v>
      </c>
      <c r="AP35" s="279">
        <f t="shared" si="5"/>
        <v>27645.894346886285</v>
      </c>
      <c r="AQ35" s="279">
        <f t="shared" si="5"/>
        <v>27775.83005031665</v>
      </c>
      <c r="AR35" s="279">
        <f t="shared" si="5"/>
        <v>27906.376451553137</v>
      </c>
      <c r="AS35" s="279">
        <f t="shared" si="5"/>
        <v>28037.536420875433</v>
      </c>
      <c r="AT35" s="279">
        <f t="shared" si="5"/>
        <v>28169.312842053547</v>
      </c>
      <c r="AU35" s="279">
        <f t="shared" si="5"/>
        <v>28301.708612411196</v>
      </c>
      <c r="AV35" s="279">
        <f t="shared" si="5"/>
        <v>28434.726642889527</v>
      </c>
      <c r="AW35" s="279">
        <f t="shared" si="5"/>
        <v>28568.369858111106</v>
      </c>
      <c r="AX35" s="279">
        <f t="shared" si="5"/>
        <v>28702.641196444227</v>
      </c>
      <c r="AY35" s="279">
        <f t="shared" si="5"/>
        <v>28837.543610067514</v>
      </c>
      <c r="AZ35" s="279">
        <f t="shared" si="5"/>
        <v>28973.080065034828</v>
      </c>
      <c r="BA35" s="279">
        <f t="shared" si="5"/>
        <v>29109.253541340491</v>
      </c>
      <c r="BB35" s="279">
        <f t="shared" si="5"/>
        <v>29246.067032984789</v>
      </c>
      <c r="BC35" s="279">
        <f t="shared" si="5"/>
        <v>29383.523548039815</v>
      </c>
    </row>
    <row r="36" spans="1:58" s="192" customFormat="1" ht="18" hidden="1" customHeight="1" outlineLevel="1" x14ac:dyDescent="0.25">
      <c r="A36" s="277"/>
      <c r="B36" s="228" t="s">
        <v>356</v>
      </c>
      <c r="C36" s="277" t="s">
        <v>357</v>
      </c>
      <c r="D36" s="277" t="s">
        <v>249</v>
      </c>
      <c r="E36" s="277"/>
      <c r="F36" s="277"/>
      <c r="G36" s="277"/>
      <c r="H36" s="277"/>
      <c r="I36" s="277"/>
      <c r="J36" s="277"/>
      <c r="K36" s="277"/>
      <c r="L36" s="277"/>
      <c r="M36" s="277"/>
      <c r="N36" s="277"/>
      <c r="O36" s="277"/>
      <c r="P36" s="277"/>
      <c r="Q36" s="277"/>
      <c r="R36" s="277"/>
      <c r="S36" s="277"/>
      <c r="T36" s="277"/>
      <c r="U36" s="277"/>
      <c r="V36" s="277"/>
      <c r="W36" s="277"/>
      <c r="X36" s="277"/>
      <c r="Y36" s="277"/>
      <c r="Z36" s="277"/>
      <c r="AA36" s="277"/>
      <c r="AB36" s="277"/>
      <c r="AC36" s="277"/>
      <c r="AD36" s="277"/>
      <c r="AE36" s="277"/>
      <c r="AF36" s="277"/>
      <c r="AG36" s="277"/>
      <c r="AH36" s="277"/>
      <c r="AI36" s="277"/>
      <c r="AJ36" s="277"/>
      <c r="AK36" s="277"/>
      <c r="AL36" s="277"/>
      <c r="AM36" s="277"/>
      <c r="AN36" s="277"/>
      <c r="AO36" s="277"/>
      <c r="AP36" s="277"/>
      <c r="AQ36" s="277"/>
      <c r="AR36" s="277"/>
      <c r="AS36" s="277"/>
      <c r="AT36" s="277"/>
      <c r="AU36" s="277"/>
      <c r="AV36" s="277"/>
      <c r="AW36" s="277"/>
      <c r="AX36" s="277"/>
      <c r="AY36" s="277"/>
      <c r="AZ36" s="277"/>
      <c r="BA36" s="277"/>
      <c r="BB36" s="277"/>
      <c r="BC36" s="277"/>
      <c r="BD36" s="277"/>
      <c r="BE36" s="277"/>
      <c r="BF36" s="277"/>
    </row>
    <row r="37" spans="1:58" s="192" customFormat="1" ht="18" hidden="1" customHeight="1" outlineLevel="1" x14ac:dyDescent="0.25">
      <c r="B37" s="732" t="str">
        <f>B65</f>
        <v>Triagem Manual — Seletivos</v>
      </c>
      <c r="C37" s="291" t="str">
        <f>C65</f>
        <v>Não</v>
      </c>
      <c r="D37" s="291">
        <f>'R&amp;C-Painel de Controle'!H52</f>
        <v>0</v>
      </c>
      <c r="E37" s="1274"/>
      <c r="R37" s="274"/>
    </row>
    <row r="38" spans="1:58" s="192" customFormat="1" ht="18" hidden="1" customHeight="1" outlineLevel="1" x14ac:dyDescent="0.25">
      <c r="B38" s="260" t="s">
        <v>620</v>
      </c>
      <c r="C38" s="292">
        <f>IF(SUM(C66)&lt;100%,0,100%)</f>
        <v>0</v>
      </c>
      <c r="D38" s="289">
        <f>IF(SUM($C66:D66)&lt;100%,0,100%)</f>
        <v>0</v>
      </c>
      <c r="E38" s="292">
        <v>0</v>
      </c>
      <c r="F38" s="292">
        <f t="shared" ref="F38:Q38" si="6">IF(SUM($C66:F66)&lt;100%,0,100%)</f>
        <v>1</v>
      </c>
      <c r="G38" s="292">
        <f t="shared" si="6"/>
        <v>1</v>
      </c>
      <c r="H38" s="292">
        <f t="shared" si="6"/>
        <v>1</v>
      </c>
      <c r="I38" s="292">
        <f t="shared" si="6"/>
        <v>1</v>
      </c>
      <c r="J38" s="292">
        <f t="shared" si="6"/>
        <v>1</v>
      </c>
      <c r="K38" s="292">
        <f t="shared" si="6"/>
        <v>1</v>
      </c>
      <c r="L38" s="292">
        <f t="shared" si="6"/>
        <v>1</v>
      </c>
      <c r="M38" s="292">
        <f t="shared" si="6"/>
        <v>1</v>
      </c>
      <c r="N38" s="292">
        <f t="shared" si="6"/>
        <v>1</v>
      </c>
      <c r="O38" s="292">
        <f t="shared" si="6"/>
        <v>1</v>
      </c>
      <c r="P38" s="292">
        <f t="shared" si="6"/>
        <v>1</v>
      </c>
      <c r="Q38" s="292">
        <f t="shared" si="6"/>
        <v>1</v>
      </c>
      <c r="R38" s="292"/>
      <c r="S38" s="292"/>
      <c r="T38" s="292"/>
      <c r="U38" s="292"/>
      <c r="V38" s="292"/>
      <c r="W38" s="292"/>
      <c r="X38" s="292"/>
      <c r="Y38" s="292"/>
      <c r="Z38" s="292"/>
      <c r="AA38" s="292"/>
      <c r="AB38" s="292"/>
      <c r="AC38" s="292"/>
      <c r="AD38" s="292"/>
      <c r="AE38" s="292"/>
      <c r="AF38" s="292"/>
      <c r="AG38" s="292"/>
      <c r="AH38" s="292"/>
      <c r="AI38" s="292"/>
      <c r="AJ38" s="292"/>
      <c r="AK38" s="292"/>
      <c r="AL38" s="292"/>
      <c r="AM38" s="292"/>
      <c r="AN38" s="292"/>
      <c r="AO38" s="292"/>
      <c r="AP38" s="292"/>
      <c r="AQ38" s="292"/>
      <c r="AR38" s="292"/>
      <c r="AS38" s="292"/>
      <c r="AT38" s="292"/>
      <c r="AU38" s="292"/>
      <c r="AV38" s="292"/>
      <c r="AW38" s="292"/>
      <c r="AX38" s="292"/>
      <c r="AY38" s="292"/>
      <c r="AZ38" s="292"/>
      <c r="BA38" s="292"/>
      <c r="BB38" s="292"/>
      <c r="BC38" s="292"/>
    </row>
    <row r="39" spans="1:58" s="192" customFormat="1" ht="18" hidden="1" customHeight="1" outlineLevel="1" x14ac:dyDescent="0.25">
      <c r="B39" s="260" t="s">
        <v>621</v>
      </c>
      <c r="C39" s="293">
        <f>C38*$D$37</f>
        <v>0</v>
      </c>
      <c r="D39" s="295">
        <f t="shared" ref="D39:Q39" si="7">D38*$D$37*(1+$C$8)</f>
        <v>0</v>
      </c>
      <c r="E39" s="299">
        <f t="shared" si="7"/>
        <v>0</v>
      </c>
      <c r="F39" s="299">
        <f t="shared" si="7"/>
        <v>0</v>
      </c>
      <c r="G39" s="299">
        <f t="shared" si="7"/>
        <v>0</v>
      </c>
      <c r="H39" s="299">
        <f t="shared" si="7"/>
        <v>0</v>
      </c>
      <c r="I39" s="299">
        <f t="shared" si="7"/>
        <v>0</v>
      </c>
      <c r="J39" s="299">
        <f t="shared" si="7"/>
        <v>0</v>
      </c>
      <c r="K39" s="299">
        <f t="shared" si="7"/>
        <v>0</v>
      </c>
      <c r="L39" s="299">
        <f t="shared" si="7"/>
        <v>0</v>
      </c>
      <c r="M39" s="299">
        <f t="shared" si="7"/>
        <v>0</v>
      </c>
      <c r="N39" s="299">
        <f t="shared" si="7"/>
        <v>0</v>
      </c>
      <c r="O39" s="299">
        <f t="shared" si="7"/>
        <v>0</v>
      </c>
      <c r="P39" s="299">
        <f t="shared" si="7"/>
        <v>0</v>
      </c>
      <c r="Q39" s="299">
        <f t="shared" si="7"/>
        <v>0</v>
      </c>
      <c r="R39" s="299">
        <f t="shared" ref="R39:BC39" si="8">Q39*(1+$C$8)</f>
        <v>0</v>
      </c>
      <c r="S39" s="299">
        <f t="shared" si="8"/>
        <v>0</v>
      </c>
      <c r="T39" s="299">
        <f t="shared" si="8"/>
        <v>0</v>
      </c>
      <c r="U39" s="299">
        <f t="shared" si="8"/>
        <v>0</v>
      </c>
      <c r="V39" s="299">
        <f t="shared" si="8"/>
        <v>0</v>
      </c>
      <c r="W39" s="299">
        <f t="shared" si="8"/>
        <v>0</v>
      </c>
      <c r="X39" s="299">
        <f t="shared" si="8"/>
        <v>0</v>
      </c>
      <c r="Y39" s="299">
        <f t="shared" si="8"/>
        <v>0</v>
      </c>
      <c r="Z39" s="299">
        <f t="shared" si="8"/>
        <v>0</v>
      </c>
      <c r="AA39" s="299">
        <f t="shared" si="8"/>
        <v>0</v>
      </c>
      <c r="AB39" s="299">
        <f t="shared" si="8"/>
        <v>0</v>
      </c>
      <c r="AC39" s="299">
        <f t="shared" si="8"/>
        <v>0</v>
      </c>
      <c r="AD39" s="299">
        <f t="shared" si="8"/>
        <v>0</v>
      </c>
      <c r="AE39" s="299">
        <f t="shared" si="8"/>
        <v>0</v>
      </c>
      <c r="AF39" s="299">
        <f t="shared" si="8"/>
        <v>0</v>
      </c>
      <c r="AG39" s="299">
        <f t="shared" si="8"/>
        <v>0</v>
      </c>
      <c r="AH39" s="299">
        <f t="shared" si="8"/>
        <v>0</v>
      </c>
      <c r="AI39" s="299">
        <f t="shared" si="8"/>
        <v>0</v>
      </c>
      <c r="AJ39" s="299">
        <f t="shared" si="8"/>
        <v>0</v>
      </c>
      <c r="AK39" s="299">
        <f t="shared" si="8"/>
        <v>0</v>
      </c>
      <c r="AL39" s="299">
        <f t="shared" si="8"/>
        <v>0</v>
      </c>
      <c r="AM39" s="299">
        <f t="shared" si="8"/>
        <v>0</v>
      </c>
      <c r="AN39" s="299">
        <f t="shared" si="8"/>
        <v>0</v>
      </c>
      <c r="AO39" s="299">
        <f t="shared" si="8"/>
        <v>0</v>
      </c>
      <c r="AP39" s="299">
        <f t="shared" si="8"/>
        <v>0</v>
      </c>
      <c r="AQ39" s="299">
        <f t="shared" si="8"/>
        <v>0</v>
      </c>
      <c r="AR39" s="299">
        <f t="shared" si="8"/>
        <v>0</v>
      </c>
      <c r="AS39" s="299">
        <f t="shared" si="8"/>
        <v>0</v>
      </c>
      <c r="AT39" s="299">
        <f t="shared" si="8"/>
        <v>0</v>
      </c>
      <c r="AU39" s="299">
        <f t="shared" si="8"/>
        <v>0</v>
      </c>
      <c r="AV39" s="299">
        <f t="shared" si="8"/>
        <v>0</v>
      </c>
      <c r="AW39" s="299">
        <f t="shared" si="8"/>
        <v>0</v>
      </c>
      <c r="AX39" s="299">
        <f t="shared" si="8"/>
        <v>0</v>
      </c>
      <c r="AY39" s="299">
        <f t="shared" si="8"/>
        <v>0</v>
      </c>
      <c r="AZ39" s="299">
        <f t="shared" si="8"/>
        <v>0</v>
      </c>
      <c r="BA39" s="299">
        <f t="shared" si="8"/>
        <v>0</v>
      </c>
      <c r="BB39" s="299">
        <f t="shared" si="8"/>
        <v>0</v>
      </c>
      <c r="BC39" s="299">
        <f t="shared" si="8"/>
        <v>0</v>
      </c>
      <c r="BD39" s="280"/>
      <c r="BE39" s="280"/>
      <c r="BF39" s="280"/>
    </row>
    <row r="40" spans="1:58" s="192" customFormat="1" ht="18" hidden="1" customHeight="1" outlineLevel="1" x14ac:dyDescent="0.25">
      <c r="B40" s="732" t="str">
        <f>B68</f>
        <v>Triagem Mecanizada</v>
      </c>
      <c r="C40" s="291" t="str">
        <f>C68</f>
        <v>Sim</v>
      </c>
      <c r="D40" s="291">
        <f>'R&amp;C-Painel de Controle'!H55</f>
        <v>2887.4249999999993</v>
      </c>
      <c r="E40" s="301"/>
      <c r="F40" s="301"/>
      <c r="G40" s="301"/>
      <c r="H40" s="301"/>
      <c r="I40" s="301"/>
      <c r="J40" s="301"/>
      <c r="K40" s="301"/>
      <c r="L40" s="301"/>
      <c r="M40" s="301"/>
      <c r="N40" s="301"/>
      <c r="O40" s="301"/>
      <c r="P40" s="301"/>
      <c r="Q40" s="301"/>
      <c r="R40" s="301"/>
      <c r="S40" s="301"/>
      <c r="T40" s="301"/>
      <c r="U40" s="301"/>
      <c r="V40" s="301"/>
      <c r="W40" s="301"/>
      <c r="X40" s="301"/>
      <c r="Y40" s="301"/>
      <c r="Z40" s="301"/>
      <c r="AA40" s="301"/>
      <c r="AB40" s="301"/>
      <c r="AC40" s="301"/>
      <c r="AD40" s="301"/>
      <c r="AE40" s="301"/>
      <c r="AF40" s="301"/>
      <c r="AG40" s="301"/>
      <c r="AH40" s="301"/>
      <c r="AI40" s="301"/>
      <c r="AJ40" s="301"/>
      <c r="AK40" s="301"/>
      <c r="AL40" s="301"/>
      <c r="AM40" s="301"/>
      <c r="AN40" s="301"/>
      <c r="AO40" s="301"/>
      <c r="AP40" s="301"/>
      <c r="AQ40" s="301"/>
      <c r="AR40" s="301"/>
      <c r="AS40" s="301"/>
      <c r="AT40" s="301"/>
      <c r="AU40" s="301"/>
      <c r="AV40" s="301"/>
      <c r="AW40" s="301"/>
      <c r="AX40" s="301"/>
      <c r="AY40" s="301"/>
      <c r="AZ40" s="301"/>
      <c r="BA40" s="301"/>
      <c r="BB40" s="301"/>
      <c r="BC40" s="301"/>
      <c r="BD40" s="274"/>
      <c r="BE40" s="274"/>
      <c r="BF40" s="274"/>
    </row>
    <row r="41" spans="1:58" s="192" customFormat="1" ht="18" hidden="1" customHeight="1" outlineLevel="1" x14ac:dyDescent="0.25">
      <c r="B41" s="260" t="s">
        <v>620</v>
      </c>
      <c r="C41" s="292">
        <f>IF(SUM(C69)&lt;100%,0,100%)</f>
        <v>0</v>
      </c>
      <c r="D41" s="289">
        <f>IF(SUM($C69:D69)&lt;100%,0,100%)</f>
        <v>0</v>
      </c>
      <c r="E41" s="292">
        <v>0</v>
      </c>
      <c r="F41" s="292">
        <f t="shared" ref="F41:Q41" si="9">IF(SUM($C69:F69)&lt;100%,0,100%)</f>
        <v>1</v>
      </c>
      <c r="G41" s="292">
        <f t="shared" si="9"/>
        <v>1</v>
      </c>
      <c r="H41" s="292">
        <f t="shared" si="9"/>
        <v>1</v>
      </c>
      <c r="I41" s="292">
        <f t="shared" si="9"/>
        <v>1</v>
      </c>
      <c r="J41" s="292">
        <f t="shared" si="9"/>
        <v>1</v>
      </c>
      <c r="K41" s="292">
        <f t="shared" si="9"/>
        <v>1</v>
      </c>
      <c r="L41" s="292">
        <f t="shared" si="9"/>
        <v>1</v>
      </c>
      <c r="M41" s="292">
        <f t="shared" si="9"/>
        <v>1</v>
      </c>
      <c r="N41" s="292">
        <f t="shared" si="9"/>
        <v>1</v>
      </c>
      <c r="O41" s="292">
        <f t="shared" si="9"/>
        <v>1</v>
      </c>
      <c r="P41" s="292">
        <f t="shared" si="9"/>
        <v>1</v>
      </c>
      <c r="Q41" s="292">
        <f t="shared" si="9"/>
        <v>1</v>
      </c>
      <c r="R41" s="292"/>
      <c r="S41" s="292"/>
      <c r="T41" s="292"/>
      <c r="U41" s="292"/>
      <c r="V41" s="292"/>
      <c r="W41" s="292"/>
      <c r="X41" s="292"/>
      <c r="Y41" s="292"/>
      <c r="Z41" s="292"/>
      <c r="AA41" s="292"/>
      <c r="AB41" s="292"/>
      <c r="AC41" s="292"/>
      <c r="AD41" s="292"/>
      <c r="AE41" s="292"/>
      <c r="AF41" s="292"/>
      <c r="AG41" s="292"/>
      <c r="AH41" s="292"/>
      <c r="AI41" s="292"/>
      <c r="AJ41" s="292"/>
      <c r="AK41" s="292"/>
      <c r="AL41" s="292"/>
      <c r="AM41" s="292"/>
      <c r="AN41" s="292"/>
      <c r="AO41" s="292"/>
      <c r="AP41" s="292"/>
      <c r="AQ41" s="292"/>
      <c r="AR41" s="292"/>
      <c r="AS41" s="292"/>
      <c r="AT41" s="292"/>
      <c r="AU41" s="292"/>
      <c r="AV41" s="292"/>
      <c r="AW41" s="292"/>
      <c r="AX41" s="292"/>
      <c r="AY41" s="292"/>
      <c r="AZ41" s="292"/>
      <c r="BA41" s="292"/>
      <c r="BB41" s="292"/>
      <c r="BC41" s="292"/>
      <c r="BD41" s="274"/>
      <c r="BE41" s="274"/>
      <c r="BF41" s="274"/>
    </row>
    <row r="42" spans="1:58" s="192" customFormat="1" ht="18" hidden="1" customHeight="1" outlineLevel="1" x14ac:dyDescent="0.25">
      <c r="B42" s="260" t="s">
        <v>621</v>
      </c>
      <c r="C42" s="293">
        <f>C41*$D$40</f>
        <v>0</v>
      </c>
      <c r="D42" s="295">
        <f t="shared" ref="D42:Q42" si="10">D41*$D$40*(1+$C$8)</f>
        <v>0</v>
      </c>
      <c r="E42" s="299">
        <f t="shared" si="10"/>
        <v>0</v>
      </c>
      <c r="F42" s="299">
        <f t="shared" si="10"/>
        <v>2900.995897499999</v>
      </c>
      <c r="G42" s="299">
        <f t="shared" si="10"/>
        <v>2900.995897499999</v>
      </c>
      <c r="H42" s="299">
        <f t="shared" si="10"/>
        <v>2900.995897499999</v>
      </c>
      <c r="I42" s="299">
        <f t="shared" si="10"/>
        <v>2900.995897499999</v>
      </c>
      <c r="J42" s="299">
        <f t="shared" si="10"/>
        <v>2900.995897499999</v>
      </c>
      <c r="K42" s="299">
        <f t="shared" si="10"/>
        <v>2900.995897499999</v>
      </c>
      <c r="L42" s="299">
        <f t="shared" si="10"/>
        <v>2900.995897499999</v>
      </c>
      <c r="M42" s="299">
        <f t="shared" si="10"/>
        <v>2900.995897499999</v>
      </c>
      <c r="N42" s="299">
        <f t="shared" si="10"/>
        <v>2900.995897499999</v>
      </c>
      <c r="O42" s="299">
        <f t="shared" si="10"/>
        <v>2900.995897499999</v>
      </c>
      <c r="P42" s="299">
        <f t="shared" si="10"/>
        <v>2900.995897499999</v>
      </c>
      <c r="Q42" s="299">
        <f t="shared" si="10"/>
        <v>2900.995897499999</v>
      </c>
      <c r="R42" s="299">
        <f t="shared" ref="R42:BC42" si="11">Q42*(1+$C$8)</f>
        <v>2914.630578218249</v>
      </c>
      <c r="S42" s="299">
        <f t="shared" si="11"/>
        <v>2928.3293419358747</v>
      </c>
      <c r="T42" s="299">
        <f t="shared" si="11"/>
        <v>2942.092489842973</v>
      </c>
      <c r="U42" s="299">
        <f t="shared" si="11"/>
        <v>2955.920324545235</v>
      </c>
      <c r="V42" s="299">
        <f t="shared" si="11"/>
        <v>2969.8131500705972</v>
      </c>
      <c r="W42" s="299">
        <f t="shared" si="11"/>
        <v>2983.771271875929</v>
      </c>
      <c r="X42" s="299">
        <f t="shared" si="11"/>
        <v>2997.7949968537455</v>
      </c>
      <c r="Y42" s="299">
        <f t="shared" si="11"/>
        <v>3011.8846333389579</v>
      </c>
      <c r="Z42" s="299">
        <f t="shared" si="11"/>
        <v>3026.0404911156506</v>
      </c>
      <c r="AA42" s="299">
        <f t="shared" si="11"/>
        <v>3040.2628814238938</v>
      </c>
      <c r="AB42" s="299">
        <f t="shared" si="11"/>
        <v>3054.5521169665858</v>
      </c>
      <c r="AC42" s="299">
        <f t="shared" si="11"/>
        <v>3068.9085119163287</v>
      </c>
      <c r="AD42" s="299">
        <f t="shared" si="11"/>
        <v>3083.3323819223351</v>
      </c>
      <c r="AE42" s="299">
        <f t="shared" si="11"/>
        <v>3097.8240441173698</v>
      </c>
      <c r="AF42" s="299">
        <f t="shared" si="11"/>
        <v>3112.3838171247212</v>
      </c>
      <c r="AG42" s="299">
        <f t="shared" si="11"/>
        <v>3127.0120210652071</v>
      </c>
      <c r="AH42" s="299">
        <f t="shared" si="11"/>
        <v>3141.7089775642135</v>
      </c>
      <c r="AI42" s="299">
        <f t="shared" si="11"/>
        <v>3156.4750097587648</v>
      </c>
      <c r="AJ42" s="299">
        <f t="shared" si="11"/>
        <v>3171.3104423046307</v>
      </c>
      <c r="AK42" s="299">
        <f t="shared" si="11"/>
        <v>3186.2156013834624</v>
      </c>
      <c r="AL42" s="299">
        <f t="shared" si="11"/>
        <v>3201.1908147099643</v>
      </c>
      <c r="AM42" s="299">
        <f t="shared" si="11"/>
        <v>3216.236411539101</v>
      </c>
      <c r="AN42" s="299">
        <f t="shared" si="11"/>
        <v>3231.3527226733345</v>
      </c>
      <c r="AO42" s="299">
        <f t="shared" si="11"/>
        <v>3246.5400804698988</v>
      </c>
      <c r="AP42" s="299">
        <f t="shared" si="11"/>
        <v>3261.7988188481072</v>
      </c>
      <c r="AQ42" s="299">
        <f t="shared" si="11"/>
        <v>3277.1292732966931</v>
      </c>
      <c r="AR42" s="299">
        <f t="shared" si="11"/>
        <v>3292.5317808811874</v>
      </c>
      <c r="AS42" s="299">
        <f t="shared" si="11"/>
        <v>3308.0066802513288</v>
      </c>
      <c r="AT42" s="299">
        <f t="shared" si="11"/>
        <v>3323.5543116485096</v>
      </c>
      <c r="AU42" s="299">
        <f t="shared" si="11"/>
        <v>3339.1750169132574</v>
      </c>
      <c r="AV42" s="299">
        <f t="shared" si="11"/>
        <v>3354.8691394927496</v>
      </c>
      <c r="AW42" s="299">
        <f t="shared" si="11"/>
        <v>3370.6370244483651</v>
      </c>
      <c r="AX42" s="299">
        <f t="shared" si="11"/>
        <v>3386.479018463272</v>
      </c>
      <c r="AY42" s="299">
        <f t="shared" si="11"/>
        <v>3402.3954698500493</v>
      </c>
      <c r="AZ42" s="299">
        <f t="shared" si="11"/>
        <v>3418.3867285583442</v>
      </c>
      <c r="BA42" s="299">
        <f t="shared" si="11"/>
        <v>3434.4531461825682</v>
      </c>
      <c r="BB42" s="299">
        <f t="shared" si="11"/>
        <v>3450.5950759696261</v>
      </c>
      <c r="BC42" s="299">
        <f t="shared" si="11"/>
        <v>3466.8128728266829</v>
      </c>
      <c r="BD42" s="280"/>
      <c r="BE42" s="280"/>
      <c r="BF42" s="280"/>
    </row>
    <row r="43" spans="1:58" s="192" customFormat="1" ht="18" hidden="1" customHeight="1" outlineLevel="1" x14ac:dyDescent="0.25">
      <c r="B43" s="732" t="str">
        <f>B71</f>
        <v>Produção de CDR TM — Trat. Mec.</v>
      </c>
      <c r="C43" s="291" t="str">
        <f>C71</f>
        <v>Não</v>
      </c>
      <c r="D43" s="291">
        <f>'R&amp;C-Painel de Controle'!H58</f>
        <v>0</v>
      </c>
      <c r="E43" s="301"/>
      <c r="F43" s="301"/>
      <c r="G43" s="301"/>
      <c r="H43" s="301"/>
      <c r="I43" s="301"/>
      <c r="J43" s="301"/>
      <c r="K43" s="301"/>
      <c r="L43" s="301"/>
      <c r="M43" s="301"/>
      <c r="N43" s="301"/>
      <c r="O43" s="301"/>
      <c r="P43" s="301"/>
      <c r="Q43" s="301"/>
      <c r="R43" s="301"/>
      <c r="S43" s="301"/>
      <c r="T43" s="301"/>
      <c r="U43" s="301"/>
      <c r="V43" s="301"/>
      <c r="W43" s="301"/>
      <c r="X43" s="301"/>
      <c r="Y43" s="301"/>
      <c r="Z43" s="301"/>
      <c r="AA43" s="301"/>
      <c r="AB43" s="301"/>
      <c r="AC43" s="301"/>
      <c r="AD43" s="301"/>
      <c r="AE43" s="301"/>
      <c r="AF43" s="301"/>
      <c r="AG43" s="301"/>
      <c r="AH43" s="301"/>
      <c r="AI43" s="301"/>
      <c r="AJ43" s="301"/>
      <c r="AK43" s="301"/>
      <c r="AL43" s="301"/>
      <c r="AM43" s="301"/>
      <c r="AN43" s="301"/>
      <c r="AO43" s="301"/>
      <c r="AP43" s="301"/>
      <c r="AQ43" s="301"/>
      <c r="AR43" s="301"/>
      <c r="AS43" s="301"/>
      <c r="AT43" s="301"/>
      <c r="AU43" s="301"/>
      <c r="AV43" s="301"/>
      <c r="AW43" s="301"/>
      <c r="AX43" s="301"/>
      <c r="AY43" s="301"/>
      <c r="AZ43" s="301"/>
      <c r="BA43" s="301"/>
      <c r="BB43" s="301"/>
      <c r="BC43" s="301"/>
      <c r="BD43" s="274"/>
      <c r="BE43" s="274"/>
      <c r="BF43" s="274"/>
    </row>
    <row r="44" spans="1:58" s="192" customFormat="1" ht="18" hidden="1" customHeight="1" outlineLevel="1" x14ac:dyDescent="0.25">
      <c r="B44" s="260" t="s">
        <v>620</v>
      </c>
      <c r="C44" s="292">
        <f>IF(SUM($C72:C72)&lt;100%,0,100%)</f>
        <v>0</v>
      </c>
      <c r="D44" s="289">
        <f>IF(SUM($C72:D72)&lt;100%,0,100%)</f>
        <v>0</v>
      </c>
      <c r="E44" s="292">
        <v>0</v>
      </c>
      <c r="F44" s="292">
        <f>IF(SUM($C72:F72)&lt;100%,0,100%)</f>
        <v>1</v>
      </c>
      <c r="G44" s="292">
        <f>IF(SUM($C72:G72)&lt;100%,0,100%)</f>
        <v>1</v>
      </c>
      <c r="H44" s="292">
        <f>IF(SUM($C72:H72)&lt;100%,0,100%)</f>
        <v>1</v>
      </c>
      <c r="I44" s="292">
        <f>IF(SUM($C72:H72)&lt;100%,0,100%)</f>
        <v>1</v>
      </c>
      <c r="J44" s="292">
        <f>IF(SUM($C72:H72)&lt;100%,0,100%)</f>
        <v>1</v>
      </c>
      <c r="K44" s="292">
        <f>IF(SUM($C72:H72)&lt;100%,0,100%)</f>
        <v>1</v>
      </c>
      <c r="L44" s="292">
        <f t="shared" ref="L44:Q44" si="12">IF(SUM($C72:L72)&lt;100%,0,100%)</f>
        <v>1</v>
      </c>
      <c r="M44" s="292">
        <f t="shared" si="12"/>
        <v>1</v>
      </c>
      <c r="N44" s="292">
        <f t="shared" si="12"/>
        <v>1</v>
      </c>
      <c r="O44" s="292">
        <f t="shared" si="12"/>
        <v>1</v>
      </c>
      <c r="P44" s="292">
        <f t="shared" si="12"/>
        <v>1</v>
      </c>
      <c r="Q44" s="292">
        <f t="shared" si="12"/>
        <v>1</v>
      </c>
      <c r="R44" s="292"/>
      <c r="S44" s="292"/>
      <c r="T44" s="292"/>
      <c r="U44" s="292"/>
      <c r="V44" s="292"/>
      <c r="W44" s="292"/>
      <c r="X44" s="292"/>
      <c r="Y44" s="292"/>
      <c r="Z44" s="292"/>
      <c r="AA44" s="292"/>
      <c r="AB44" s="292"/>
      <c r="AC44" s="292"/>
      <c r="AD44" s="292"/>
      <c r="AE44" s="292"/>
      <c r="AF44" s="292"/>
      <c r="AG44" s="292"/>
      <c r="AH44" s="292"/>
      <c r="AI44" s="292"/>
      <c r="AJ44" s="292"/>
      <c r="AK44" s="292"/>
      <c r="AL44" s="292"/>
      <c r="AM44" s="292"/>
      <c r="AN44" s="292"/>
      <c r="AO44" s="292"/>
      <c r="AP44" s="292"/>
      <c r="AQ44" s="292"/>
      <c r="AR44" s="292"/>
      <c r="AS44" s="292"/>
      <c r="AT44" s="292"/>
      <c r="AU44" s="292"/>
      <c r="AV44" s="292"/>
      <c r="AW44" s="292"/>
      <c r="AX44" s="292"/>
      <c r="AY44" s="292"/>
      <c r="AZ44" s="292"/>
      <c r="BA44" s="292"/>
      <c r="BB44" s="292"/>
      <c r="BC44" s="292"/>
      <c r="BD44" s="274"/>
      <c r="BE44" s="274"/>
      <c r="BF44" s="274"/>
    </row>
    <row r="45" spans="1:58" s="192" customFormat="1" ht="18" hidden="1" customHeight="1" outlineLevel="1" x14ac:dyDescent="0.25">
      <c r="B45" s="260" t="s">
        <v>621</v>
      </c>
      <c r="C45" s="293">
        <f>C44*$D$43</f>
        <v>0</v>
      </c>
      <c r="D45" s="295">
        <f t="shared" ref="D45:Q45" si="13">D44*$D$43*(1+$C$8)</f>
        <v>0</v>
      </c>
      <c r="E45" s="299">
        <f t="shared" si="13"/>
        <v>0</v>
      </c>
      <c r="F45" s="299">
        <f t="shared" si="13"/>
        <v>0</v>
      </c>
      <c r="G45" s="299">
        <f t="shared" si="13"/>
        <v>0</v>
      </c>
      <c r="H45" s="299">
        <f t="shared" si="13"/>
        <v>0</v>
      </c>
      <c r="I45" s="299">
        <f t="shared" si="13"/>
        <v>0</v>
      </c>
      <c r="J45" s="299">
        <f t="shared" si="13"/>
        <v>0</v>
      </c>
      <c r="K45" s="299">
        <f t="shared" si="13"/>
        <v>0</v>
      </c>
      <c r="L45" s="299">
        <f t="shared" si="13"/>
        <v>0</v>
      </c>
      <c r="M45" s="299">
        <f t="shared" si="13"/>
        <v>0</v>
      </c>
      <c r="N45" s="299">
        <f t="shared" si="13"/>
        <v>0</v>
      </c>
      <c r="O45" s="299">
        <f t="shared" si="13"/>
        <v>0</v>
      </c>
      <c r="P45" s="299">
        <f t="shared" si="13"/>
        <v>0</v>
      </c>
      <c r="Q45" s="299">
        <f t="shared" si="13"/>
        <v>0</v>
      </c>
      <c r="R45" s="299">
        <f t="shared" ref="R45:BC45" si="14">Q45*(1+$C$8)</f>
        <v>0</v>
      </c>
      <c r="S45" s="299">
        <f t="shared" si="14"/>
        <v>0</v>
      </c>
      <c r="T45" s="299">
        <f t="shared" si="14"/>
        <v>0</v>
      </c>
      <c r="U45" s="299">
        <f t="shared" si="14"/>
        <v>0</v>
      </c>
      <c r="V45" s="299">
        <f t="shared" si="14"/>
        <v>0</v>
      </c>
      <c r="W45" s="299">
        <f t="shared" si="14"/>
        <v>0</v>
      </c>
      <c r="X45" s="299">
        <f t="shared" si="14"/>
        <v>0</v>
      </c>
      <c r="Y45" s="299">
        <f t="shared" si="14"/>
        <v>0</v>
      </c>
      <c r="Z45" s="299">
        <f t="shared" si="14"/>
        <v>0</v>
      </c>
      <c r="AA45" s="299">
        <f t="shared" si="14"/>
        <v>0</v>
      </c>
      <c r="AB45" s="299">
        <f t="shared" si="14"/>
        <v>0</v>
      </c>
      <c r="AC45" s="299">
        <f t="shared" si="14"/>
        <v>0</v>
      </c>
      <c r="AD45" s="299">
        <f t="shared" si="14"/>
        <v>0</v>
      </c>
      <c r="AE45" s="299">
        <f t="shared" si="14"/>
        <v>0</v>
      </c>
      <c r="AF45" s="299">
        <f t="shared" si="14"/>
        <v>0</v>
      </c>
      <c r="AG45" s="299">
        <f t="shared" si="14"/>
        <v>0</v>
      </c>
      <c r="AH45" s="299">
        <f t="shared" si="14"/>
        <v>0</v>
      </c>
      <c r="AI45" s="299">
        <f t="shared" si="14"/>
        <v>0</v>
      </c>
      <c r="AJ45" s="299">
        <f t="shared" si="14"/>
        <v>0</v>
      </c>
      <c r="AK45" s="299">
        <f t="shared" si="14"/>
        <v>0</v>
      </c>
      <c r="AL45" s="299">
        <f t="shared" si="14"/>
        <v>0</v>
      </c>
      <c r="AM45" s="299">
        <f t="shared" si="14"/>
        <v>0</v>
      </c>
      <c r="AN45" s="299">
        <f t="shared" si="14"/>
        <v>0</v>
      </c>
      <c r="AO45" s="299">
        <f t="shared" si="14"/>
        <v>0</v>
      </c>
      <c r="AP45" s="299">
        <f t="shared" si="14"/>
        <v>0</v>
      </c>
      <c r="AQ45" s="299">
        <f t="shared" si="14"/>
        <v>0</v>
      </c>
      <c r="AR45" s="299">
        <f t="shared" si="14"/>
        <v>0</v>
      </c>
      <c r="AS45" s="299">
        <f t="shared" si="14"/>
        <v>0</v>
      </c>
      <c r="AT45" s="299">
        <f t="shared" si="14"/>
        <v>0</v>
      </c>
      <c r="AU45" s="299">
        <f t="shared" si="14"/>
        <v>0</v>
      </c>
      <c r="AV45" s="299">
        <f t="shared" si="14"/>
        <v>0</v>
      </c>
      <c r="AW45" s="299">
        <f t="shared" si="14"/>
        <v>0</v>
      </c>
      <c r="AX45" s="299">
        <f t="shared" si="14"/>
        <v>0</v>
      </c>
      <c r="AY45" s="299">
        <f t="shared" si="14"/>
        <v>0</v>
      </c>
      <c r="AZ45" s="299">
        <f t="shared" si="14"/>
        <v>0</v>
      </c>
      <c r="BA45" s="299">
        <f t="shared" si="14"/>
        <v>0</v>
      </c>
      <c r="BB45" s="299">
        <f t="shared" si="14"/>
        <v>0</v>
      </c>
      <c r="BC45" s="299">
        <f t="shared" si="14"/>
        <v>0</v>
      </c>
      <c r="BD45" s="280"/>
      <c r="BE45" s="280"/>
      <c r="BF45" s="280"/>
    </row>
    <row r="46" spans="1:58" s="192" customFormat="1" ht="18" hidden="1" customHeight="1" outlineLevel="1" x14ac:dyDescent="0.25">
      <c r="B46" s="732" t="str">
        <f>B74</f>
        <v>Prod. CDR TMB — Trat. Mec./Biológ.</v>
      </c>
      <c r="C46" s="291" t="str">
        <f>C74</f>
        <v>Não</v>
      </c>
      <c r="D46" s="291">
        <f>'R&amp;C-Painel de Controle'!H61</f>
        <v>0</v>
      </c>
      <c r="E46" s="301"/>
      <c r="F46" s="301"/>
      <c r="G46" s="301"/>
      <c r="H46" s="301"/>
      <c r="I46" s="301"/>
      <c r="J46" s="301"/>
      <c r="K46" s="301"/>
      <c r="L46" s="301"/>
      <c r="M46" s="301"/>
      <c r="N46" s="301"/>
      <c r="O46" s="301"/>
      <c r="P46" s="301"/>
      <c r="Q46" s="301"/>
      <c r="R46" s="301"/>
      <c r="S46" s="301"/>
      <c r="T46" s="301"/>
      <c r="U46" s="301"/>
      <c r="V46" s="301"/>
      <c r="W46" s="301"/>
      <c r="X46" s="301"/>
      <c r="Y46" s="301"/>
      <c r="Z46" s="301"/>
      <c r="AA46" s="301"/>
      <c r="AB46" s="301"/>
      <c r="AC46" s="301"/>
      <c r="AD46" s="301"/>
      <c r="AE46" s="301"/>
      <c r="AF46" s="301"/>
      <c r="AG46" s="301"/>
      <c r="AH46" s="301"/>
      <c r="AI46" s="301"/>
      <c r="AJ46" s="301"/>
      <c r="AK46" s="301"/>
      <c r="AL46" s="301"/>
      <c r="AM46" s="301"/>
      <c r="AN46" s="301"/>
      <c r="AO46" s="301"/>
      <c r="AP46" s="301"/>
      <c r="AQ46" s="301"/>
      <c r="AR46" s="301"/>
      <c r="AS46" s="301"/>
      <c r="AT46" s="301"/>
      <c r="AU46" s="301"/>
      <c r="AV46" s="301"/>
      <c r="AW46" s="301"/>
      <c r="AX46" s="301"/>
      <c r="AY46" s="301"/>
      <c r="AZ46" s="301"/>
      <c r="BA46" s="301"/>
      <c r="BB46" s="301"/>
      <c r="BC46" s="301"/>
      <c r="BD46" s="274"/>
      <c r="BE46" s="274"/>
      <c r="BF46" s="274"/>
    </row>
    <row r="47" spans="1:58" s="192" customFormat="1" ht="18" hidden="1" customHeight="1" outlineLevel="1" x14ac:dyDescent="0.25">
      <c r="B47" s="260" t="s">
        <v>620</v>
      </c>
      <c r="C47" s="292">
        <f>IF(SUM(C75)&lt;100%,0,100%)</f>
        <v>0</v>
      </c>
      <c r="D47" s="289">
        <f>IF(SUM($C75:D75)&lt;100%,0,100%)</f>
        <v>0</v>
      </c>
      <c r="E47" s="292">
        <v>0</v>
      </c>
      <c r="F47" s="292">
        <f t="shared" ref="F47:Q47" si="15">IF(SUM($C75:F75)&lt;100%,0,100%)</f>
        <v>1</v>
      </c>
      <c r="G47" s="292">
        <f t="shared" si="15"/>
        <v>1</v>
      </c>
      <c r="H47" s="292">
        <f t="shared" si="15"/>
        <v>1</v>
      </c>
      <c r="I47" s="292">
        <f t="shared" si="15"/>
        <v>1</v>
      </c>
      <c r="J47" s="292">
        <f t="shared" si="15"/>
        <v>1</v>
      </c>
      <c r="K47" s="292">
        <f t="shared" si="15"/>
        <v>1</v>
      </c>
      <c r="L47" s="292">
        <f t="shared" si="15"/>
        <v>1</v>
      </c>
      <c r="M47" s="292">
        <f t="shared" si="15"/>
        <v>1</v>
      </c>
      <c r="N47" s="292">
        <f t="shared" si="15"/>
        <v>1</v>
      </c>
      <c r="O47" s="292">
        <f t="shared" si="15"/>
        <v>1</v>
      </c>
      <c r="P47" s="292">
        <f t="shared" si="15"/>
        <v>1</v>
      </c>
      <c r="Q47" s="292">
        <f t="shared" si="15"/>
        <v>1</v>
      </c>
      <c r="R47" s="292"/>
      <c r="S47" s="292"/>
      <c r="T47" s="292"/>
      <c r="U47" s="292"/>
      <c r="V47" s="292"/>
      <c r="W47" s="292"/>
      <c r="X47" s="292"/>
      <c r="Y47" s="292"/>
      <c r="Z47" s="292"/>
      <c r="AA47" s="292"/>
      <c r="AB47" s="292"/>
      <c r="AC47" s="292"/>
      <c r="AD47" s="292"/>
      <c r="AE47" s="292"/>
      <c r="AF47" s="292"/>
      <c r="AG47" s="292"/>
      <c r="AH47" s="292"/>
      <c r="AI47" s="292"/>
      <c r="AJ47" s="292"/>
      <c r="AK47" s="292"/>
      <c r="AL47" s="292"/>
      <c r="AM47" s="292"/>
      <c r="AN47" s="292"/>
      <c r="AO47" s="292"/>
      <c r="AP47" s="292"/>
      <c r="AQ47" s="292"/>
      <c r="AR47" s="292"/>
      <c r="AS47" s="292"/>
      <c r="AT47" s="292"/>
      <c r="AU47" s="292"/>
      <c r="AV47" s="292"/>
      <c r="AW47" s="292"/>
      <c r="AX47" s="292"/>
      <c r="AY47" s="292"/>
      <c r="AZ47" s="292"/>
      <c r="BA47" s="292"/>
      <c r="BB47" s="292"/>
      <c r="BC47" s="292"/>
      <c r="BD47" s="274"/>
      <c r="BE47" s="274"/>
      <c r="BF47" s="274"/>
    </row>
    <row r="48" spans="1:58" s="192" customFormat="1" ht="18" hidden="1" customHeight="1" outlineLevel="1" x14ac:dyDescent="0.25">
      <c r="B48" s="260" t="s">
        <v>621</v>
      </c>
      <c r="C48" s="293">
        <f>C47*$D$46</f>
        <v>0</v>
      </c>
      <c r="D48" s="295">
        <f t="shared" ref="D48:Q48" si="16">D47*$D$46*(1+$C$8)</f>
        <v>0</v>
      </c>
      <c r="E48" s="299">
        <f t="shared" si="16"/>
        <v>0</v>
      </c>
      <c r="F48" s="299">
        <f t="shared" si="16"/>
        <v>0</v>
      </c>
      <c r="G48" s="299">
        <f t="shared" si="16"/>
        <v>0</v>
      </c>
      <c r="H48" s="299">
        <f t="shared" si="16"/>
        <v>0</v>
      </c>
      <c r="I48" s="299">
        <f t="shared" si="16"/>
        <v>0</v>
      </c>
      <c r="J48" s="299">
        <f t="shared" si="16"/>
        <v>0</v>
      </c>
      <c r="K48" s="299">
        <f t="shared" si="16"/>
        <v>0</v>
      </c>
      <c r="L48" s="299">
        <f t="shared" si="16"/>
        <v>0</v>
      </c>
      <c r="M48" s="299">
        <f t="shared" si="16"/>
        <v>0</v>
      </c>
      <c r="N48" s="299">
        <f t="shared" si="16"/>
        <v>0</v>
      </c>
      <c r="O48" s="299">
        <f t="shared" si="16"/>
        <v>0</v>
      </c>
      <c r="P48" s="299">
        <f t="shared" si="16"/>
        <v>0</v>
      </c>
      <c r="Q48" s="299">
        <f t="shared" si="16"/>
        <v>0</v>
      </c>
      <c r="R48" s="299">
        <f t="shared" ref="R48:BC48" si="17">Q48*(1+$C$8)</f>
        <v>0</v>
      </c>
      <c r="S48" s="299">
        <f t="shared" si="17"/>
        <v>0</v>
      </c>
      <c r="T48" s="299">
        <f t="shared" si="17"/>
        <v>0</v>
      </c>
      <c r="U48" s="299">
        <f t="shared" si="17"/>
        <v>0</v>
      </c>
      <c r="V48" s="299">
        <f t="shared" si="17"/>
        <v>0</v>
      </c>
      <c r="W48" s="299">
        <f t="shared" si="17"/>
        <v>0</v>
      </c>
      <c r="X48" s="299">
        <f t="shared" si="17"/>
        <v>0</v>
      </c>
      <c r="Y48" s="299">
        <f t="shared" si="17"/>
        <v>0</v>
      </c>
      <c r="Z48" s="299">
        <f t="shared" si="17"/>
        <v>0</v>
      </c>
      <c r="AA48" s="299">
        <f t="shared" si="17"/>
        <v>0</v>
      </c>
      <c r="AB48" s="299">
        <f t="shared" si="17"/>
        <v>0</v>
      </c>
      <c r="AC48" s="299">
        <f t="shared" si="17"/>
        <v>0</v>
      </c>
      <c r="AD48" s="299">
        <f t="shared" si="17"/>
        <v>0</v>
      </c>
      <c r="AE48" s="299">
        <f t="shared" si="17"/>
        <v>0</v>
      </c>
      <c r="AF48" s="299">
        <f t="shared" si="17"/>
        <v>0</v>
      </c>
      <c r="AG48" s="299">
        <f t="shared" si="17"/>
        <v>0</v>
      </c>
      <c r="AH48" s="299">
        <f t="shared" si="17"/>
        <v>0</v>
      </c>
      <c r="AI48" s="299">
        <f t="shared" si="17"/>
        <v>0</v>
      </c>
      <c r="AJ48" s="299">
        <f t="shared" si="17"/>
        <v>0</v>
      </c>
      <c r="AK48" s="299">
        <f t="shared" si="17"/>
        <v>0</v>
      </c>
      <c r="AL48" s="299">
        <f t="shared" si="17"/>
        <v>0</v>
      </c>
      <c r="AM48" s="299">
        <f t="shared" si="17"/>
        <v>0</v>
      </c>
      <c r="AN48" s="299">
        <f t="shared" si="17"/>
        <v>0</v>
      </c>
      <c r="AO48" s="299">
        <f t="shared" si="17"/>
        <v>0</v>
      </c>
      <c r="AP48" s="299">
        <f t="shared" si="17"/>
        <v>0</v>
      </c>
      <c r="AQ48" s="299">
        <f t="shared" si="17"/>
        <v>0</v>
      </c>
      <c r="AR48" s="299">
        <f t="shared" si="17"/>
        <v>0</v>
      </c>
      <c r="AS48" s="299">
        <f t="shared" si="17"/>
        <v>0</v>
      </c>
      <c r="AT48" s="299">
        <f t="shared" si="17"/>
        <v>0</v>
      </c>
      <c r="AU48" s="299">
        <f t="shared" si="17"/>
        <v>0</v>
      </c>
      <c r="AV48" s="299">
        <f t="shared" si="17"/>
        <v>0</v>
      </c>
      <c r="AW48" s="299">
        <f t="shared" si="17"/>
        <v>0</v>
      </c>
      <c r="AX48" s="299">
        <f t="shared" si="17"/>
        <v>0</v>
      </c>
      <c r="AY48" s="299">
        <f t="shared" si="17"/>
        <v>0</v>
      </c>
      <c r="AZ48" s="299">
        <f t="shared" si="17"/>
        <v>0</v>
      </c>
      <c r="BA48" s="299">
        <f t="shared" si="17"/>
        <v>0</v>
      </c>
      <c r="BB48" s="299">
        <f t="shared" si="17"/>
        <v>0</v>
      </c>
      <c r="BC48" s="299">
        <f t="shared" si="17"/>
        <v>0</v>
      </c>
      <c r="BD48" s="280"/>
      <c r="BE48" s="280"/>
      <c r="BF48" s="280"/>
    </row>
    <row r="49" spans="1:58" s="192" customFormat="1" ht="18" hidden="1" customHeight="1" outlineLevel="1" x14ac:dyDescent="0.25">
      <c r="B49" s="732" t="str">
        <f>B77</f>
        <v>Biodigestão Anaeróbia</v>
      </c>
      <c r="C49" s="291" t="str">
        <f>C77</f>
        <v>Não'</v>
      </c>
      <c r="D49" s="291">
        <f>'R&amp;C-Painel de Controle'!H64</f>
        <v>0</v>
      </c>
      <c r="E49" s="301"/>
      <c r="F49" s="301"/>
      <c r="G49" s="301"/>
      <c r="H49" s="301"/>
      <c r="I49" s="301"/>
      <c r="J49" s="301"/>
      <c r="K49" s="301"/>
      <c r="L49" s="301"/>
      <c r="M49" s="301"/>
      <c r="N49" s="301"/>
      <c r="O49" s="301"/>
      <c r="P49" s="301"/>
      <c r="Q49" s="301"/>
      <c r="R49" s="301"/>
      <c r="S49" s="301"/>
      <c r="T49" s="301"/>
      <c r="U49" s="301"/>
      <c r="V49" s="301"/>
      <c r="W49" s="301"/>
      <c r="X49" s="301"/>
      <c r="Y49" s="301"/>
      <c r="Z49" s="301"/>
      <c r="AA49" s="301"/>
      <c r="AB49" s="301"/>
      <c r="AC49" s="301"/>
      <c r="AD49" s="301"/>
      <c r="AE49" s="301"/>
      <c r="AF49" s="301"/>
      <c r="AG49" s="301"/>
      <c r="AH49" s="301"/>
      <c r="AI49" s="301"/>
      <c r="AJ49" s="301"/>
      <c r="AK49" s="301"/>
      <c r="AL49" s="301"/>
      <c r="AM49" s="301"/>
      <c r="AN49" s="301"/>
      <c r="AO49" s="301"/>
      <c r="AP49" s="301"/>
      <c r="AQ49" s="301"/>
      <c r="AR49" s="301"/>
      <c r="AS49" s="301"/>
      <c r="AT49" s="301"/>
      <c r="AU49" s="301"/>
      <c r="AV49" s="301"/>
      <c r="AW49" s="301"/>
      <c r="AX49" s="301"/>
      <c r="AY49" s="301"/>
      <c r="AZ49" s="301"/>
      <c r="BA49" s="301"/>
      <c r="BB49" s="301"/>
      <c r="BC49" s="301"/>
      <c r="BD49" s="274"/>
      <c r="BE49" s="274"/>
      <c r="BF49" s="274"/>
    </row>
    <row r="50" spans="1:58" s="192" customFormat="1" ht="18" hidden="1" customHeight="1" outlineLevel="1" x14ac:dyDescent="0.25">
      <c r="B50" s="260" t="s">
        <v>620</v>
      </c>
      <c r="C50" s="292">
        <f>IF(SUM(C78)&lt;100%,0,100%)</f>
        <v>0</v>
      </c>
      <c r="D50" s="289">
        <f>IF(SUM($C78:D78)&lt;100%,0,100%)</f>
        <v>0</v>
      </c>
      <c r="E50" s="292">
        <v>0</v>
      </c>
      <c r="F50" s="292">
        <f t="shared" ref="F50:Q50" si="18">IF(SUM($C78:F78)&lt;100%,0,100%)</f>
        <v>1</v>
      </c>
      <c r="G50" s="292">
        <f t="shared" si="18"/>
        <v>1</v>
      </c>
      <c r="H50" s="292">
        <f t="shared" si="18"/>
        <v>1</v>
      </c>
      <c r="I50" s="292">
        <f t="shared" si="18"/>
        <v>1</v>
      </c>
      <c r="J50" s="292">
        <f t="shared" si="18"/>
        <v>1</v>
      </c>
      <c r="K50" s="292">
        <f t="shared" si="18"/>
        <v>1</v>
      </c>
      <c r="L50" s="292">
        <f t="shared" si="18"/>
        <v>1</v>
      </c>
      <c r="M50" s="292">
        <f t="shared" si="18"/>
        <v>1</v>
      </c>
      <c r="N50" s="292">
        <f t="shared" si="18"/>
        <v>1</v>
      </c>
      <c r="O50" s="292">
        <f t="shared" si="18"/>
        <v>1</v>
      </c>
      <c r="P50" s="292">
        <f t="shared" si="18"/>
        <v>1</v>
      </c>
      <c r="Q50" s="292">
        <f t="shared" si="18"/>
        <v>1</v>
      </c>
      <c r="R50" s="292"/>
      <c r="S50" s="292"/>
      <c r="T50" s="292"/>
      <c r="U50" s="292"/>
      <c r="V50" s="292"/>
      <c r="W50" s="292"/>
      <c r="X50" s="292"/>
      <c r="Y50" s="292"/>
      <c r="Z50" s="292"/>
      <c r="AA50" s="292"/>
      <c r="AB50" s="292"/>
      <c r="AC50" s="292"/>
      <c r="AD50" s="292"/>
      <c r="AE50" s="292"/>
      <c r="AF50" s="292"/>
      <c r="AG50" s="292"/>
      <c r="AH50" s="292"/>
      <c r="AI50" s="292"/>
      <c r="AJ50" s="292"/>
      <c r="AK50" s="292"/>
      <c r="AL50" s="292"/>
      <c r="AM50" s="292"/>
      <c r="AN50" s="292"/>
      <c r="AO50" s="292"/>
      <c r="AP50" s="292"/>
      <c r="AQ50" s="292"/>
      <c r="AR50" s="292"/>
      <c r="AS50" s="292"/>
      <c r="AT50" s="292"/>
      <c r="AU50" s="292"/>
      <c r="AV50" s="292"/>
      <c r="AW50" s="292"/>
      <c r="AX50" s="292"/>
      <c r="AY50" s="292"/>
      <c r="AZ50" s="292"/>
      <c r="BA50" s="292"/>
      <c r="BB50" s="292"/>
      <c r="BC50" s="292"/>
      <c r="BD50" s="274"/>
      <c r="BE50" s="274"/>
      <c r="BF50" s="274"/>
    </row>
    <row r="51" spans="1:58" s="192" customFormat="1" ht="18" hidden="1" customHeight="1" outlineLevel="1" x14ac:dyDescent="0.25">
      <c r="B51" s="260" t="s">
        <v>621</v>
      </c>
      <c r="C51" s="293">
        <f>C50*$D$49</f>
        <v>0</v>
      </c>
      <c r="D51" s="295">
        <f t="shared" ref="D51:Q51" si="19">D50*$D$49*(1+$C$8)</f>
        <v>0</v>
      </c>
      <c r="E51" s="299">
        <f t="shared" si="19"/>
        <v>0</v>
      </c>
      <c r="F51" s="299">
        <f t="shared" si="19"/>
        <v>0</v>
      </c>
      <c r="G51" s="299">
        <f t="shared" si="19"/>
        <v>0</v>
      </c>
      <c r="H51" s="299">
        <f t="shared" si="19"/>
        <v>0</v>
      </c>
      <c r="I51" s="299">
        <f t="shared" si="19"/>
        <v>0</v>
      </c>
      <c r="J51" s="299">
        <f t="shared" si="19"/>
        <v>0</v>
      </c>
      <c r="K51" s="299">
        <f t="shared" si="19"/>
        <v>0</v>
      </c>
      <c r="L51" s="299">
        <f t="shared" si="19"/>
        <v>0</v>
      </c>
      <c r="M51" s="299">
        <f t="shared" si="19"/>
        <v>0</v>
      </c>
      <c r="N51" s="299">
        <f t="shared" si="19"/>
        <v>0</v>
      </c>
      <c r="O51" s="299">
        <f t="shared" si="19"/>
        <v>0</v>
      </c>
      <c r="P51" s="299">
        <f t="shared" si="19"/>
        <v>0</v>
      </c>
      <c r="Q51" s="299">
        <f t="shared" si="19"/>
        <v>0</v>
      </c>
      <c r="R51" s="299">
        <f t="shared" ref="R51:BC51" si="20">Q51*(1+$C$8)</f>
        <v>0</v>
      </c>
      <c r="S51" s="299">
        <f t="shared" si="20"/>
        <v>0</v>
      </c>
      <c r="T51" s="299">
        <f t="shared" si="20"/>
        <v>0</v>
      </c>
      <c r="U51" s="299">
        <f t="shared" si="20"/>
        <v>0</v>
      </c>
      <c r="V51" s="299">
        <f t="shared" si="20"/>
        <v>0</v>
      </c>
      <c r="W51" s="299">
        <f t="shared" si="20"/>
        <v>0</v>
      </c>
      <c r="X51" s="299">
        <f t="shared" si="20"/>
        <v>0</v>
      </c>
      <c r="Y51" s="299">
        <f t="shared" si="20"/>
        <v>0</v>
      </c>
      <c r="Z51" s="299">
        <f t="shared" si="20"/>
        <v>0</v>
      </c>
      <c r="AA51" s="299">
        <f t="shared" si="20"/>
        <v>0</v>
      </c>
      <c r="AB51" s="299">
        <f t="shared" si="20"/>
        <v>0</v>
      </c>
      <c r="AC51" s="299">
        <f t="shared" si="20"/>
        <v>0</v>
      </c>
      <c r="AD51" s="299">
        <f t="shared" si="20"/>
        <v>0</v>
      </c>
      <c r="AE51" s="299">
        <f t="shared" si="20"/>
        <v>0</v>
      </c>
      <c r="AF51" s="299">
        <f t="shared" si="20"/>
        <v>0</v>
      </c>
      <c r="AG51" s="299">
        <f t="shared" si="20"/>
        <v>0</v>
      </c>
      <c r="AH51" s="299">
        <f t="shared" si="20"/>
        <v>0</v>
      </c>
      <c r="AI51" s="299">
        <f t="shared" si="20"/>
        <v>0</v>
      </c>
      <c r="AJ51" s="299">
        <f t="shared" si="20"/>
        <v>0</v>
      </c>
      <c r="AK51" s="299">
        <f t="shared" si="20"/>
        <v>0</v>
      </c>
      <c r="AL51" s="299">
        <f t="shared" si="20"/>
        <v>0</v>
      </c>
      <c r="AM51" s="299">
        <f t="shared" si="20"/>
        <v>0</v>
      </c>
      <c r="AN51" s="299">
        <f t="shared" si="20"/>
        <v>0</v>
      </c>
      <c r="AO51" s="299">
        <f t="shared" si="20"/>
        <v>0</v>
      </c>
      <c r="AP51" s="299">
        <f t="shared" si="20"/>
        <v>0</v>
      </c>
      <c r="AQ51" s="299">
        <f t="shared" si="20"/>
        <v>0</v>
      </c>
      <c r="AR51" s="299">
        <f t="shared" si="20"/>
        <v>0</v>
      </c>
      <c r="AS51" s="299">
        <f t="shared" si="20"/>
        <v>0</v>
      </c>
      <c r="AT51" s="299">
        <f t="shared" si="20"/>
        <v>0</v>
      </c>
      <c r="AU51" s="299">
        <f t="shared" si="20"/>
        <v>0</v>
      </c>
      <c r="AV51" s="299">
        <f t="shared" si="20"/>
        <v>0</v>
      </c>
      <c r="AW51" s="299">
        <f t="shared" si="20"/>
        <v>0</v>
      </c>
      <c r="AX51" s="299">
        <f t="shared" si="20"/>
        <v>0</v>
      </c>
      <c r="AY51" s="299">
        <f t="shared" si="20"/>
        <v>0</v>
      </c>
      <c r="AZ51" s="299">
        <f t="shared" si="20"/>
        <v>0</v>
      </c>
      <c r="BA51" s="299">
        <f t="shared" si="20"/>
        <v>0</v>
      </c>
      <c r="BB51" s="299">
        <f t="shared" si="20"/>
        <v>0</v>
      </c>
      <c r="BC51" s="299">
        <f t="shared" si="20"/>
        <v>0</v>
      </c>
      <c r="BD51" s="280"/>
      <c r="BE51" s="280"/>
      <c r="BF51" s="280"/>
    </row>
    <row r="52" spans="1:58" s="192" customFormat="1" ht="18" hidden="1" customHeight="1" outlineLevel="1" x14ac:dyDescent="0.25">
      <c r="B52" s="732" t="str">
        <f>B80</f>
        <v>Compostagem</v>
      </c>
      <c r="C52" s="291" t="str">
        <f>C80</f>
        <v>Não</v>
      </c>
      <c r="D52" s="291">
        <f>'R&amp;C-Painel de Controle'!H67</f>
        <v>0</v>
      </c>
      <c r="E52" s="301"/>
      <c r="F52" s="301"/>
      <c r="G52" s="301"/>
      <c r="H52" s="301"/>
      <c r="I52" s="301"/>
      <c r="J52" s="301"/>
      <c r="K52" s="301"/>
      <c r="L52" s="301"/>
      <c r="M52" s="301"/>
      <c r="N52" s="301"/>
      <c r="O52" s="301"/>
      <c r="P52" s="301"/>
      <c r="Q52" s="301"/>
      <c r="R52" s="301"/>
      <c r="S52" s="301"/>
      <c r="T52" s="301"/>
      <c r="U52" s="301"/>
      <c r="V52" s="301"/>
      <c r="W52" s="301"/>
      <c r="X52" s="301"/>
      <c r="Y52" s="301"/>
      <c r="Z52" s="301"/>
      <c r="AA52" s="301"/>
      <c r="AB52" s="301"/>
      <c r="AC52" s="301"/>
      <c r="AD52" s="301"/>
      <c r="AE52" s="301"/>
      <c r="AF52" s="301"/>
      <c r="AG52" s="301"/>
      <c r="AH52" s="301"/>
      <c r="AI52" s="301"/>
      <c r="AJ52" s="301"/>
      <c r="AK52" s="301"/>
      <c r="AL52" s="301"/>
      <c r="AM52" s="301"/>
      <c r="AN52" s="301"/>
      <c r="AO52" s="301"/>
      <c r="AP52" s="301"/>
      <c r="AQ52" s="301"/>
      <c r="AR52" s="301"/>
      <c r="AS52" s="301"/>
      <c r="AT52" s="301"/>
      <c r="AU52" s="301"/>
      <c r="AV52" s="301"/>
      <c r="AW52" s="301"/>
      <c r="AX52" s="301"/>
      <c r="AY52" s="301"/>
      <c r="AZ52" s="301"/>
      <c r="BA52" s="301"/>
      <c r="BB52" s="301"/>
      <c r="BC52" s="301"/>
      <c r="BD52" s="274"/>
      <c r="BE52" s="274"/>
      <c r="BF52" s="274"/>
    </row>
    <row r="53" spans="1:58" s="192" customFormat="1" ht="18" hidden="1" customHeight="1" outlineLevel="1" x14ac:dyDescent="0.25">
      <c r="B53" s="260" t="s">
        <v>620</v>
      </c>
      <c r="C53" s="292">
        <f>IF(SUM(C81)&lt;100%,0,100%)</f>
        <v>0</v>
      </c>
      <c r="D53" s="289">
        <f>IF(SUM($C81:D81)&lt;100%,0,100%)</f>
        <v>0</v>
      </c>
      <c r="E53" s="292">
        <v>0</v>
      </c>
      <c r="F53" s="292">
        <f t="shared" ref="F53:Q53" si="21">IF(SUM($C81:F81)&lt;100%,0,100%)</f>
        <v>1</v>
      </c>
      <c r="G53" s="292">
        <f t="shared" si="21"/>
        <v>1</v>
      </c>
      <c r="H53" s="292">
        <f t="shared" si="21"/>
        <v>1</v>
      </c>
      <c r="I53" s="292">
        <f t="shared" si="21"/>
        <v>1</v>
      </c>
      <c r="J53" s="292">
        <f t="shared" si="21"/>
        <v>1</v>
      </c>
      <c r="K53" s="292">
        <f t="shared" si="21"/>
        <v>1</v>
      </c>
      <c r="L53" s="292">
        <f t="shared" si="21"/>
        <v>1</v>
      </c>
      <c r="M53" s="292">
        <f t="shared" si="21"/>
        <v>1</v>
      </c>
      <c r="N53" s="292">
        <f t="shared" si="21"/>
        <v>1</v>
      </c>
      <c r="O53" s="292">
        <f t="shared" si="21"/>
        <v>1</v>
      </c>
      <c r="P53" s="292">
        <f t="shared" si="21"/>
        <v>1</v>
      </c>
      <c r="Q53" s="292">
        <f t="shared" si="21"/>
        <v>1</v>
      </c>
      <c r="R53" s="292"/>
      <c r="S53" s="292"/>
      <c r="T53" s="292"/>
      <c r="U53" s="292"/>
      <c r="V53" s="292"/>
      <c r="W53" s="292"/>
      <c r="X53" s="292"/>
      <c r="Y53" s="292"/>
      <c r="Z53" s="292"/>
      <c r="AA53" s="292"/>
      <c r="AB53" s="292"/>
      <c r="AC53" s="292"/>
      <c r="AD53" s="292"/>
      <c r="AE53" s="292"/>
      <c r="AF53" s="292"/>
      <c r="AG53" s="292"/>
      <c r="AH53" s="292"/>
      <c r="AI53" s="292"/>
      <c r="AJ53" s="292"/>
      <c r="AK53" s="292"/>
      <c r="AL53" s="292"/>
      <c r="AM53" s="292"/>
      <c r="AN53" s="292"/>
      <c r="AO53" s="292"/>
      <c r="AP53" s="292"/>
      <c r="AQ53" s="292"/>
      <c r="AR53" s="292"/>
      <c r="AS53" s="292"/>
      <c r="AT53" s="292"/>
      <c r="AU53" s="292"/>
      <c r="AV53" s="292"/>
      <c r="AW53" s="292"/>
      <c r="AX53" s="292"/>
      <c r="AY53" s="292"/>
      <c r="AZ53" s="292"/>
      <c r="BA53" s="292"/>
      <c r="BB53" s="292"/>
      <c r="BC53" s="292"/>
      <c r="BD53" s="274"/>
      <c r="BE53" s="274"/>
      <c r="BF53" s="274"/>
    </row>
    <row r="54" spans="1:58" s="192" customFormat="1" ht="18" hidden="1" customHeight="1" outlineLevel="1" x14ac:dyDescent="0.25">
      <c r="B54" s="260" t="s">
        <v>621</v>
      </c>
      <c r="C54" s="293">
        <f>C53*$D$52</f>
        <v>0</v>
      </c>
      <c r="D54" s="295">
        <f t="shared" ref="D54:Q54" si="22">D53*$D$52*(1+$C$8)</f>
        <v>0</v>
      </c>
      <c r="E54" s="299">
        <f t="shared" si="22"/>
        <v>0</v>
      </c>
      <c r="F54" s="299">
        <f t="shared" si="22"/>
        <v>0</v>
      </c>
      <c r="G54" s="299">
        <f t="shared" si="22"/>
        <v>0</v>
      </c>
      <c r="H54" s="299">
        <f t="shared" si="22"/>
        <v>0</v>
      </c>
      <c r="I54" s="299">
        <f t="shared" si="22"/>
        <v>0</v>
      </c>
      <c r="J54" s="299">
        <f t="shared" si="22"/>
        <v>0</v>
      </c>
      <c r="K54" s="299">
        <f t="shared" si="22"/>
        <v>0</v>
      </c>
      <c r="L54" s="299">
        <f t="shared" si="22"/>
        <v>0</v>
      </c>
      <c r="M54" s="299">
        <f t="shared" si="22"/>
        <v>0</v>
      </c>
      <c r="N54" s="299">
        <f t="shared" si="22"/>
        <v>0</v>
      </c>
      <c r="O54" s="299">
        <f t="shared" si="22"/>
        <v>0</v>
      </c>
      <c r="P54" s="299">
        <f t="shared" si="22"/>
        <v>0</v>
      </c>
      <c r="Q54" s="299">
        <f t="shared" si="22"/>
        <v>0</v>
      </c>
      <c r="R54" s="299">
        <f t="shared" ref="R54:BC54" si="23">Q54*(1+$C$8)</f>
        <v>0</v>
      </c>
      <c r="S54" s="299">
        <f t="shared" si="23"/>
        <v>0</v>
      </c>
      <c r="T54" s="299">
        <f t="shared" si="23"/>
        <v>0</v>
      </c>
      <c r="U54" s="299">
        <f t="shared" si="23"/>
        <v>0</v>
      </c>
      <c r="V54" s="299">
        <f t="shared" si="23"/>
        <v>0</v>
      </c>
      <c r="W54" s="299">
        <f t="shared" si="23"/>
        <v>0</v>
      </c>
      <c r="X54" s="299">
        <f t="shared" si="23"/>
        <v>0</v>
      </c>
      <c r="Y54" s="299">
        <f t="shared" si="23"/>
        <v>0</v>
      </c>
      <c r="Z54" s="299">
        <f t="shared" si="23"/>
        <v>0</v>
      </c>
      <c r="AA54" s="299">
        <f t="shared" si="23"/>
        <v>0</v>
      </c>
      <c r="AB54" s="299">
        <f t="shared" si="23"/>
        <v>0</v>
      </c>
      <c r="AC54" s="299">
        <f t="shared" si="23"/>
        <v>0</v>
      </c>
      <c r="AD54" s="299">
        <f t="shared" si="23"/>
        <v>0</v>
      </c>
      <c r="AE54" s="299">
        <f t="shared" si="23"/>
        <v>0</v>
      </c>
      <c r="AF54" s="299">
        <f t="shared" si="23"/>
        <v>0</v>
      </c>
      <c r="AG54" s="299">
        <f t="shared" si="23"/>
        <v>0</v>
      </c>
      <c r="AH54" s="299">
        <f t="shared" si="23"/>
        <v>0</v>
      </c>
      <c r="AI54" s="299">
        <f t="shared" si="23"/>
        <v>0</v>
      </c>
      <c r="AJ54" s="299">
        <f t="shared" si="23"/>
        <v>0</v>
      </c>
      <c r="AK54" s="299">
        <f t="shared" si="23"/>
        <v>0</v>
      </c>
      <c r="AL54" s="299">
        <f t="shared" si="23"/>
        <v>0</v>
      </c>
      <c r="AM54" s="299">
        <f t="shared" si="23"/>
        <v>0</v>
      </c>
      <c r="AN54" s="299">
        <f t="shared" si="23"/>
        <v>0</v>
      </c>
      <c r="AO54" s="299">
        <f t="shared" si="23"/>
        <v>0</v>
      </c>
      <c r="AP54" s="299">
        <f t="shared" si="23"/>
        <v>0</v>
      </c>
      <c r="AQ54" s="299">
        <f t="shared" si="23"/>
        <v>0</v>
      </c>
      <c r="AR54" s="299">
        <f t="shared" si="23"/>
        <v>0</v>
      </c>
      <c r="AS54" s="299">
        <f t="shared" si="23"/>
        <v>0</v>
      </c>
      <c r="AT54" s="299">
        <f t="shared" si="23"/>
        <v>0</v>
      </c>
      <c r="AU54" s="299">
        <f t="shared" si="23"/>
        <v>0</v>
      </c>
      <c r="AV54" s="299">
        <f t="shared" si="23"/>
        <v>0</v>
      </c>
      <c r="AW54" s="299">
        <f t="shared" si="23"/>
        <v>0</v>
      </c>
      <c r="AX54" s="299">
        <f t="shared" si="23"/>
        <v>0</v>
      </c>
      <c r="AY54" s="299">
        <f t="shared" si="23"/>
        <v>0</v>
      </c>
      <c r="AZ54" s="299">
        <f t="shared" si="23"/>
        <v>0</v>
      </c>
      <c r="BA54" s="299">
        <f t="shared" si="23"/>
        <v>0</v>
      </c>
      <c r="BB54" s="299">
        <f t="shared" si="23"/>
        <v>0</v>
      </c>
      <c r="BC54" s="299">
        <f t="shared" si="23"/>
        <v>0</v>
      </c>
      <c r="BD54" s="280"/>
      <c r="BE54" s="280"/>
      <c r="BF54" s="280"/>
    </row>
    <row r="55" spans="1:58" s="192" customFormat="1" ht="18" hidden="1" customHeight="1" outlineLevel="1" x14ac:dyDescent="0.25">
      <c r="B55" s="732" t="str">
        <f>B83</f>
        <v>Incineração</v>
      </c>
      <c r="C55" s="291" t="str">
        <f>C83</f>
        <v>Sim</v>
      </c>
      <c r="D55" s="291">
        <f>'R&amp;C-Painel de Controle'!H70</f>
        <v>22892.155070624995</v>
      </c>
      <c r="E55" s="301"/>
      <c r="F55" s="301"/>
      <c r="G55" s="301"/>
      <c r="H55" s="301"/>
      <c r="I55" s="301"/>
      <c r="J55" s="301"/>
      <c r="K55" s="301"/>
      <c r="L55" s="301"/>
      <c r="M55" s="301"/>
      <c r="N55" s="301"/>
      <c r="O55" s="301"/>
      <c r="P55" s="301"/>
      <c r="Q55" s="301"/>
      <c r="R55" s="301"/>
      <c r="S55" s="301"/>
      <c r="T55" s="301"/>
      <c r="U55" s="301"/>
      <c r="V55" s="301"/>
      <c r="W55" s="301"/>
      <c r="X55" s="301"/>
      <c r="Y55" s="301"/>
      <c r="Z55" s="301"/>
      <c r="AA55" s="301"/>
      <c r="AB55" s="301"/>
      <c r="AC55" s="301"/>
      <c r="AD55" s="301"/>
      <c r="AE55" s="301"/>
      <c r="AF55" s="301"/>
      <c r="AG55" s="301"/>
      <c r="AH55" s="301"/>
      <c r="AI55" s="301"/>
      <c r="AJ55" s="301"/>
      <c r="AK55" s="301"/>
      <c r="AL55" s="301"/>
      <c r="AM55" s="301"/>
      <c r="AN55" s="301"/>
      <c r="AO55" s="301"/>
      <c r="AP55" s="301"/>
      <c r="AQ55" s="301"/>
      <c r="AR55" s="301"/>
      <c r="AS55" s="301"/>
      <c r="AT55" s="301"/>
      <c r="AU55" s="301"/>
      <c r="AV55" s="301"/>
      <c r="AW55" s="301"/>
      <c r="AX55" s="301"/>
      <c r="AY55" s="301"/>
      <c r="AZ55" s="301"/>
      <c r="BA55" s="301"/>
      <c r="BB55" s="301"/>
      <c r="BC55" s="301"/>
      <c r="BD55" s="274"/>
      <c r="BE55" s="274"/>
      <c r="BF55" s="274"/>
    </row>
    <row r="56" spans="1:58" s="192" customFormat="1" ht="18" hidden="1" customHeight="1" outlineLevel="1" x14ac:dyDescent="0.25">
      <c r="B56" s="260" t="s">
        <v>620</v>
      </c>
      <c r="C56" s="292">
        <f>IF(SUM(C84)&lt;100%,0,100%)</f>
        <v>0</v>
      </c>
      <c r="D56" s="289">
        <f>IF(SUM($C84:D84)&lt;100%,0,100%)</f>
        <v>0</v>
      </c>
      <c r="E56" s="292">
        <v>0</v>
      </c>
      <c r="F56" s="292">
        <f t="shared" ref="F56:Q56" si="24">IF(SUM($C84:F84)&lt;100%,0,100%)</f>
        <v>1</v>
      </c>
      <c r="G56" s="292">
        <f t="shared" si="24"/>
        <v>1</v>
      </c>
      <c r="H56" s="292">
        <f t="shared" si="24"/>
        <v>1</v>
      </c>
      <c r="I56" s="292">
        <f t="shared" si="24"/>
        <v>1</v>
      </c>
      <c r="J56" s="292">
        <f t="shared" si="24"/>
        <v>1</v>
      </c>
      <c r="K56" s="292">
        <f t="shared" si="24"/>
        <v>1</v>
      </c>
      <c r="L56" s="292">
        <f t="shared" si="24"/>
        <v>1</v>
      </c>
      <c r="M56" s="292">
        <f t="shared" si="24"/>
        <v>1</v>
      </c>
      <c r="N56" s="292">
        <f t="shared" si="24"/>
        <v>1</v>
      </c>
      <c r="O56" s="292">
        <f t="shared" si="24"/>
        <v>1</v>
      </c>
      <c r="P56" s="292">
        <f t="shared" si="24"/>
        <v>1</v>
      </c>
      <c r="Q56" s="292">
        <f t="shared" si="24"/>
        <v>1</v>
      </c>
      <c r="R56" s="301"/>
      <c r="S56" s="301"/>
      <c r="T56" s="301"/>
      <c r="U56" s="301"/>
      <c r="V56" s="301"/>
      <c r="W56" s="301"/>
      <c r="X56" s="301"/>
      <c r="Y56" s="301"/>
      <c r="Z56" s="301"/>
      <c r="AA56" s="301"/>
      <c r="AB56" s="301"/>
      <c r="AC56" s="301"/>
      <c r="AD56" s="301"/>
      <c r="AE56" s="301"/>
      <c r="AF56" s="301"/>
      <c r="AG56" s="301"/>
      <c r="AH56" s="301"/>
      <c r="AI56" s="301"/>
      <c r="AJ56" s="301"/>
      <c r="AK56" s="301"/>
      <c r="AL56" s="301"/>
      <c r="AM56" s="301"/>
      <c r="AN56" s="301"/>
      <c r="AO56" s="301"/>
      <c r="AP56" s="301"/>
      <c r="AQ56" s="301"/>
      <c r="AR56" s="301"/>
      <c r="AS56" s="301"/>
      <c r="AT56" s="301"/>
      <c r="AU56" s="301"/>
      <c r="AV56" s="301"/>
      <c r="AW56" s="301"/>
      <c r="AX56" s="301"/>
      <c r="AY56" s="301"/>
      <c r="AZ56" s="301"/>
      <c r="BA56" s="301"/>
      <c r="BB56" s="301"/>
      <c r="BC56" s="659"/>
      <c r="BD56" s="274"/>
      <c r="BE56" s="274"/>
      <c r="BF56" s="274"/>
    </row>
    <row r="57" spans="1:58" s="192" customFormat="1" ht="18" hidden="1" customHeight="1" outlineLevel="1" x14ac:dyDescent="0.25">
      <c r="B57" s="260" t="s">
        <v>621</v>
      </c>
      <c r="C57" s="293">
        <f>C56*$D$55</f>
        <v>0</v>
      </c>
      <c r="D57" s="295">
        <f t="shared" ref="D57:Q57" si="25">D56*$D$55*(1+$C$8)</f>
        <v>0</v>
      </c>
      <c r="E57" s="299">
        <f t="shared" si="25"/>
        <v>0</v>
      </c>
      <c r="F57" s="299">
        <f t="shared" si="25"/>
        <v>22999.748199456932</v>
      </c>
      <c r="G57" s="299">
        <f t="shared" si="25"/>
        <v>22999.748199456932</v>
      </c>
      <c r="H57" s="299">
        <f t="shared" si="25"/>
        <v>22999.748199456932</v>
      </c>
      <c r="I57" s="299">
        <f t="shared" si="25"/>
        <v>22999.748199456932</v>
      </c>
      <c r="J57" s="299">
        <f t="shared" si="25"/>
        <v>22999.748199456932</v>
      </c>
      <c r="K57" s="299">
        <f t="shared" si="25"/>
        <v>22999.748199456932</v>
      </c>
      <c r="L57" s="299">
        <f t="shared" si="25"/>
        <v>22999.748199456932</v>
      </c>
      <c r="M57" s="299">
        <f t="shared" si="25"/>
        <v>22999.748199456932</v>
      </c>
      <c r="N57" s="299">
        <f t="shared" si="25"/>
        <v>22999.748199456932</v>
      </c>
      <c r="O57" s="299">
        <f t="shared" si="25"/>
        <v>22999.748199456932</v>
      </c>
      <c r="P57" s="299">
        <f t="shared" si="25"/>
        <v>22999.748199456932</v>
      </c>
      <c r="Q57" s="299">
        <f t="shared" si="25"/>
        <v>22999.748199456932</v>
      </c>
      <c r="R57" s="299">
        <f t="shared" ref="R57:BC57" si="26">Q57*(1+$C$8)</f>
        <v>23107.847015994379</v>
      </c>
      <c r="S57" s="299">
        <f t="shared" si="26"/>
        <v>23216.45389696955</v>
      </c>
      <c r="T57" s="299">
        <f t="shared" si="26"/>
        <v>23325.571230285306</v>
      </c>
      <c r="U57" s="299">
        <f t="shared" si="26"/>
        <v>23435.201415067644</v>
      </c>
      <c r="V57" s="299">
        <f t="shared" si="26"/>
        <v>23545.346861718459</v>
      </c>
      <c r="W57" s="299">
        <f t="shared" si="26"/>
        <v>23656.009991968534</v>
      </c>
      <c r="X57" s="299">
        <f t="shared" si="26"/>
        <v>23767.193238930784</v>
      </c>
      <c r="Y57" s="299">
        <f t="shared" si="26"/>
        <v>23878.899047153758</v>
      </c>
      <c r="Z57" s="299">
        <f t="shared" si="26"/>
        <v>23991.129872675378</v>
      </c>
      <c r="AA57" s="299">
        <f t="shared" si="26"/>
        <v>24103.88818307695</v>
      </c>
      <c r="AB57" s="299">
        <f t="shared" si="26"/>
        <v>24217.176457537411</v>
      </c>
      <c r="AC57" s="299">
        <f t="shared" si="26"/>
        <v>24330.997186887835</v>
      </c>
      <c r="AD57" s="299">
        <f t="shared" si="26"/>
        <v>24445.352873666205</v>
      </c>
      <c r="AE57" s="299">
        <f t="shared" si="26"/>
        <v>24560.246032172436</v>
      </c>
      <c r="AF57" s="299">
        <f t="shared" si="26"/>
        <v>24675.679188523645</v>
      </c>
      <c r="AG57" s="299">
        <f t="shared" si="26"/>
        <v>24791.654880709706</v>
      </c>
      <c r="AH57" s="299">
        <f t="shared" si="26"/>
        <v>24908.175658649041</v>
      </c>
      <c r="AI57" s="299">
        <f t="shared" si="26"/>
        <v>25025.244084244689</v>
      </c>
      <c r="AJ57" s="299">
        <f t="shared" si="26"/>
        <v>25142.862731440637</v>
      </c>
      <c r="AK57" s="299">
        <f t="shared" si="26"/>
        <v>25261.034186278404</v>
      </c>
      <c r="AL57" s="299">
        <f t="shared" si="26"/>
        <v>25379.76104695391</v>
      </c>
      <c r="AM57" s="299">
        <f t="shared" si="26"/>
        <v>25499.045923874593</v>
      </c>
      <c r="AN57" s="299">
        <f t="shared" si="26"/>
        <v>25618.891439716801</v>
      </c>
      <c r="AO57" s="299">
        <f t="shared" si="26"/>
        <v>25739.30022948347</v>
      </c>
      <c r="AP57" s="299">
        <f t="shared" si="26"/>
        <v>25860.274940562042</v>
      </c>
      <c r="AQ57" s="299">
        <f t="shared" si="26"/>
        <v>25981.81823278268</v>
      </c>
      <c r="AR57" s="299">
        <f t="shared" si="26"/>
        <v>26103.932778476756</v>
      </c>
      <c r="AS57" s="299">
        <f t="shared" si="26"/>
        <v>26226.621262535595</v>
      </c>
      <c r="AT57" s="299">
        <f t="shared" si="26"/>
        <v>26349.886382469511</v>
      </c>
      <c r="AU57" s="299">
        <f t="shared" si="26"/>
        <v>26473.730848467116</v>
      </c>
      <c r="AV57" s="299">
        <f t="shared" si="26"/>
        <v>26598.157383454909</v>
      </c>
      <c r="AW57" s="299">
        <f t="shared" si="26"/>
        <v>26723.168723157145</v>
      </c>
      <c r="AX57" s="299">
        <f t="shared" si="26"/>
        <v>26848.767616155983</v>
      </c>
      <c r="AY57" s="299">
        <f t="shared" si="26"/>
        <v>26974.956823951914</v>
      </c>
      <c r="AZ57" s="299">
        <f t="shared" si="26"/>
        <v>27101.739121024486</v>
      </c>
      <c r="BA57" s="299">
        <f t="shared" si="26"/>
        <v>27229.117294893298</v>
      </c>
      <c r="BB57" s="299">
        <f t="shared" si="26"/>
        <v>27357.094146179294</v>
      </c>
      <c r="BC57" s="299">
        <f t="shared" si="26"/>
        <v>27485.672488666336</v>
      </c>
      <c r="BD57" s="280"/>
      <c r="BE57" s="280"/>
      <c r="BF57" s="280"/>
    </row>
    <row r="58" spans="1:58" s="192" customFormat="1" ht="18" hidden="1" customHeight="1" outlineLevel="1" x14ac:dyDescent="0.25">
      <c r="B58" s="732" t="str">
        <f>B86</f>
        <v>Aterro Sanitário</v>
      </c>
      <c r="C58" s="291" t="str">
        <f>C86</f>
        <v>Sim</v>
      </c>
      <c r="D58" s="291">
        <f>'R&amp;C-Painel de Controle'!H73</f>
        <v>23358.431014124999</v>
      </c>
      <c r="E58" s="301"/>
      <c r="F58" s="301"/>
      <c r="G58" s="301"/>
      <c r="H58" s="301"/>
      <c r="I58" s="301"/>
      <c r="J58" s="301"/>
      <c r="K58" s="301"/>
      <c r="L58" s="301"/>
      <c r="M58" s="301"/>
      <c r="N58" s="301"/>
      <c r="O58" s="301"/>
      <c r="P58" s="301"/>
      <c r="Q58" s="301"/>
      <c r="R58" s="301"/>
      <c r="S58" s="301"/>
      <c r="T58" s="301"/>
      <c r="U58" s="301"/>
      <c r="V58" s="301"/>
      <c r="W58" s="301"/>
      <c r="X58" s="301"/>
      <c r="Y58" s="301"/>
      <c r="Z58" s="301"/>
      <c r="AA58" s="301"/>
      <c r="AB58" s="301"/>
      <c r="AC58" s="301"/>
      <c r="AD58" s="301"/>
      <c r="AE58" s="301"/>
      <c r="AF58" s="301"/>
      <c r="AG58" s="301"/>
      <c r="AH58" s="301"/>
      <c r="AI58" s="301"/>
      <c r="AJ58" s="301"/>
      <c r="AK58" s="301"/>
      <c r="AL58" s="301"/>
      <c r="AM58" s="301"/>
      <c r="AN58" s="301"/>
      <c r="AO58" s="301"/>
      <c r="AP58" s="301"/>
      <c r="AQ58" s="301"/>
      <c r="AR58" s="301"/>
      <c r="AS58" s="301"/>
      <c r="AT58" s="301"/>
      <c r="AU58" s="301"/>
      <c r="AV58" s="301"/>
      <c r="AW58" s="301"/>
      <c r="AX58" s="301"/>
      <c r="AY58" s="301"/>
      <c r="AZ58" s="301"/>
      <c r="BA58" s="301"/>
      <c r="BB58" s="301"/>
      <c r="BC58" s="301"/>
      <c r="BD58" s="274"/>
      <c r="BE58" s="274"/>
      <c r="BF58" s="274"/>
    </row>
    <row r="59" spans="1:58" s="192" customFormat="1" ht="18" hidden="1" customHeight="1" outlineLevel="1" x14ac:dyDescent="0.25">
      <c r="B59" s="260" t="s">
        <v>620</v>
      </c>
      <c r="C59" s="292">
        <f>IF(SUM(C87)&lt;100%,0,100%)</f>
        <v>0</v>
      </c>
      <c r="D59" s="289">
        <f>IF(SUM($C87:D87)&lt;100%,0,100%)</f>
        <v>0</v>
      </c>
      <c r="E59" s="292">
        <v>0</v>
      </c>
      <c r="F59" s="292">
        <f t="shared" ref="F59:Q59" si="27">IF(SUM($C87:F87)&lt;100%,0,100%)</f>
        <v>1</v>
      </c>
      <c r="G59" s="292">
        <f t="shared" si="27"/>
        <v>1</v>
      </c>
      <c r="H59" s="292">
        <f t="shared" si="27"/>
        <v>1</v>
      </c>
      <c r="I59" s="292">
        <f t="shared" si="27"/>
        <v>1</v>
      </c>
      <c r="J59" s="292">
        <f t="shared" si="27"/>
        <v>1</v>
      </c>
      <c r="K59" s="292">
        <f t="shared" si="27"/>
        <v>1</v>
      </c>
      <c r="L59" s="292">
        <f t="shared" si="27"/>
        <v>1</v>
      </c>
      <c r="M59" s="292">
        <f t="shared" si="27"/>
        <v>1</v>
      </c>
      <c r="N59" s="292">
        <f t="shared" si="27"/>
        <v>1</v>
      </c>
      <c r="O59" s="292">
        <f t="shared" si="27"/>
        <v>1</v>
      </c>
      <c r="P59" s="292">
        <f t="shared" si="27"/>
        <v>1</v>
      </c>
      <c r="Q59" s="292">
        <f t="shared" si="27"/>
        <v>1</v>
      </c>
      <c r="R59" s="301"/>
      <c r="S59" s="301"/>
      <c r="T59" s="301"/>
      <c r="U59" s="301"/>
      <c r="V59" s="301"/>
      <c r="W59" s="301"/>
      <c r="X59" s="301"/>
      <c r="Y59" s="301"/>
      <c r="Z59" s="301"/>
      <c r="AA59" s="301"/>
      <c r="AB59" s="301"/>
      <c r="AC59" s="301"/>
      <c r="AD59" s="301"/>
      <c r="AE59" s="301"/>
      <c r="AF59" s="301"/>
      <c r="AG59" s="301"/>
      <c r="AH59" s="301"/>
      <c r="AI59" s="301"/>
      <c r="AJ59" s="301"/>
      <c r="AK59" s="301"/>
      <c r="AL59" s="301"/>
      <c r="AM59" s="301"/>
      <c r="AN59" s="301"/>
      <c r="AO59" s="301"/>
      <c r="AP59" s="301"/>
      <c r="AQ59" s="301"/>
      <c r="AR59" s="301"/>
      <c r="AS59" s="301"/>
      <c r="AT59" s="301"/>
      <c r="AU59" s="301"/>
      <c r="AV59" s="301"/>
      <c r="AW59" s="301"/>
      <c r="AX59" s="301"/>
      <c r="AY59" s="301"/>
      <c r="AZ59" s="301"/>
      <c r="BA59" s="301"/>
      <c r="BB59" s="301"/>
      <c r="BC59" s="301"/>
      <c r="BD59" s="274"/>
      <c r="BE59" s="274"/>
      <c r="BF59" s="274"/>
    </row>
    <row r="60" spans="1:58" s="192" customFormat="1" ht="18" hidden="1" customHeight="1" outlineLevel="1" x14ac:dyDescent="0.25">
      <c r="B60" s="260" t="s">
        <v>621</v>
      </c>
      <c r="C60" s="293">
        <f>C59*$D$58</f>
        <v>0</v>
      </c>
      <c r="D60" s="295">
        <f t="shared" ref="D60:Q60" si="28">D59*$D$58*(1+$C$8)</f>
        <v>0</v>
      </c>
      <c r="E60" s="299">
        <f t="shared" si="28"/>
        <v>0</v>
      </c>
      <c r="F60" s="299">
        <f t="shared" si="28"/>
        <v>23468.215639891383</v>
      </c>
      <c r="G60" s="299">
        <f t="shared" si="28"/>
        <v>23468.215639891383</v>
      </c>
      <c r="H60" s="299">
        <f t="shared" si="28"/>
        <v>23468.215639891383</v>
      </c>
      <c r="I60" s="299">
        <f t="shared" si="28"/>
        <v>23468.215639891383</v>
      </c>
      <c r="J60" s="299">
        <f t="shared" si="28"/>
        <v>23468.215639891383</v>
      </c>
      <c r="K60" s="299">
        <f t="shared" si="28"/>
        <v>23468.215639891383</v>
      </c>
      <c r="L60" s="299">
        <f t="shared" si="28"/>
        <v>23468.215639891383</v>
      </c>
      <c r="M60" s="299">
        <f t="shared" si="28"/>
        <v>23468.215639891383</v>
      </c>
      <c r="N60" s="299">
        <f t="shared" si="28"/>
        <v>23468.215639891383</v>
      </c>
      <c r="O60" s="299">
        <f t="shared" si="28"/>
        <v>23468.215639891383</v>
      </c>
      <c r="P60" s="299">
        <f t="shared" si="28"/>
        <v>23468.215639891383</v>
      </c>
      <c r="Q60" s="299">
        <f t="shared" si="28"/>
        <v>23468.215639891383</v>
      </c>
      <c r="R60" s="299">
        <f t="shared" ref="R60:BC60" si="29">Q60*(1+$C$8)</f>
        <v>23578.51625339887</v>
      </c>
      <c r="S60" s="299">
        <f t="shared" si="29"/>
        <v>23689.335279789844</v>
      </c>
      <c r="T60" s="299">
        <f t="shared" si="29"/>
        <v>23800.675155604855</v>
      </c>
      <c r="U60" s="299">
        <f t="shared" si="29"/>
        <v>23912.538328836195</v>
      </c>
      <c r="V60" s="299">
        <f t="shared" si="29"/>
        <v>24024.927258981723</v>
      </c>
      <c r="W60" s="299">
        <f t="shared" si="29"/>
        <v>24137.844417098935</v>
      </c>
      <c r="X60" s="299">
        <f t="shared" si="29"/>
        <v>24251.292285859297</v>
      </c>
      <c r="Y60" s="299">
        <f t="shared" si="29"/>
        <v>24365.273359602834</v>
      </c>
      <c r="Z60" s="299">
        <f t="shared" si="29"/>
        <v>24479.790144392966</v>
      </c>
      <c r="AA60" s="299">
        <f t="shared" si="29"/>
        <v>24594.84515807161</v>
      </c>
      <c r="AB60" s="299">
        <f t="shared" si="29"/>
        <v>24710.440930314544</v>
      </c>
      <c r="AC60" s="299">
        <f t="shared" si="29"/>
        <v>24826.58000268702</v>
      </c>
      <c r="AD60" s="299">
        <f t="shared" si="29"/>
        <v>24943.264928699646</v>
      </c>
      <c r="AE60" s="299">
        <f t="shared" si="29"/>
        <v>25060.498273864534</v>
      </c>
      <c r="AF60" s="299">
        <f t="shared" si="29"/>
        <v>25178.282615751694</v>
      </c>
      <c r="AG60" s="299">
        <f t="shared" si="29"/>
        <v>25296.620544045723</v>
      </c>
      <c r="AH60" s="299">
        <f t="shared" si="29"/>
        <v>25415.514660602737</v>
      </c>
      <c r="AI60" s="299">
        <f t="shared" si="29"/>
        <v>25534.967579507567</v>
      </c>
      <c r="AJ60" s="299">
        <f t="shared" si="29"/>
        <v>25654.981927131252</v>
      </c>
      <c r="AK60" s="299">
        <f t="shared" si="29"/>
        <v>25775.560342188768</v>
      </c>
      <c r="AL60" s="299">
        <f t="shared" si="29"/>
        <v>25896.705475797055</v>
      </c>
      <c r="AM60" s="299">
        <f t="shared" si="29"/>
        <v>26018.419991533297</v>
      </c>
      <c r="AN60" s="299">
        <f t="shared" si="29"/>
        <v>26140.706565493503</v>
      </c>
      <c r="AO60" s="299">
        <f t="shared" si="29"/>
        <v>26263.56788635132</v>
      </c>
      <c r="AP60" s="299">
        <f t="shared" si="29"/>
        <v>26387.006655417168</v>
      </c>
      <c r="AQ60" s="299">
        <f t="shared" si="29"/>
        <v>26511.025586697626</v>
      </c>
      <c r="AR60" s="299">
        <f t="shared" si="29"/>
        <v>26635.627406955104</v>
      </c>
      <c r="AS60" s="299">
        <f t="shared" si="29"/>
        <v>26760.814855767792</v>
      </c>
      <c r="AT60" s="299">
        <f t="shared" si="29"/>
        <v>26886.590685589897</v>
      </c>
      <c r="AU60" s="299">
        <f t="shared" si="29"/>
        <v>27012.957661812168</v>
      </c>
      <c r="AV60" s="299">
        <f t="shared" si="29"/>
        <v>27139.918562822684</v>
      </c>
      <c r="AW60" s="299">
        <f t="shared" si="29"/>
        <v>27267.476180067948</v>
      </c>
      <c r="AX60" s="299">
        <f t="shared" si="29"/>
        <v>27395.633318114265</v>
      </c>
      <c r="AY60" s="299">
        <f t="shared" si="29"/>
        <v>27524.392794709402</v>
      </c>
      <c r="AZ60" s="299">
        <f t="shared" si="29"/>
        <v>27653.757440844533</v>
      </c>
      <c r="BA60" s="299">
        <f t="shared" si="29"/>
        <v>27783.730100816501</v>
      </c>
      <c r="BB60" s="299">
        <f t="shared" si="29"/>
        <v>27914.313632290337</v>
      </c>
      <c r="BC60" s="299">
        <f t="shared" si="29"/>
        <v>28045.510906362098</v>
      </c>
      <c r="BD60" s="280"/>
      <c r="BE60" s="280"/>
      <c r="BF60" s="280"/>
    </row>
    <row r="61" spans="1:58" s="192" customFormat="1" ht="18" hidden="1" customHeight="1" outlineLevel="1" x14ac:dyDescent="0.25">
      <c r="B61" s="732" t="s">
        <v>622</v>
      </c>
      <c r="C61" s="294">
        <f>C35</f>
        <v>23025.599999999999</v>
      </c>
      <c r="D61" s="296">
        <f>D35</f>
        <v>23133.820319999995</v>
      </c>
      <c r="E61" s="294">
        <f>'R&amp;C-Painel de Controle'!D46</f>
        <v>0</v>
      </c>
      <c r="F61" s="294">
        <f t="shared" ref="F61:Q61" si="30">E61*(1+$C$8)</f>
        <v>0</v>
      </c>
      <c r="G61" s="294">
        <f t="shared" si="30"/>
        <v>0</v>
      </c>
      <c r="H61" s="294">
        <f t="shared" si="30"/>
        <v>0</v>
      </c>
      <c r="I61" s="294">
        <f t="shared" si="30"/>
        <v>0</v>
      </c>
      <c r="J61" s="294">
        <f t="shared" si="30"/>
        <v>0</v>
      </c>
      <c r="K61" s="294">
        <f t="shared" si="30"/>
        <v>0</v>
      </c>
      <c r="L61" s="294">
        <f t="shared" si="30"/>
        <v>0</v>
      </c>
      <c r="M61" s="294">
        <f t="shared" si="30"/>
        <v>0</v>
      </c>
      <c r="N61" s="294">
        <f t="shared" si="30"/>
        <v>0</v>
      </c>
      <c r="O61" s="294">
        <f t="shared" si="30"/>
        <v>0</v>
      </c>
      <c r="P61" s="294">
        <f t="shared" si="30"/>
        <v>0</v>
      </c>
      <c r="Q61" s="294">
        <f t="shared" si="30"/>
        <v>0</v>
      </c>
      <c r="R61" s="294">
        <f t="shared" ref="R61:BC61" si="31">Q61*(1+$C$8)</f>
        <v>0</v>
      </c>
      <c r="S61" s="294">
        <f t="shared" si="31"/>
        <v>0</v>
      </c>
      <c r="T61" s="294">
        <f t="shared" si="31"/>
        <v>0</v>
      </c>
      <c r="U61" s="294">
        <f t="shared" si="31"/>
        <v>0</v>
      </c>
      <c r="V61" s="294">
        <f t="shared" si="31"/>
        <v>0</v>
      </c>
      <c r="W61" s="294">
        <f t="shared" si="31"/>
        <v>0</v>
      </c>
      <c r="X61" s="294">
        <f t="shared" si="31"/>
        <v>0</v>
      </c>
      <c r="Y61" s="294">
        <f t="shared" si="31"/>
        <v>0</v>
      </c>
      <c r="Z61" s="294">
        <f t="shared" si="31"/>
        <v>0</v>
      </c>
      <c r="AA61" s="294">
        <f t="shared" si="31"/>
        <v>0</v>
      </c>
      <c r="AB61" s="294">
        <f t="shared" si="31"/>
        <v>0</v>
      </c>
      <c r="AC61" s="294">
        <f t="shared" si="31"/>
        <v>0</v>
      </c>
      <c r="AD61" s="294">
        <f t="shared" si="31"/>
        <v>0</v>
      </c>
      <c r="AE61" s="294">
        <f t="shared" si="31"/>
        <v>0</v>
      </c>
      <c r="AF61" s="294">
        <f t="shared" si="31"/>
        <v>0</v>
      </c>
      <c r="AG61" s="294">
        <f t="shared" si="31"/>
        <v>0</v>
      </c>
      <c r="AH61" s="294">
        <f t="shared" si="31"/>
        <v>0</v>
      </c>
      <c r="AI61" s="294">
        <f t="shared" si="31"/>
        <v>0</v>
      </c>
      <c r="AJ61" s="294">
        <f t="shared" si="31"/>
        <v>0</v>
      </c>
      <c r="AK61" s="294">
        <f t="shared" si="31"/>
        <v>0</v>
      </c>
      <c r="AL61" s="294">
        <f t="shared" si="31"/>
        <v>0</v>
      </c>
      <c r="AM61" s="294">
        <f t="shared" si="31"/>
        <v>0</v>
      </c>
      <c r="AN61" s="294">
        <f t="shared" si="31"/>
        <v>0</v>
      </c>
      <c r="AO61" s="294">
        <f t="shared" si="31"/>
        <v>0</v>
      </c>
      <c r="AP61" s="294">
        <f t="shared" si="31"/>
        <v>0</v>
      </c>
      <c r="AQ61" s="294">
        <f t="shared" si="31"/>
        <v>0</v>
      </c>
      <c r="AR61" s="294">
        <f t="shared" si="31"/>
        <v>0</v>
      </c>
      <c r="AS61" s="294">
        <f t="shared" si="31"/>
        <v>0</v>
      </c>
      <c r="AT61" s="294">
        <f t="shared" si="31"/>
        <v>0</v>
      </c>
      <c r="AU61" s="294">
        <f t="shared" si="31"/>
        <v>0</v>
      </c>
      <c r="AV61" s="294">
        <f t="shared" si="31"/>
        <v>0</v>
      </c>
      <c r="AW61" s="294">
        <f t="shared" si="31"/>
        <v>0</v>
      </c>
      <c r="AX61" s="294">
        <f t="shared" si="31"/>
        <v>0</v>
      </c>
      <c r="AY61" s="294">
        <f t="shared" si="31"/>
        <v>0</v>
      </c>
      <c r="AZ61" s="294">
        <f t="shared" si="31"/>
        <v>0</v>
      </c>
      <c r="BA61" s="294">
        <f t="shared" si="31"/>
        <v>0</v>
      </c>
      <c r="BB61" s="294">
        <f t="shared" si="31"/>
        <v>0</v>
      </c>
      <c r="BC61" s="294">
        <f t="shared" si="31"/>
        <v>0</v>
      </c>
      <c r="BD61" s="280"/>
      <c r="BE61" s="280"/>
      <c r="BF61" s="280"/>
    </row>
    <row r="62" spans="1:58" s="192" customFormat="1" ht="18" customHeight="1" x14ac:dyDescent="0.25">
      <c r="B62" s="193" t="s">
        <v>898</v>
      </c>
      <c r="C62" s="1485">
        <v>0</v>
      </c>
      <c r="D62" s="281"/>
      <c r="E62" s="281"/>
      <c r="F62" s="281"/>
      <c r="G62" s="281"/>
      <c r="H62" s="281"/>
      <c r="I62" s="281"/>
      <c r="J62" s="281"/>
      <c r="K62" s="281"/>
      <c r="L62" s="281"/>
      <c r="M62" s="281"/>
      <c r="N62" s="281"/>
      <c r="O62" s="281"/>
      <c r="P62" s="281"/>
      <c r="Q62" s="281"/>
      <c r="R62" s="274"/>
    </row>
    <row r="63" spans="1:58" s="192" customFormat="1" ht="25.9" customHeight="1" collapsed="1" x14ac:dyDescent="0.25">
      <c r="B63" s="738" t="s">
        <v>358</v>
      </c>
      <c r="C63" s="281">
        <f>((C67+C70+C73+C76+C79+C82+C85+C88+'R&amp;C-Painel de Controle'!H21)+('R&amp;C-Painel de Controle'!$K$77*$H$27/5+'R&amp;C-Painel de Controle'!$K$75*$H$27/20+'R&amp;C-Painel de Controle'!$D$29+'R&amp;C-Painel de Controle'!$D$30)/3*(1+$C$62))</f>
        <v>46.8476242812241</v>
      </c>
      <c r="D63" s="281">
        <f>((D67+D70+D73+D76+D79+D82+D85+D88+'R&amp;C-Painel de Controle'!I21)+('R&amp;C-Painel de Controle'!$K$77*$H$27/5+'R&amp;C-Painel de Controle'!$K$75*$H$27/20+'R&amp;C-Painel de Controle'!$D$29+'R&amp;C-Painel de Controle'!$D$30)/3*(1+$C$62))</f>
        <v>73.093666936894934</v>
      </c>
      <c r="E63" s="281">
        <f>((E67+E70+E73+E76+E79+E82+E85+E88+'R&amp;C-Painel de Controle'!J21)+('R&amp;C-Painel de Controle'!$K$77*$H$27/5+'R&amp;C-Painel de Controle'!$K$75*$H$27/20+'R&amp;C-Painel de Controle'!$D$29+'R&amp;C-Painel de Controle'!$D$30)/3*(1+$C$62))</f>
        <v>63.851148973955475</v>
      </c>
      <c r="F63" s="281">
        <f>(F67+F70+F73+F76+F79+F82+F85+F88)*(1+$C$62)</f>
        <v>0</v>
      </c>
      <c r="G63" s="281">
        <f t="shared" ref="G63:BC63" si="32">(G67+G70+G73+G76+G79+G82+G85+G88)*(1+$C$62)</f>
        <v>0</v>
      </c>
      <c r="H63" s="281">
        <f t="shared" si="32"/>
        <v>0</v>
      </c>
      <c r="I63" s="281">
        <f t="shared" si="32"/>
        <v>0</v>
      </c>
      <c r="J63" s="281">
        <f t="shared" si="32"/>
        <v>0</v>
      </c>
      <c r="K63" s="281">
        <f t="shared" si="32"/>
        <v>0</v>
      </c>
      <c r="L63" s="281">
        <f t="shared" si="32"/>
        <v>0</v>
      </c>
      <c r="M63" s="281">
        <f t="shared" si="32"/>
        <v>0</v>
      </c>
      <c r="N63" s="281">
        <f t="shared" si="32"/>
        <v>0</v>
      </c>
      <c r="O63" s="281">
        <f t="shared" si="32"/>
        <v>0</v>
      </c>
      <c r="P63" s="281">
        <f t="shared" si="32"/>
        <v>0</v>
      </c>
      <c r="Q63" s="281">
        <f t="shared" si="32"/>
        <v>0</v>
      </c>
      <c r="R63" s="281">
        <f t="shared" si="32"/>
        <v>0</v>
      </c>
      <c r="S63" s="281">
        <f t="shared" si="32"/>
        <v>0</v>
      </c>
      <c r="T63" s="281">
        <f t="shared" si="32"/>
        <v>0</v>
      </c>
      <c r="U63" s="281">
        <f t="shared" si="32"/>
        <v>0</v>
      </c>
      <c r="V63" s="281">
        <f t="shared" si="32"/>
        <v>0</v>
      </c>
      <c r="W63" s="281">
        <f t="shared" si="32"/>
        <v>0</v>
      </c>
      <c r="X63" s="281">
        <f t="shared" si="32"/>
        <v>0</v>
      </c>
      <c r="Y63" s="281">
        <f t="shared" si="32"/>
        <v>0</v>
      </c>
      <c r="Z63" s="281">
        <f t="shared" si="32"/>
        <v>0</v>
      </c>
      <c r="AA63" s="281">
        <f t="shared" si="32"/>
        <v>0</v>
      </c>
      <c r="AB63" s="281">
        <f t="shared" si="32"/>
        <v>0</v>
      </c>
      <c r="AC63" s="281">
        <f t="shared" si="32"/>
        <v>0</v>
      </c>
      <c r="AD63" s="281">
        <f t="shared" si="32"/>
        <v>0</v>
      </c>
      <c r="AE63" s="281">
        <f t="shared" si="32"/>
        <v>0</v>
      </c>
      <c r="AF63" s="281">
        <f t="shared" si="32"/>
        <v>0</v>
      </c>
      <c r="AG63" s="281">
        <f t="shared" si="32"/>
        <v>0</v>
      </c>
      <c r="AH63" s="281">
        <f t="shared" si="32"/>
        <v>0</v>
      </c>
      <c r="AI63" s="281">
        <f t="shared" si="32"/>
        <v>0</v>
      </c>
      <c r="AJ63" s="281">
        <f t="shared" si="32"/>
        <v>0</v>
      </c>
      <c r="AK63" s="281">
        <f t="shared" si="32"/>
        <v>0</v>
      </c>
      <c r="AL63" s="281">
        <f t="shared" si="32"/>
        <v>0</v>
      </c>
      <c r="AM63" s="281">
        <f t="shared" si="32"/>
        <v>0</v>
      </c>
      <c r="AN63" s="281">
        <f t="shared" si="32"/>
        <v>0</v>
      </c>
      <c r="AO63" s="281">
        <f t="shared" si="32"/>
        <v>0</v>
      </c>
      <c r="AP63" s="281">
        <f t="shared" si="32"/>
        <v>0</v>
      </c>
      <c r="AQ63" s="281">
        <f t="shared" si="32"/>
        <v>0</v>
      </c>
      <c r="AR63" s="281">
        <f t="shared" si="32"/>
        <v>0</v>
      </c>
      <c r="AS63" s="281">
        <f t="shared" si="32"/>
        <v>0</v>
      </c>
      <c r="AT63" s="281">
        <f t="shared" si="32"/>
        <v>0</v>
      </c>
      <c r="AU63" s="281">
        <f t="shared" si="32"/>
        <v>0</v>
      </c>
      <c r="AV63" s="281">
        <f t="shared" si="32"/>
        <v>0</v>
      </c>
      <c r="AW63" s="281">
        <f t="shared" si="32"/>
        <v>0</v>
      </c>
      <c r="AX63" s="281">
        <f t="shared" si="32"/>
        <v>0</v>
      </c>
      <c r="AY63" s="281">
        <f t="shared" si="32"/>
        <v>0</v>
      </c>
      <c r="AZ63" s="281">
        <f t="shared" si="32"/>
        <v>0</v>
      </c>
      <c r="BA63" s="281">
        <f t="shared" si="32"/>
        <v>0</v>
      </c>
      <c r="BB63" s="281">
        <f t="shared" si="32"/>
        <v>0</v>
      </c>
      <c r="BC63" s="281">
        <f t="shared" si="32"/>
        <v>0</v>
      </c>
    </row>
    <row r="64" spans="1:58" s="192" customFormat="1" ht="18" hidden="1" customHeight="1" outlineLevel="1" x14ac:dyDescent="0.25">
      <c r="A64" s="277"/>
      <c r="B64" s="228" t="s">
        <v>356</v>
      </c>
      <c r="C64" s="277" t="s">
        <v>357</v>
      </c>
      <c r="D64" s="277" t="s">
        <v>255</v>
      </c>
      <c r="E64" s="277"/>
      <c r="F64" s="277"/>
      <c r="G64" s="277"/>
      <c r="H64" s="277"/>
      <c r="I64" s="277"/>
      <c r="J64" s="277"/>
      <c r="K64" s="277"/>
      <c r="L64" s="277"/>
      <c r="M64" s="277"/>
      <c r="N64" s="277"/>
      <c r="O64" s="277"/>
      <c r="P64" s="277"/>
      <c r="Q64" s="277"/>
      <c r="R64" s="277"/>
      <c r="S64" s="277"/>
      <c r="T64" s="277"/>
      <c r="U64" s="277"/>
      <c r="V64" s="277"/>
      <c r="W64" s="277"/>
      <c r="X64" s="277"/>
      <c r="Y64" s="277"/>
      <c r="Z64" s="277"/>
      <c r="AA64" s="277"/>
      <c r="AB64" s="277"/>
      <c r="AC64" s="277"/>
      <c r="AD64" s="277"/>
      <c r="AE64" s="277"/>
      <c r="AF64" s="277"/>
      <c r="AG64" s="277"/>
      <c r="AH64" s="277"/>
      <c r="AI64" s="277"/>
      <c r="AJ64" s="277"/>
      <c r="AK64" s="277"/>
      <c r="AL64" s="277"/>
      <c r="AM64" s="277"/>
      <c r="AN64" s="277"/>
      <c r="AO64" s="277"/>
      <c r="AP64" s="277"/>
      <c r="AQ64" s="277"/>
      <c r="AR64" s="277"/>
      <c r="AS64" s="277"/>
      <c r="AT64" s="277"/>
      <c r="AU64" s="277"/>
      <c r="AV64" s="277"/>
      <c r="AW64" s="277"/>
      <c r="AX64" s="277"/>
      <c r="AY64" s="277"/>
      <c r="AZ64" s="277"/>
      <c r="BA64" s="277"/>
      <c r="BB64" s="277"/>
      <c r="BC64" s="277"/>
      <c r="BD64" s="277"/>
      <c r="BE64" s="277"/>
      <c r="BF64" s="277"/>
    </row>
    <row r="65" spans="2:55" s="192" customFormat="1" ht="18" hidden="1" customHeight="1" outlineLevel="1" x14ac:dyDescent="0.25">
      <c r="B65" s="732" t="str">
        <f>'R&amp;C-Painel de Controle'!F52</f>
        <v>Triagem Manual — Seletivos</v>
      </c>
      <c r="C65" s="291" t="str">
        <f>'R&amp;C-Painel de Controle'!G52</f>
        <v>Não</v>
      </c>
      <c r="D65" s="302">
        <f>'R&amp;C-Painel de Controle'!K52</f>
        <v>0</v>
      </c>
      <c r="R65" s="274"/>
    </row>
    <row r="66" spans="2:55" s="192" customFormat="1" ht="18" hidden="1" customHeight="1" outlineLevel="1" x14ac:dyDescent="0.25">
      <c r="B66" s="252" t="s">
        <v>620</v>
      </c>
      <c r="C66" s="292">
        <v>0.2</v>
      </c>
      <c r="D66" s="292">
        <v>0.5</v>
      </c>
      <c r="E66" s="292">
        <v>0.3</v>
      </c>
      <c r="F66" s="292">
        <v>0</v>
      </c>
      <c r="G66" s="292">
        <v>0</v>
      </c>
      <c r="H66" s="292">
        <v>0</v>
      </c>
      <c r="I66" s="292">
        <v>0</v>
      </c>
      <c r="J66" s="292">
        <v>0</v>
      </c>
      <c r="K66" s="292">
        <v>0</v>
      </c>
      <c r="L66" s="292">
        <v>0</v>
      </c>
      <c r="M66" s="292">
        <v>0</v>
      </c>
      <c r="N66" s="292">
        <v>0</v>
      </c>
      <c r="O66" s="292">
        <v>0</v>
      </c>
      <c r="P66" s="292">
        <v>0</v>
      </c>
      <c r="Q66" s="292">
        <v>0</v>
      </c>
      <c r="R66" s="292">
        <v>0</v>
      </c>
      <c r="S66" s="292">
        <v>0</v>
      </c>
      <c r="T66" s="292">
        <v>0</v>
      </c>
      <c r="U66" s="292">
        <v>0</v>
      </c>
      <c r="V66" s="292">
        <v>0</v>
      </c>
      <c r="W66" s="292">
        <v>0</v>
      </c>
      <c r="X66" s="292">
        <v>0</v>
      </c>
      <c r="Y66" s="292">
        <v>0</v>
      </c>
      <c r="Z66" s="292">
        <v>0</v>
      </c>
      <c r="AA66" s="292">
        <v>0</v>
      </c>
      <c r="AB66" s="292">
        <v>0</v>
      </c>
      <c r="AC66" s="292">
        <v>0</v>
      </c>
      <c r="AD66" s="292">
        <v>0</v>
      </c>
      <c r="AE66" s="292">
        <v>0</v>
      </c>
      <c r="AF66" s="292">
        <v>0</v>
      </c>
      <c r="AG66" s="292">
        <v>0</v>
      </c>
      <c r="AH66" s="292">
        <v>0</v>
      </c>
      <c r="AI66" s="292">
        <v>0</v>
      </c>
      <c r="AJ66" s="292">
        <v>0</v>
      </c>
      <c r="AK66" s="292">
        <v>0</v>
      </c>
      <c r="AL66" s="292">
        <v>0</v>
      </c>
      <c r="AM66" s="292">
        <v>0</v>
      </c>
      <c r="AN66" s="292">
        <v>0</v>
      </c>
      <c r="AO66" s="292">
        <v>0</v>
      </c>
      <c r="AP66" s="292">
        <v>0</v>
      </c>
      <c r="AQ66" s="292">
        <v>0</v>
      </c>
      <c r="AR66" s="292">
        <v>0</v>
      </c>
      <c r="AS66" s="292">
        <v>0</v>
      </c>
      <c r="AT66" s="292">
        <v>0</v>
      </c>
      <c r="AU66" s="292">
        <v>0</v>
      </c>
      <c r="AV66" s="292">
        <v>0</v>
      </c>
      <c r="AW66" s="292">
        <v>0</v>
      </c>
      <c r="AX66" s="292">
        <v>0</v>
      </c>
      <c r="AY66" s="292">
        <v>0</v>
      </c>
      <c r="AZ66" s="292">
        <v>0</v>
      </c>
      <c r="BA66" s="292">
        <v>0</v>
      </c>
      <c r="BB66" s="292">
        <v>0</v>
      </c>
      <c r="BC66" s="292">
        <v>0</v>
      </c>
    </row>
    <row r="67" spans="2:55" s="192" customFormat="1" ht="18" hidden="1" customHeight="1" outlineLevel="1" x14ac:dyDescent="0.25">
      <c r="B67" s="252" t="s">
        <v>359</v>
      </c>
      <c r="C67" s="299">
        <f t="shared" ref="C67:BC67" si="33">C66*$D$65</f>
        <v>0</v>
      </c>
      <c r="D67" s="299">
        <f t="shared" si="33"/>
        <v>0</v>
      </c>
      <c r="E67" s="299">
        <f t="shared" si="33"/>
        <v>0</v>
      </c>
      <c r="F67" s="299">
        <f t="shared" si="33"/>
        <v>0</v>
      </c>
      <c r="G67" s="299">
        <f t="shared" si="33"/>
        <v>0</v>
      </c>
      <c r="H67" s="299">
        <f t="shared" si="33"/>
        <v>0</v>
      </c>
      <c r="I67" s="299">
        <f t="shared" si="33"/>
        <v>0</v>
      </c>
      <c r="J67" s="299">
        <f t="shared" si="33"/>
        <v>0</v>
      </c>
      <c r="K67" s="299">
        <f t="shared" si="33"/>
        <v>0</v>
      </c>
      <c r="L67" s="299">
        <f t="shared" si="33"/>
        <v>0</v>
      </c>
      <c r="M67" s="299">
        <f t="shared" si="33"/>
        <v>0</v>
      </c>
      <c r="N67" s="299">
        <f t="shared" si="33"/>
        <v>0</v>
      </c>
      <c r="O67" s="299">
        <f t="shared" si="33"/>
        <v>0</v>
      </c>
      <c r="P67" s="299">
        <f t="shared" si="33"/>
        <v>0</v>
      </c>
      <c r="Q67" s="299">
        <f t="shared" si="33"/>
        <v>0</v>
      </c>
      <c r="R67" s="299">
        <f t="shared" si="33"/>
        <v>0</v>
      </c>
      <c r="S67" s="299">
        <f t="shared" si="33"/>
        <v>0</v>
      </c>
      <c r="T67" s="299">
        <f t="shared" si="33"/>
        <v>0</v>
      </c>
      <c r="U67" s="299">
        <f t="shared" si="33"/>
        <v>0</v>
      </c>
      <c r="V67" s="299">
        <f t="shared" si="33"/>
        <v>0</v>
      </c>
      <c r="W67" s="299">
        <f t="shared" si="33"/>
        <v>0</v>
      </c>
      <c r="X67" s="299">
        <f t="shared" si="33"/>
        <v>0</v>
      </c>
      <c r="Y67" s="299">
        <f t="shared" si="33"/>
        <v>0</v>
      </c>
      <c r="Z67" s="299">
        <f t="shared" si="33"/>
        <v>0</v>
      </c>
      <c r="AA67" s="299">
        <f t="shared" si="33"/>
        <v>0</v>
      </c>
      <c r="AB67" s="299">
        <f t="shared" si="33"/>
        <v>0</v>
      </c>
      <c r="AC67" s="299">
        <f t="shared" si="33"/>
        <v>0</v>
      </c>
      <c r="AD67" s="299">
        <f t="shared" si="33"/>
        <v>0</v>
      </c>
      <c r="AE67" s="299">
        <f t="shared" si="33"/>
        <v>0</v>
      </c>
      <c r="AF67" s="299">
        <f t="shared" si="33"/>
        <v>0</v>
      </c>
      <c r="AG67" s="299">
        <f t="shared" si="33"/>
        <v>0</v>
      </c>
      <c r="AH67" s="299">
        <f t="shared" si="33"/>
        <v>0</v>
      </c>
      <c r="AI67" s="299">
        <f t="shared" si="33"/>
        <v>0</v>
      </c>
      <c r="AJ67" s="299">
        <f t="shared" si="33"/>
        <v>0</v>
      </c>
      <c r="AK67" s="299">
        <f t="shared" si="33"/>
        <v>0</v>
      </c>
      <c r="AL67" s="299">
        <f t="shared" si="33"/>
        <v>0</v>
      </c>
      <c r="AM67" s="299">
        <f t="shared" si="33"/>
        <v>0</v>
      </c>
      <c r="AN67" s="299">
        <f t="shared" si="33"/>
        <v>0</v>
      </c>
      <c r="AO67" s="299">
        <f t="shared" si="33"/>
        <v>0</v>
      </c>
      <c r="AP67" s="299">
        <f t="shared" si="33"/>
        <v>0</v>
      </c>
      <c r="AQ67" s="299">
        <f t="shared" si="33"/>
        <v>0</v>
      </c>
      <c r="AR67" s="299">
        <f t="shared" si="33"/>
        <v>0</v>
      </c>
      <c r="AS67" s="299">
        <f t="shared" si="33"/>
        <v>0</v>
      </c>
      <c r="AT67" s="299">
        <f t="shared" si="33"/>
        <v>0</v>
      </c>
      <c r="AU67" s="299">
        <f t="shared" si="33"/>
        <v>0</v>
      </c>
      <c r="AV67" s="299">
        <f t="shared" si="33"/>
        <v>0</v>
      </c>
      <c r="AW67" s="299">
        <f t="shared" si="33"/>
        <v>0</v>
      </c>
      <c r="AX67" s="299">
        <f t="shared" si="33"/>
        <v>0</v>
      </c>
      <c r="AY67" s="299">
        <f t="shared" si="33"/>
        <v>0</v>
      </c>
      <c r="AZ67" s="299">
        <f t="shared" si="33"/>
        <v>0</v>
      </c>
      <c r="BA67" s="299">
        <f t="shared" si="33"/>
        <v>0</v>
      </c>
      <c r="BB67" s="299">
        <f t="shared" si="33"/>
        <v>0</v>
      </c>
      <c r="BC67" s="299">
        <f t="shared" si="33"/>
        <v>0</v>
      </c>
    </row>
    <row r="68" spans="2:55" s="192" customFormat="1" ht="18" hidden="1" customHeight="1" outlineLevel="1" x14ac:dyDescent="0.25">
      <c r="B68" s="732" t="str">
        <f>'R&amp;C-Painel de Controle'!F55</f>
        <v>Triagem Mecanizada</v>
      </c>
      <c r="C68" s="291" t="str">
        <f>'R&amp;C-Painel de Controle'!G55</f>
        <v>Sim</v>
      </c>
      <c r="D68" s="302">
        <f>'R&amp;C-Painel de Controle'!K55</f>
        <v>35.377902032176173</v>
      </c>
      <c r="E68" s="1274"/>
      <c r="F68" s="1274"/>
      <c r="G68" s="1274"/>
      <c r="H68" s="1274"/>
      <c r="I68" s="1274"/>
      <c r="J68" s="1274"/>
      <c r="K68" s="1274"/>
      <c r="L68" s="1274"/>
      <c r="M68" s="1274"/>
      <c r="N68" s="1274"/>
      <c r="O68" s="1274"/>
      <c r="P68" s="1274"/>
      <c r="Q68" s="1274"/>
      <c r="R68" s="1274"/>
      <c r="S68" s="1274"/>
      <c r="T68" s="1274"/>
      <c r="U68" s="1274"/>
      <c r="V68" s="1274"/>
      <c r="W68" s="1274"/>
      <c r="X68" s="1274"/>
      <c r="Y68" s="1274"/>
      <c r="Z68" s="1274"/>
      <c r="AA68" s="1274"/>
      <c r="AB68" s="1274"/>
      <c r="AC68" s="1274"/>
      <c r="AD68" s="1274"/>
      <c r="AE68" s="1274"/>
      <c r="AF68" s="1274"/>
      <c r="AG68" s="1274"/>
      <c r="AH68" s="1274"/>
      <c r="AI68" s="1274"/>
      <c r="AJ68" s="1274"/>
      <c r="AK68" s="1274"/>
      <c r="AL68" s="1274"/>
      <c r="AM68" s="1274"/>
      <c r="AN68" s="1274"/>
      <c r="AO68" s="1274"/>
      <c r="AP68" s="1274"/>
      <c r="AQ68" s="1274"/>
      <c r="AR68" s="1274"/>
      <c r="AS68" s="1274"/>
      <c r="AT68" s="1274"/>
      <c r="AU68" s="1274"/>
      <c r="AV68" s="1274"/>
      <c r="AW68" s="1274"/>
      <c r="AX68" s="1274"/>
      <c r="AY68" s="1274"/>
      <c r="AZ68" s="1274"/>
      <c r="BA68" s="1274"/>
      <c r="BB68" s="1274"/>
      <c r="BC68" s="1274"/>
    </row>
    <row r="69" spans="2:55" s="192" customFormat="1" ht="18" hidden="1" customHeight="1" outlineLevel="1" x14ac:dyDescent="0.25">
      <c r="B69" s="252" t="s">
        <v>620</v>
      </c>
      <c r="C69" s="292">
        <v>0.3</v>
      </c>
      <c r="D69" s="292">
        <v>0.2</v>
      </c>
      <c r="E69" s="292">
        <v>0.5</v>
      </c>
      <c r="F69" s="292">
        <v>0</v>
      </c>
      <c r="G69" s="292">
        <v>0</v>
      </c>
      <c r="H69" s="292">
        <v>0</v>
      </c>
      <c r="I69" s="292">
        <v>0</v>
      </c>
      <c r="J69" s="292">
        <v>0</v>
      </c>
      <c r="K69" s="292">
        <v>0</v>
      </c>
      <c r="L69" s="292">
        <v>0</v>
      </c>
      <c r="M69" s="292">
        <v>0</v>
      </c>
      <c r="N69" s="292">
        <v>0</v>
      </c>
      <c r="O69" s="292">
        <v>0</v>
      </c>
      <c r="P69" s="292">
        <v>0</v>
      </c>
      <c r="Q69" s="292">
        <v>0</v>
      </c>
      <c r="R69" s="292">
        <v>0</v>
      </c>
      <c r="S69" s="292">
        <v>0</v>
      </c>
      <c r="T69" s="292">
        <v>0</v>
      </c>
      <c r="U69" s="292">
        <v>0</v>
      </c>
      <c r="V69" s="292">
        <v>0</v>
      </c>
      <c r="W69" s="292">
        <v>0</v>
      </c>
      <c r="X69" s="292">
        <v>0</v>
      </c>
      <c r="Y69" s="292">
        <v>0</v>
      </c>
      <c r="Z69" s="292">
        <v>0</v>
      </c>
      <c r="AA69" s="292">
        <v>0</v>
      </c>
      <c r="AB69" s="292">
        <v>0</v>
      </c>
      <c r="AC69" s="292">
        <v>0</v>
      </c>
      <c r="AD69" s="292">
        <v>0</v>
      </c>
      <c r="AE69" s="292">
        <v>0</v>
      </c>
      <c r="AF69" s="292">
        <v>0</v>
      </c>
      <c r="AG69" s="292">
        <v>0</v>
      </c>
      <c r="AH69" s="292">
        <v>0</v>
      </c>
      <c r="AI69" s="292">
        <v>0</v>
      </c>
      <c r="AJ69" s="292">
        <v>0</v>
      </c>
      <c r="AK69" s="292">
        <v>0</v>
      </c>
      <c r="AL69" s="292">
        <v>0</v>
      </c>
      <c r="AM69" s="292">
        <v>0</v>
      </c>
      <c r="AN69" s="292">
        <v>0</v>
      </c>
      <c r="AO69" s="292">
        <v>0</v>
      </c>
      <c r="AP69" s="292">
        <v>0</v>
      </c>
      <c r="AQ69" s="292">
        <v>0</v>
      </c>
      <c r="AR69" s="292">
        <v>0</v>
      </c>
      <c r="AS69" s="292">
        <v>0</v>
      </c>
      <c r="AT69" s="292">
        <v>0</v>
      </c>
      <c r="AU69" s="292">
        <v>0</v>
      </c>
      <c r="AV69" s="292">
        <v>0</v>
      </c>
      <c r="AW69" s="292">
        <v>0</v>
      </c>
      <c r="AX69" s="292">
        <v>0</v>
      </c>
      <c r="AY69" s="292">
        <v>0</v>
      </c>
      <c r="AZ69" s="292">
        <v>0</v>
      </c>
      <c r="BA69" s="292">
        <v>0</v>
      </c>
      <c r="BB69" s="292">
        <v>0</v>
      </c>
      <c r="BC69" s="292">
        <v>0</v>
      </c>
    </row>
    <row r="70" spans="2:55" s="192" customFormat="1" ht="18" hidden="1" customHeight="1" outlineLevel="1" x14ac:dyDescent="0.25">
      <c r="B70" s="252" t="s">
        <v>359</v>
      </c>
      <c r="C70" s="299">
        <f>C69*$D$68</f>
        <v>10.613370609652852</v>
      </c>
      <c r="D70" s="299">
        <f>D69*$D$68</f>
        <v>7.0755804064352352</v>
      </c>
      <c r="E70" s="299">
        <f>E69*$D$68</f>
        <v>17.688951016088087</v>
      </c>
      <c r="F70" s="299">
        <f t="shared" ref="F70:BC70" si="34">F69*$D$65</f>
        <v>0</v>
      </c>
      <c r="G70" s="299">
        <f t="shared" si="34"/>
        <v>0</v>
      </c>
      <c r="H70" s="299">
        <f t="shared" si="34"/>
        <v>0</v>
      </c>
      <c r="I70" s="299">
        <f t="shared" si="34"/>
        <v>0</v>
      </c>
      <c r="J70" s="299">
        <f t="shared" si="34"/>
        <v>0</v>
      </c>
      <c r="K70" s="299">
        <f t="shared" si="34"/>
        <v>0</v>
      </c>
      <c r="L70" s="299">
        <f t="shared" si="34"/>
        <v>0</v>
      </c>
      <c r="M70" s="299">
        <f t="shared" si="34"/>
        <v>0</v>
      </c>
      <c r="N70" s="299">
        <f t="shared" si="34"/>
        <v>0</v>
      </c>
      <c r="O70" s="299">
        <f t="shared" si="34"/>
        <v>0</v>
      </c>
      <c r="P70" s="299">
        <f t="shared" si="34"/>
        <v>0</v>
      </c>
      <c r="Q70" s="299">
        <f t="shared" si="34"/>
        <v>0</v>
      </c>
      <c r="R70" s="299">
        <f t="shared" si="34"/>
        <v>0</v>
      </c>
      <c r="S70" s="299">
        <f t="shared" si="34"/>
        <v>0</v>
      </c>
      <c r="T70" s="299">
        <f t="shared" si="34"/>
        <v>0</v>
      </c>
      <c r="U70" s="299">
        <f t="shared" si="34"/>
        <v>0</v>
      </c>
      <c r="V70" s="299">
        <f t="shared" si="34"/>
        <v>0</v>
      </c>
      <c r="W70" s="299">
        <f t="shared" si="34"/>
        <v>0</v>
      </c>
      <c r="X70" s="299">
        <f t="shared" si="34"/>
        <v>0</v>
      </c>
      <c r="Y70" s="299">
        <f t="shared" si="34"/>
        <v>0</v>
      </c>
      <c r="Z70" s="299">
        <f t="shared" si="34"/>
        <v>0</v>
      </c>
      <c r="AA70" s="299">
        <f t="shared" si="34"/>
        <v>0</v>
      </c>
      <c r="AB70" s="299">
        <f t="shared" si="34"/>
        <v>0</v>
      </c>
      <c r="AC70" s="299">
        <f t="shared" si="34"/>
        <v>0</v>
      </c>
      <c r="AD70" s="299">
        <f t="shared" si="34"/>
        <v>0</v>
      </c>
      <c r="AE70" s="299">
        <f t="shared" si="34"/>
        <v>0</v>
      </c>
      <c r="AF70" s="299">
        <f t="shared" si="34"/>
        <v>0</v>
      </c>
      <c r="AG70" s="299">
        <f t="shared" si="34"/>
        <v>0</v>
      </c>
      <c r="AH70" s="299">
        <f t="shared" si="34"/>
        <v>0</v>
      </c>
      <c r="AI70" s="299">
        <f t="shared" si="34"/>
        <v>0</v>
      </c>
      <c r="AJ70" s="299">
        <f t="shared" si="34"/>
        <v>0</v>
      </c>
      <c r="AK70" s="299">
        <f t="shared" si="34"/>
        <v>0</v>
      </c>
      <c r="AL70" s="299">
        <f t="shared" si="34"/>
        <v>0</v>
      </c>
      <c r="AM70" s="299">
        <f t="shared" si="34"/>
        <v>0</v>
      </c>
      <c r="AN70" s="299">
        <f t="shared" si="34"/>
        <v>0</v>
      </c>
      <c r="AO70" s="299">
        <f t="shared" si="34"/>
        <v>0</v>
      </c>
      <c r="AP70" s="299">
        <f t="shared" si="34"/>
        <v>0</v>
      </c>
      <c r="AQ70" s="299">
        <f t="shared" si="34"/>
        <v>0</v>
      </c>
      <c r="AR70" s="299">
        <f t="shared" si="34"/>
        <v>0</v>
      </c>
      <c r="AS70" s="299">
        <f t="shared" si="34"/>
        <v>0</v>
      </c>
      <c r="AT70" s="299">
        <f t="shared" si="34"/>
        <v>0</v>
      </c>
      <c r="AU70" s="299">
        <f t="shared" si="34"/>
        <v>0</v>
      </c>
      <c r="AV70" s="299">
        <f t="shared" si="34"/>
        <v>0</v>
      </c>
      <c r="AW70" s="299">
        <f t="shared" si="34"/>
        <v>0</v>
      </c>
      <c r="AX70" s="299">
        <f t="shared" si="34"/>
        <v>0</v>
      </c>
      <c r="AY70" s="299">
        <f t="shared" si="34"/>
        <v>0</v>
      </c>
      <c r="AZ70" s="299">
        <f t="shared" si="34"/>
        <v>0</v>
      </c>
      <c r="BA70" s="299">
        <f t="shared" si="34"/>
        <v>0</v>
      </c>
      <c r="BB70" s="299">
        <f t="shared" si="34"/>
        <v>0</v>
      </c>
      <c r="BC70" s="299">
        <f t="shared" si="34"/>
        <v>0</v>
      </c>
    </row>
    <row r="71" spans="2:55" s="192" customFormat="1" ht="18" hidden="1" customHeight="1" outlineLevel="1" x14ac:dyDescent="0.25">
      <c r="B71" s="732" t="str">
        <f>'R&amp;C-Painel de Controle'!F58</f>
        <v>Produção de CDR TM — Trat. Mec.</v>
      </c>
      <c r="C71" s="291" t="str">
        <f>'R&amp;C-Painel de Controle'!G58</f>
        <v>Não</v>
      </c>
      <c r="D71" s="302">
        <f>'R&amp;C-Painel de Controle'!K58</f>
        <v>0</v>
      </c>
    </row>
    <row r="72" spans="2:55" s="192" customFormat="1" ht="18" hidden="1" customHeight="1" outlineLevel="1" x14ac:dyDescent="0.25">
      <c r="B72" s="252" t="s">
        <v>620</v>
      </c>
      <c r="C72" s="292">
        <v>0.2</v>
      </c>
      <c r="D72" s="289">
        <v>0.5</v>
      </c>
      <c r="E72" s="292">
        <v>0.3</v>
      </c>
      <c r="F72" s="292">
        <v>0</v>
      </c>
      <c r="G72" s="292">
        <v>0</v>
      </c>
      <c r="H72" s="292">
        <v>0</v>
      </c>
      <c r="I72" s="292">
        <v>0</v>
      </c>
      <c r="J72" s="292">
        <v>0</v>
      </c>
      <c r="K72" s="292">
        <v>0</v>
      </c>
      <c r="L72" s="292">
        <v>0</v>
      </c>
      <c r="M72" s="292">
        <v>0</v>
      </c>
      <c r="N72" s="292">
        <v>0</v>
      </c>
      <c r="O72" s="292">
        <v>0</v>
      </c>
      <c r="P72" s="292">
        <v>0</v>
      </c>
      <c r="Q72" s="292">
        <v>0</v>
      </c>
      <c r="R72" s="292">
        <v>0</v>
      </c>
      <c r="S72" s="292">
        <v>0</v>
      </c>
      <c r="T72" s="292">
        <v>0</v>
      </c>
      <c r="U72" s="292">
        <v>0</v>
      </c>
      <c r="V72" s="292">
        <v>0</v>
      </c>
      <c r="W72" s="292">
        <v>0</v>
      </c>
      <c r="X72" s="292">
        <v>0</v>
      </c>
      <c r="Y72" s="292">
        <v>0</v>
      </c>
      <c r="Z72" s="292">
        <v>0</v>
      </c>
      <c r="AA72" s="292">
        <v>0</v>
      </c>
      <c r="AB72" s="292">
        <v>0</v>
      </c>
      <c r="AC72" s="292">
        <v>0</v>
      </c>
      <c r="AD72" s="292">
        <v>0</v>
      </c>
      <c r="AE72" s="292">
        <v>0</v>
      </c>
      <c r="AF72" s="292">
        <v>0</v>
      </c>
      <c r="AG72" s="292">
        <v>0</v>
      </c>
      <c r="AH72" s="292">
        <v>0</v>
      </c>
      <c r="AI72" s="292">
        <v>0</v>
      </c>
      <c r="AJ72" s="292">
        <v>0</v>
      </c>
      <c r="AK72" s="292">
        <v>0</v>
      </c>
      <c r="AL72" s="292">
        <v>0</v>
      </c>
      <c r="AM72" s="292">
        <v>0</v>
      </c>
      <c r="AN72" s="292">
        <v>0</v>
      </c>
      <c r="AO72" s="292">
        <v>0</v>
      </c>
      <c r="AP72" s="292">
        <v>0</v>
      </c>
      <c r="AQ72" s="292">
        <v>0</v>
      </c>
      <c r="AR72" s="292">
        <v>0</v>
      </c>
      <c r="AS72" s="292">
        <v>0</v>
      </c>
      <c r="AT72" s="292">
        <v>0</v>
      </c>
      <c r="AU72" s="292">
        <v>0</v>
      </c>
      <c r="AV72" s="292">
        <v>0</v>
      </c>
      <c r="AW72" s="292">
        <v>0</v>
      </c>
      <c r="AX72" s="292">
        <v>0</v>
      </c>
      <c r="AY72" s="292">
        <v>0</v>
      </c>
      <c r="AZ72" s="292">
        <v>0</v>
      </c>
      <c r="BA72" s="292">
        <v>0</v>
      </c>
      <c r="BB72" s="292">
        <v>0</v>
      </c>
      <c r="BC72" s="292">
        <v>0</v>
      </c>
    </row>
    <row r="73" spans="2:55" s="192" customFormat="1" ht="18" hidden="1" customHeight="1" outlineLevel="1" x14ac:dyDescent="0.25">
      <c r="B73" s="252" t="s">
        <v>359</v>
      </c>
      <c r="C73" s="299">
        <f t="shared" ref="C73:BC73" si="35">C72*$D$71</f>
        <v>0</v>
      </c>
      <c r="D73" s="300">
        <f t="shared" si="35"/>
        <v>0</v>
      </c>
      <c r="E73" s="299">
        <f t="shared" si="35"/>
        <v>0</v>
      </c>
      <c r="F73" s="299">
        <f t="shared" si="35"/>
        <v>0</v>
      </c>
      <c r="G73" s="299">
        <f t="shared" si="35"/>
        <v>0</v>
      </c>
      <c r="H73" s="299">
        <f t="shared" si="35"/>
        <v>0</v>
      </c>
      <c r="I73" s="299">
        <f t="shared" si="35"/>
        <v>0</v>
      </c>
      <c r="J73" s="299">
        <f t="shared" si="35"/>
        <v>0</v>
      </c>
      <c r="K73" s="299">
        <f t="shared" si="35"/>
        <v>0</v>
      </c>
      <c r="L73" s="299">
        <f t="shared" si="35"/>
        <v>0</v>
      </c>
      <c r="M73" s="299">
        <f t="shared" si="35"/>
        <v>0</v>
      </c>
      <c r="N73" s="299">
        <f t="shared" si="35"/>
        <v>0</v>
      </c>
      <c r="O73" s="299">
        <f t="shared" si="35"/>
        <v>0</v>
      </c>
      <c r="P73" s="299">
        <f t="shared" si="35"/>
        <v>0</v>
      </c>
      <c r="Q73" s="299">
        <f t="shared" si="35"/>
        <v>0</v>
      </c>
      <c r="R73" s="299">
        <f t="shared" si="35"/>
        <v>0</v>
      </c>
      <c r="S73" s="299">
        <f t="shared" si="35"/>
        <v>0</v>
      </c>
      <c r="T73" s="299">
        <f t="shared" si="35"/>
        <v>0</v>
      </c>
      <c r="U73" s="299">
        <f t="shared" si="35"/>
        <v>0</v>
      </c>
      <c r="V73" s="299">
        <f t="shared" si="35"/>
        <v>0</v>
      </c>
      <c r="W73" s="299">
        <f t="shared" si="35"/>
        <v>0</v>
      </c>
      <c r="X73" s="299">
        <f t="shared" si="35"/>
        <v>0</v>
      </c>
      <c r="Y73" s="299">
        <f t="shared" si="35"/>
        <v>0</v>
      </c>
      <c r="Z73" s="299">
        <f t="shared" si="35"/>
        <v>0</v>
      </c>
      <c r="AA73" s="299">
        <f t="shared" si="35"/>
        <v>0</v>
      </c>
      <c r="AB73" s="299">
        <f t="shared" si="35"/>
        <v>0</v>
      </c>
      <c r="AC73" s="299">
        <f t="shared" si="35"/>
        <v>0</v>
      </c>
      <c r="AD73" s="299">
        <f t="shared" si="35"/>
        <v>0</v>
      </c>
      <c r="AE73" s="299">
        <f t="shared" si="35"/>
        <v>0</v>
      </c>
      <c r="AF73" s="299">
        <f t="shared" si="35"/>
        <v>0</v>
      </c>
      <c r="AG73" s="299">
        <f t="shared" si="35"/>
        <v>0</v>
      </c>
      <c r="AH73" s="299">
        <f t="shared" si="35"/>
        <v>0</v>
      </c>
      <c r="AI73" s="299">
        <f t="shared" si="35"/>
        <v>0</v>
      </c>
      <c r="AJ73" s="299">
        <f t="shared" si="35"/>
        <v>0</v>
      </c>
      <c r="AK73" s="299">
        <f t="shared" si="35"/>
        <v>0</v>
      </c>
      <c r="AL73" s="299">
        <f t="shared" si="35"/>
        <v>0</v>
      </c>
      <c r="AM73" s="299">
        <f t="shared" si="35"/>
        <v>0</v>
      </c>
      <c r="AN73" s="299">
        <f t="shared" si="35"/>
        <v>0</v>
      </c>
      <c r="AO73" s="299">
        <f t="shared" si="35"/>
        <v>0</v>
      </c>
      <c r="AP73" s="299">
        <f t="shared" si="35"/>
        <v>0</v>
      </c>
      <c r="AQ73" s="299">
        <f t="shared" si="35"/>
        <v>0</v>
      </c>
      <c r="AR73" s="299">
        <f t="shared" si="35"/>
        <v>0</v>
      </c>
      <c r="AS73" s="299">
        <f t="shared" si="35"/>
        <v>0</v>
      </c>
      <c r="AT73" s="299">
        <f t="shared" si="35"/>
        <v>0</v>
      </c>
      <c r="AU73" s="299">
        <f t="shared" si="35"/>
        <v>0</v>
      </c>
      <c r="AV73" s="299">
        <f t="shared" si="35"/>
        <v>0</v>
      </c>
      <c r="AW73" s="299">
        <f t="shared" si="35"/>
        <v>0</v>
      </c>
      <c r="AX73" s="299">
        <f t="shared" si="35"/>
        <v>0</v>
      </c>
      <c r="AY73" s="299">
        <f t="shared" si="35"/>
        <v>0</v>
      </c>
      <c r="AZ73" s="299">
        <f t="shared" si="35"/>
        <v>0</v>
      </c>
      <c r="BA73" s="299">
        <f t="shared" si="35"/>
        <v>0</v>
      </c>
      <c r="BB73" s="299">
        <f t="shared" si="35"/>
        <v>0</v>
      </c>
      <c r="BC73" s="299">
        <f t="shared" si="35"/>
        <v>0</v>
      </c>
    </row>
    <row r="74" spans="2:55" s="192" customFormat="1" ht="18" hidden="1" customHeight="1" outlineLevel="1" x14ac:dyDescent="0.25">
      <c r="B74" s="732" t="str">
        <f>'R&amp;C-Painel de Controle'!F61</f>
        <v>Prod. CDR TMB — Trat. Mec./Biológ.</v>
      </c>
      <c r="C74" s="291" t="str">
        <f>'R&amp;C-Painel de Controle'!G61</f>
        <v>Não</v>
      </c>
      <c r="D74" s="302">
        <f>'R&amp;C-Painel de Controle'!K61</f>
        <v>0</v>
      </c>
      <c r="E74" s="1274"/>
      <c r="F74" s="1274"/>
      <c r="G74" s="1274"/>
      <c r="H74" s="1274"/>
      <c r="I74" s="1274"/>
      <c r="J74" s="1274"/>
      <c r="K74" s="1274"/>
      <c r="L74" s="1274"/>
      <c r="M74" s="1274"/>
      <c r="N74" s="1274"/>
      <c r="O74" s="1274"/>
      <c r="P74" s="1274"/>
      <c r="Q74" s="1274"/>
      <c r="R74" s="1274"/>
      <c r="S74" s="1274"/>
      <c r="T74" s="1274"/>
      <c r="U74" s="1274"/>
      <c r="V74" s="1274"/>
      <c r="W74" s="1274"/>
      <c r="X74" s="1274"/>
      <c r="Y74" s="1274"/>
      <c r="Z74" s="1274"/>
      <c r="AA74" s="1274"/>
      <c r="AB74" s="1274"/>
      <c r="AC74" s="1274"/>
      <c r="AD74" s="1274"/>
      <c r="AE74" s="1274"/>
      <c r="AF74" s="1274"/>
      <c r="AG74" s="1274"/>
      <c r="AH74" s="1274"/>
      <c r="AI74" s="1274"/>
      <c r="AJ74" s="1274"/>
      <c r="AK74" s="1274"/>
      <c r="AL74" s="1274"/>
      <c r="AM74" s="1274"/>
      <c r="AN74" s="1274"/>
      <c r="AO74" s="1274"/>
      <c r="AP74" s="1274"/>
      <c r="AQ74" s="1274"/>
      <c r="AR74" s="1274"/>
      <c r="AS74" s="1274"/>
      <c r="AT74" s="1274"/>
      <c r="AU74" s="1274"/>
      <c r="AV74" s="1274"/>
      <c r="AW74" s="1274"/>
      <c r="AX74" s="1274"/>
      <c r="AY74" s="1274"/>
      <c r="AZ74" s="1274"/>
      <c r="BA74" s="1274"/>
      <c r="BB74" s="1274"/>
      <c r="BC74" s="1274"/>
    </row>
    <row r="75" spans="2:55" s="192" customFormat="1" ht="18" hidden="1" customHeight="1" outlineLevel="1" x14ac:dyDescent="0.25">
      <c r="B75" s="252" t="s">
        <v>620</v>
      </c>
      <c r="C75" s="292">
        <v>0.2</v>
      </c>
      <c r="D75" s="289">
        <v>0.5</v>
      </c>
      <c r="E75" s="292">
        <v>0.3</v>
      </c>
      <c r="F75" s="292">
        <v>0</v>
      </c>
      <c r="G75" s="292">
        <v>0</v>
      </c>
      <c r="H75" s="292">
        <v>0</v>
      </c>
      <c r="I75" s="292">
        <v>0</v>
      </c>
      <c r="J75" s="292">
        <v>0</v>
      </c>
      <c r="K75" s="292">
        <v>0</v>
      </c>
      <c r="L75" s="292">
        <v>0</v>
      </c>
      <c r="M75" s="292">
        <v>0</v>
      </c>
      <c r="N75" s="292">
        <v>0</v>
      </c>
      <c r="O75" s="292">
        <v>0</v>
      </c>
      <c r="P75" s="292">
        <v>0</v>
      </c>
      <c r="Q75" s="292">
        <v>0</v>
      </c>
      <c r="R75" s="292">
        <v>0</v>
      </c>
      <c r="S75" s="292">
        <v>0</v>
      </c>
      <c r="T75" s="292">
        <v>0</v>
      </c>
      <c r="U75" s="292">
        <v>0</v>
      </c>
      <c r="V75" s="292">
        <v>0</v>
      </c>
      <c r="W75" s="292">
        <v>0</v>
      </c>
      <c r="X75" s="292">
        <v>0</v>
      </c>
      <c r="Y75" s="292">
        <v>0</v>
      </c>
      <c r="Z75" s="292">
        <v>0</v>
      </c>
      <c r="AA75" s="292">
        <v>0</v>
      </c>
      <c r="AB75" s="292">
        <v>0</v>
      </c>
      <c r="AC75" s="292">
        <v>0</v>
      </c>
      <c r="AD75" s="292">
        <v>0</v>
      </c>
      <c r="AE75" s="292">
        <v>0</v>
      </c>
      <c r="AF75" s="292">
        <v>0</v>
      </c>
      <c r="AG75" s="292">
        <v>0</v>
      </c>
      <c r="AH75" s="292">
        <v>0</v>
      </c>
      <c r="AI75" s="292">
        <v>0</v>
      </c>
      <c r="AJ75" s="292">
        <v>0</v>
      </c>
      <c r="AK75" s="292">
        <v>0</v>
      </c>
      <c r="AL75" s="292">
        <v>0</v>
      </c>
      <c r="AM75" s="292">
        <v>0</v>
      </c>
      <c r="AN75" s="292">
        <v>0</v>
      </c>
      <c r="AO75" s="292">
        <v>0</v>
      </c>
      <c r="AP75" s="292">
        <v>0</v>
      </c>
      <c r="AQ75" s="292">
        <v>0</v>
      </c>
      <c r="AR75" s="292">
        <v>0</v>
      </c>
      <c r="AS75" s="292">
        <v>0</v>
      </c>
      <c r="AT75" s="292">
        <v>0</v>
      </c>
      <c r="AU75" s="292">
        <v>0</v>
      </c>
      <c r="AV75" s="292">
        <v>0</v>
      </c>
      <c r="AW75" s="292">
        <v>0</v>
      </c>
      <c r="AX75" s="292">
        <v>0</v>
      </c>
      <c r="AY75" s="292">
        <v>0</v>
      </c>
      <c r="AZ75" s="292">
        <v>0</v>
      </c>
      <c r="BA75" s="292">
        <v>0</v>
      </c>
      <c r="BB75" s="292">
        <v>0</v>
      </c>
      <c r="BC75" s="292">
        <v>0</v>
      </c>
    </row>
    <row r="76" spans="2:55" s="192" customFormat="1" ht="18" hidden="1" customHeight="1" outlineLevel="1" x14ac:dyDescent="0.25">
      <c r="B76" s="252" t="s">
        <v>359</v>
      </c>
      <c r="C76" s="299">
        <f t="shared" ref="C76:BC76" si="36">C75*$D$74</f>
        <v>0</v>
      </c>
      <c r="D76" s="300">
        <f t="shared" si="36"/>
        <v>0</v>
      </c>
      <c r="E76" s="299">
        <f t="shared" si="36"/>
        <v>0</v>
      </c>
      <c r="F76" s="299">
        <f t="shared" si="36"/>
        <v>0</v>
      </c>
      <c r="G76" s="299">
        <f t="shared" si="36"/>
        <v>0</v>
      </c>
      <c r="H76" s="299">
        <f t="shared" si="36"/>
        <v>0</v>
      </c>
      <c r="I76" s="299">
        <f t="shared" si="36"/>
        <v>0</v>
      </c>
      <c r="J76" s="299">
        <f t="shared" si="36"/>
        <v>0</v>
      </c>
      <c r="K76" s="299">
        <f t="shared" si="36"/>
        <v>0</v>
      </c>
      <c r="L76" s="299">
        <f t="shared" si="36"/>
        <v>0</v>
      </c>
      <c r="M76" s="299">
        <f t="shared" si="36"/>
        <v>0</v>
      </c>
      <c r="N76" s="299">
        <f t="shared" si="36"/>
        <v>0</v>
      </c>
      <c r="O76" s="299">
        <f t="shared" si="36"/>
        <v>0</v>
      </c>
      <c r="P76" s="299">
        <f t="shared" si="36"/>
        <v>0</v>
      </c>
      <c r="Q76" s="299">
        <f t="shared" si="36"/>
        <v>0</v>
      </c>
      <c r="R76" s="299">
        <f t="shared" si="36"/>
        <v>0</v>
      </c>
      <c r="S76" s="299">
        <f t="shared" si="36"/>
        <v>0</v>
      </c>
      <c r="T76" s="299">
        <f t="shared" si="36"/>
        <v>0</v>
      </c>
      <c r="U76" s="299">
        <f t="shared" si="36"/>
        <v>0</v>
      </c>
      <c r="V76" s="299">
        <f t="shared" si="36"/>
        <v>0</v>
      </c>
      <c r="W76" s="299">
        <f t="shared" si="36"/>
        <v>0</v>
      </c>
      <c r="X76" s="299">
        <f t="shared" si="36"/>
        <v>0</v>
      </c>
      <c r="Y76" s="299">
        <f t="shared" si="36"/>
        <v>0</v>
      </c>
      <c r="Z76" s="299">
        <f t="shared" si="36"/>
        <v>0</v>
      </c>
      <c r="AA76" s="299">
        <f t="shared" si="36"/>
        <v>0</v>
      </c>
      <c r="AB76" s="299">
        <f t="shared" si="36"/>
        <v>0</v>
      </c>
      <c r="AC76" s="299">
        <f t="shared" si="36"/>
        <v>0</v>
      </c>
      <c r="AD76" s="299">
        <f t="shared" si="36"/>
        <v>0</v>
      </c>
      <c r="AE76" s="299">
        <f t="shared" si="36"/>
        <v>0</v>
      </c>
      <c r="AF76" s="299">
        <f t="shared" si="36"/>
        <v>0</v>
      </c>
      <c r="AG76" s="299">
        <f t="shared" si="36"/>
        <v>0</v>
      </c>
      <c r="AH76" s="299">
        <f t="shared" si="36"/>
        <v>0</v>
      </c>
      <c r="AI76" s="299">
        <f t="shared" si="36"/>
        <v>0</v>
      </c>
      <c r="AJ76" s="299">
        <f t="shared" si="36"/>
        <v>0</v>
      </c>
      <c r="AK76" s="299">
        <f t="shared" si="36"/>
        <v>0</v>
      </c>
      <c r="AL76" s="299">
        <f t="shared" si="36"/>
        <v>0</v>
      </c>
      <c r="AM76" s="299">
        <f t="shared" si="36"/>
        <v>0</v>
      </c>
      <c r="AN76" s="299">
        <f t="shared" si="36"/>
        <v>0</v>
      </c>
      <c r="AO76" s="299">
        <f t="shared" si="36"/>
        <v>0</v>
      </c>
      <c r="AP76" s="299">
        <f t="shared" si="36"/>
        <v>0</v>
      </c>
      <c r="AQ76" s="299">
        <f t="shared" si="36"/>
        <v>0</v>
      </c>
      <c r="AR76" s="299">
        <f t="shared" si="36"/>
        <v>0</v>
      </c>
      <c r="AS76" s="299">
        <f t="shared" si="36"/>
        <v>0</v>
      </c>
      <c r="AT76" s="299">
        <f t="shared" si="36"/>
        <v>0</v>
      </c>
      <c r="AU76" s="299">
        <f t="shared" si="36"/>
        <v>0</v>
      </c>
      <c r="AV76" s="299">
        <f t="shared" si="36"/>
        <v>0</v>
      </c>
      <c r="AW76" s="299">
        <f t="shared" si="36"/>
        <v>0</v>
      </c>
      <c r="AX76" s="299">
        <f t="shared" si="36"/>
        <v>0</v>
      </c>
      <c r="AY76" s="299">
        <f t="shared" si="36"/>
        <v>0</v>
      </c>
      <c r="AZ76" s="299">
        <f t="shared" si="36"/>
        <v>0</v>
      </c>
      <c r="BA76" s="299">
        <f t="shared" si="36"/>
        <v>0</v>
      </c>
      <c r="BB76" s="299">
        <f t="shared" si="36"/>
        <v>0</v>
      </c>
      <c r="BC76" s="299">
        <f t="shared" si="36"/>
        <v>0</v>
      </c>
    </row>
    <row r="77" spans="2:55" s="192" customFormat="1" ht="18" hidden="1" customHeight="1" outlineLevel="1" x14ac:dyDescent="0.25">
      <c r="B77" s="732" t="str">
        <f>'R&amp;C-Painel de Controle'!F64</f>
        <v>Biodigestão Anaeróbia</v>
      </c>
      <c r="C77" s="291" t="str">
        <f>'R&amp;C-Painel de Controle'!G64</f>
        <v>Não'</v>
      </c>
      <c r="D77" s="302">
        <f>'R&amp;C-Painel de Controle'!K64</f>
        <v>0</v>
      </c>
    </row>
    <row r="78" spans="2:55" s="192" customFormat="1" ht="18" hidden="1" customHeight="1" outlineLevel="1" x14ac:dyDescent="0.25">
      <c r="B78" s="252" t="s">
        <v>620</v>
      </c>
      <c r="C78" s="292">
        <v>0.2</v>
      </c>
      <c r="D78" s="289">
        <v>0.5</v>
      </c>
      <c r="E78" s="292">
        <v>0.3</v>
      </c>
      <c r="F78" s="292">
        <v>0</v>
      </c>
      <c r="G78" s="292">
        <v>0</v>
      </c>
      <c r="H78" s="292">
        <v>0</v>
      </c>
      <c r="I78" s="292">
        <v>0</v>
      </c>
      <c r="J78" s="292">
        <v>0</v>
      </c>
      <c r="K78" s="292">
        <v>0</v>
      </c>
      <c r="L78" s="292">
        <v>0</v>
      </c>
      <c r="M78" s="292">
        <v>0</v>
      </c>
      <c r="N78" s="292">
        <v>0</v>
      </c>
      <c r="O78" s="292">
        <v>0</v>
      </c>
      <c r="P78" s="292">
        <v>0</v>
      </c>
      <c r="Q78" s="292">
        <v>0</v>
      </c>
      <c r="R78" s="292">
        <v>0</v>
      </c>
      <c r="S78" s="292">
        <v>0</v>
      </c>
      <c r="T78" s="292">
        <v>0</v>
      </c>
      <c r="U78" s="292">
        <v>0</v>
      </c>
      <c r="V78" s="292">
        <v>0</v>
      </c>
      <c r="W78" s="292">
        <v>0</v>
      </c>
      <c r="X78" s="292">
        <v>0</v>
      </c>
      <c r="Y78" s="292">
        <v>0</v>
      </c>
      <c r="Z78" s="292">
        <v>0</v>
      </c>
      <c r="AA78" s="292">
        <v>0</v>
      </c>
      <c r="AB78" s="292">
        <v>0</v>
      </c>
      <c r="AC78" s="292">
        <v>0</v>
      </c>
      <c r="AD78" s="292">
        <v>0</v>
      </c>
      <c r="AE78" s="292">
        <v>0</v>
      </c>
      <c r="AF78" s="292">
        <v>0</v>
      </c>
      <c r="AG78" s="292">
        <v>0</v>
      </c>
      <c r="AH78" s="292">
        <v>0</v>
      </c>
      <c r="AI78" s="292">
        <v>0</v>
      </c>
      <c r="AJ78" s="292">
        <v>0</v>
      </c>
      <c r="AK78" s="292">
        <v>0</v>
      </c>
      <c r="AL78" s="292">
        <v>0</v>
      </c>
      <c r="AM78" s="292">
        <v>0</v>
      </c>
      <c r="AN78" s="292">
        <v>0</v>
      </c>
      <c r="AO78" s="292">
        <v>0</v>
      </c>
      <c r="AP78" s="292">
        <v>0</v>
      </c>
      <c r="AQ78" s="292">
        <v>0</v>
      </c>
      <c r="AR78" s="292">
        <v>0</v>
      </c>
      <c r="AS78" s="292">
        <v>0</v>
      </c>
      <c r="AT78" s="292">
        <v>0</v>
      </c>
      <c r="AU78" s="292">
        <v>0</v>
      </c>
      <c r="AV78" s="292">
        <v>0</v>
      </c>
      <c r="AW78" s="292">
        <v>0</v>
      </c>
      <c r="AX78" s="292">
        <v>0</v>
      </c>
      <c r="AY78" s="292">
        <v>0</v>
      </c>
      <c r="AZ78" s="292">
        <v>0</v>
      </c>
      <c r="BA78" s="292">
        <v>0</v>
      </c>
      <c r="BB78" s="292">
        <v>0</v>
      </c>
      <c r="BC78" s="292">
        <v>0</v>
      </c>
    </row>
    <row r="79" spans="2:55" s="192" customFormat="1" ht="18" hidden="1" customHeight="1" outlineLevel="1" x14ac:dyDescent="0.25">
      <c r="B79" s="252" t="s">
        <v>359</v>
      </c>
      <c r="C79" s="299">
        <f t="shared" ref="C79:BC79" si="37">C78*$D$77</f>
        <v>0</v>
      </c>
      <c r="D79" s="300">
        <f t="shared" si="37"/>
        <v>0</v>
      </c>
      <c r="E79" s="299">
        <f t="shared" si="37"/>
        <v>0</v>
      </c>
      <c r="F79" s="299">
        <f t="shared" si="37"/>
        <v>0</v>
      </c>
      <c r="G79" s="299">
        <f t="shared" si="37"/>
        <v>0</v>
      </c>
      <c r="H79" s="299">
        <f t="shared" si="37"/>
        <v>0</v>
      </c>
      <c r="I79" s="299">
        <f t="shared" si="37"/>
        <v>0</v>
      </c>
      <c r="J79" s="299">
        <f t="shared" si="37"/>
        <v>0</v>
      </c>
      <c r="K79" s="299">
        <f t="shared" si="37"/>
        <v>0</v>
      </c>
      <c r="L79" s="299">
        <f t="shared" si="37"/>
        <v>0</v>
      </c>
      <c r="M79" s="299">
        <f t="shared" si="37"/>
        <v>0</v>
      </c>
      <c r="N79" s="299">
        <f t="shared" si="37"/>
        <v>0</v>
      </c>
      <c r="O79" s="299">
        <f t="shared" si="37"/>
        <v>0</v>
      </c>
      <c r="P79" s="299">
        <f t="shared" si="37"/>
        <v>0</v>
      </c>
      <c r="Q79" s="299">
        <f t="shared" si="37"/>
        <v>0</v>
      </c>
      <c r="R79" s="299">
        <f t="shared" si="37"/>
        <v>0</v>
      </c>
      <c r="S79" s="299">
        <f t="shared" si="37"/>
        <v>0</v>
      </c>
      <c r="T79" s="299">
        <f t="shared" si="37"/>
        <v>0</v>
      </c>
      <c r="U79" s="299">
        <f t="shared" si="37"/>
        <v>0</v>
      </c>
      <c r="V79" s="299">
        <f t="shared" si="37"/>
        <v>0</v>
      </c>
      <c r="W79" s="299">
        <f t="shared" si="37"/>
        <v>0</v>
      </c>
      <c r="X79" s="299">
        <f t="shared" si="37"/>
        <v>0</v>
      </c>
      <c r="Y79" s="299">
        <f t="shared" si="37"/>
        <v>0</v>
      </c>
      <c r="Z79" s="299">
        <f t="shared" si="37"/>
        <v>0</v>
      </c>
      <c r="AA79" s="299">
        <f t="shared" si="37"/>
        <v>0</v>
      </c>
      <c r="AB79" s="299">
        <f t="shared" si="37"/>
        <v>0</v>
      </c>
      <c r="AC79" s="299">
        <f t="shared" si="37"/>
        <v>0</v>
      </c>
      <c r="AD79" s="299">
        <f t="shared" si="37"/>
        <v>0</v>
      </c>
      <c r="AE79" s="299">
        <f t="shared" si="37"/>
        <v>0</v>
      </c>
      <c r="AF79" s="299">
        <f t="shared" si="37"/>
        <v>0</v>
      </c>
      <c r="AG79" s="299">
        <f t="shared" si="37"/>
        <v>0</v>
      </c>
      <c r="AH79" s="299">
        <f t="shared" si="37"/>
        <v>0</v>
      </c>
      <c r="AI79" s="299">
        <f t="shared" si="37"/>
        <v>0</v>
      </c>
      <c r="AJ79" s="299">
        <f t="shared" si="37"/>
        <v>0</v>
      </c>
      <c r="AK79" s="299">
        <f t="shared" si="37"/>
        <v>0</v>
      </c>
      <c r="AL79" s="299">
        <f t="shared" si="37"/>
        <v>0</v>
      </c>
      <c r="AM79" s="299">
        <f t="shared" si="37"/>
        <v>0</v>
      </c>
      <c r="AN79" s="299">
        <f t="shared" si="37"/>
        <v>0</v>
      </c>
      <c r="AO79" s="299">
        <f t="shared" si="37"/>
        <v>0</v>
      </c>
      <c r="AP79" s="299">
        <f t="shared" si="37"/>
        <v>0</v>
      </c>
      <c r="AQ79" s="299">
        <f t="shared" si="37"/>
        <v>0</v>
      </c>
      <c r="AR79" s="299">
        <f t="shared" si="37"/>
        <v>0</v>
      </c>
      <c r="AS79" s="299">
        <f t="shared" si="37"/>
        <v>0</v>
      </c>
      <c r="AT79" s="299">
        <f t="shared" si="37"/>
        <v>0</v>
      </c>
      <c r="AU79" s="299">
        <f t="shared" si="37"/>
        <v>0</v>
      </c>
      <c r="AV79" s="299">
        <f t="shared" si="37"/>
        <v>0</v>
      </c>
      <c r="AW79" s="299">
        <f t="shared" si="37"/>
        <v>0</v>
      </c>
      <c r="AX79" s="299">
        <f t="shared" si="37"/>
        <v>0</v>
      </c>
      <c r="AY79" s="299">
        <f t="shared" si="37"/>
        <v>0</v>
      </c>
      <c r="AZ79" s="299">
        <f t="shared" si="37"/>
        <v>0</v>
      </c>
      <c r="BA79" s="299">
        <f t="shared" si="37"/>
        <v>0</v>
      </c>
      <c r="BB79" s="299">
        <f t="shared" si="37"/>
        <v>0</v>
      </c>
      <c r="BC79" s="299">
        <f t="shared" si="37"/>
        <v>0</v>
      </c>
    </row>
    <row r="80" spans="2:55" s="192" customFormat="1" ht="18" hidden="1" customHeight="1" outlineLevel="1" x14ac:dyDescent="0.25">
      <c r="B80" s="732" t="str">
        <f>'R&amp;C-Painel de Controle'!F67</f>
        <v>Compostagem</v>
      </c>
      <c r="C80" s="291" t="str">
        <f>'R&amp;C-Painel de Controle'!G67</f>
        <v>Não</v>
      </c>
      <c r="D80" s="302">
        <f>'R&amp;C-Painel de Controle'!K67</f>
        <v>0</v>
      </c>
      <c r="E80" s="1274"/>
      <c r="F80" s="1274"/>
      <c r="G80" s="1274"/>
      <c r="H80" s="1274"/>
      <c r="I80" s="1274"/>
      <c r="J80" s="1274"/>
      <c r="K80" s="1274"/>
      <c r="L80" s="1274"/>
      <c r="M80" s="1274"/>
      <c r="N80" s="1274"/>
      <c r="O80" s="1274"/>
      <c r="P80" s="1274"/>
      <c r="Q80" s="1274"/>
      <c r="R80" s="1274"/>
      <c r="S80" s="1274"/>
      <c r="T80" s="1274"/>
      <c r="U80" s="1274"/>
      <c r="V80" s="1274"/>
      <c r="W80" s="1274"/>
      <c r="X80" s="1274"/>
      <c r="Y80" s="1274"/>
      <c r="Z80" s="1274"/>
      <c r="AA80" s="1274"/>
      <c r="AB80" s="1274"/>
      <c r="AC80" s="1274"/>
      <c r="AD80" s="1274"/>
      <c r="AE80" s="1274"/>
      <c r="AF80" s="1274"/>
      <c r="AG80" s="1274"/>
      <c r="AH80" s="1274"/>
      <c r="AI80" s="1274"/>
      <c r="AJ80" s="1274"/>
      <c r="AK80" s="1274"/>
      <c r="AL80" s="1274"/>
      <c r="AM80" s="1274"/>
      <c r="AN80" s="1274"/>
      <c r="AO80" s="1274"/>
      <c r="AP80" s="1274"/>
      <c r="AQ80" s="1274"/>
      <c r="AR80" s="1274"/>
      <c r="AS80" s="1274"/>
      <c r="AT80" s="1274"/>
      <c r="AU80" s="1274"/>
      <c r="AV80" s="1274"/>
      <c r="AW80" s="1274"/>
      <c r="AX80" s="1274"/>
      <c r="AY80" s="1274"/>
      <c r="AZ80" s="1274"/>
      <c r="BA80" s="1274"/>
      <c r="BB80" s="1274"/>
      <c r="BC80" s="1274"/>
    </row>
    <row r="81" spans="1:58" s="192" customFormat="1" ht="18" hidden="1" customHeight="1" outlineLevel="1" x14ac:dyDescent="0.25">
      <c r="B81" s="252" t="s">
        <v>620</v>
      </c>
      <c r="C81" s="292">
        <v>0.2</v>
      </c>
      <c r="D81" s="289">
        <v>0.5</v>
      </c>
      <c r="E81" s="297">
        <v>0.3</v>
      </c>
      <c r="F81" s="292">
        <v>0</v>
      </c>
      <c r="G81" s="292">
        <v>0</v>
      </c>
      <c r="H81" s="292">
        <v>0</v>
      </c>
      <c r="I81" s="292">
        <v>0</v>
      </c>
      <c r="J81" s="292">
        <v>0</v>
      </c>
      <c r="K81" s="292">
        <v>0</v>
      </c>
      <c r="L81" s="292">
        <v>0</v>
      </c>
      <c r="M81" s="292">
        <v>0</v>
      </c>
      <c r="N81" s="292">
        <v>0</v>
      </c>
      <c r="O81" s="292">
        <v>0</v>
      </c>
      <c r="P81" s="292">
        <v>0</v>
      </c>
      <c r="Q81" s="292">
        <v>0</v>
      </c>
      <c r="R81" s="292">
        <v>0</v>
      </c>
      <c r="S81" s="292">
        <v>0</v>
      </c>
      <c r="T81" s="292">
        <v>0</v>
      </c>
      <c r="U81" s="292">
        <v>0</v>
      </c>
      <c r="V81" s="292">
        <v>0</v>
      </c>
      <c r="W81" s="292">
        <v>0</v>
      </c>
      <c r="X81" s="292">
        <v>0</v>
      </c>
      <c r="Y81" s="292">
        <v>0</v>
      </c>
      <c r="Z81" s="292">
        <v>0</v>
      </c>
      <c r="AA81" s="292">
        <v>0</v>
      </c>
      <c r="AB81" s="292">
        <v>0</v>
      </c>
      <c r="AC81" s="292">
        <v>0</v>
      </c>
      <c r="AD81" s="292">
        <v>0</v>
      </c>
      <c r="AE81" s="292">
        <v>0</v>
      </c>
      <c r="AF81" s="292">
        <v>0</v>
      </c>
      <c r="AG81" s="292">
        <v>0</v>
      </c>
      <c r="AH81" s="292">
        <v>0</v>
      </c>
      <c r="AI81" s="292">
        <v>0</v>
      </c>
      <c r="AJ81" s="292">
        <v>0</v>
      </c>
      <c r="AK81" s="292">
        <v>0</v>
      </c>
      <c r="AL81" s="292">
        <v>0</v>
      </c>
      <c r="AM81" s="292">
        <v>0</v>
      </c>
      <c r="AN81" s="292">
        <v>0</v>
      </c>
      <c r="AO81" s="292">
        <v>0</v>
      </c>
      <c r="AP81" s="292">
        <v>0</v>
      </c>
      <c r="AQ81" s="292">
        <v>0</v>
      </c>
      <c r="AR81" s="292">
        <v>0</v>
      </c>
      <c r="AS81" s="292">
        <v>0</v>
      </c>
      <c r="AT81" s="292">
        <v>0</v>
      </c>
      <c r="AU81" s="292">
        <v>0</v>
      </c>
      <c r="AV81" s="292">
        <v>0</v>
      </c>
      <c r="AW81" s="292">
        <v>0</v>
      </c>
      <c r="AX81" s="292">
        <v>0</v>
      </c>
      <c r="AY81" s="292">
        <v>0</v>
      </c>
      <c r="AZ81" s="292">
        <v>0</v>
      </c>
      <c r="BA81" s="292">
        <v>0</v>
      </c>
      <c r="BB81" s="292">
        <v>0</v>
      </c>
      <c r="BC81" s="292">
        <v>0</v>
      </c>
    </row>
    <row r="82" spans="1:58" s="192" customFormat="1" ht="18" hidden="1" customHeight="1" outlineLevel="1" x14ac:dyDescent="0.25">
      <c r="B82" s="252" t="s">
        <v>359</v>
      </c>
      <c r="C82" s="299">
        <f t="shared" ref="C82:BC82" si="38">C81*$D$80</f>
        <v>0</v>
      </c>
      <c r="D82" s="300">
        <f t="shared" si="38"/>
        <v>0</v>
      </c>
      <c r="E82" s="298">
        <f t="shared" si="38"/>
        <v>0</v>
      </c>
      <c r="F82" s="299">
        <f t="shared" si="38"/>
        <v>0</v>
      </c>
      <c r="G82" s="299">
        <f t="shared" si="38"/>
        <v>0</v>
      </c>
      <c r="H82" s="299">
        <f t="shared" si="38"/>
        <v>0</v>
      </c>
      <c r="I82" s="299">
        <f t="shared" si="38"/>
        <v>0</v>
      </c>
      <c r="J82" s="299">
        <f t="shared" si="38"/>
        <v>0</v>
      </c>
      <c r="K82" s="299">
        <f t="shared" si="38"/>
        <v>0</v>
      </c>
      <c r="L82" s="299">
        <f t="shared" si="38"/>
        <v>0</v>
      </c>
      <c r="M82" s="299">
        <f t="shared" si="38"/>
        <v>0</v>
      </c>
      <c r="N82" s="299">
        <f t="shared" si="38"/>
        <v>0</v>
      </c>
      <c r="O82" s="299">
        <f t="shared" si="38"/>
        <v>0</v>
      </c>
      <c r="P82" s="299">
        <f t="shared" si="38"/>
        <v>0</v>
      </c>
      <c r="Q82" s="299">
        <f t="shared" si="38"/>
        <v>0</v>
      </c>
      <c r="R82" s="299">
        <f t="shared" si="38"/>
        <v>0</v>
      </c>
      <c r="S82" s="299">
        <f t="shared" si="38"/>
        <v>0</v>
      </c>
      <c r="T82" s="299">
        <f t="shared" si="38"/>
        <v>0</v>
      </c>
      <c r="U82" s="299">
        <f t="shared" si="38"/>
        <v>0</v>
      </c>
      <c r="V82" s="299">
        <f t="shared" si="38"/>
        <v>0</v>
      </c>
      <c r="W82" s="299">
        <f t="shared" si="38"/>
        <v>0</v>
      </c>
      <c r="X82" s="299">
        <f t="shared" si="38"/>
        <v>0</v>
      </c>
      <c r="Y82" s="299">
        <f t="shared" si="38"/>
        <v>0</v>
      </c>
      <c r="Z82" s="299">
        <f t="shared" si="38"/>
        <v>0</v>
      </c>
      <c r="AA82" s="299">
        <f t="shared" si="38"/>
        <v>0</v>
      </c>
      <c r="AB82" s="299">
        <f t="shared" si="38"/>
        <v>0</v>
      </c>
      <c r="AC82" s="299">
        <f t="shared" si="38"/>
        <v>0</v>
      </c>
      <c r="AD82" s="299">
        <f t="shared" si="38"/>
        <v>0</v>
      </c>
      <c r="AE82" s="299">
        <f t="shared" si="38"/>
        <v>0</v>
      </c>
      <c r="AF82" s="299">
        <f t="shared" si="38"/>
        <v>0</v>
      </c>
      <c r="AG82" s="299">
        <f t="shared" si="38"/>
        <v>0</v>
      </c>
      <c r="AH82" s="299">
        <f t="shared" si="38"/>
        <v>0</v>
      </c>
      <c r="AI82" s="299">
        <f t="shared" si="38"/>
        <v>0</v>
      </c>
      <c r="AJ82" s="299">
        <f t="shared" si="38"/>
        <v>0</v>
      </c>
      <c r="AK82" s="299">
        <f t="shared" si="38"/>
        <v>0</v>
      </c>
      <c r="AL82" s="299">
        <f t="shared" si="38"/>
        <v>0</v>
      </c>
      <c r="AM82" s="299">
        <f t="shared" si="38"/>
        <v>0</v>
      </c>
      <c r="AN82" s="299">
        <f t="shared" si="38"/>
        <v>0</v>
      </c>
      <c r="AO82" s="299">
        <f t="shared" si="38"/>
        <v>0</v>
      </c>
      <c r="AP82" s="299">
        <f t="shared" si="38"/>
        <v>0</v>
      </c>
      <c r="AQ82" s="299">
        <f t="shared" si="38"/>
        <v>0</v>
      </c>
      <c r="AR82" s="299">
        <f t="shared" si="38"/>
        <v>0</v>
      </c>
      <c r="AS82" s="299">
        <f t="shared" si="38"/>
        <v>0</v>
      </c>
      <c r="AT82" s="299">
        <f t="shared" si="38"/>
        <v>0</v>
      </c>
      <c r="AU82" s="299">
        <f t="shared" si="38"/>
        <v>0</v>
      </c>
      <c r="AV82" s="299">
        <f t="shared" si="38"/>
        <v>0</v>
      </c>
      <c r="AW82" s="299">
        <f t="shared" si="38"/>
        <v>0</v>
      </c>
      <c r="AX82" s="299">
        <f t="shared" si="38"/>
        <v>0</v>
      </c>
      <c r="AY82" s="299">
        <f t="shared" si="38"/>
        <v>0</v>
      </c>
      <c r="AZ82" s="299">
        <f t="shared" si="38"/>
        <v>0</v>
      </c>
      <c r="BA82" s="299">
        <f t="shared" si="38"/>
        <v>0</v>
      </c>
      <c r="BB82" s="299">
        <f t="shared" si="38"/>
        <v>0</v>
      </c>
      <c r="BC82" s="299">
        <f t="shared" si="38"/>
        <v>0</v>
      </c>
    </row>
    <row r="83" spans="1:58" s="192" customFormat="1" ht="18" hidden="1" customHeight="1" outlineLevel="1" x14ac:dyDescent="0.25">
      <c r="B83" s="732" t="str">
        <f>'R&amp;C-Painel de Controle'!F70</f>
        <v>Incineração</v>
      </c>
      <c r="C83" s="291" t="str">
        <f>'R&amp;C-Painel de Controle'!G70</f>
        <v>Sim</v>
      </c>
      <c r="D83" s="302">
        <f>'R&amp;C-Painel de Controle'!K70</f>
        <v>89.168953602454579</v>
      </c>
    </row>
    <row r="84" spans="1:58" s="192" customFormat="1" ht="18" hidden="1" customHeight="1" outlineLevel="1" x14ac:dyDescent="0.25">
      <c r="B84" s="252" t="s">
        <v>620</v>
      </c>
      <c r="C84" s="292">
        <v>0.2</v>
      </c>
      <c r="D84" s="289">
        <v>0.5</v>
      </c>
      <c r="E84" s="297">
        <v>0.3</v>
      </c>
      <c r="F84" s="292">
        <v>0</v>
      </c>
      <c r="G84" s="292">
        <v>0</v>
      </c>
      <c r="H84" s="292">
        <v>0</v>
      </c>
      <c r="I84" s="292">
        <v>0</v>
      </c>
      <c r="J84" s="292">
        <v>0</v>
      </c>
      <c r="K84" s="292">
        <v>0</v>
      </c>
      <c r="L84" s="292">
        <v>0</v>
      </c>
      <c r="M84" s="292">
        <v>0</v>
      </c>
      <c r="N84" s="292">
        <v>0</v>
      </c>
      <c r="O84" s="292">
        <v>0</v>
      </c>
      <c r="P84" s="292">
        <v>0</v>
      </c>
      <c r="Q84" s="292">
        <v>0</v>
      </c>
      <c r="R84" s="292">
        <v>0</v>
      </c>
      <c r="S84" s="292">
        <v>0</v>
      </c>
      <c r="T84" s="292">
        <v>0</v>
      </c>
      <c r="U84" s="292">
        <v>0</v>
      </c>
      <c r="V84" s="292">
        <v>0</v>
      </c>
      <c r="W84" s="292">
        <v>0</v>
      </c>
      <c r="X84" s="292">
        <v>0</v>
      </c>
      <c r="Y84" s="292">
        <v>0</v>
      </c>
      <c r="Z84" s="292">
        <v>0</v>
      </c>
      <c r="AA84" s="292">
        <v>0</v>
      </c>
      <c r="AB84" s="292">
        <v>0</v>
      </c>
      <c r="AC84" s="292">
        <v>0</v>
      </c>
      <c r="AD84" s="292">
        <v>0</v>
      </c>
      <c r="AE84" s="292">
        <v>0</v>
      </c>
      <c r="AF84" s="292">
        <v>0</v>
      </c>
      <c r="AG84" s="292">
        <v>0</v>
      </c>
      <c r="AH84" s="292">
        <v>0</v>
      </c>
      <c r="AI84" s="292">
        <v>0</v>
      </c>
      <c r="AJ84" s="292">
        <v>0</v>
      </c>
      <c r="AK84" s="292">
        <v>0</v>
      </c>
      <c r="AL84" s="292">
        <v>0</v>
      </c>
      <c r="AM84" s="292">
        <v>0</v>
      </c>
      <c r="AN84" s="292">
        <v>0</v>
      </c>
      <c r="AO84" s="292">
        <v>0</v>
      </c>
      <c r="AP84" s="292">
        <v>0</v>
      </c>
      <c r="AQ84" s="292">
        <v>0</v>
      </c>
      <c r="AR84" s="292">
        <v>0</v>
      </c>
      <c r="AS84" s="292">
        <v>0</v>
      </c>
      <c r="AT84" s="292">
        <v>0</v>
      </c>
      <c r="AU84" s="292">
        <v>0</v>
      </c>
      <c r="AV84" s="292">
        <v>0</v>
      </c>
      <c r="AW84" s="292">
        <v>0</v>
      </c>
      <c r="AX84" s="292">
        <v>0</v>
      </c>
      <c r="AY84" s="292">
        <v>0</v>
      </c>
      <c r="AZ84" s="292">
        <v>0</v>
      </c>
      <c r="BA84" s="292">
        <v>0</v>
      </c>
      <c r="BB84" s="292">
        <v>0</v>
      </c>
      <c r="BC84" s="292">
        <v>0</v>
      </c>
    </row>
    <row r="85" spans="1:58" s="192" customFormat="1" ht="18" hidden="1" customHeight="1" outlineLevel="1" x14ac:dyDescent="0.25">
      <c r="B85" s="252" t="s">
        <v>359</v>
      </c>
      <c r="C85" s="299">
        <f t="shared" ref="C85:BC85" si="39">C84*$D$83</f>
        <v>17.833790720490917</v>
      </c>
      <c r="D85" s="300">
        <f t="shared" si="39"/>
        <v>44.584476801227289</v>
      </c>
      <c r="E85" s="298">
        <f t="shared" si="39"/>
        <v>26.750686080736372</v>
      </c>
      <c r="F85" s="299">
        <f t="shared" si="39"/>
        <v>0</v>
      </c>
      <c r="G85" s="299">
        <f t="shared" si="39"/>
        <v>0</v>
      </c>
      <c r="H85" s="299">
        <f t="shared" si="39"/>
        <v>0</v>
      </c>
      <c r="I85" s="299">
        <f t="shared" si="39"/>
        <v>0</v>
      </c>
      <c r="J85" s="299">
        <f t="shared" si="39"/>
        <v>0</v>
      </c>
      <c r="K85" s="299">
        <f t="shared" si="39"/>
        <v>0</v>
      </c>
      <c r="L85" s="299">
        <f t="shared" si="39"/>
        <v>0</v>
      </c>
      <c r="M85" s="299">
        <f t="shared" si="39"/>
        <v>0</v>
      </c>
      <c r="N85" s="299">
        <f t="shared" si="39"/>
        <v>0</v>
      </c>
      <c r="O85" s="299">
        <f t="shared" si="39"/>
        <v>0</v>
      </c>
      <c r="P85" s="299">
        <f t="shared" si="39"/>
        <v>0</v>
      </c>
      <c r="Q85" s="299">
        <f t="shared" si="39"/>
        <v>0</v>
      </c>
      <c r="R85" s="299">
        <f t="shared" si="39"/>
        <v>0</v>
      </c>
      <c r="S85" s="299">
        <f t="shared" si="39"/>
        <v>0</v>
      </c>
      <c r="T85" s="299">
        <f t="shared" si="39"/>
        <v>0</v>
      </c>
      <c r="U85" s="299">
        <f t="shared" si="39"/>
        <v>0</v>
      </c>
      <c r="V85" s="299">
        <f t="shared" si="39"/>
        <v>0</v>
      </c>
      <c r="W85" s="299">
        <f t="shared" si="39"/>
        <v>0</v>
      </c>
      <c r="X85" s="299">
        <f t="shared" si="39"/>
        <v>0</v>
      </c>
      <c r="Y85" s="299">
        <f t="shared" si="39"/>
        <v>0</v>
      </c>
      <c r="Z85" s="299">
        <f t="shared" si="39"/>
        <v>0</v>
      </c>
      <c r="AA85" s="299">
        <f t="shared" si="39"/>
        <v>0</v>
      </c>
      <c r="AB85" s="299">
        <f t="shared" si="39"/>
        <v>0</v>
      </c>
      <c r="AC85" s="299">
        <f t="shared" si="39"/>
        <v>0</v>
      </c>
      <c r="AD85" s="299">
        <f t="shared" si="39"/>
        <v>0</v>
      </c>
      <c r="AE85" s="299">
        <f t="shared" si="39"/>
        <v>0</v>
      </c>
      <c r="AF85" s="299">
        <f t="shared" si="39"/>
        <v>0</v>
      </c>
      <c r="AG85" s="299">
        <f t="shared" si="39"/>
        <v>0</v>
      </c>
      <c r="AH85" s="299">
        <f t="shared" si="39"/>
        <v>0</v>
      </c>
      <c r="AI85" s="299">
        <f t="shared" si="39"/>
        <v>0</v>
      </c>
      <c r="AJ85" s="299">
        <f t="shared" si="39"/>
        <v>0</v>
      </c>
      <c r="AK85" s="299">
        <f t="shared" si="39"/>
        <v>0</v>
      </c>
      <c r="AL85" s="299">
        <f t="shared" si="39"/>
        <v>0</v>
      </c>
      <c r="AM85" s="299">
        <f t="shared" si="39"/>
        <v>0</v>
      </c>
      <c r="AN85" s="299">
        <f t="shared" si="39"/>
        <v>0</v>
      </c>
      <c r="AO85" s="299">
        <f t="shared" si="39"/>
        <v>0</v>
      </c>
      <c r="AP85" s="299">
        <f t="shared" si="39"/>
        <v>0</v>
      </c>
      <c r="AQ85" s="299">
        <f t="shared" si="39"/>
        <v>0</v>
      </c>
      <c r="AR85" s="299">
        <f t="shared" si="39"/>
        <v>0</v>
      </c>
      <c r="AS85" s="299">
        <f t="shared" si="39"/>
        <v>0</v>
      </c>
      <c r="AT85" s="299">
        <f t="shared" si="39"/>
        <v>0</v>
      </c>
      <c r="AU85" s="299">
        <f t="shared" si="39"/>
        <v>0</v>
      </c>
      <c r="AV85" s="299">
        <f t="shared" si="39"/>
        <v>0</v>
      </c>
      <c r="AW85" s="299">
        <f t="shared" si="39"/>
        <v>0</v>
      </c>
      <c r="AX85" s="299">
        <f t="shared" si="39"/>
        <v>0</v>
      </c>
      <c r="AY85" s="299">
        <f t="shared" si="39"/>
        <v>0</v>
      </c>
      <c r="AZ85" s="299">
        <f t="shared" si="39"/>
        <v>0</v>
      </c>
      <c r="BA85" s="299">
        <f t="shared" si="39"/>
        <v>0</v>
      </c>
      <c r="BB85" s="299">
        <f t="shared" si="39"/>
        <v>0</v>
      </c>
      <c r="BC85" s="299">
        <f t="shared" si="39"/>
        <v>0</v>
      </c>
    </row>
    <row r="86" spans="1:58" s="192" customFormat="1" ht="18" hidden="1" customHeight="1" outlineLevel="1" x14ac:dyDescent="0.25">
      <c r="B86" s="732" t="str">
        <f>'R&amp;C-Painel de Controle'!F73</f>
        <v>Aterro Sanitário</v>
      </c>
      <c r="C86" s="291" t="str">
        <f>'R&amp;C-Painel de Controle'!G73</f>
        <v>Sim</v>
      </c>
      <c r="D86" s="302">
        <f>'R&amp;C-Painel de Controle'!K73</f>
        <v>10.110489260506922</v>
      </c>
      <c r="E86" s="1274"/>
      <c r="F86" s="1274"/>
      <c r="G86" s="1274"/>
      <c r="H86" s="1274"/>
      <c r="I86" s="1274"/>
      <c r="J86" s="1274"/>
      <c r="K86" s="1274"/>
      <c r="L86" s="1274"/>
      <c r="M86" s="1274"/>
      <c r="N86" s="1274"/>
      <c r="O86" s="1274"/>
      <c r="P86" s="1274"/>
      <c r="Q86" s="1274"/>
      <c r="R86" s="1274"/>
      <c r="S86" s="1274"/>
      <c r="T86" s="1274"/>
      <c r="U86" s="1274"/>
      <c r="V86" s="1274"/>
      <c r="W86" s="1274"/>
      <c r="X86" s="1274"/>
      <c r="Y86" s="1274"/>
      <c r="Z86" s="1274"/>
      <c r="AA86" s="1274"/>
      <c r="AB86" s="1274"/>
      <c r="AC86" s="1274"/>
      <c r="AD86" s="1274"/>
      <c r="AE86" s="1274"/>
      <c r="AF86" s="1274"/>
      <c r="AG86" s="1274"/>
      <c r="AH86" s="1274"/>
      <c r="AI86" s="1274"/>
      <c r="AJ86" s="1274"/>
      <c r="AK86" s="1274"/>
      <c r="AL86" s="1274"/>
      <c r="AM86" s="1274"/>
      <c r="AN86" s="1274"/>
      <c r="AO86" s="1274"/>
      <c r="AP86" s="1274"/>
      <c r="AQ86" s="1274"/>
      <c r="AR86" s="1274"/>
      <c r="AS86" s="1274"/>
      <c r="AT86" s="1274"/>
      <c r="AU86" s="1274"/>
      <c r="AV86" s="1274"/>
      <c r="AW86" s="1274"/>
      <c r="AX86" s="1274"/>
      <c r="AY86" s="1274"/>
      <c r="AZ86" s="1274"/>
      <c r="BA86" s="1274"/>
      <c r="BB86" s="1274"/>
      <c r="BC86" s="1274"/>
    </row>
    <row r="87" spans="1:58" s="192" customFormat="1" ht="18" hidden="1" customHeight="1" outlineLevel="1" x14ac:dyDescent="0.25">
      <c r="B87" s="252" t="s">
        <v>620</v>
      </c>
      <c r="C87" s="292">
        <v>0.2</v>
      </c>
      <c r="D87" s="289">
        <v>0.5</v>
      </c>
      <c r="E87" s="297">
        <v>0.3</v>
      </c>
      <c r="F87" s="292">
        <v>0</v>
      </c>
      <c r="G87" s="292">
        <v>0</v>
      </c>
      <c r="H87" s="292">
        <v>0</v>
      </c>
      <c r="I87" s="292">
        <v>0</v>
      </c>
      <c r="J87" s="292">
        <v>0</v>
      </c>
      <c r="K87" s="292">
        <v>0</v>
      </c>
      <c r="L87" s="292">
        <v>0</v>
      </c>
      <c r="M87" s="292">
        <v>0</v>
      </c>
      <c r="N87" s="292">
        <v>0</v>
      </c>
      <c r="O87" s="292">
        <v>0</v>
      </c>
      <c r="P87" s="292">
        <v>0</v>
      </c>
      <c r="Q87" s="292">
        <v>0</v>
      </c>
      <c r="R87" s="292">
        <v>0</v>
      </c>
      <c r="S87" s="292">
        <v>0</v>
      </c>
      <c r="T87" s="292">
        <v>0</v>
      </c>
      <c r="U87" s="292">
        <v>0</v>
      </c>
      <c r="V87" s="292">
        <v>0</v>
      </c>
      <c r="W87" s="292">
        <v>0</v>
      </c>
      <c r="X87" s="292">
        <v>0</v>
      </c>
      <c r="Y87" s="292">
        <v>0</v>
      </c>
      <c r="Z87" s="292">
        <v>0</v>
      </c>
      <c r="AA87" s="292">
        <v>0</v>
      </c>
      <c r="AB87" s="292">
        <v>0</v>
      </c>
      <c r="AC87" s="292">
        <v>0</v>
      </c>
      <c r="AD87" s="292">
        <v>0</v>
      </c>
      <c r="AE87" s="292">
        <v>0</v>
      </c>
      <c r="AF87" s="292">
        <v>0</v>
      </c>
      <c r="AG87" s="292">
        <v>0</v>
      </c>
      <c r="AH87" s="292">
        <v>0</v>
      </c>
      <c r="AI87" s="292">
        <v>0</v>
      </c>
      <c r="AJ87" s="292">
        <v>0</v>
      </c>
      <c r="AK87" s="292">
        <v>0</v>
      </c>
      <c r="AL87" s="292">
        <v>0</v>
      </c>
      <c r="AM87" s="292">
        <v>0</v>
      </c>
      <c r="AN87" s="292">
        <v>0</v>
      </c>
      <c r="AO87" s="292">
        <v>0</v>
      </c>
      <c r="AP87" s="292">
        <v>0</v>
      </c>
      <c r="AQ87" s="292">
        <v>0</v>
      </c>
      <c r="AR87" s="292">
        <v>0</v>
      </c>
      <c r="AS87" s="292">
        <v>0</v>
      </c>
      <c r="AT87" s="292">
        <v>0</v>
      </c>
      <c r="AU87" s="292">
        <v>0</v>
      </c>
      <c r="AV87" s="292">
        <v>0</v>
      </c>
      <c r="AW87" s="292">
        <v>0</v>
      </c>
      <c r="AX87" s="292">
        <v>0</v>
      </c>
      <c r="AY87" s="292">
        <v>0</v>
      </c>
      <c r="AZ87" s="292">
        <v>0</v>
      </c>
      <c r="BA87" s="292">
        <v>0</v>
      </c>
      <c r="BB87" s="292">
        <v>0</v>
      </c>
      <c r="BC87" s="292">
        <v>0</v>
      </c>
    </row>
    <row r="88" spans="1:58" s="192" customFormat="1" ht="18" hidden="1" customHeight="1" outlineLevel="1" x14ac:dyDescent="0.25">
      <c r="B88" s="252" t="s">
        <v>359</v>
      </c>
      <c r="C88" s="299">
        <f t="shared" ref="C88:BC88" si="40">C87*$D$86</f>
        <v>2.0220978521013846</v>
      </c>
      <c r="D88" s="300">
        <f t="shared" si="40"/>
        <v>5.055244630253461</v>
      </c>
      <c r="E88" s="298">
        <f t="shared" si="40"/>
        <v>3.0331467781520765</v>
      </c>
      <c r="F88" s="299">
        <f t="shared" si="40"/>
        <v>0</v>
      </c>
      <c r="G88" s="299">
        <f t="shared" si="40"/>
        <v>0</v>
      </c>
      <c r="H88" s="299">
        <f t="shared" si="40"/>
        <v>0</v>
      </c>
      <c r="I88" s="299">
        <f t="shared" si="40"/>
        <v>0</v>
      </c>
      <c r="J88" s="299">
        <f t="shared" si="40"/>
        <v>0</v>
      </c>
      <c r="K88" s="299">
        <f t="shared" si="40"/>
        <v>0</v>
      </c>
      <c r="L88" s="299">
        <f t="shared" si="40"/>
        <v>0</v>
      </c>
      <c r="M88" s="299">
        <f t="shared" si="40"/>
        <v>0</v>
      </c>
      <c r="N88" s="299">
        <f t="shared" si="40"/>
        <v>0</v>
      </c>
      <c r="O88" s="299">
        <f t="shared" si="40"/>
        <v>0</v>
      </c>
      <c r="P88" s="299">
        <f t="shared" si="40"/>
        <v>0</v>
      </c>
      <c r="Q88" s="299">
        <f t="shared" si="40"/>
        <v>0</v>
      </c>
      <c r="R88" s="299">
        <f t="shared" si="40"/>
        <v>0</v>
      </c>
      <c r="S88" s="299">
        <f t="shared" si="40"/>
        <v>0</v>
      </c>
      <c r="T88" s="299">
        <f t="shared" si="40"/>
        <v>0</v>
      </c>
      <c r="U88" s="299">
        <f t="shared" si="40"/>
        <v>0</v>
      </c>
      <c r="V88" s="299">
        <f t="shared" si="40"/>
        <v>0</v>
      </c>
      <c r="W88" s="299">
        <f t="shared" si="40"/>
        <v>0</v>
      </c>
      <c r="X88" s="299">
        <f t="shared" si="40"/>
        <v>0</v>
      </c>
      <c r="Y88" s="299">
        <f t="shared" si="40"/>
        <v>0</v>
      </c>
      <c r="Z88" s="299">
        <f t="shared" si="40"/>
        <v>0</v>
      </c>
      <c r="AA88" s="299">
        <f t="shared" si="40"/>
        <v>0</v>
      </c>
      <c r="AB88" s="299">
        <f t="shared" si="40"/>
        <v>0</v>
      </c>
      <c r="AC88" s="299">
        <f t="shared" si="40"/>
        <v>0</v>
      </c>
      <c r="AD88" s="299">
        <f t="shared" si="40"/>
        <v>0</v>
      </c>
      <c r="AE88" s="299">
        <f t="shared" si="40"/>
        <v>0</v>
      </c>
      <c r="AF88" s="299">
        <f t="shared" si="40"/>
        <v>0</v>
      </c>
      <c r="AG88" s="299">
        <f t="shared" si="40"/>
        <v>0</v>
      </c>
      <c r="AH88" s="299">
        <f t="shared" si="40"/>
        <v>0</v>
      </c>
      <c r="AI88" s="299">
        <f t="shared" si="40"/>
        <v>0</v>
      </c>
      <c r="AJ88" s="299">
        <f t="shared" si="40"/>
        <v>0</v>
      </c>
      <c r="AK88" s="299">
        <f t="shared" si="40"/>
        <v>0</v>
      </c>
      <c r="AL88" s="299">
        <f t="shared" si="40"/>
        <v>0</v>
      </c>
      <c r="AM88" s="299">
        <f t="shared" si="40"/>
        <v>0</v>
      </c>
      <c r="AN88" s="299">
        <f t="shared" si="40"/>
        <v>0</v>
      </c>
      <c r="AO88" s="299">
        <f t="shared" si="40"/>
        <v>0</v>
      </c>
      <c r="AP88" s="299">
        <f t="shared" si="40"/>
        <v>0</v>
      </c>
      <c r="AQ88" s="299">
        <f t="shared" si="40"/>
        <v>0</v>
      </c>
      <c r="AR88" s="299">
        <f t="shared" si="40"/>
        <v>0</v>
      </c>
      <c r="AS88" s="299">
        <f t="shared" si="40"/>
        <v>0</v>
      </c>
      <c r="AT88" s="299">
        <f t="shared" si="40"/>
        <v>0</v>
      </c>
      <c r="AU88" s="299">
        <f t="shared" si="40"/>
        <v>0</v>
      </c>
      <c r="AV88" s="299">
        <f t="shared" si="40"/>
        <v>0</v>
      </c>
      <c r="AW88" s="299">
        <f t="shared" si="40"/>
        <v>0</v>
      </c>
      <c r="AX88" s="299">
        <f t="shared" si="40"/>
        <v>0</v>
      </c>
      <c r="AY88" s="299">
        <f t="shared" si="40"/>
        <v>0</v>
      </c>
      <c r="AZ88" s="299">
        <f t="shared" si="40"/>
        <v>0</v>
      </c>
      <c r="BA88" s="299">
        <f t="shared" si="40"/>
        <v>0</v>
      </c>
      <c r="BB88" s="299">
        <f t="shared" si="40"/>
        <v>0</v>
      </c>
      <c r="BC88" s="299">
        <f t="shared" si="40"/>
        <v>0</v>
      </c>
    </row>
    <row r="89" spans="1:58" s="192" customFormat="1" ht="18" customHeight="1" x14ac:dyDescent="0.25">
      <c r="B89" s="290"/>
      <c r="R89" s="274"/>
    </row>
    <row r="90" spans="1:58" s="192" customFormat="1" ht="25.9" customHeight="1" collapsed="1" x14ac:dyDescent="0.25">
      <c r="B90" s="738" t="s">
        <v>863</v>
      </c>
      <c r="C90" s="281">
        <f>IF('R&amp;C-Painel de Controle'!$D$24="Não",C94+C97+C100+C103+C106+C109+C112+C115,C94+C97+C100+C103+C106+C109+C112+C115+'R&amp;C-Painel de Controle'!$L$91)</f>
        <v>0</v>
      </c>
      <c r="D90" s="281">
        <f>IF('R&amp;C-Painel de Controle'!$D$24="Não",D94+D97+D100+D103+D106+D109+D112+D115,D94+D97+D100+D103+D106+D109+D112+D115+'R&amp;C-Painel de Controle'!$L$91)</f>
        <v>0</v>
      </c>
      <c r="E90" s="281">
        <f>IF('R&amp;C-Painel de Controle'!$D$24="Não",E94+E97+E100+E103+E106+E109+E112+E115,E94+E97+E100+E103+E106+E109+E112+E115+'R&amp;C-Painel de Controle'!$L$91)</f>
        <v>0</v>
      </c>
      <c r="F90" s="281">
        <f>IF('R&amp;C-Painel de Controle'!$D$24="Não",F94+F97+F100+F103+F106+F109+F112+F115,F94+F97+F100+F103+F106+F109+F112+F115+'R&amp;C-Painel de Controle'!$L$91)</f>
        <v>28.60080070198137</v>
      </c>
      <c r="G90" s="281">
        <f>IF('R&amp;C-Painel de Controle'!$D$24="Não",G94+G97+G100+G103+G106+G109+G112+G115,G94+G97+G100+G103+G106+G109+G112+G115+'R&amp;C-Painel de Controle'!$L$91)</f>
        <v>28.60080070198137</v>
      </c>
      <c r="H90" s="281">
        <f>IF('R&amp;C-Painel de Controle'!$D$24="Não",H94+H97+H100+H103+H106+H109+H112+H115,H94+H97+H100+H103+H106+H109+H112+H115+'R&amp;C-Painel de Controle'!$L$91)</f>
        <v>28.60080070198137</v>
      </c>
      <c r="I90" s="281">
        <f>IF('R&amp;C-Painel de Controle'!$D$24="Não",I94+I97+I100+I103+I106+I109+I112+I115,I94+I97+I100+I103+I106+I109+I112+I115+'R&amp;C-Painel de Controle'!$L$91)</f>
        <v>28.60080070198137</v>
      </c>
      <c r="J90" s="281">
        <f>IF('R&amp;C-Painel de Controle'!$D$24="Não",J94+J97+J100+J103+J106+J109+J112+J115,J94+J97+J100+J103+J106+J109+J112+J115+'R&amp;C-Painel de Controle'!$L$91)</f>
        <v>28.60080070198137</v>
      </c>
      <c r="K90" s="281">
        <f>IF('R&amp;C-Painel de Controle'!$D$24="Não",K94+K97+K100+K103+K106+K109+K112+K115,K94+K97+K100+K103+K106+K109+K112+K115+'R&amp;C-Painel de Controle'!$L$91)</f>
        <v>28.60080070198137</v>
      </c>
      <c r="L90" s="281">
        <f>IF('R&amp;C-Painel de Controle'!$D$24="Não",L94+L97+L100+L103+L106+L109+L112+L115,L94+L97+L100+L103+L106+L109+L112+L115+'R&amp;C-Painel de Controle'!$L$91)</f>
        <v>28.60080070198137</v>
      </c>
      <c r="M90" s="281">
        <f>IF('R&amp;C-Painel de Controle'!$D$24="Não",M94+M97+M100+M103+M106+M109+M112+M115,M94+M97+M100+M103+M106+M109+M112+M115+'R&amp;C-Painel de Controle'!$L$91)</f>
        <v>28.60080070198137</v>
      </c>
      <c r="N90" s="281">
        <f>IF('R&amp;C-Painel de Controle'!$D$24="Não",N94+N97+N100+N103+N106+N109+N112+N115,N94+N97+N100+N103+N106+N109+N112+N115+'R&amp;C-Painel de Controle'!$L$91)</f>
        <v>28.60080070198137</v>
      </c>
      <c r="O90" s="281">
        <f>IF('R&amp;C-Painel de Controle'!$D$24="Não",O94+O97+O100+O103+O106+O109+O112+O115,O94+O97+O100+O103+O106+O109+O112+O115+'R&amp;C-Painel de Controle'!$L$91)</f>
        <v>28.60080070198137</v>
      </c>
      <c r="P90" s="281">
        <f>IF('R&amp;C-Painel de Controle'!$D$24="Não",P94+P97+P100+P103+P106+P109+P112+P115,P94+P97+P100+P103+P106+P109+P112+P115+'R&amp;C-Painel de Controle'!$L$91)</f>
        <v>28.60080070198137</v>
      </c>
      <c r="Q90" s="281">
        <f>IF('R&amp;C-Painel de Controle'!$D$24="Não",Q94+Q97+Q100+Q103+Q106+Q109+Q112+Q115,Q94+Q97+Q100+Q103+Q106+Q109+Q112+Q115+'R&amp;C-Painel de Controle'!$L$91)</f>
        <v>28.60080070198137</v>
      </c>
      <c r="R90" s="281">
        <f>IF('R&amp;C-Painel de Controle'!$D$24="Não",R94+R97+R100+R103+R106+R109+R112+R115,R94+R97+R100+R103+R106+R109+R112+R115+'R&amp;C-Painel de Controle'!$L$91)</f>
        <v>28.60080070198137</v>
      </c>
      <c r="S90" s="281">
        <f>IF('R&amp;C-Painel de Controle'!$D$24="Não",S94+S97+S100+S103+S106+S109+S112+S115,S94+S97+S100+S103+S106+S109+S112+S115+'R&amp;C-Painel de Controle'!$L$91)</f>
        <v>28.60080070198137</v>
      </c>
      <c r="T90" s="281">
        <f>IF('R&amp;C-Painel de Controle'!$D$24="Não",T94+T97+T100+T103+T106+T109+T112+T115,T94+T97+T100+T103+T106+T109+T112+T115+'R&amp;C-Painel de Controle'!$L$91)</f>
        <v>28.60080070198137</v>
      </c>
      <c r="U90" s="281">
        <f>IF('R&amp;C-Painel de Controle'!$D$24="Não",U94+U97+U100+U103+U106+U109+U112+U115,U94+U97+U100+U103+U106+U109+U112+U115+'R&amp;C-Painel de Controle'!$L$91)</f>
        <v>28.60080070198137</v>
      </c>
      <c r="V90" s="281">
        <f>IF('R&amp;C-Painel de Controle'!$D$24="Não",V94+V97+V100+V103+V106+V109+V112+V115,V94+V97+V100+V103+V106+V109+V112+V115+'R&amp;C-Painel de Controle'!$L$91)</f>
        <v>28.60080070198137</v>
      </c>
      <c r="W90" s="281">
        <f>IF('R&amp;C-Painel de Controle'!$D$24="Não",W94+W97+W100+W103+W106+W109+W112+W115,W94+W97+W100+W103+W106+W109+W112+W115+'R&amp;C-Painel de Controle'!$L$91)</f>
        <v>28.60080070198137</v>
      </c>
      <c r="X90" s="281">
        <f>IF('R&amp;C-Painel de Controle'!$D$24="Não",X94+X97+X100+X103+X106+X109+X112+X115,X94+X97+X100+X103+X106+X109+X112+X115+'R&amp;C-Painel de Controle'!$L$91)</f>
        <v>28.60080070198137</v>
      </c>
      <c r="Y90" s="281">
        <f>IF('R&amp;C-Painel de Controle'!$D$24="Não",Y94+Y97+Y100+Y103+Y106+Y109+Y112+Y115,Y94+Y97+Y100+Y103+Y106+Y109+Y112+Y115+'R&amp;C-Painel de Controle'!$L$91)</f>
        <v>28.60080070198137</v>
      </c>
      <c r="Z90" s="281">
        <f>IF('R&amp;C-Painel de Controle'!$D$24="Não",Z94+Z97+Z100+Z103+Z106+Z109+Z112+Z115,Z94+Z97+Z100+Z103+Z106+Z109+Z112+Z115+'R&amp;C-Painel de Controle'!$L$91)</f>
        <v>28.60080070198137</v>
      </c>
      <c r="AA90" s="281">
        <f>IF('R&amp;C-Painel de Controle'!$D$24="Não",AA94+AA97+AA100+AA103+AA106+AA109+AA112+AA115,AA94+AA97+AA100+AA103+AA106+AA109+AA112+AA115+'R&amp;C-Painel de Controle'!$L$91)</f>
        <v>28.60080070198137</v>
      </c>
      <c r="AB90" s="281">
        <f>IF('R&amp;C-Painel de Controle'!$D$24="Não",AB94+AB97+AB100+AB103+AB106+AB109+AB112+AB115,AB94+AB97+AB100+AB103+AB106+AB109+AB112+AB115+'R&amp;C-Painel de Controle'!$L$91)</f>
        <v>28.60080070198137</v>
      </c>
      <c r="AC90" s="281">
        <f>IF('R&amp;C-Painel de Controle'!$D$24="Não",AC94+AC97+AC100+AC103+AC106+AC109+AC112+AC115,AC94+AC97+AC100+AC103+AC106+AC109+AC112+AC115+'R&amp;C-Painel de Controle'!$L$91)</f>
        <v>28.60080070198137</v>
      </c>
      <c r="AD90" s="281">
        <f>IF('R&amp;C-Painel de Controle'!$D$24="Não",AD94+AD97+AD100+AD103+AD106+AD109+AD112+AD115,AD94+AD97+AD100+AD103+AD106+AD109+AD112+AD115+'R&amp;C-Painel de Controle'!$L$91)</f>
        <v>28.60080070198137</v>
      </c>
      <c r="AE90" s="281">
        <f>IF('R&amp;C-Painel de Controle'!$D$24="Não",AE94+AE97+AE100+AE103+AE106+AE109+AE112+AE115,AE94+AE97+AE100+AE103+AE106+AE109+AE112+AE115+'R&amp;C-Painel de Controle'!$L$91)</f>
        <v>28.60080070198137</v>
      </c>
      <c r="AF90" s="281">
        <f>IF('R&amp;C-Painel de Controle'!$D$24="Não",AF94+AF97+AF100+AF103+AF106+AF109+AF112+AF115,AF94+AF97+AF100+AF103+AF106+AF109+AF112+AF115+'R&amp;C-Painel de Controle'!$L$91)</f>
        <v>28.60080070198137</v>
      </c>
      <c r="AG90" s="281">
        <f>IF('R&amp;C-Painel de Controle'!$D$24="Não",AG94+AG97+AG100+AG103+AG106+AG109+AG112+AG115,AG94+AG97+AG100+AG103+AG106+AG109+AG112+AG115+'R&amp;C-Painel de Controle'!$L$91)</f>
        <v>28.60080070198137</v>
      </c>
      <c r="AH90" s="281">
        <f>IF('R&amp;C-Painel de Controle'!$D$24="Não",AH94+AH97+AH100+AH103+AH106+AH109+AH112+AH115,AH94+AH97+AH100+AH103+AH106+AH109+AH112+AH115+'R&amp;C-Painel de Controle'!$L$91)</f>
        <v>28.60080070198137</v>
      </c>
      <c r="AI90" s="281">
        <f>IF('R&amp;C-Painel de Controle'!$D$24="Não",AI94+AI97+AI100+AI103+AI106+AI109+AI112+AI115,AI94+AI97+AI100+AI103+AI106+AI109+AI112+AI115+'R&amp;C-Painel de Controle'!$L$91)</f>
        <v>28.60080070198137</v>
      </c>
      <c r="AJ90" s="281">
        <f>IF('R&amp;C-Painel de Controle'!$D$24="Não",AJ94+AJ97+AJ100+AJ103+AJ106+AJ109+AJ112+AJ115,AJ94+AJ97+AJ100+AJ103+AJ106+AJ109+AJ112+AJ115+'R&amp;C-Painel de Controle'!$L$91)</f>
        <v>28.60080070198137</v>
      </c>
      <c r="AK90" s="281">
        <f>IF('R&amp;C-Painel de Controle'!$D$24="Não",AK94+AK97+AK100+AK103+AK106+AK109+AK112+AK115,AK94+AK97+AK100+AK103+AK106+AK109+AK112+AK115+'R&amp;C-Painel de Controle'!$L$91)</f>
        <v>28.60080070198137</v>
      </c>
      <c r="AL90" s="281">
        <f>IF('R&amp;C-Painel de Controle'!$D$24="Não",AL94+AL97+AL100+AL103+AL106+AL109+AL112+AL115,AL94+AL97+AL100+AL103+AL106+AL109+AL112+AL115+'R&amp;C-Painel de Controle'!$L$91)</f>
        <v>28.60080070198137</v>
      </c>
      <c r="AM90" s="281">
        <f>IF('R&amp;C-Painel de Controle'!$D$24="Não",AM94+AM97+AM100+AM103+AM106+AM109+AM112+AM115,AM94+AM97+AM100+AM103+AM106+AM109+AM112+AM115+'R&amp;C-Painel de Controle'!$L$91)</f>
        <v>28.60080070198137</v>
      </c>
      <c r="AN90" s="281">
        <f>IF('R&amp;C-Painel de Controle'!$D$24="Não",AN94+AN97+AN100+AN103+AN106+AN109+AN112+AN115,AN94+AN97+AN100+AN103+AN106+AN109+AN112+AN115+'R&amp;C-Painel de Controle'!$L$91)</f>
        <v>28.60080070198137</v>
      </c>
      <c r="AO90" s="281">
        <f>IF('R&amp;C-Painel de Controle'!$D$24="Não",AO94+AO97+AO100+AO103+AO106+AO109+AO112+AO115,AO94+AO97+AO100+AO103+AO106+AO109+AO112+AO115+'R&amp;C-Painel de Controle'!$L$91)</f>
        <v>28.60080070198137</v>
      </c>
      <c r="AP90" s="281">
        <f>IF('R&amp;C-Painel de Controle'!$D$24="Não",AP94+AP97+AP100+AP103+AP106+AP109+AP112+AP115,AP94+AP97+AP100+AP103+AP106+AP109+AP112+AP115+'R&amp;C-Painel de Controle'!$L$91)</f>
        <v>28.60080070198137</v>
      </c>
      <c r="AQ90" s="281">
        <f>IF('R&amp;C-Painel de Controle'!$D$24="Não",AQ94+AQ97+AQ100+AQ103+AQ106+AQ109+AQ112+AQ115,AQ94+AQ97+AQ100+AQ103+AQ106+AQ109+AQ112+AQ115+'R&amp;C-Painel de Controle'!$L$91)</f>
        <v>28.60080070198137</v>
      </c>
      <c r="AR90" s="281">
        <f>IF('R&amp;C-Painel de Controle'!$D$24="Não",AR94+AR97+AR100+AR103+AR106+AR109+AR112+AR115,AR94+AR97+AR100+AR103+AR106+AR109+AR112+AR115+'R&amp;C-Painel de Controle'!$L$91)</f>
        <v>28.60080070198137</v>
      </c>
      <c r="AS90" s="281">
        <f>IF('R&amp;C-Painel de Controle'!$D$24="Não",AS94+AS97+AS100+AS103+AS106+AS109+AS112+AS115,AS94+AS97+AS100+AS103+AS106+AS109+AS112+AS115+'R&amp;C-Painel de Controle'!$L$91)</f>
        <v>28.60080070198137</v>
      </c>
      <c r="AT90" s="281">
        <f>IF('R&amp;C-Painel de Controle'!$D$24="Não",AT94+AT97+AT100+AT103+AT106+AT109+AT112+AT115,AT94+AT97+AT100+AT103+AT106+AT109+AT112+AT115+'R&amp;C-Painel de Controle'!$L$91)</f>
        <v>28.60080070198137</v>
      </c>
      <c r="AU90" s="281">
        <f>IF('R&amp;C-Painel de Controle'!$D$24="Não",AU94+AU97+AU100+AU103+AU106+AU109+AU112+AU115,AU94+AU97+AU100+AU103+AU106+AU109+AU112+AU115+'R&amp;C-Painel de Controle'!$L$91)</f>
        <v>28.60080070198137</v>
      </c>
      <c r="AV90" s="281">
        <f>IF('R&amp;C-Painel de Controle'!$D$24="Não",AV94+AV97+AV100+AV103+AV106+AV109+AV112+AV115,AV94+AV97+AV100+AV103+AV106+AV109+AV112+AV115+'R&amp;C-Painel de Controle'!$L$91)</f>
        <v>28.60080070198137</v>
      </c>
      <c r="AW90" s="281">
        <f>IF('R&amp;C-Painel de Controle'!$D$24="Não",AW94+AW97+AW100+AW103+AW106+AW109+AW112+AW115,AW94+AW97+AW100+AW103+AW106+AW109+AW112+AW115+'R&amp;C-Painel de Controle'!$L$91)</f>
        <v>28.60080070198137</v>
      </c>
      <c r="AX90" s="281">
        <f>IF('R&amp;C-Painel de Controle'!$D$24="Não",AX94+AX97+AX100+AX103+AX106+AX109+AX112+AX115,AX94+AX97+AX100+AX103+AX106+AX109+AX112+AX115+'R&amp;C-Painel de Controle'!$L$91)</f>
        <v>28.60080070198137</v>
      </c>
      <c r="AY90" s="281">
        <f>IF('R&amp;C-Painel de Controle'!$D$24="Não",AY94+AY97+AY100+AY103+AY106+AY109+AY112+AY115,AY94+AY97+AY100+AY103+AY106+AY109+AY112+AY115+'R&amp;C-Painel de Controle'!$L$91)</f>
        <v>28.60080070198137</v>
      </c>
      <c r="AZ90" s="281">
        <f>IF('R&amp;C-Painel de Controle'!$D$24="Não",AZ94+AZ97+AZ100+AZ103+AZ106+AZ109+AZ112+AZ115,AZ94+AZ97+AZ100+AZ103+AZ106+AZ109+AZ112+AZ115+'R&amp;C-Painel de Controle'!$L$91)</f>
        <v>28.60080070198137</v>
      </c>
      <c r="BA90" s="281">
        <f>IF('R&amp;C-Painel de Controle'!$D$24="Não",BA94+BA97+BA100+BA103+BA106+BA109+BA112+BA115,BA94+BA97+BA100+BA103+BA106+BA109+BA112+BA115+'R&amp;C-Painel de Controle'!$L$91)</f>
        <v>28.60080070198137</v>
      </c>
      <c r="BB90" s="281">
        <f>IF('R&amp;C-Painel de Controle'!$D$24="Não",BB94+BB97+BB100+BB103+BB106+BB109+BB112+BB115,BB94+BB97+BB100+BB103+BB106+BB109+BB112+BB115+'R&amp;C-Painel de Controle'!$L$91)</f>
        <v>28.60080070198137</v>
      </c>
      <c r="BC90" s="281">
        <f>IF('R&amp;C-Painel de Controle'!$D$24="Não",BC94+BC97+BC100+BC103+BC106+BC109+BC112+BC115,BC94+BC97+BC100+BC103+BC106+BC109+BC112+BC115+'R&amp;C-Painel de Controle'!$L$91)</f>
        <v>28.60080070198137</v>
      </c>
    </row>
    <row r="91" spans="1:58" s="192" customFormat="1" ht="18" hidden="1" customHeight="1" outlineLevel="1" x14ac:dyDescent="0.25">
      <c r="A91" s="277"/>
      <c r="B91" s="228" t="s">
        <v>356</v>
      </c>
      <c r="C91" s="277" t="s">
        <v>357</v>
      </c>
      <c r="D91" s="277" t="s">
        <v>249</v>
      </c>
      <c r="E91" s="277"/>
      <c r="F91" s="277"/>
      <c r="G91" s="277"/>
      <c r="H91" s="277"/>
      <c r="I91" s="277"/>
      <c r="J91" s="277"/>
      <c r="K91" s="277"/>
      <c r="L91" s="277"/>
      <c r="M91" s="277"/>
      <c r="N91" s="277"/>
      <c r="O91" s="277"/>
      <c r="P91" s="277"/>
      <c r="Q91" s="277"/>
      <c r="R91" s="277"/>
      <c r="S91" s="277"/>
      <c r="T91" s="277"/>
      <c r="U91" s="277"/>
      <c r="V91" s="277"/>
      <c r="W91" s="277"/>
      <c r="X91" s="277"/>
      <c r="Y91" s="277"/>
      <c r="Z91" s="277"/>
      <c r="AA91" s="277"/>
      <c r="AB91" s="277"/>
      <c r="AC91" s="277"/>
      <c r="AD91" s="277"/>
      <c r="AE91" s="277"/>
      <c r="AF91" s="277"/>
      <c r="AG91" s="277"/>
      <c r="AH91" s="277"/>
      <c r="AI91" s="277"/>
      <c r="AJ91" s="277"/>
      <c r="AK91" s="277"/>
      <c r="AL91" s="277"/>
      <c r="AM91" s="277"/>
      <c r="AN91" s="277"/>
      <c r="AO91" s="277"/>
      <c r="AP91" s="277"/>
      <c r="AQ91" s="277"/>
      <c r="AR91" s="277"/>
      <c r="AS91" s="277"/>
      <c r="AT91" s="277"/>
      <c r="AU91" s="277"/>
      <c r="AV91" s="277"/>
      <c r="AW91" s="277"/>
      <c r="AX91" s="277"/>
      <c r="AY91" s="277"/>
      <c r="AZ91" s="277"/>
      <c r="BA91" s="277"/>
      <c r="BB91" s="277"/>
      <c r="BC91" s="277"/>
      <c r="BD91" s="277"/>
      <c r="BE91" s="277"/>
      <c r="BF91" s="277"/>
    </row>
    <row r="92" spans="1:58" s="192" customFormat="1" ht="18" hidden="1" customHeight="1" outlineLevel="1" x14ac:dyDescent="0.25">
      <c r="B92" s="732" t="str">
        <f>B65</f>
        <v>Triagem Manual — Seletivos</v>
      </c>
      <c r="C92" s="291" t="str">
        <f>C37</f>
        <v>Não</v>
      </c>
      <c r="D92" s="291">
        <f>D37</f>
        <v>0</v>
      </c>
      <c r="E92" s="1274"/>
      <c r="R92" s="274"/>
    </row>
    <row r="93" spans="1:58" s="192" customFormat="1" ht="18" hidden="1" customHeight="1" outlineLevel="1" x14ac:dyDescent="0.25">
      <c r="B93" s="260"/>
      <c r="C93" s="292"/>
      <c r="D93" s="292"/>
      <c r="E93" s="292"/>
      <c r="F93" s="292"/>
      <c r="G93" s="292"/>
      <c r="H93" s="292"/>
      <c r="I93" s="292"/>
      <c r="J93" s="292"/>
      <c r="K93" s="292"/>
      <c r="L93" s="292"/>
      <c r="M93" s="292"/>
      <c r="N93" s="292"/>
      <c r="O93" s="292"/>
      <c r="P93" s="292"/>
      <c r="Q93" s="292"/>
      <c r="R93" s="274"/>
      <c r="S93" s="274"/>
      <c r="T93" s="274"/>
      <c r="U93" s="274"/>
      <c r="V93" s="274"/>
      <c r="W93" s="274"/>
      <c r="X93" s="274"/>
      <c r="Y93" s="274"/>
      <c r="Z93" s="274"/>
      <c r="AA93" s="274"/>
      <c r="AB93" s="274"/>
      <c r="AC93" s="274"/>
      <c r="AD93" s="274"/>
      <c r="AE93" s="274"/>
      <c r="AF93" s="274"/>
      <c r="AG93" s="274"/>
      <c r="AH93" s="274"/>
      <c r="AI93" s="274"/>
      <c r="AJ93" s="274"/>
      <c r="AK93" s="274"/>
      <c r="AL93" s="274"/>
      <c r="AM93" s="274"/>
      <c r="AN93" s="274"/>
      <c r="AO93" s="274"/>
      <c r="AP93" s="274"/>
      <c r="AQ93" s="274"/>
      <c r="AR93" s="274"/>
      <c r="AS93" s="274"/>
      <c r="AT93" s="274"/>
      <c r="AU93" s="274"/>
      <c r="AV93" s="274"/>
      <c r="AW93" s="274"/>
      <c r="AX93" s="274"/>
      <c r="AY93" s="274"/>
      <c r="AZ93" s="274"/>
      <c r="BA93" s="274"/>
      <c r="BB93" s="274"/>
      <c r="BC93" s="274"/>
      <c r="BD93" s="274"/>
      <c r="BE93" s="274"/>
      <c r="BF93" s="274"/>
    </row>
    <row r="94" spans="1:58" s="192" customFormat="1" ht="18" hidden="1" customHeight="1" outlineLevel="1" x14ac:dyDescent="0.25">
      <c r="B94" s="260" t="s">
        <v>360</v>
      </c>
      <c r="C94" s="293">
        <f>IF(C39&gt;0,'R&amp;C-Painel de Controle'!$O$54+'R&amp;C-Painel de Controle'!$P$54*C39/1000000,0)</f>
        <v>0</v>
      </c>
      <c r="D94" s="293">
        <f>IF(D39&gt;0,'R&amp;C-Painel de Controle'!$O$54+'R&amp;C-Painel de Controle'!$P$54*D39/1000000,0)</f>
        <v>0</v>
      </c>
      <c r="E94" s="293">
        <f>IF(E39&gt;0,'R&amp;C-Painel de Controle'!O54+'R&amp;C-Painel de Controle'!$P$54*E39/1000000,0)</f>
        <v>0</v>
      </c>
      <c r="F94" s="293">
        <f>IF(F39&gt;0,'R&amp;C-Painel de Controle'!$O$54+'R&amp;C-Painel de Controle'!$P$54*F39/1000000,0)</f>
        <v>0</v>
      </c>
      <c r="G94" s="293">
        <f>IF(G39&gt;0,'R&amp;C-Painel de Controle'!$O$54+'R&amp;C-Painel de Controle'!$P$54*G39/1000000,0)</f>
        <v>0</v>
      </c>
      <c r="H94" s="293">
        <f>IF(H39&gt;0,'R&amp;C-Painel de Controle'!$O$54+'R&amp;C-Painel de Controle'!$P$54*H39/1000000,0)</f>
        <v>0</v>
      </c>
      <c r="I94" s="293">
        <f>IF(I39&gt;0,'R&amp;C-Painel de Controle'!$O$54+'R&amp;C-Painel de Controle'!$P$54*I39/1000000,0)</f>
        <v>0</v>
      </c>
      <c r="J94" s="293">
        <f>IF(J39&gt;0,'R&amp;C-Painel de Controle'!$O$54+'R&amp;C-Painel de Controle'!$P$54*J39/1000000,0)</f>
        <v>0</v>
      </c>
      <c r="K94" s="293">
        <f>IF(K39&gt;0,'R&amp;C-Painel de Controle'!$O$54+'R&amp;C-Painel de Controle'!$P$54*K39/1000000,0)</f>
        <v>0</v>
      </c>
      <c r="L94" s="293">
        <f>IF(L39&gt;0,'R&amp;C-Painel de Controle'!$O$54+'R&amp;C-Painel de Controle'!$P$54*L39/1000000,0)</f>
        <v>0</v>
      </c>
      <c r="M94" s="293">
        <f>IF(M39&gt;0,'R&amp;C-Painel de Controle'!$O$54+'R&amp;C-Painel de Controle'!$P$54*M39/1000000,0)</f>
        <v>0</v>
      </c>
      <c r="N94" s="293">
        <f>IF(N39&gt;0,'R&amp;C-Painel de Controle'!$O$54+'R&amp;C-Painel de Controle'!$P$54*N39/1000000,0)</f>
        <v>0</v>
      </c>
      <c r="O94" s="293">
        <f>IF(O39&gt;0,'R&amp;C-Painel de Controle'!$O$54+'R&amp;C-Painel de Controle'!$P$54*O39/1000000,0)</f>
        <v>0</v>
      </c>
      <c r="P94" s="293">
        <f>IF(P39&gt;0,'R&amp;C-Painel de Controle'!$O$54+'R&amp;C-Painel de Controle'!$P$54*P39/1000000,0)</f>
        <v>0</v>
      </c>
      <c r="Q94" s="293">
        <f>IF(Q39&gt;0,'R&amp;C-Painel de Controle'!$O$54+'R&amp;C-Painel de Controle'!$P$54*Q39/1000000,0)</f>
        <v>0</v>
      </c>
      <c r="R94" s="280">
        <f t="shared" ref="R94:BC94" si="41">Q94</f>
        <v>0</v>
      </c>
      <c r="S94" s="280">
        <f t="shared" si="41"/>
        <v>0</v>
      </c>
      <c r="T94" s="280">
        <f t="shared" si="41"/>
        <v>0</v>
      </c>
      <c r="U94" s="280">
        <f t="shared" si="41"/>
        <v>0</v>
      </c>
      <c r="V94" s="280">
        <f t="shared" si="41"/>
        <v>0</v>
      </c>
      <c r="W94" s="280">
        <f t="shared" si="41"/>
        <v>0</v>
      </c>
      <c r="X94" s="280">
        <f t="shared" si="41"/>
        <v>0</v>
      </c>
      <c r="Y94" s="280">
        <f t="shared" si="41"/>
        <v>0</v>
      </c>
      <c r="Z94" s="280">
        <f t="shared" si="41"/>
        <v>0</v>
      </c>
      <c r="AA94" s="280">
        <f t="shared" si="41"/>
        <v>0</v>
      </c>
      <c r="AB94" s="280">
        <f t="shared" si="41"/>
        <v>0</v>
      </c>
      <c r="AC94" s="280">
        <f t="shared" si="41"/>
        <v>0</v>
      </c>
      <c r="AD94" s="280">
        <f t="shared" si="41"/>
        <v>0</v>
      </c>
      <c r="AE94" s="280">
        <f t="shared" si="41"/>
        <v>0</v>
      </c>
      <c r="AF94" s="280">
        <f t="shared" si="41"/>
        <v>0</v>
      </c>
      <c r="AG94" s="280">
        <f t="shared" si="41"/>
        <v>0</v>
      </c>
      <c r="AH94" s="280">
        <f t="shared" si="41"/>
        <v>0</v>
      </c>
      <c r="AI94" s="280">
        <f t="shared" si="41"/>
        <v>0</v>
      </c>
      <c r="AJ94" s="280">
        <f t="shared" si="41"/>
        <v>0</v>
      </c>
      <c r="AK94" s="280">
        <f t="shared" si="41"/>
        <v>0</v>
      </c>
      <c r="AL94" s="280">
        <f t="shared" si="41"/>
        <v>0</v>
      </c>
      <c r="AM94" s="280">
        <f t="shared" si="41"/>
        <v>0</v>
      </c>
      <c r="AN94" s="280">
        <f t="shared" si="41"/>
        <v>0</v>
      </c>
      <c r="AO94" s="280">
        <f t="shared" si="41"/>
        <v>0</v>
      </c>
      <c r="AP94" s="280">
        <f t="shared" si="41"/>
        <v>0</v>
      </c>
      <c r="AQ94" s="280">
        <f t="shared" si="41"/>
        <v>0</v>
      </c>
      <c r="AR94" s="280">
        <f t="shared" si="41"/>
        <v>0</v>
      </c>
      <c r="AS94" s="280">
        <f t="shared" si="41"/>
        <v>0</v>
      </c>
      <c r="AT94" s="280">
        <f t="shared" si="41"/>
        <v>0</v>
      </c>
      <c r="AU94" s="280">
        <f t="shared" si="41"/>
        <v>0</v>
      </c>
      <c r="AV94" s="280">
        <f t="shared" si="41"/>
        <v>0</v>
      </c>
      <c r="AW94" s="280">
        <f t="shared" si="41"/>
        <v>0</v>
      </c>
      <c r="AX94" s="280">
        <f t="shared" si="41"/>
        <v>0</v>
      </c>
      <c r="AY94" s="280">
        <f t="shared" si="41"/>
        <v>0</v>
      </c>
      <c r="AZ94" s="280">
        <f t="shared" si="41"/>
        <v>0</v>
      </c>
      <c r="BA94" s="280">
        <f t="shared" si="41"/>
        <v>0</v>
      </c>
      <c r="BB94" s="280">
        <f t="shared" si="41"/>
        <v>0</v>
      </c>
      <c r="BC94" s="280">
        <f t="shared" si="41"/>
        <v>0</v>
      </c>
      <c r="BD94" s="280"/>
      <c r="BE94" s="280"/>
      <c r="BF94" s="280"/>
    </row>
    <row r="95" spans="1:58" s="192" customFormat="1" ht="18" hidden="1" customHeight="1" outlineLevel="1" x14ac:dyDescent="0.25">
      <c r="B95" s="732" t="str">
        <f>B68</f>
        <v>Triagem Mecanizada</v>
      </c>
      <c r="C95" s="291" t="str">
        <f>C40</f>
        <v>Sim</v>
      </c>
      <c r="D95" s="291">
        <f>D40</f>
        <v>2887.4249999999993</v>
      </c>
      <c r="E95" s="1274"/>
      <c r="F95" s="1274"/>
      <c r="G95" s="1274"/>
      <c r="H95" s="1274"/>
      <c r="I95" s="1274"/>
      <c r="J95" s="1274"/>
      <c r="K95" s="1274"/>
      <c r="L95" s="1274"/>
      <c r="M95" s="1274"/>
      <c r="N95" s="1274"/>
      <c r="O95" s="1274"/>
      <c r="P95" s="1274"/>
      <c r="Q95" s="740"/>
      <c r="R95" s="274"/>
      <c r="S95" s="274"/>
      <c r="T95" s="274"/>
      <c r="U95" s="274"/>
      <c r="V95" s="274"/>
      <c r="W95" s="274"/>
      <c r="X95" s="274"/>
      <c r="Y95" s="274"/>
      <c r="Z95" s="274"/>
      <c r="AA95" s="274"/>
      <c r="AB95" s="274"/>
      <c r="AC95" s="274"/>
      <c r="AD95" s="274"/>
      <c r="AE95" s="274"/>
      <c r="AF95" s="274"/>
      <c r="AG95" s="274"/>
      <c r="AH95" s="274"/>
      <c r="AI95" s="274"/>
      <c r="AJ95" s="274"/>
      <c r="AK95" s="274"/>
      <c r="AL95" s="274"/>
      <c r="AM95" s="274"/>
      <c r="AN95" s="274"/>
      <c r="AO95" s="274"/>
      <c r="AP95" s="274"/>
      <c r="AQ95" s="274"/>
      <c r="AR95" s="274"/>
      <c r="AS95" s="274"/>
      <c r="AT95" s="274"/>
      <c r="AU95" s="274"/>
      <c r="AV95" s="274"/>
      <c r="AW95" s="274"/>
      <c r="AX95" s="274"/>
      <c r="AY95" s="274"/>
      <c r="AZ95" s="274"/>
      <c r="BA95" s="274"/>
      <c r="BB95" s="274"/>
      <c r="BC95" s="274"/>
      <c r="BD95" s="274"/>
      <c r="BE95" s="274"/>
      <c r="BF95" s="274"/>
    </row>
    <row r="96" spans="1:58" s="192" customFormat="1" ht="18" hidden="1" customHeight="1" outlineLevel="1" x14ac:dyDescent="0.25">
      <c r="B96" s="260"/>
      <c r="C96" s="292"/>
      <c r="D96" s="289"/>
      <c r="E96" s="292"/>
      <c r="F96" s="292"/>
      <c r="G96" s="292"/>
      <c r="H96" s="292"/>
      <c r="I96" s="292"/>
      <c r="J96" s="292"/>
      <c r="K96" s="292"/>
      <c r="L96" s="292"/>
      <c r="M96" s="292"/>
      <c r="N96" s="292"/>
      <c r="O96" s="292"/>
      <c r="P96" s="292"/>
      <c r="Q96" s="292"/>
      <c r="R96" s="274"/>
      <c r="S96" s="274"/>
      <c r="T96" s="274"/>
      <c r="U96" s="274"/>
      <c r="V96" s="274"/>
      <c r="W96" s="274"/>
      <c r="X96" s="274"/>
      <c r="Y96" s="274"/>
      <c r="Z96" s="274"/>
      <c r="AA96" s="274"/>
      <c r="AB96" s="274"/>
      <c r="AC96" s="274"/>
      <c r="AD96" s="274"/>
      <c r="AE96" s="274"/>
      <c r="AF96" s="274"/>
      <c r="AG96" s="274"/>
      <c r="AH96" s="274"/>
      <c r="AI96" s="274"/>
      <c r="AJ96" s="274"/>
      <c r="AK96" s="274"/>
      <c r="AL96" s="274"/>
      <c r="AM96" s="274"/>
      <c r="AN96" s="274"/>
      <c r="AO96" s="274"/>
      <c r="AP96" s="274"/>
      <c r="AQ96" s="274"/>
      <c r="AR96" s="274"/>
      <c r="AS96" s="274"/>
      <c r="AT96" s="274"/>
      <c r="AU96" s="274"/>
      <c r="AV96" s="274"/>
      <c r="AW96" s="274"/>
      <c r="AX96" s="274"/>
      <c r="AY96" s="274"/>
      <c r="AZ96" s="274"/>
      <c r="BA96" s="274"/>
      <c r="BB96" s="274"/>
      <c r="BC96" s="274"/>
      <c r="BD96" s="274"/>
      <c r="BE96" s="274"/>
      <c r="BF96" s="274"/>
    </row>
    <row r="97" spans="2:58" s="192" customFormat="1" ht="18" hidden="1" customHeight="1" outlineLevel="1" x14ac:dyDescent="0.25">
      <c r="B97" s="260" t="s">
        <v>360</v>
      </c>
      <c r="C97" s="293">
        <f>IF(C42&gt;0,'R&amp;C-Painel de Controle'!$O57+'R&amp;C-Painel de Controle'!$P57*C42/1000000,0)</f>
        <v>0</v>
      </c>
      <c r="D97" s="295">
        <f>IF(D42&gt;0,'R&amp;C-Painel de Controle'!$O57+'R&amp;C-Painel de Controle'!$P57*D42/1000000,0)</f>
        <v>0</v>
      </c>
      <c r="E97" s="293">
        <f>IF(E42&gt;0,'R&amp;C-Painel de Controle'!$O57+'R&amp;C-Painel de Controle'!$P57*E42/1000000,0)</f>
        <v>0</v>
      </c>
      <c r="F97" s="293">
        <f>IF(F42&gt;0,'R&amp;C-Painel de Controle'!$O57+'R&amp;C-Painel de Controle'!$P57*F42/1000000,0)</f>
        <v>7.3940878318928025</v>
      </c>
      <c r="G97" s="293">
        <f>IF(G42&gt;0,'R&amp;C-Painel de Controle'!$O57+'R&amp;C-Painel de Controle'!$P57*G42/1000000,0)</f>
        <v>7.3940878318928025</v>
      </c>
      <c r="H97" s="293">
        <f>IF(H42&gt;0,'R&amp;C-Painel de Controle'!$O57+'R&amp;C-Painel de Controle'!$P57*H42/1000000,0)</f>
        <v>7.3940878318928025</v>
      </c>
      <c r="I97" s="293">
        <f>IF(I42&gt;0,'R&amp;C-Painel de Controle'!$O57+'R&amp;C-Painel de Controle'!$P57*I42/1000000,0)</f>
        <v>7.3940878318928025</v>
      </c>
      <c r="J97" s="293">
        <f>IF(J42&gt;0,'R&amp;C-Painel de Controle'!$O57+'R&amp;C-Painel de Controle'!$P57*J42/1000000,0)</f>
        <v>7.3940878318928025</v>
      </c>
      <c r="K97" s="293">
        <f>IF(K42&gt;0,'R&amp;C-Painel de Controle'!$O57+'R&amp;C-Painel de Controle'!$P57*K42/1000000,0)</f>
        <v>7.3940878318928025</v>
      </c>
      <c r="L97" s="293">
        <f>IF(L42&gt;0,'R&amp;C-Painel de Controle'!$O57+'R&amp;C-Painel de Controle'!$P57*L42/1000000,0)</f>
        <v>7.3940878318928025</v>
      </c>
      <c r="M97" s="293">
        <f>IF(M42&gt;0,'R&amp;C-Painel de Controle'!$O57+'R&amp;C-Painel de Controle'!$P57*M42/1000000,0)</f>
        <v>7.3940878318928025</v>
      </c>
      <c r="N97" s="293">
        <f>IF(N42&gt;0,'R&amp;C-Painel de Controle'!$O57+'R&amp;C-Painel de Controle'!$P57*N42/1000000,0)</f>
        <v>7.3940878318928025</v>
      </c>
      <c r="O97" s="293">
        <f>IF(O42&gt;0,'R&amp;C-Painel de Controle'!$O57+'R&amp;C-Painel de Controle'!$P57*O42/1000000,0)</f>
        <v>7.3940878318928025</v>
      </c>
      <c r="P97" s="293">
        <f>IF(P42&gt;0,'R&amp;C-Painel de Controle'!$O57+'R&amp;C-Painel de Controle'!$P57*P42/1000000,0)</f>
        <v>7.3940878318928025</v>
      </c>
      <c r="Q97" s="293">
        <f>IF(Q42&gt;0,'R&amp;C-Painel de Controle'!$O57+'R&amp;C-Painel de Controle'!$P57*Q42/1000000,0)</f>
        <v>7.3940878318928025</v>
      </c>
      <c r="R97" s="280">
        <f t="shared" ref="R97:BC97" si="42">Q97</f>
        <v>7.3940878318928025</v>
      </c>
      <c r="S97" s="280">
        <f t="shared" si="42"/>
        <v>7.3940878318928025</v>
      </c>
      <c r="T97" s="280">
        <f t="shared" si="42"/>
        <v>7.3940878318928025</v>
      </c>
      <c r="U97" s="280">
        <f t="shared" si="42"/>
        <v>7.3940878318928025</v>
      </c>
      <c r="V97" s="280">
        <f t="shared" si="42"/>
        <v>7.3940878318928025</v>
      </c>
      <c r="W97" s="280">
        <f t="shared" si="42"/>
        <v>7.3940878318928025</v>
      </c>
      <c r="X97" s="280">
        <f t="shared" si="42"/>
        <v>7.3940878318928025</v>
      </c>
      <c r="Y97" s="280">
        <f t="shared" si="42"/>
        <v>7.3940878318928025</v>
      </c>
      <c r="Z97" s="280">
        <f t="shared" si="42"/>
        <v>7.3940878318928025</v>
      </c>
      <c r="AA97" s="280">
        <f t="shared" si="42"/>
        <v>7.3940878318928025</v>
      </c>
      <c r="AB97" s="280">
        <f t="shared" si="42"/>
        <v>7.3940878318928025</v>
      </c>
      <c r="AC97" s="280">
        <f t="shared" si="42"/>
        <v>7.3940878318928025</v>
      </c>
      <c r="AD97" s="280">
        <f t="shared" si="42"/>
        <v>7.3940878318928025</v>
      </c>
      <c r="AE97" s="280">
        <f t="shared" si="42"/>
        <v>7.3940878318928025</v>
      </c>
      <c r="AF97" s="280">
        <f t="shared" si="42"/>
        <v>7.3940878318928025</v>
      </c>
      <c r="AG97" s="280">
        <f t="shared" si="42"/>
        <v>7.3940878318928025</v>
      </c>
      <c r="AH97" s="280">
        <f t="shared" si="42"/>
        <v>7.3940878318928025</v>
      </c>
      <c r="AI97" s="280">
        <f t="shared" si="42"/>
        <v>7.3940878318928025</v>
      </c>
      <c r="AJ97" s="280">
        <f t="shared" si="42"/>
        <v>7.3940878318928025</v>
      </c>
      <c r="AK97" s="280">
        <f t="shared" si="42"/>
        <v>7.3940878318928025</v>
      </c>
      <c r="AL97" s="280">
        <f t="shared" si="42"/>
        <v>7.3940878318928025</v>
      </c>
      <c r="AM97" s="280">
        <f t="shared" si="42"/>
        <v>7.3940878318928025</v>
      </c>
      <c r="AN97" s="280">
        <f t="shared" si="42"/>
        <v>7.3940878318928025</v>
      </c>
      <c r="AO97" s="280">
        <f t="shared" si="42"/>
        <v>7.3940878318928025</v>
      </c>
      <c r="AP97" s="280">
        <f t="shared" si="42"/>
        <v>7.3940878318928025</v>
      </c>
      <c r="AQ97" s="280">
        <f t="shared" si="42"/>
        <v>7.3940878318928025</v>
      </c>
      <c r="AR97" s="280">
        <f t="shared" si="42"/>
        <v>7.3940878318928025</v>
      </c>
      <c r="AS97" s="280">
        <f t="shared" si="42"/>
        <v>7.3940878318928025</v>
      </c>
      <c r="AT97" s="280">
        <f t="shared" si="42"/>
        <v>7.3940878318928025</v>
      </c>
      <c r="AU97" s="280">
        <f t="shared" si="42"/>
        <v>7.3940878318928025</v>
      </c>
      <c r="AV97" s="280">
        <f t="shared" si="42"/>
        <v>7.3940878318928025</v>
      </c>
      <c r="AW97" s="280">
        <f t="shared" si="42"/>
        <v>7.3940878318928025</v>
      </c>
      <c r="AX97" s="280">
        <f t="shared" si="42"/>
        <v>7.3940878318928025</v>
      </c>
      <c r="AY97" s="280">
        <f t="shared" si="42"/>
        <v>7.3940878318928025</v>
      </c>
      <c r="AZ97" s="280">
        <f t="shared" si="42"/>
        <v>7.3940878318928025</v>
      </c>
      <c r="BA97" s="280">
        <f t="shared" si="42"/>
        <v>7.3940878318928025</v>
      </c>
      <c r="BB97" s="280">
        <f t="shared" si="42"/>
        <v>7.3940878318928025</v>
      </c>
      <c r="BC97" s="280">
        <f t="shared" si="42"/>
        <v>7.3940878318928025</v>
      </c>
      <c r="BD97" s="280"/>
      <c r="BE97" s="280"/>
      <c r="BF97" s="280"/>
    </row>
    <row r="98" spans="2:58" s="192" customFormat="1" ht="18" hidden="1" customHeight="1" outlineLevel="1" x14ac:dyDescent="0.25">
      <c r="B98" s="732" t="str">
        <f>B71</f>
        <v>Produção de CDR TM — Trat. Mec.</v>
      </c>
      <c r="C98" s="291" t="str">
        <f>C43</f>
        <v>Não</v>
      </c>
      <c r="D98" s="291">
        <f>D43</f>
        <v>0</v>
      </c>
      <c r="E98" s="1274"/>
      <c r="Q98" s="740"/>
      <c r="R98" s="274"/>
      <c r="S98" s="274"/>
      <c r="T98" s="274"/>
      <c r="U98" s="274"/>
      <c r="V98" s="274"/>
      <c r="W98" s="274"/>
      <c r="X98" s="274"/>
      <c r="Y98" s="274"/>
      <c r="Z98" s="274"/>
      <c r="AA98" s="274"/>
      <c r="AB98" s="274"/>
      <c r="AC98" s="274"/>
      <c r="AD98" s="274"/>
      <c r="AE98" s="274"/>
      <c r="AF98" s="274"/>
      <c r="AG98" s="274"/>
      <c r="AH98" s="274"/>
      <c r="AI98" s="274"/>
      <c r="AJ98" s="274"/>
      <c r="AK98" s="274"/>
      <c r="AL98" s="274"/>
      <c r="AM98" s="274"/>
      <c r="AN98" s="274"/>
      <c r="AO98" s="274"/>
      <c r="AP98" s="274"/>
      <c r="AQ98" s="274"/>
      <c r="AR98" s="274"/>
      <c r="AS98" s="274"/>
      <c r="AT98" s="274"/>
      <c r="AU98" s="274"/>
      <c r="AV98" s="274"/>
      <c r="AW98" s="274"/>
      <c r="AX98" s="274"/>
      <c r="AY98" s="274"/>
      <c r="AZ98" s="274"/>
      <c r="BA98" s="274"/>
      <c r="BB98" s="274"/>
      <c r="BC98" s="274"/>
      <c r="BD98" s="274"/>
      <c r="BE98" s="274"/>
      <c r="BF98" s="274"/>
    </row>
    <row r="99" spans="2:58" s="192" customFormat="1" ht="18" hidden="1" customHeight="1" outlineLevel="1" x14ac:dyDescent="0.25">
      <c r="B99" s="260"/>
      <c r="C99" s="292"/>
      <c r="D99" s="292"/>
      <c r="E99" s="292"/>
      <c r="F99" s="292"/>
      <c r="G99" s="292"/>
      <c r="H99" s="292"/>
      <c r="I99" s="292"/>
      <c r="J99" s="292"/>
      <c r="K99" s="292"/>
      <c r="L99" s="292"/>
      <c r="M99" s="292"/>
      <c r="N99" s="292"/>
      <c r="O99" s="292"/>
      <c r="P99" s="292"/>
      <c r="Q99" s="292"/>
      <c r="R99" s="274"/>
      <c r="S99" s="274"/>
      <c r="T99" s="274"/>
      <c r="U99" s="274"/>
      <c r="V99" s="274"/>
      <c r="W99" s="274"/>
      <c r="X99" s="274"/>
      <c r="Y99" s="274"/>
      <c r="Z99" s="274"/>
      <c r="AA99" s="274"/>
      <c r="AB99" s="274"/>
      <c r="AC99" s="274"/>
      <c r="AD99" s="274"/>
      <c r="AE99" s="274"/>
      <c r="AF99" s="274"/>
      <c r="AG99" s="274"/>
      <c r="AH99" s="274"/>
      <c r="AI99" s="274"/>
      <c r="AJ99" s="274"/>
      <c r="AK99" s="274"/>
      <c r="AL99" s="274"/>
      <c r="AM99" s="274"/>
      <c r="AN99" s="274"/>
      <c r="AO99" s="274"/>
      <c r="AP99" s="274"/>
      <c r="AQ99" s="274"/>
      <c r="AR99" s="274"/>
      <c r="AS99" s="274"/>
      <c r="AT99" s="274"/>
      <c r="AU99" s="274"/>
      <c r="AV99" s="274"/>
      <c r="AW99" s="274"/>
      <c r="AX99" s="274"/>
      <c r="AY99" s="274"/>
      <c r="AZ99" s="274"/>
      <c r="BA99" s="274"/>
      <c r="BB99" s="274"/>
      <c r="BC99" s="274"/>
      <c r="BD99" s="274"/>
      <c r="BE99" s="274"/>
      <c r="BF99" s="274"/>
    </row>
    <row r="100" spans="2:58" s="192" customFormat="1" ht="18" hidden="1" customHeight="1" outlineLevel="1" x14ac:dyDescent="0.25">
      <c r="B100" s="260" t="s">
        <v>360</v>
      </c>
      <c r="C100" s="293">
        <f>IF(C45&gt;0,'R&amp;C-Painel de Controle'!$O60+'R&amp;C-Painel de Controle'!$P60*C45/1000000,0)</f>
        <v>0</v>
      </c>
      <c r="D100" s="293">
        <f>IF(D45&gt;0,'R&amp;C-Painel de Controle'!$O60+'R&amp;C-Painel de Controle'!$P60*D45/1000000,0)</f>
        <v>0</v>
      </c>
      <c r="E100" s="293">
        <f>IF(E45&gt;0,'R&amp;C-Painel de Controle'!$O60+'R&amp;C-Painel de Controle'!$P60*E45/1000000,0)</f>
        <v>0</v>
      </c>
      <c r="F100" s="293">
        <f>IF(F45&gt;0,'R&amp;C-Painel de Controle'!$O60+'R&amp;C-Painel de Controle'!$P60*F45/1000000,0)</f>
        <v>0</v>
      </c>
      <c r="G100" s="293">
        <f>IF(G45&gt;0,'R&amp;C-Painel de Controle'!$O60+'R&amp;C-Painel de Controle'!$P60*G45/1000000,0)</f>
        <v>0</v>
      </c>
      <c r="H100" s="293">
        <f>IF(H45&gt;0,'R&amp;C-Painel de Controle'!$O60+'R&amp;C-Painel de Controle'!$P60*H45/1000000,0)</f>
        <v>0</v>
      </c>
      <c r="I100" s="293">
        <f>IF(I45&gt;0,'R&amp;C-Painel de Controle'!$O60+'R&amp;C-Painel de Controle'!$P60*I45/1000000,0)</f>
        <v>0</v>
      </c>
      <c r="J100" s="293">
        <f>IF(J45&gt;0,'R&amp;C-Painel de Controle'!$O60+'R&amp;C-Painel de Controle'!$P60*J45/1000000,0)</f>
        <v>0</v>
      </c>
      <c r="K100" s="293">
        <f>IF(K45&gt;0,'R&amp;C-Painel de Controle'!$O60+'R&amp;C-Painel de Controle'!$P60*K45/1000000,0)</f>
        <v>0</v>
      </c>
      <c r="L100" s="293">
        <f>IF(L45&gt;0,'R&amp;C-Painel de Controle'!$O60+'R&amp;C-Painel de Controle'!$P60*L45/1000000,0)</f>
        <v>0</v>
      </c>
      <c r="M100" s="293">
        <f>IF(M45&gt;0,'R&amp;C-Painel de Controle'!$O60+'R&amp;C-Painel de Controle'!$P60*M45/1000000,0)</f>
        <v>0</v>
      </c>
      <c r="N100" s="293">
        <f>IF(N45&gt;0,'R&amp;C-Painel de Controle'!$O60+'R&amp;C-Painel de Controle'!$P60*N45/1000000,0)</f>
        <v>0</v>
      </c>
      <c r="O100" s="293">
        <f>IF(O45&gt;0,'R&amp;C-Painel de Controle'!$O60+'R&amp;C-Painel de Controle'!$P60*O45/1000000,0)</f>
        <v>0</v>
      </c>
      <c r="P100" s="293">
        <f>IF(P45&gt;0,'R&amp;C-Painel de Controle'!$O60+'R&amp;C-Painel de Controle'!$P60*P45/1000000,0)</f>
        <v>0</v>
      </c>
      <c r="Q100" s="293">
        <f>IF(Q45&gt;0,'R&amp;C-Painel de Controle'!$O60+'R&amp;C-Painel de Controle'!$P60*Q45/1000000,0)</f>
        <v>0</v>
      </c>
      <c r="R100" s="280">
        <f t="shared" ref="R100:BC100" si="43">Q100</f>
        <v>0</v>
      </c>
      <c r="S100" s="280">
        <f t="shared" si="43"/>
        <v>0</v>
      </c>
      <c r="T100" s="280">
        <f t="shared" si="43"/>
        <v>0</v>
      </c>
      <c r="U100" s="280">
        <f t="shared" si="43"/>
        <v>0</v>
      </c>
      <c r="V100" s="280">
        <f t="shared" si="43"/>
        <v>0</v>
      </c>
      <c r="W100" s="280">
        <f t="shared" si="43"/>
        <v>0</v>
      </c>
      <c r="X100" s="280">
        <f t="shared" si="43"/>
        <v>0</v>
      </c>
      <c r="Y100" s="280">
        <f t="shared" si="43"/>
        <v>0</v>
      </c>
      <c r="Z100" s="280">
        <f t="shared" si="43"/>
        <v>0</v>
      </c>
      <c r="AA100" s="280">
        <f t="shared" si="43"/>
        <v>0</v>
      </c>
      <c r="AB100" s="280">
        <f t="shared" si="43"/>
        <v>0</v>
      </c>
      <c r="AC100" s="280">
        <f t="shared" si="43"/>
        <v>0</v>
      </c>
      <c r="AD100" s="280">
        <f t="shared" si="43"/>
        <v>0</v>
      </c>
      <c r="AE100" s="280">
        <f t="shared" si="43"/>
        <v>0</v>
      </c>
      <c r="AF100" s="280">
        <f t="shared" si="43"/>
        <v>0</v>
      </c>
      <c r="AG100" s="280">
        <f t="shared" si="43"/>
        <v>0</v>
      </c>
      <c r="AH100" s="280">
        <f t="shared" si="43"/>
        <v>0</v>
      </c>
      <c r="AI100" s="280">
        <f t="shared" si="43"/>
        <v>0</v>
      </c>
      <c r="AJ100" s="280">
        <f t="shared" si="43"/>
        <v>0</v>
      </c>
      <c r="AK100" s="280">
        <f t="shared" si="43"/>
        <v>0</v>
      </c>
      <c r="AL100" s="280">
        <f t="shared" si="43"/>
        <v>0</v>
      </c>
      <c r="AM100" s="280">
        <f t="shared" si="43"/>
        <v>0</v>
      </c>
      <c r="AN100" s="280">
        <f t="shared" si="43"/>
        <v>0</v>
      </c>
      <c r="AO100" s="280">
        <f t="shared" si="43"/>
        <v>0</v>
      </c>
      <c r="AP100" s="280">
        <f t="shared" si="43"/>
        <v>0</v>
      </c>
      <c r="AQ100" s="280">
        <f t="shared" si="43"/>
        <v>0</v>
      </c>
      <c r="AR100" s="280">
        <f t="shared" si="43"/>
        <v>0</v>
      </c>
      <c r="AS100" s="280">
        <f t="shared" si="43"/>
        <v>0</v>
      </c>
      <c r="AT100" s="280">
        <f t="shared" si="43"/>
        <v>0</v>
      </c>
      <c r="AU100" s="280">
        <f t="shared" si="43"/>
        <v>0</v>
      </c>
      <c r="AV100" s="280">
        <f t="shared" si="43"/>
        <v>0</v>
      </c>
      <c r="AW100" s="280">
        <f t="shared" si="43"/>
        <v>0</v>
      </c>
      <c r="AX100" s="280">
        <f t="shared" si="43"/>
        <v>0</v>
      </c>
      <c r="AY100" s="280">
        <f t="shared" si="43"/>
        <v>0</v>
      </c>
      <c r="AZ100" s="280">
        <f t="shared" si="43"/>
        <v>0</v>
      </c>
      <c r="BA100" s="280">
        <f t="shared" si="43"/>
        <v>0</v>
      </c>
      <c r="BB100" s="280">
        <f t="shared" si="43"/>
        <v>0</v>
      </c>
      <c r="BC100" s="280">
        <f t="shared" si="43"/>
        <v>0</v>
      </c>
      <c r="BD100" s="280"/>
      <c r="BE100" s="280"/>
      <c r="BF100" s="280"/>
    </row>
    <row r="101" spans="2:58" s="192" customFormat="1" ht="18" hidden="1" customHeight="1" outlineLevel="1" x14ac:dyDescent="0.25">
      <c r="B101" s="732" t="str">
        <f>B74</f>
        <v>Prod. CDR TMB — Trat. Mec./Biológ.</v>
      </c>
      <c r="C101" s="291" t="str">
        <f>C46</f>
        <v>Não</v>
      </c>
      <c r="D101" s="291">
        <f>D46</f>
        <v>0</v>
      </c>
      <c r="E101" s="1274"/>
      <c r="F101" s="1274"/>
      <c r="G101" s="1274"/>
      <c r="H101" s="1274"/>
      <c r="I101" s="1274"/>
      <c r="J101" s="1274"/>
      <c r="K101" s="1274"/>
      <c r="L101" s="1274"/>
      <c r="M101" s="1274"/>
      <c r="N101" s="1274"/>
      <c r="O101" s="1274"/>
      <c r="P101" s="1274"/>
      <c r="Q101" s="740"/>
      <c r="R101" s="274"/>
      <c r="S101" s="274"/>
      <c r="T101" s="274"/>
      <c r="U101" s="274"/>
      <c r="V101" s="274"/>
      <c r="W101" s="274"/>
      <c r="X101" s="274"/>
      <c r="Y101" s="274"/>
      <c r="Z101" s="274"/>
      <c r="AA101" s="274"/>
      <c r="AB101" s="274"/>
      <c r="AC101" s="274"/>
      <c r="AD101" s="274"/>
      <c r="AE101" s="274"/>
      <c r="AF101" s="274"/>
      <c r="AG101" s="274"/>
      <c r="AH101" s="274"/>
      <c r="AI101" s="274"/>
      <c r="AJ101" s="274"/>
      <c r="AK101" s="274"/>
      <c r="AL101" s="274"/>
      <c r="AM101" s="274"/>
      <c r="AN101" s="274"/>
      <c r="AO101" s="274"/>
      <c r="AP101" s="274"/>
      <c r="AQ101" s="274"/>
      <c r="AR101" s="274"/>
      <c r="AS101" s="274"/>
      <c r="AT101" s="274"/>
      <c r="AU101" s="274"/>
      <c r="AV101" s="274"/>
      <c r="AW101" s="274"/>
      <c r="AX101" s="274"/>
      <c r="AY101" s="274"/>
      <c r="AZ101" s="274"/>
      <c r="BA101" s="274"/>
      <c r="BB101" s="274"/>
      <c r="BC101" s="274"/>
      <c r="BD101" s="274"/>
      <c r="BE101" s="274"/>
      <c r="BF101" s="274"/>
    </row>
    <row r="102" spans="2:58" s="192" customFormat="1" ht="18" hidden="1" customHeight="1" outlineLevel="1" x14ac:dyDescent="0.25">
      <c r="B102" s="260"/>
      <c r="C102" s="292"/>
      <c r="D102" s="292"/>
      <c r="E102" s="292"/>
      <c r="F102" s="292"/>
      <c r="G102" s="292"/>
      <c r="H102" s="292"/>
      <c r="I102" s="292"/>
      <c r="J102" s="292"/>
      <c r="K102" s="292"/>
      <c r="L102" s="292"/>
      <c r="M102" s="292"/>
      <c r="N102" s="292"/>
      <c r="O102" s="292"/>
      <c r="P102" s="292"/>
      <c r="Q102" s="292"/>
      <c r="R102" s="274"/>
      <c r="S102" s="274"/>
      <c r="T102" s="274"/>
      <c r="U102" s="274"/>
      <c r="V102" s="274"/>
      <c r="W102" s="274"/>
      <c r="X102" s="274"/>
      <c r="Y102" s="274"/>
      <c r="Z102" s="274"/>
      <c r="AA102" s="274"/>
      <c r="AB102" s="274"/>
      <c r="AC102" s="274"/>
      <c r="AD102" s="274"/>
      <c r="AE102" s="274"/>
      <c r="AF102" s="274"/>
      <c r="AG102" s="274"/>
      <c r="AH102" s="274"/>
      <c r="AI102" s="274"/>
      <c r="AJ102" s="274"/>
      <c r="AK102" s="274"/>
      <c r="AL102" s="274"/>
      <c r="AM102" s="274"/>
      <c r="AN102" s="274"/>
      <c r="AO102" s="274"/>
      <c r="AP102" s="274"/>
      <c r="AQ102" s="274"/>
      <c r="AR102" s="274"/>
      <c r="AS102" s="274"/>
      <c r="AT102" s="274"/>
      <c r="AU102" s="274"/>
      <c r="AV102" s="274"/>
      <c r="AW102" s="274"/>
      <c r="AX102" s="274"/>
      <c r="AY102" s="274"/>
      <c r="AZ102" s="274"/>
      <c r="BA102" s="274"/>
      <c r="BB102" s="274"/>
      <c r="BC102" s="274"/>
      <c r="BD102" s="274"/>
      <c r="BE102" s="274"/>
      <c r="BF102" s="274"/>
    </row>
    <row r="103" spans="2:58" s="192" customFormat="1" ht="18" hidden="1" customHeight="1" outlineLevel="1" x14ac:dyDescent="0.25">
      <c r="B103" s="260" t="s">
        <v>360</v>
      </c>
      <c r="C103" s="293">
        <f>IF(C48&gt;0,'R&amp;C-Painel de Controle'!$O63+'R&amp;C-Painel de Controle'!$P63*C48/1000000,0)</f>
        <v>0</v>
      </c>
      <c r="D103" s="293">
        <f>IF(D48&gt;0,'R&amp;C-Painel de Controle'!$O63+'R&amp;C-Painel de Controle'!$P63*D48/1000000,0)</f>
        <v>0</v>
      </c>
      <c r="E103" s="293">
        <f>IF(E48&gt;0,'R&amp;C-Painel de Controle'!$O63+'R&amp;C-Painel de Controle'!$P63*E48/1000000,0)</f>
        <v>0</v>
      </c>
      <c r="F103" s="293">
        <f>IF(F48&gt;0,'R&amp;C-Painel de Controle'!$O63+'R&amp;C-Painel de Controle'!$P63*F48/1000000,0)</f>
        <v>0</v>
      </c>
      <c r="G103" s="293">
        <f>IF(G48&gt;0,'R&amp;C-Painel de Controle'!$O63+'R&amp;C-Painel de Controle'!$P63*G48/1000000,0)</f>
        <v>0</v>
      </c>
      <c r="H103" s="293">
        <f>IF(H48&gt;0,'R&amp;C-Painel de Controle'!$O63+'R&amp;C-Painel de Controle'!$P63*H48/1000000,0)</f>
        <v>0</v>
      </c>
      <c r="I103" s="293">
        <f>IF(I48&gt;0,'R&amp;C-Painel de Controle'!$O63+'R&amp;C-Painel de Controle'!$P63*I48/1000000,0)</f>
        <v>0</v>
      </c>
      <c r="J103" s="293">
        <f>IF(J48&gt;0,'R&amp;C-Painel de Controle'!$O63+'R&amp;C-Painel de Controle'!$P63*J48/1000000,0)</f>
        <v>0</v>
      </c>
      <c r="K103" s="293">
        <f>IF(K48&gt;0,'R&amp;C-Painel de Controle'!$O63+'R&amp;C-Painel de Controle'!$P63*K48/1000000,0)</f>
        <v>0</v>
      </c>
      <c r="L103" s="293">
        <f>IF(L48&gt;0,'R&amp;C-Painel de Controle'!$O63+'R&amp;C-Painel de Controle'!$P63*L48/1000000,0)</f>
        <v>0</v>
      </c>
      <c r="M103" s="293">
        <f>IF(M48&gt;0,'R&amp;C-Painel de Controle'!$O63+'R&amp;C-Painel de Controle'!$P63*M48/1000000,0)</f>
        <v>0</v>
      </c>
      <c r="N103" s="293">
        <f>IF(N48&gt;0,'R&amp;C-Painel de Controle'!$O63+'R&amp;C-Painel de Controle'!$P63*N48/1000000,0)</f>
        <v>0</v>
      </c>
      <c r="O103" s="293">
        <f>IF(O48&gt;0,'R&amp;C-Painel de Controle'!$O63+'R&amp;C-Painel de Controle'!$P63*O48/1000000,0)</f>
        <v>0</v>
      </c>
      <c r="P103" s="293">
        <f>IF(P48&gt;0,'R&amp;C-Painel de Controle'!$O63+'R&amp;C-Painel de Controle'!$P63*P48/1000000,0)</f>
        <v>0</v>
      </c>
      <c r="Q103" s="293">
        <f>IF(Q48&gt;0,'R&amp;C-Painel de Controle'!$O63+'R&amp;C-Painel de Controle'!$P63*Q48/1000000,0)</f>
        <v>0</v>
      </c>
      <c r="R103" s="280">
        <f t="shared" ref="R103:BC103" si="44">Q103</f>
        <v>0</v>
      </c>
      <c r="S103" s="280">
        <f t="shared" si="44"/>
        <v>0</v>
      </c>
      <c r="T103" s="280">
        <f t="shared" si="44"/>
        <v>0</v>
      </c>
      <c r="U103" s="280">
        <f t="shared" si="44"/>
        <v>0</v>
      </c>
      <c r="V103" s="280">
        <f t="shared" si="44"/>
        <v>0</v>
      </c>
      <c r="W103" s="280">
        <f t="shared" si="44"/>
        <v>0</v>
      </c>
      <c r="X103" s="280">
        <f t="shared" si="44"/>
        <v>0</v>
      </c>
      <c r="Y103" s="280">
        <f t="shared" si="44"/>
        <v>0</v>
      </c>
      <c r="Z103" s="280">
        <f t="shared" si="44"/>
        <v>0</v>
      </c>
      <c r="AA103" s="280">
        <f t="shared" si="44"/>
        <v>0</v>
      </c>
      <c r="AB103" s="280">
        <f t="shared" si="44"/>
        <v>0</v>
      </c>
      <c r="AC103" s="280">
        <f t="shared" si="44"/>
        <v>0</v>
      </c>
      <c r="AD103" s="280">
        <f t="shared" si="44"/>
        <v>0</v>
      </c>
      <c r="AE103" s="280">
        <f t="shared" si="44"/>
        <v>0</v>
      </c>
      <c r="AF103" s="280">
        <f t="shared" si="44"/>
        <v>0</v>
      </c>
      <c r="AG103" s="280">
        <f t="shared" si="44"/>
        <v>0</v>
      </c>
      <c r="AH103" s="280">
        <f t="shared" si="44"/>
        <v>0</v>
      </c>
      <c r="AI103" s="280">
        <f t="shared" si="44"/>
        <v>0</v>
      </c>
      <c r="AJ103" s="280">
        <f t="shared" si="44"/>
        <v>0</v>
      </c>
      <c r="AK103" s="280">
        <f t="shared" si="44"/>
        <v>0</v>
      </c>
      <c r="AL103" s="280">
        <f t="shared" si="44"/>
        <v>0</v>
      </c>
      <c r="AM103" s="280">
        <f t="shared" si="44"/>
        <v>0</v>
      </c>
      <c r="AN103" s="280">
        <f t="shared" si="44"/>
        <v>0</v>
      </c>
      <c r="AO103" s="280">
        <f t="shared" si="44"/>
        <v>0</v>
      </c>
      <c r="AP103" s="280">
        <f t="shared" si="44"/>
        <v>0</v>
      </c>
      <c r="AQ103" s="280">
        <f t="shared" si="44"/>
        <v>0</v>
      </c>
      <c r="AR103" s="280">
        <f t="shared" si="44"/>
        <v>0</v>
      </c>
      <c r="AS103" s="280">
        <f t="shared" si="44"/>
        <v>0</v>
      </c>
      <c r="AT103" s="280">
        <f t="shared" si="44"/>
        <v>0</v>
      </c>
      <c r="AU103" s="280">
        <f t="shared" si="44"/>
        <v>0</v>
      </c>
      <c r="AV103" s="280">
        <f t="shared" si="44"/>
        <v>0</v>
      </c>
      <c r="AW103" s="280">
        <f t="shared" si="44"/>
        <v>0</v>
      </c>
      <c r="AX103" s="280">
        <f t="shared" si="44"/>
        <v>0</v>
      </c>
      <c r="AY103" s="280">
        <f t="shared" si="44"/>
        <v>0</v>
      </c>
      <c r="AZ103" s="280">
        <f t="shared" si="44"/>
        <v>0</v>
      </c>
      <c r="BA103" s="280">
        <f t="shared" si="44"/>
        <v>0</v>
      </c>
      <c r="BB103" s="280">
        <f t="shared" si="44"/>
        <v>0</v>
      </c>
      <c r="BC103" s="280">
        <f t="shared" si="44"/>
        <v>0</v>
      </c>
      <c r="BD103" s="280"/>
      <c r="BE103" s="280"/>
      <c r="BF103" s="280"/>
    </row>
    <row r="104" spans="2:58" s="192" customFormat="1" ht="18" hidden="1" customHeight="1" outlineLevel="1" x14ac:dyDescent="0.25">
      <c r="B104" s="732" t="str">
        <f>B77</f>
        <v>Biodigestão Anaeróbia</v>
      </c>
      <c r="C104" s="291" t="str">
        <f>C49</f>
        <v>Não'</v>
      </c>
      <c r="D104" s="291">
        <f>D49</f>
        <v>0</v>
      </c>
      <c r="E104" s="1274"/>
      <c r="Q104" s="740"/>
      <c r="R104" s="274"/>
      <c r="S104" s="274"/>
      <c r="T104" s="274"/>
      <c r="U104" s="274"/>
      <c r="V104" s="274"/>
      <c r="W104" s="274"/>
      <c r="X104" s="274"/>
      <c r="Y104" s="274"/>
      <c r="Z104" s="274"/>
      <c r="AA104" s="274"/>
      <c r="AB104" s="274"/>
      <c r="AC104" s="274"/>
      <c r="AD104" s="274"/>
      <c r="AE104" s="274"/>
      <c r="AF104" s="274"/>
      <c r="AG104" s="274"/>
      <c r="AH104" s="274"/>
      <c r="AI104" s="274"/>
      <c r="AJ104" s="274"/>
      <c r="AK104" s="274"/>
      <c r="AL104" s="274"/>
      <c r="AM104" s="274"/>
      <c r="AN104" s="274"/>
      <c r="AO104" s="274"/>
      <c r="AP104" s="274"/>
      <c r="AQ104" s="274"/>
      <c r="AR104" s="274"/>
      <c r="AS104" s="274"/>
      <c r="AT104" s="274"/>
      <c r="AU104" s="274"/>
      <c r="AV104" s="274"/>
      <c r="AW104" s="274"/>
      <c r="AX104" s="274"/>
      <c r="AY104" s="274"/>
      <c r="AZ104" s="274"/>
      <c r="BA104" s="274"/>
      <c r="BB104" s="274"/>
      <c r="BC104" s="274"/>
      <c r="BD104" s="274"/>
      <c r="BE104" s="274"/>
      <c r="BF104" s="274"/>
    </row>
    <row r="105" spans="2:58" s="192" customFormat="1" ht="18" hidden="1" customHeight="1" outlineLevel="1" x14ac:dyDescent="0.25">
      <c r="B105" s="260"/>
      <c r="C105" s="292"/>
      <c r="D105" s="292"/>
      <c r="E105" s="292"/>
      <c r="F105" s="292"/>
      <c r="G105" s="292"/>
      <c r="H105" s="292"/>
      <c r="I105" s="292"/>
      <c r="J105" s="292"/>
      <c r="K105" s="292"/>
      <c r="L105" s="292"/>
      <c r="M105" s="292"/>
      <c r="N105" s="292"/>
      <c r="O105" s="292"/>
      <c r="P105" s="292"/>
      <c r="Q105" s="292"/>
      <c r="R105" s="274"/>
      <c r="S105" s="274"/>
      <c r="T105" s="274"/>
      <c r="U105" s="274"/>
      <c r="V105" s="274"/>
      <c r="W105" s="274"/>
      <c r="X105" s="274"/>
      <c r="Y105" s="274"/>
      <c r="Z105" s="274"/>
      <c r="AA105" s="274"/>
      <c r="AB105" s="274"/>
      <c r="AC105" s="274"/>
      <c r="AD105" s="274"/>
      <c r="AE105" s="274"/>
      <c r="AF105" s="274"/>
      <c r="AG105" s="274"/>
      <c r="AH105" s="274"/>
      <c r="AI105" s="274"/>
      <c r="AJ105" s="274"/>
      <c r="AK105" s="274"/>
      <c r="AL105" s="274"/>
      <c r="AM105" s="274"/>
      <c r="AN105" s="274"/>
      <c r="AO105" s="274"/>
      <c r="AP105" s="274"/>
      <c r="AQ105" s="274"/>
      <c r="AR105" s="274"/>
      <c r="AS105" s="274"/>
      <c r="AT105" s="274"/>
      <c r="AU105" s="274"/>
      <c r="AV105" s="274"/>
      <c r="AW105" s="274"/>
      <c r="AX105" s="274"/>
      <c r="AY105" s="274"/>
      <c r="AZ105" s="274"/>
      <c r="BA105" s="274"/>
      <c r="BB105" s="274"/>
      <c r="BC105" s="274"/>
      <c r="BD105" s="274"/>
      <c r="BE105" s="274"/>
      <c r="BF105" s="274"/>
    </row>
    <row r="106" spans="2:58" s="192" customFormat="1" ht="18" hidden="1" customHeight="1" outlineLevel="1" x14ac:dyDescent="0.25">
      <c r="B106" s="260" t="s">
        <v>360</v>
      </c>
      <c r="C106" s="293">
        <f>IF(C51&gt;0,'R&amp;C-Painel de Controle'!$O66+'R&amp;C-Painel de Controle'!$P66*C51/1000000,0)</f>
        <v>0</v>
      </c>
      <c r="D106" s="293">
        <f>IF(D51&gt;0,'R&amp;C-Painel de Controle'!$O66+'R&amp;C-Painel de Controle'!$P66*D51/1000000,0)</f>
        <v>0</v>
      </c>
      <c r="E106" s="293">
        <f>IF(E51&gt;0,'R&amp;C-Painel de Controle'!$O66+'R&amp;C-Painel de Controle'!$P66*E51/1000000,0)</f>
        <v>0</v>
      </c>
      <c r="F106" s="293">
        <f>IF(F51&gt;0,'R&amp;C-Painel de Controle'!$O66+'R&amp;C-Painel de Controle'!$P66*F51/1000000,0)</f>
        <v>0</v>
      </c>
      <c r="G106" s="293">
        <f>IF(G51&gt;0,'R&amp;C-Painel de Controle'!$O66+'R&amp;C-Painel de Controle'!$P66*G51/1000000,0)</f>
        <v>0</v>
      </c>
      <c r="H106" s="293">
        <f>IF(H51&gt;0,'R&amp;C-Painel de Controle'!$O66+'R&amp;C-Painel de Controle'!$P66*H51/1000000,0)</f>
        <v>0</v>
      </c>
      <c r="I106" s="293">
        <f>IF(I51&gt;0,'R&amp;C-Painel de Controle'!$O66+'R&amp;C-Painel de Controle'!$P66*I51/1000000,0)</f>
        <v>0</v>
      </c>
      <c r="J106" s="293">
        <f>IF(J51&gt;0,'R&amp;C-Painel de Controle'!$O66+'R&amp;C-Painel de Controle'!$P66*J51/1000000,0)</f>
        <v>0</v>
      </c>
      <c r="K106" s="293">
        <f>IF(K51&gt;0,'R&amp;C-Painel de Controle'!$O66+'R&amp;C-Painel de Controle'!$P66*K51/1000000,0)</f>
        <v>0</v>
      </c>
      <c r="L106" s="293">
        <f>IF(L51&gt;0,'R&amp;C-Painel de Controle'!$O66+'R&amp;C-Painel de Controle'!$P66*L51/1000000,0)</f>
        <v>0</v>
      </c>
      <c r="M106" s="293">
        <f>IF(M51&gt;0,'R&amp;C-Painel de Controle'!$O66+'R&amp;C-Painel de Controle'!$P66*M51/1000000,0)</f>
        <v>0</v>
      </c>
      <c r="N106" s="293">
        <f>IF(N51&gt;0,'R&amp;C-Painel de Controle'!$O66+'R&amp;C-Painel de Controle'!$P66*N51/1000000,0)</f>
        <v>0</v>
      </c>
      <c r="O106" s="293">
        <f>IF(O51&gt;0,'R&amp;C-Painel de Controle'!$O66+'R&amp;C-Painel de Controle'!$P66*O51/1000000,0)</f>
        <v>0</v>
      </c>
      <c r="P106" s="293">
        <f>IF(P51&gt;0,'R&amp;C-Painel de Controle'!$O66+'R&amp;C-Painel de Controle'!$P66*P51/1000000,0)</f>
        <v>0</v>
      </c>
      <c r="Q106" s="293">
        <f>IF(Q51&gt;0,'R&amp;C-Painel de Controle'!$O66+'R&amp;C-Painel de Controle'!$P66*Q51/1000000,0)</f>
        <v>0</v>
      </c>
      <c r="R106" s="280">
        <f t="shared" ref="R106:BC106" si="45">Q106</f>
        <v>0</v>
      </c>
      <c r="S106" s="280">
        <f t="shared" si="45"/>
        <v>0</v>
      </c>
      <c r="T106" s="280">
        <f t="shared" si="45"/>
        <v>0</v>
      </c>
      <c r="U106" s="280">
        <f t="shared" si="45"/>
        <v>0</v>
      </c>
      <c r="V106" s="280">
        <f t="shared" si="45"/>
        <v>0</v>
      </c>
      <c r="W106" s="280">
        <f t="shared" si="45"/>
        <v>0</v>
      </c>
      <c r="X106" s="280">
        <f t="shared" si="45"/>
        <v>0</v>
      </c>
      <c r="Y106" s="280">
        <f t="shared" si="45"/>
        <v>0</v>
      </c>
      <c r="Z106" s="280">
        <f t="shared" si="45"/>
        <v>0</v>
      </c>
      <c r="AA106" s="280">
        <f t="shared" si="45"/>
        <v>0</v>
      </c>
      <c r="AB106" s="280">
        <f t="shared" si="45"/>
        <v>0</v>
      </c>
      <c r="AC106" s="280">
        <f t="shared" si="45"/>
        <v>0</v>
      </c>
      <c r="AD106" s="280">
        <f t="shared" si="45"/>
        <v>0</v>
      </c>
      <c r="AE106" s="280">
        <f t="shared" si="45"/>
        <v>0</v>
      </c>
      <c r="AF106" s="280">
        <f t="shared" si="45"/>
        <v>0</v>
      </c>
      <c r="AG106" s="280">
        <f t="shared" si="45"/>
        <v>0</v>
      </c>
      <c r="AH106" s="280">
        <f t="shared" si="45"/>
        <v>0</v>
      </c>
      <c r="AI106" s="280">
        <f t="shared" si="45"/>
        <v>0</v>
      </c>
      <c r="AJ106" s="280">
        <f t="shared" si="45"/>
        <v>0</v>
      </c>
      <c r="AK106" s="280">
        <f t="shared" si="45"/>
        <v>0</v>
      </c>
      <c r="AL106" s="280">
        <f t="shared" si="45"/>
        <v>0</v>
      </c>
      <c r="AM106" s="280">
        <f t="shared" si="45"/>
        <v>0</v>
      </c>
      <c r="AN106" s="280">
        <f t="shared" si="45"/>
        <v>0</v>
      </c>
      <c r="AO106" s="280">
        <f t="shared" si="45"/>
        <v>0</v>
      </c>
      <c r="AP106" s="280">
        <f t="shared" si="45"/>
        <v>0</v>
      </c>
      <c r="AQ106" s="280">
        <f t="shared" si="45"/>
        <v>0</v>
      </c>
      <c r="AR106" s="280">
        <f t="shared" si="45"/>
        <v>0</v>
      </c>
      <c r="AS106" s="280">
        <f t="shared" si="45"/>
        <v>0</v>
      </c>
      <c r="AT106" s="280">
        <f t="shared" si="45"/>
        <v>0</v>
      </c>
      <c r="AU106" s="280">
        <f t="shared" si="45"/>
        <v>0</v>
      </c>
      <c r="AV106" s="280">
        <f t="shared" si="45"/>
        <v>0</v>
      </c>
      <c r="AW106" s="280">
        <f t="shared" si="45"/>
        <v>0</v>
      </c>
      <c r="AX106" s="280">
        <f t="shared" si="45"/>
        <v>0</v>
      </c>
      <c r="AY106" s="280">
        <f t="shared" si="45"/>
        <v>0</v>
      </c>
      <c r="AZ106" s="280">
        <f t="shared" si="45"/>
        <v>0</v>
      </c>
      <c r="BA106" s="280">
        <f t="shared" si="45"/>
        <v>0</v>
      </c>
      <c r="BB106" s="280">
        <f t="shared" si="45"/>
        <v>0</v>
      </c>
      <c r="BC106" s="280">
        <f t="shared" si="45"/>
        <v>0</v>
      </c>
      <c r="BD106" s="280"/>
      <c r="BE106" s="280"/>
      <c r="BF106" s="280"/>
    </row>
    <row r="107" spans="2:58" s="192" customFormat="1" ht="18" hidden="1" customHeight="1" outlineLevel="1" x14ac:dyDescent="0.25">
      <c r="B107" s="732" t="str">
        <f>B80</f>
        <v>Compostagem</v>
      </c>
      <c r="C107" s="291" t="str">
        <f>C52</f>
        <v>Não</v>
      </c>
      <c r="D107" s="291">
        <f>D52</f>
        <v>0</v>
      </c>
      <c r="E107" s="1274"/>
      <c r="F107" s="1274"/>
      <c r="G107" s="1274"/>
      <c r="H107" s="1274"/>
      <c r="I107" s="1274"/>
      <c r="J107" s="1274"/>
      <c r="K107" s="1274"/>
      <c r="L107" s="1274"/>
      <c r="M107" s="1274"/>
      <c r="N107" s="1274"/>
      <c r="O107" s="1274"/>
      <c r="P107" s="1274"/>
      <c r="Q107" s="740"/>
      <c r="R107" s="274"/>
      <c r="S107" s="274"/>
      <c r="T107" s="274"/>
      <c r="U107" s="274"/>
      <c r="V107" s="274"/>
      <c r="W107" s="274"/>
      <c r="X107" s="274"/>
      <c r="Y107" s="274"/>
      <c r="Z107" s="274"/>
      <c r="AA107" s="274"/>
      <c r="AB107" s="274"/>
      <c r="AC107" s="274"/>
      <c r="AD107" s="274"/>
      <c r="AE107" s="274"/>
      <c r="AF107" s="274"/>
      <c r="AG107" s="274"/>
      <c r="AH107" s="274"/>
      <c r="AI107" s="274"/>
      <c r="AJ107" s="274"/>
      <c r="AK107" s="274"/>
      <c r="AL107" s="274"/>
      <c r="AM107" s="274"/>
      <c r="AN107" s="274"/>
      <c r="AO107" s="274"/>
      <c r="AP107" s="274"/>
      <c r="AQ107" s="274"/>
      <c r="AR107" s="274"/>
      <c r="AS107" s="274"/>
      <c r="AT107" s="274"/>
      <c r="AU107" s="274"/>
      <c r="AV107" s="274"/>
      <c r="AW107" s="274"/>
      <c r="AX107" s="274"/>
      <c r="AY107" s="274"/>
      <c r="AZ107" s="274"/>
      <c r="BA107" s="274"/>
      <c r="BB107" s="274"/>
      <c r="BC107" s="274"/>
      <c r="BD107" s="274"/>
      <c r="BE107" s="274"/>
      <c r="BF107" s="274"/>
    </row>
    <row r="108" spans="2:58" s="192" customFormat="1" ht="18" hidden="1" customHeight="1" outlineLevel="1" x14ac:dyDescent="0.25">
      <c r="B108" s="260"/>
      <c r="C108" s="292"/>
      <c r="D108" s="292"/>
      <c r="E108" s="292"/>
      <c r="F108" s="292"/>
      <c r="G108" s="292"/>
      <c r="H108" s="292"/>
      <c r="I108" s="292"/>
      <c r="J108" s="292"/>
      <c r="K108" s="292"/>
      <c r="L108" s="292"/>
      <c r="M108" s="292"/>
      <c r="N108" s="292"/>
      <c r="O108" s="292"/>
      <c r="P108" s="292"/>
      <c r="Q108" s="292"/>
      <c r="R108" s="274"/>
      <c r="S108" s="274"/>
      <c r="T108" s="274"/>
      <c r="U108" s="274"/>
      <c r="V108" s="274"/>
      <c r="W108" s="274"/>
      <c r="X108" s="274"/>
      <c r="Y108" s="274"/>
      <c r="Z108" s="274"/>
      <c r="AA108" s="274"/>
      <c r="AB108" s="274"/>
      <c r="AC108" s="274"/>
      <c r="AD108" s="274"/>
      <c r="AE108" s="274"/>
      <c r="AF108" s="274"/>
      <c r="AG108" s="274"/>
      <c r="AH108" s="274"/>
      <c r="AI108" s="274"/>
      <c r="AJ108" s="274"/>
      <c r="AK108" s="274"/>
      <c r="AL108" s="274"/>
      <c r="AM108" s="274"/>
      <c r="AN108" s="274"/>
      <c r="AO108" s="274"/>
      <c r="AP108" s="274"/>
      <c r="AQ108" s="274"/>
      <c r="AR108" s="274"/>
      <c r="AS108" s="274"/>
      <c r="AT108" s="274"/>
      <c r="AU108" s="274"/>
      <c r="AV108" s="274"/>
      <c r="AW108" s="274"/>
      <c r="AX108" s="274"/>
      <c r="AY108" s="274"/>
      <c r="AZ108" s="274"/>
      <c r="BA108" s="274"/>
      <c r="BB108" s="274"/>
      <c r="BC108" s="274"/>
      <c r="BD108" s="274"/>
      <c r="BE108" s="274"/>
      <c r="BF108" s="274"/>
    </row>
    <row r="109" spans="2:58" s="192" customFormat="1" ht="18" hidden="1" customHeight="1" outlineLevel="1" x14ac:dyDescent="0.25">
      <c r="B109" s="260" t="s">
        <v>360</v>
      </c>
      <c r="C109" s="293">
        <f>IF(C54&gt;0,'R&amp;C-Painel de Controle'!$O69+'R&amp;C-Painel de Controle'!$P69*C54/1000000,0)</f>
        <v>0</v>
      </c>
      <c r="D109" s="293">
        <f>IF(D54&gt;0,'R&amp;C-Painel de Controle'!$O69+'R&amp;C-Painel de Controle'!$P69*D54/1000000,0)</f>
        <v>0</v>
      </c>
      <c r="E109" s="293">
        <f>IF(E54&gt;0,'R&amp;C-Painel de Controle'!$O69+'R&amp;C-Painel de Controle'!$P69*E54/1000000,0)</f>
        <v>0</v>
      </c>
      <c r="F109" s="293">
        <f>IF(F54&gt;0,'R&amp;C-Painel de Controle'!$O69+'R&amp;C-Painel de Controle'!$P69*F54/1000000,0)</f>
        <v>0</v>
      </c>
      <c r="G109" s="293">
        <f>IF(G54&gt;0,'R&amp;C-Painel de Controle'!$O69+'R&amp;C-Painel de Controle'!$P69*G54/1000000,0)</f>
        <v>0</v>
      </c>
      <c r="H109" s="293">
        <f>IF(H54&gt;0,'R&amp;C-Painel de Controle'!$O69+'R&amp;C-Painel de Controle'!$P69*H54/1000000,0)</f>
        <v>0</v>
      </c>
      <c r="I109" s="293">
        <f>IF(I54&gt;0,'R&amp;C-Painel de Controle'!$O69+'R&amp;C-Painel de Controle'!$P69*I54/1000000,0)</f>
        <v>0</v>
      </c>
      <c r="J109" s="293">
        <f>IF(J54&gt;0,'R&amp;C-Painel de Controle'!$O69+'R&amp;C-Painel de Controle'!$P69*J54/1000000,0)</f>
        <v>0</v>
      </c>
      <c r="K109" s="293">
        <f>IF(K54&gt;0,'R&amp;C-Painel de Controle'!$O69+'R&amp;C-Painel de Controle'!$P69*K54/1000000,0)</f>
        <v>0</v>
      </c>
      <c r="L109" s="293">
        <f>IF(L54&gt;0,'R&amp;C-Painel de Controle'!$O69+'R&amp;C-Painel de Controle'!$P69*L54/1000000,0)</f>
        <v>0</v>
      </c>
      <c r="M109" s="293">
        <f>IF(M54&gt;0,'R&amp;C-Painel de Controle'!$O69+'R&amp;C-Painel de Controle'!$P69*M54/1000000,0)</f>
        <v>0</v>
      </c>
      <c r="N109" s="293">
        <f>IF(N54&gt;0,'R&amp;C-Painel de Controle'!$O69+'R&amp;C-Painel de Controle'!$P69*N54/1000000,0)</f>
        <v>0</v>
      </c>
      <c r="O109" s="293">
        <f>IF(O54&gt;0,'R&amp;C-Painel de Controle'!$O69+'R&amp;C-Painel de Controle'!$P69*O54/1000000,0)</f>
        <v>0</v>
      </c>
      <c r="P109" s="293">
        <f>IF(P54&gt;0,'R&amp;C-Painel de Controle'!$O69+'R&amp;C-Painel de Controle'!$P69*P54/1000000,0)</f>
        <v>0</v>
      </c>
      <c r="Q109" s="293">
        <f>IF(Q54&gt;0,'R&amp;C-Painel de Controle'!$O69+'R&amp;C-Painel de Controle'!$P69*Q54/1000000,0)</f>
        <v>0</v>
      </c>
      <c r="R109" s="280">
        <f t="shared" ref="R109:BC109" si="46">Q109</f>
        <v>0</v>
      </c>
      <c r="S109" s="280">
        <f t="shared" si="46"/>
        <v>0</v>
      </c>
      <c r="T109" s="280">
        <f t="shared" si="46"/>
        <v>0</v>
      </c>
      <c r="U109" s="280">
        <f t="shared" si="46"/>
        <v>0</v>
      </c>
      <c r="V109" s="280">
        <f t="shared" si="46"/>
        <v>0</v>
      </c>
      <c r="W109" s="280">
        <f t="shared" si="46"/>
        <v>0</v>
      </c>
      <c r="X109" s="280">
        <f t="shared" si="46"/>
        <v>0</v>
      </c>
      <c r="Y109" s="280">
        <f t="shared" si="46"/>
        <v>0</v>
      </c>
      <c r="Z109" s="280">
        <f t="shared" si="46"/>
        <v>0</v>
      </c>
      <c r="AA109" s="280">
        <f t="shared" si="46"/>
        <v>0</v>
      </c>
      <c r="AB109" s="280">
        <f t="shared" si="46"/>
        <v>0</v>
      </c>
      <c r="AC109" s="280">
        <f t="shared" si="46"/>
        <v>0</v>
      </c>
      <c r="AD109" s="280">
        <f t="shared" si="46"/>
        <v>0</v>
      </c>
      <c r="AE109" s="280">
        <f t="shared" si="46"/>
        <v>0</v>
      </c>
      <c r="AF109" s="280">
        <f t="shared" si="46"/>
        <v>0</v>
      </c>
      <c r="AG109" s="280">
        <f t="shared" si="46"/>
        <v>0</v>
      </c>
      <c r="AH109" s="280">
        <f t="shared" si="46"/>
        <v>0</v>
      </c>
      <c r="AI109" s="280">
        <f t="shared" si="46"/>
        <v>0</v>
      </c>
      <c r="AJ109" s="280">
        <f t="shared" si="46"/>
        <v>0</v>
      </c>
      <c r="AK109" s="280">
        <f t="shared" si="46"/>
        <v>0</v>
      </c>
      <c r="AL109" s="280">
        <f t="shared" si="46"/>
        <v>0</v>
      </c>
      <c r="AM109" s="280">
        <f t="shared" si="46"/>
        <v>0</v>
      </c>
      <c r="AN109" s="280">
        <f t="shared" si="46"/>
        <v>0</v>
      </c>
      <c r="AO109" s="280">
        <f t="shared" si="46"/>
        <v>0</v>
      </c>
      <c r="AP109" s="280">
        <f t="shared" si="46"/>
        <v>0</v>
      </c>
      <c r="AQ109" s="280">
        <f t="shared" si="46"/>
        <v>0</v>
      </c>
      <c r="AR109" s="280">
        <f t="shared" si="46"/>
        <v>0</v>
      </c>
      <c r="AS109" s="280">
        <f t="shared" si="46"/>
        <v>0</v>
      </c>
      <c r="AT109" s="280">
        <f t="shared" si="46"/>
        <v>0</v>
      </c>
      <c r="AU109" s="280">
        <f t="shared" si="46"/>
        <v>0</v>
      </c>
      <c r="AV109" s="280">
        <f t="shared" si="46"/>
        <v>0</v>
      </c>
      <c r="AW109" s="280">
        <f t="shared" si="46"/>
        <v>0</v>
      </c>
      <c r="AX109" s="280">
        <f t="shared" si="46"/>
        <v>0</v>
      </c>
      <c r="AY109" s="280">
        <f t="shared" si="46"/>
        <v>0</v>
      </c>
      <c r="AZ109" s="280">
        <f t="shared" si="46"/>
        <v>0</v>
      </c>
      <c r="BA109" s="280">
        <f t="shared" si="46"/>
        <v>0</v>
      </c>
      <c r="BB109" s="280">
        <f t="shared" si="46"/>
        <v>0</v>
      </c>
      <c r="BC109" s="280">
        <f t="shared" si="46"/>
        <v>0</v>
      </c>
      <c r="BD109" s="280"/>
      <c r="BE109" s="280"/>
      <c r="BF109" s="280"/>
    </row>
    <row r="110" spans="2:58" s="192" customFormat="1" ht="18" hidden="1" customHeight="1" outlineLevel="1" x14ac:dyDescent="0.25">
      <c r="B110" s="732" t="str">
        <f>B83</f>
        <v>Incineração</v>
      </c>
      <c r="C110" s="291" t="str">
        <f>C55</f>
        <v>Sim</v>
      </c>
      <c r="D110" s="291">
        <f>D55</f>
        <v>22892.155070624995</v>
      </c>
      <c r="E110" s="1274"/>
      <c r="Q110" s="740"/>
      <c r="R110" s="274"/>
      <c r="S110" s="274"/>
      <c r="T110" s="274"/>
      <c r="U110" s="274"/>
      <c r="V110" s="274"/>
      <c r="W110" s="274"/>
      <c r="X110" s="274"/>
      <c r="Y110" s="274"/>
      <c r="Z110" s="274"/>
      <c r="AA110" s="274"/>
      <c r="AB110" s="274"/>
      <c r="AC110" s="274"/>
      <c r="AD110" s="274"/>
      <c r="AE110" s="274"/>
      <c r="AF110" s="274"/>
      <c r="AG110" s="274"/>
      <c r="AH110" s="274"/>
      <c r="AI110" s="274"/>
      <c r="AJ110" s="274"/>
      <c r="AK110" s="274"/>
      <c r="AL110" s="274"/>
      <c r="AM110" s="274"/>
      <c r="AN110" s="274"/>
      <c r="AO110" s="274"/>
      <c r="AP110" s="274"/>
      <c r="AQ110" s="274"/>
      <c r="AR110" s="274"/>
      <c r="AS110" s="274"/>
      <c r="AT110" s="274"/>
      <c r="AU110" s="274"/>
      <c r="AV110" s="274"/>
      <c r="AW110" s="274"/>
      <c r="AX110" s="274"/>
      <c r="AY110" s="274"/>
      <c r="AZ110" s="274"/>
      <c r="BA110" s="274"/>
      <c r="BB110" s="274"/>
      <c r="BC110" s="274"/>
      <c r="BD110" s="274"/>
      <c r="BE110" s="274"/>
      <c r="BF110" s="274"/>
    </row>
    <row r="111" spans="2:58" s="192" customFormat="1" ht="18" hidden="1" customHeight="1" outlineLevel="1" x14ac:dyDescent="0.25">
      <c r="B111" s="260"/>
      <c r="C111" s="292"/>
      <c r="D111" s="292"/>
      <c r="E111" s="292"/>
      <c r="F111" s="292"/>
      <c r="G111" s="292"/>
      <c r="H111" s="292"/>
      <c r="I111" s="292"/>
      <c r="J111" s="292"/>
      <c r="K111" s="292"/>
      <c r="L111" s="292"/>
      <c r="M111" s="292"/>
      <c r="N111" s="292"/>
      <c r="O111" s="292"/>
      <c r="P111" s="292"/>
      <c r="Q111" s="292"/>
      <c r="R111" s="274"/>
      <c r="S111" s="274"/>
      <c r="T111" s="274"/>
      <c r="U111" s="274"/>
      <c r="V111" s="274"/>
      <c r="W111" s="274"/>
      <c r="X111" s="274"/>
      <c r="Y111" s="274"/>
      <c r="Z111" s="274"/>
      <c r="AA111" s="274"/>
      <c r="AB111" s="274"/>
      <c r="AC111" s="274"/>
      <c r="AD111" s="274"/>
      <c r="AE111" s="274"/>
      <c r="AF111" s="274"/>
      <c r="AG111" s="274"/>
      <c r="AH111" s="274"/>
      <c r="AI111" s="274"/>
      <c r="AJ111" s="274"/>
      <c r="AK111" s="274"/>
      <c r="AL111" s="274"/>
      <c r="AM111" s="274"/>
      <c r="AN111" s="274"/>
      <c r="AO111" s="274"/>
      <c r="AP111" s="274"/>
      <c r="AQ111" s="274"/>
      <c r="AR111" s="274"/>
      <c r="AS111" s="274"/>
      <c r="AT111" s="274"/>
      <c r="AU111" s="274"/>
      <c r="AV111" s="274"/>
      <c r="AW111" s="274"/>
      <c r="AX111" s="274"/>
      <c r="AY111" s="274"/>
      <c r="AZ111" s="274"/>
      <c r="BA111" s="274"/>
      <c r="BB111" s="274"/>
      <c r="BC111" s="274"/>
      <c r="BD111" s="274"/>
      <c r="BE111" s="274"/>
      <c r="BF111" s="274"/>
    </row>
    <row r="112" spans="2:58" s="192" customFormat="1" ht="18" hidden="1" customHeight="1" outlineLevel="1" x14ac:dyDescent="0.25">
      <c r="B112" s="260" t="s">
        <v>360</v>
      </c>
      <c r="C112" s="293">
        <f>IF(C57&gt;0,'R&amp;C-Painel de Controle'!$O72+'R&amp;C-Painel de Controle'!$P72*C57/1000000,0)</f>
        <v>0</v>
      </c>
      <c r="D112" s="293">
        <f>IF(D57&gt;0,'R&amp;C-Painel de Controle'!$O72+'R&amp;C-Painel de Controle'!$P72*D57/1000000,0)</f>
        <v>0</v>
      </c>
      <c r="E112" s="293">
        <f>IF(E57&gt;0,'R&amp;C-Painel de Controle'!$O72+'R&amp;C-Painel de Controle'!$P72*E57/1000000,0)</f>
        <v>0</v>
      </c>
      <c r="F112" s="293">
        <f>IF(F57&gt;0,'R&amp;C-Painel de Controle'!$O72+'R&amp;C-Painel de Controle'!$P72*F57/1000000,0)</f>
        <v>17.300075645975756</v>
      </c>
      <c r="G112" s="293">
        <f>IF(G57&gt;0,'R&amp;C-Painel de Controle'!$O72+'R&amp;C-Painel de Controle'!$P72*G57/1000000,0)</f>
        <v>17.300075645975756</v>
      </c>
      <c r="H112" s="293">
        <f>IF(H57&gt;0,'R&amp;C-Painel de Controle'!$O72+'R&amp;C-Painel de Controle'!$P72*H57/1000000,0)</f>
        <v>17.300075645975756</v>
      </c>
      <c r="I112" s="293">
        <f>IF(I57&gt;0,'R&amp;C-Painel de Controle'!$O72+'R&amp;C-Painel de Controle'!$P72*I57/1000000,0)</f>
        <v>17.300075645975756</v>
      </c>
      <c r="J112" s="293">
        <f>IF(J57&gt;0,'R&amp;C-Painel de Controle'!$O72+'R&amp;C-Painel de Controle'!$P72*J57/1000000,0)</f>
        <v>17.300075645975756</v>
      </c>
      <c r="K112" s="293">
        <f>IF(K57&gt;0,'R&amp;C-Painel de Controle'!$O72+'R&amp;C-Painel de Controle'!$P72*K57/1000000,0)</f>
        <v>17.300075645975756</v>
      </c>
      <c r="L112" s="293">
        <f>IF(L57&gt;0,'R&amp;C-Painel de Controle'!$O72+'R&amp;C-Painel de Controle'!$P72*L57/1000000,0)</f>
        <v>17.300075645975756</v>
      </c>
      <c r="M112" s="293">
        <f>IF(M57&gt;0,'R&amp;C-Painel de Controle'!$O72+'R&amp;C-Painel de Controle'!$P72*M57/1000000,0)</f>
        <v>17.300075645975756</v>
      </c>
      <c r="N112" s="293">
        <f>IF(N57&gt;0,'R&amp;C-Painel de Controle'!$O72+'R&amp;C-Painel de Controle'!$P72*N57/1000000,0)</f>
        <v>17.300075645975756</v>
      </c>
      <c r="O112" s="293">
        <f>IF(O57&gt;0,'R&amp;C-Painel de Controle'!$O72+'R&amp;C-Painel de Controle'!$P72*O57/1000000,0)</f>
        <v>17.300075645975756</v>
      </c>
      <c r="P112" s="293">
        <f>IF(P57&gt;0,'R&amp;C-Painel de Controle'!$O72+'R&amp;C-Painel de Controle'!$P72*P57/1000000,0)</f>
        <v>17.300075645975756</v>
      </c>
      <c r="Q112" s="293">
        <f>IF(Q57&gt;0,'R&amp;C-Painel de Controle'!$O72+'R&amp;C-Painel de Controle'!$P72*Q57/1000000,0)</f>
        <v>17.300075645975756</v>
      </c>
      <c r="R112" s="280">
        <f t="shared" ref="R112:BC112" si="47">Q112</f>
        <v>17.300075645975756</v>
      </c>
      <c r="S112" s="280">
        <f t="shared" si="47"/>
        <v>17.300075645975756</v>
      </c>
      <c r="T112" s="280">
        <f t="shared" si="47"/>
        <v>17.300075645975756</v>
      </c>
      <c r="U112" s="280">
        <f t="shared" si="47"/>
        <v>17.300075645975756</v>
      </c>
      <c r="V112" s="280">
        <f t="shared" si="47"/>
        <v>17.300075645975756</v>
      </c>
      <c r="W112" s="280">
        <f t="shared" si="47"/>
        <v>17.300075645975756</v>
      </c>
      <c r="X112" s="280">
        <f t="shared" si="47"/>
        <v>17.300075645975756</v>
      </c>
      <c r="Y112" s="280">
        <f t="shared" si="47"/>
        <v>17.300075645975756</v>
      </c>
      <c r="Z112" s="280">
        <f t="shared" si="47"/>
        <v>17.300075645975756</v>
      </c>
      <c r="AA112" s="280">
        <f t="shared" si="47"/>
        <v>17.300075645975756</v>
      </c>
      <c r="AB112" s="280">
        <f t="shared" si="47"/>
        <v>17.300075645975756</v>
      </c>
      <c r="AC112" s="280">
        <f t="shared" si="47"/>
        <v>17.300075645975756</v>
      </c>
      <c r="AD112" s="280">
        <f t="shared" si="47"/>
        <v>17.300075645975756</v>
      </c>
      <c r="AE112" s="280">
        <f t="shared" si="47"/>
        <v>17.300075645975756</v>
      </c>
      <c r="AF112" s="280">
        <f t="shared" si="47"/>
        <v>17.300075645975756</v>
      </c>
      <c r="AG112" s="280">
        <f t="shared" si="47"/>
        <v>17.300075645975756</v>
      </c>
      <c r="AH112" s="280">
        <f t="shared" si="47"/>
        <v>17.300075645975756</v>
      </c>
      <c r="AI112" s="280">
        <f t="shared" si="47"/>
        <v>17.300075645975756</v>
      </c>
      <c r="AJ112" s="280">
        <f t="shared" si="47"/>
        <v>17.300075645975756</v>
      </c>
      <c r="AK112" s="280">
        <f t="shared" si="47"/>
        <v>17.300075645975756</v>
      </c>
      <c r="AL112" s="280">
        <f t="shared" si="47"/>
        <v>17.300075645975756</v>
      </c>
      <c r="AM112" s="280">
        <f t="shared" si="47"/>
        <v>17.300075645975756</v>
      </c>
      <c r="AN112" s="280">
        <f t="shared" si="47"/>
        <v>17.300075645975756</v>
      </c>
      <c r="AO112" s="280">
        <f t="shared" si="47"/>
        <v>17.300075645975756</v>
      </c>
      <c r="AP112" s="280">
        <f t="shared" si="47"/>
        <v>17.300075645975756</v>
      </c>
      <c r="AQ112" s="280">
        <f t="shared" si="47"/>
        <v>17.300075645975756</v>
      </c>
      <c r="AR112" s="280">
        <f t="shared" si="47"/>
        <v>17.300075645975756</v>
      </c>
      <c r="AS112" s="280">
        <f t="shared" si="47"/>
        <v>17.300075645975756</v>
      </c>
      <c r="AT112" s="280">
        <f t="shared" si="47"/>
        <v>17.300075645975756</v>
      </c>
      <c r="AU112" s="280">
        <f t="shared" si="47"/>
        <v>17.300075645975756</v>
      </c>
      <c r="AV112" s="280">
        <f t="shared" si="47"/>
        <v>17.300075645975756</v>
      </c>
      <c r="AW112" s="280">
        <f t="shared" si="47"/>
        <v>17.300075645975756</v>
      </c>
      <c r="AX112" s="280">
        <f t="shared" si="47"/>
        <v>17.300075645975756</v>
      </c>
      <c r="AY112" s="280">
        <f t="shared" si="47"/>
        <v>17.300075645975756</v>
      </c>
      <c r="AZ112" s="280">
        <f t="shared" si="47"/>
        <v>17.300075645975756</v>
      </c>
      <c r="BA112" s="280">
        <f t="shared" si="47"/>
        <v>17.300075645975756</v>
      </c>
      <c r="BB112" s="280">
        <f t="shared" si="47"/>
        <v>17.300075645975756</v>
      </c>
      <c r="BC112" s="280">
        <f t="shared" si="47"/>
        <v>17.300075645975756</v>
      </c>
      <c r="BD112" s="280"/>
      <c r="BE112" s="280"/>
      <c r="BF112" s="280"/>
    </row>
    <row r="113" spans="1:58" s="192" customFormat="1" ht="18" hidden="1" customHeight="1" outlineLevel="1" x14ac:dyDescent="0.25">
      <c r="B113" s="732" t="str">
        <f>B86</f>
        <v>Aterro Sanitário</v>
      </c>
      <c r="C113" s="291" t="str">
        <f>C58</f>
        <v>Sim</v>
      </c>
      <c r="D113" s="291">
        <f>D58</f>
        <v>23358.431014124999</v>
      </c>
      <c r="E113" s="1274"/>
      <c r="F113" s="1274"/>
      <c r="G113" s="1274"/>
      <c r="H113" s="1274"/>
      <c r="I113" s="1274"/>
      <c r="J113" s="1274"/>
      <c r="K113" s="1274"/>
      <c r="L113" s="1274"/>
      <c r="M113" s="1274"/>
      <c r="N113" s="1274"/>
      <c r="O113" s="1274"/>
      <c r="P113" s="1274"/>
      <c r="Q113" s="740"/>
      <c r="R113" s="274"/>
      <c r="S113" s="274"/>
      <c r="T113" s="274"/>
      <c r="U113" s="274"/>
      <c r="V113" s="274"/>
      <c r="W113" s="274"/>
      <c r="X113" s="274"/>
      <c r="Y113" s="274"/>
      <c r="Z113" s="274"/>
      <c r="AA113" s="274"/>
      <c r="AB113" s="274"/>
      <c r="AC113" s="274"/>
      <c r="AD113" s="274"/>
      <c r="AE113" s="274"/>
      <c r="AF113" s="274"/>
      <c r="AG113" s="274"/>
      <c r="AH113" s="274"/>
      <c r="AI113" s="274"/>
      <c r="AJ113" s="274"/>
      <c r="AK113" s="274"/>
      <c r="AL113" s="274"/>
      <c r="AM113" s="274"/>
      <c r="AN113" s="274"/>
      <c r="AO113" s="274"/>
      <c r="AP113" s="274"/>
      <c r="AQ113" s="274"/>
      <c r="AR113" s="274"/>
      <c r="AS113" s="274"/>
      <c r="AT113" s="274"/>
      <c r="AU113" s="274"/>
      <c r="AV113" s="274"/>
      <c r="AW113" s="274"/>
      <c r="AX113" s="274"/>
      <c r="AY113" s="274"/>
      <c r="AZ113" s="274"/>
      <c r="BA113" s="274"/>
      <c r="BB113" s="274"/>
      <c r="BC113" s="274"/>
      <c r="BD113" s="274"/>
      <c r="BE113" s="274"/>
      <c r="BF113" s="274"/>
    </row>
    <row r="114" spans="1:58" s="192" customFormat="1" ht="18" hidden="1" customHeight="1" outlineLevel="1" x14ac:dyDescent="0.25">
      <c r="B114" s="260"/>
      <c r="C114" s="292"/>
      <c r="D114" s="292"/>
      <c r="E114" s="292"/>
      <c r="F114" s="292"/>
      <c r="G114" s="292"/>
      <c r="H114" s="292"/>
      <c r="I114" s="292"/>
      <c r="J114" s="292"/>
      <c r="K114" s="292"/>
      <c r="L114" s="292"/>
      <c r="M114" s="292"/>
      <c r="N114" s="292"/>
      <c r="O114" s="292"/>
      <c r="P114" s="292"/>
      <c r="Q114" s="292"/>
      <c r="R114" s="274"/>
      <c r="S114" s="274"/>
      <c r="T114" s="274"/>
      <c r="U114" s="274"/>
      <c r="V114" s="274"/>
      <c r="W114" s="274"/>
      <c r="X114" s="274"/>
      <c r="Y114" s="274"/>
      <c r="Z114" s="274"/>
      <c r="AA114" s="274"/>
      <c r="AB114" s="274"/>
      <c r="AC114" s="274"/>
      <c r="AD114" s="274"/>
      <c r="AE114" s="274"/>
      <c r="AF114" s="274"/>
      <c r="AG114" s="274"/>
      <c r="AH114" s="274"/>
      <c r="AI114" s="274"/>
      <c r="AJ114" s="274"/>
      <c r="AK114" s="274"/>
      <c r="AL114" s="274"/>
      <c r="AM114" s="274"/>
      <c r="AN114" s="274"/>
      <c r="AO114" s="274"/>
      <c r="AP114" s="274"/>
      <c r="AQ114" s="274"/>
      <c r="AR114" s="274"/>
      <c r="AS114" s="274"/>
      <c r="AT114" s="274"/>
      <c r="AU114" s="274"/>
      <c r="AV114" s="274"/>
      <c r="AW114" s="274"/>
      <c r="AX114" s="274"/>
      <c r="AY114" s="274"/>
      <c r="AZ114" s="274"/>
      <c r="BA114" s="274"/>
      <c r="BB114" s="274"/>
      <c r="BC114" s="274"/>
      <c r="BD114" s="274"/>
      <c r="BE114" s="274"/>
      <c r="BF114" s="274"/>
    </row>
    <row r="115" spans="1:58" s="192" customFormat="1" ht="18" hidden="1" customHeight="1" outlineLevel="1" x14ac:dyDescent="0.25">
      <c r="B115" s="260" t="s">
        <v>360</v>
      </c>
      <c r="C115" s="293">
        <f>IF(C60&gt;0,'R&amp;C-Painel de Controle'!$O75+'R&amp;C-Painel de Controle'!$P75*C60/1000000,0)</f>
        <v>0</v>
      </c>
      <c r="D115" s="293">
        <f>IF(D60&gt;0,'R&amp;C-Painel de Controle'!$O75+'R&amp;C-Painel de Controle'!$P75*D60/1000000,0)</f>
        <v>0</v>
      </c>
      <c r="E115" s="293">
        <f>IF(E60&gt;0,'R&amp;C-Painel de Controle'!$O75+'R&amp;C-Painel de Controle'!$P75*E60/1000000,0)</f>
        <v>0</v>
      </c>
      <c r="F115" s="293">
        <f>IF(F60&gt;0,'R&amp;C-Painel de Controle'!$O75+'R&amp;C-Painel de Controle'!$P75*F60/1000000,0)</f>
        <v>3.9066372241128127</v>
      </c>
      <c r="G115" s="293">
        <f>IF(G60&gt;0,'R&amp;C-Painel de Controle'!$O75+'R&amp;C-Painel de Controle'!$P75*G60/1000000,0)</f>
        <v>3.9066372241128127</v>
      </c>
      <c r="H115" s="293">
        <f>IF(H60&gt;0,'R&amp;C-Painel de Controle'!$O75+'R&amp;C-Painel de Controle'!$P75*H60/1000000,0)</f>
        <v>3.9066372241128127</v>
      </c>
      <c r="I115" s="293">
        <f>IF(I60&gt;0,'R&amp;C-Painel de Controle'!$O75+'R&amp;C-Painel de Controle'!$P75*I60/1000000,0)</f>
        <v>3.9066372241128127</v>
      </c>
      <c r="J115" s="293">
        <f>IF(J60&gt;0,'R&amp;C-Painel de Controle'!$O75+'R&amp;C-Painel de Controle'!$P75*J60/1000000,0)</f>
        <v>3.9066372241128127</v>
      </c>
      <c r="K115" s="293">
        <f>IF(K60&gt;0,'R&amp;C-Painel de Controle'!$O75+'R&amp;C-Painel de Controle'!$P75*K60/1000000,0)</f>
        <v>3.9066372241128127</v>
      </c>
      <c r="L115" s="293">
        <f>IF(L60&gt;0,'R&amp;C-Painel de Controle'!$O75+'R&amp;C-Painel de Controle'!$P75*L60/1000000,0)</f>
        <v>3.9066372241128127</v>
      </c>
      <c r="M115" s="293">
        <f>IF(M60&gt;0,'R&amp;C-Painel de Controle'!$O75+'R&amp;C-Painel de Controle'!$P75*M60/1000000,0)</f>
        <v>3.9066372241128127</v>
      </c>
      <c r="N115" s="293">
        <f>IF(N60&gt;0,'R&amp;C-Painel de Controle'!$O75+'R&amp;C-Painel de Controle'!$P75*N60/1000000,0)</f>
        <v>3.9066372241128127</v>
      </c>
      <c r="O115" s="293">
        <f>IF(O60&gt;0,'R&amp;C-Painel de Controle'!$O75+'R&amp;C-Painel de Controle'!$P75*O60/1000000,0)</f>
        <v>3.9066372241128127</v>
      </c>
      <c r="P115" s="293">
        <f>IF(P60&gt;0,'R&amp;C-Painel de Controle'!$O75+'R&amp;C-Painel de Controle'!$P75*P60/1000000,0)</f>
        <v>3.9066372241128127</v>
      </c>
      <c r="Q115" s="293">
        <f>IF(Q60&gt;0,'R&amp;C-Painel de Controle'!$O75+'R&amp;C-Painel de Controle'!$P75*Q60/1000000,0)</f>
        <v>3.9066372241128127</v>
      </c>
      <c r="R115" s="280">
        <f t="shared" ref="R115:BC115" si="48">Q115</f>
        <v>3.9066372241128127</v>
      </c>
      <c r="S115" s="280">
        <f t="shared" si="48"/>
        <v>3.9066372241128127</v>
      </c>
      <c r="T115" s="280">
        <f t="shared" si="48"/>
        <v>3.9066372241128127</v>
      </c>
      <c r="U115" s="280">
        <f t="shared" si="48"/>
        <v>3.9066372241128127</v>
      </c>
      <c r="V115" s="280">
        <f t="shared" si="48"/>
        <v>3.9066372241128127</v>
      </c>
      <c r="W115" s="280">
        <f t="shared" si="48"/>
        <v>3.9066372241128127</v>
      </c>
      <c r="X115" s="280">
        <f t="shared" si="48"/>
        <v>3.9066372241128127</v>
      </c>
      <c r="Y115" s="280">
        <f t="shared" si="48"/>
        <v>3.9066372241128127</v>
      </c>
      <c r="Z115" s="280">
        <f t="shared" si="48"/>
        <v>3.9066372241128127</v>
      </c>
      <c r="AA115" s="280">
        <f t="shared" si="48"/>
        <v>3.9066372241128127</v>
      </c>
      <c r="AB115" s="280">
        <f t="shared" si="48"/>
        <v>3.9066372241128127</v>
      </c>
      <c r="AC115" s="280">
        <f t="shared" si="48"/>
        <v>3.9066372241128127</v>
      </c>
      <c r="AD115" s="280">
        <f t="shared" si="48"/>
        <v>3.9066372241128127</v>
      </c>
      <c r="AE115" s="280">
        <f t="shared" si="48"/>
        <v>3.9066372241128127</v>
      </c>
      <c r="AF115" s="280">
        <f t="shared" si="48"/>
        <v>3.9066372241128127</v>
      </c>
      <c r="AG115" s="280">
        <f t="shared" si="48"/>
        <v>3.9066372241128127</v>
      </c>
      <c r="AH115" s="280">
        <f t="shared" si="48"/>
        <v>3.9066372241128127</v>
      </c>
      <c r="AI115" s="280">
        <f t="shared" si="48"/>
        <v>3.9066372241128127</v>
      </c>
      <c r="AJ115" s="280">
        <f t="shared" si="48"/>
        <v>3.9066372241128127</v>
      </c>
      <c r="AK115" s="280">
        <f t="shared" si="48"/>
        <v>3.9066372241128127</v>
      </c>
      <c r="AL115" s="280">
        <f t="shared" si="48"/>
        <v>3.9066372241128127</v>
      </c>
      <c r="AM115" s="280">
        <f t="shared" si="48"/>
        <v>3.9066372241128127</v>
      </c>
      <c r="AN115" s="280">
        <f t="shared" si="48"/>
        <v>3.9066372241128127</v>
      </c>
      <c r="AO115" s="280">
        <f t="shared" si="48"/>
        <v>3.9066372241128127</v>
      </c>
      <c r="AP115" s="280">
        <f t="shared" si="48"/>
        <v>3.9066372241128127</v>
      </c>
      <c r="AQ115" s="280">
        <f t="shared" si="48"/>
        <v>3.9066372241128127</v>
      </c>
      <c r="AR115" s="280">
        <f t="shared" si="48"/>
        <v>3.9066372241128127</v>
      </c>
      <c r="AS115" s="280">
        <f t="shared" si="48"/>
        <v>3.9066372241128127</v>
      </c>
      <c r="AT115" s="280">
        <f t="shared" si="48"/>
        <v>3.9066372241128127</v>
      </c>
      <c r="AU115" s="280">
        <f t="shared" si="48"/>
        <v>3.9066372241128127</v>
      </c>
      <c r="AV115" s="280">
        <f t="shared" si="48"/>
        <v>3.9066372241128127</v>
      </c>
      <c r="AW115" s="280">
        <f t="shared" si="48"/>
        <v>3.9066372241128127</v>
      </c>
      <c r="AX115" s="280">
        <f t="shared" si="48"/>
        <v>3.9066372241128127</v>
      </c>
      <c r="AY115" s="280">
        <f t="shared" si="48"/>
        <v>3.9066372241128127</v>
      </c>
      <c r="AZ115" s="280">
        <f t="shared" si="48"/>
        <v>3.9066372241128127</v>
      </c>
      <c r="BA115" s="280">
        <f t="shared" si="48"/>
        <v>3.9066372241128127</v>
      </c>
      <c r="BB115" s="280">
        <f t="shared" si="48"/>
        <v>3.9066372241128127</v>
      </c>
      <c r="BC115" s="280">
        <f t="shared" si="48"/>
        <v>3.9066372241128127</v>
      </c>
      <c r="BD115" s="280"/>
      <c r="BE115" s="280"/>
      <c r="BF115" s="280"/>
    </row>
    <row r="116" spans="1:58" s="192" customFormat="1" ht="18" customHeight="1" x14ac:dyDescent="0.25">
      <c r="B116" s="193"/>
      <c r="C116" s="281"/>
      <c r="D116" s="281"/>
      <c r="E116" s="281"/>
      <c r="F116" s="281"/>
      <c r="G116" s="281"/>
      <c r="H116" s="281"/>
      <c r="I116" s="281"/>
      <c r="J116" s="281"/>
      <c r="K116" s="281"/>
      <c r="L116" s="281"/>
      <c r="M116" s="281"/>
      <c r="N116" s="281"/>
      <c r="O116" s="281"/>
      <c r="P116" s="281"/>
      <c r="Q116" s="281"/>
      <c r="R116" s="274"/>
    </row>
    <row r="117" spans="1:58" s="192" customFormat="1" ht="25.9" customHeight="1" x14ac:dyDescent="0.25">
      <c r="B117" s="734" t="s">
        <v>623</v>
      </c>
      <c r="C117" s="281">
        <f>IF('R-Definição'!$E$121="Existente",C90+((('R&amp;C-Painel de Controle'!$D$88+'R&amp;C-Painel de Controle'!$D$89)*('R&amp;C-Painel de Controle'!$D$44+'R&amp;C-Painel de Controle'!$D$46))/1000000),C90+((('R&amp;C-Painel de Controle'!$D$88)*('R&amp;C-Painel de Controle'!$D$44+'R&amp;C-Painel de Controle'!$D$46))/1000000))</f>
        <v>0.16931710758689947</v>
      </c>
      <c r="D117" s="281">
        <f>IF('R-Definição'!$E$121="Existente",D90+((('R&amp;C-Painel de Controle'!$D$88+'R&amp;C-Painel de Controle'!$D$89)*('R&amp;C-Painel de Controle'!$D$44+'R&amp;C-Painel de Controle'!$D$46))/1000000),D90+((('R&amp;C-Painel de Controle'!$D$88)*('R&amp;C-Painel de Controle'!$D$44+'R&amp;C-Painel de Controle'!$D$46))/1000000))</f>
        <v>0.16931710758689947</v>
      </c>
      <c r="E117" s="281">
        <f>IF('R-Definição'!$E$121="Existente",E90+((('R&amp;C-Painel de Controle'!$D$88+'R&amp;C-Painel de Controle'!$D$89)*('R&amp;C-Painel de Controle'!$D$44+'R&amp;C-Painel de Controle'!$D$46))/1000000),E90+((('R&amp;C-Painel de Controle'!$D$88)*('R&amp;C-Painel de Controle'!$D$44+'R&amp;C-Painel de Controle'!$D$46))/1000000))</f>
        <v>0.16931710758689947</v>
      </c>
      <c r="F117" s="281">
        <f>IF('R-Definição'!$E$121="Existente",F90+((('R&amp;C-Painel de Controle'!$D$88+'R&amp;C-Painel de Controle'!$D$89)*('R&amp;C-Painel de Controle'!$D$44+'R&amp;C-Painel de Controle'!$D$46))/1000000),F90+((('R&amp;C-Painel de Controle'!$D$88)*('R&amp;C-Painel de Controle'!$D$44+'R&amp;C-Painel de Controle'!$D$46))/1000000))</f>
        <v>28.770117809568269</v>
      </c>
      <c r="G117" s="281">
        <f>IF('R-Definição'!$E$121="Existente",G90+((('R&amp;C-Painel de Controle'!$D$88+'R&amp;C-Painel de Controle'!$D$89)*('R&amp;C-Painel de Controle'!$D$44+'R&amp;C-Painel de Controle'!$D$46))/1000000),G90+((('R&amp;C-Painel de Controle'!$D$88)*('R&amp;C-Painel de Controle'!$D$44+'R&amp;C-Painel de Controle'!$D$46))/1000000))</f>
        <v>28.770117809568269</v>
      </c>
      <c r="H117" s="281">
        <f>IF('R-Definição'!$E$121="Existente",H90+((('R&amp;C-Painel de Controle'!$D$88+'R&amp;C-Painel de Controle'!$D$89)*('R&amp;C-Painel de Controle'!$D$44+'R&amp;C-Painel de Controle'!$D$46))/1000000),H90+((('R&amp;C-Painel de Controle'!$D$88)*('R&amp;C-Painel de Controle'!$D$44+'R&amp;C-Painel de Controle'!$D$46))/1000000))</f>
        <v>28.770117809568269</v>
      </c>
      <c r="I117" s="281">
        <f>IF('R-Definição'!$E$121="Existente",I90+((('R&amp;C-Painel de Controle'!$D$88+'R&amp;C-Painel de Controle'!$D$89)*('R&amp;C-Painel de Controle'!$D$44+'R&amp;C-Painel de Controle'!$D$46))/1000000),I90+((('R&amp;C-Painel de Controle'!$D$88)*('R&amp;C-Painel de Controle'!$D$44+'R&amp;C-Painel de Controle'!$D$46))/1000000))</f>
        <v>28.770117809568269</v>
      </c>
      <c r="J117" s="281">
        <f>IF('R-Definição'!$E$121="Existente",J90+((('R&amp;C-Painel de Controle'!$D$88+'R&amp;C-Painel de Controle'!$D$89)*('R&amp;C-Painel de Controle'!$D$44+'R&amp;C-Painel de Controle'!$D$46))/1000000),J90+((('R&amp;C-Painel de Controle'!$D$88)*('R&amp;C-Painel de Controle'!$D$44+'R&amp;C-Painel de Controle'!$D$46))/1000000))</f>
        <v>28.770117809568269</v>
      </c>
      <c r="K117" s="281">
        <f>IF('R-Definição'!$E$121="Existente",K90+((('R&amp;C-Painel de Controle'!$D$88+'R&amp;C-Painel de Controle'!$D$89)*('R&amp;C-Painel de Controle'!$D$44+'R&amp;C-Painel de Controle'!$D$46))/1000000),K90+((('R&amp;C-Painel de Controle'!$D$88)*('R&amp;C-Painel de Controle'!$D$44+'R&amp;C-Painel de Controle'!$D$46))/1000000))</f>
        <v>28.770117809568269</v>
      </c>
      <c r="L117" s="281">
        <f>IF('R-Definição'!$E$121="Existente",L90+((('R&amp;C-Painel de Controle'!$D$88+'R&amp;C-Painel de Controle'!$D$89)*('R&amp;C-Painel de Controle'!$D$44+'R&amp;C-Painel de Controle'!$D$46))/1000000),L90+((('R&amp;C-Painel de Controle'!$D$88)*('R&amp;C-Painel de Controle'!$D$44+'R&amp;C-Painel de Controle'!$D$46))/1000000))</f>
        <v>28.770117809568269</v>
      </c>
      <c r="M117" s="281">
        <f>IF('R-Definição'!$E$121="Existente",M90+((('R&amp;C-Painel de Controle'!$D$88+'R&amp;C-Painel de Controle'!$D$89)*('R&amp;C-Painel de Controle'!$D$44+'R&amp;C-Painel de Controle'!$D$46))/1000000),M90+((('R&amp;C-Painel de Controle'!$D$88)*('R&amp;C-Painel de Controle'!$D$44+'R&amp;C-Painel de Controle'!$D$46))/1000000))</f>
        <v>28.770117809568269</v>
      </c>
      <c r="N117" s="281">
        <f>IF('R-Definição'!$E$121="Existente",N90+((('R&amp;C-Painel de Controle'!$D$88+'R&amp;C-Painel de Controle'!$D$89)*('R&amp;C-Painel de Controle'!$D$44+'R&amp;C-Painel de Controle'!$D$46))/1000000),N90+((('R&amp;C-Painel de Controle'!$D$88)*('R&amp;C-Painel de Controle'!$D$44+'R&amp;C-Painel de Controle'!$D$46))/1000000))</f>
        <v>28.770117809568269</v>
      </c>
      <c r="O117" s="281">
        <f>IF('R-Definição'!$E$121="Existente",O90+((('R&amp;C-Painel de Controle'!$D$88+'R&amp;C-Painel de Controle'!$D$89)*('R&amp;C-Painel de Controle'!$D$44+'R&amp;C-Painel de Controle'!$D$46))/1000000),O90+((('R&amp;C-Painel de Controle'!$D$88)*('R&amp;C-Painel de Controle'!$D$44+'R&amp;C-Painel de Controle'!$D$46))/1000000))</f>
        <v>28.770117809568269</v>
      </c>
      <c r="P117" s="281">
        <f>IF('R-Definição'!$E$121="Existente",P90+((('R&amp;C-Painel de Controle'!$D$88+'R&amp;C-Painel de Controle'!$D$89)*('R&amp;C-Painel de Controle'!$D$44+'R&amp;C-Painel de Controle'!$D$46))/1000000),P90+((('R&amp;C-Painel de Controle'!$D$88)*('R&amp;C-Painel de Controle'!$D$44+'R&amp;C-Painel de Controle'!$D$46))/1000000))</f>
        <v>28.770117809568269</v>
      </c>
      <c r="Q117" s="281">
        <f>IF('R-Definição'!$E$121="Existente",Q90+((('R&amp;C-Painel de Controle'!$D$88+'R&amp;C-Painel de Controle'!$D$89)*('R&amp;C-Painel de Controle'!$D$44+'R&amp;C-Painel de Controle'!$D$46))/1000000),Q90+((('R&amp;C-Painel de Controle'!$D$88)*('R&amp;C-Painel de Controle'!$D$44+'R&amp;C-Painel de Controle'!$D$46))/1000000))</f>
        <v>28.770117809568269</v>
      </c>
      <c r="R117" s="281">
        <f>IF('R-Definição'!$E$121="Existente",R90+((('R&amp;C-Painel de Controle'!$D$88+'R&amp;C-Painel de Controle'!$D$89)*('R&amp;C-Painel de Controle'!$D$44+'R&amp;C-Painel de Controle'!$D$46))/1000000),R90+((('R&amp;C-Painel de Controle'!$D$88)*('R&amp;C-Painel de Controle'!$D$44+'R&amp;C-Painel de Controle'!$D$46))/1000000))</f>
        <v>28.770117809568269</v>
      </c>
      <c r="S117" s="281">
        <f>IF('R-Definição'!$E$121="Existente",S90+((('R&amp;C-Painel de Controle'!$D$88+'R&amp;C-Painel de Controle'!$D$89)*('R&amp;C-Painel de Controle'!$D$44+'R&amp;C-Painel de Controle'!$D$46))/1000000),S90+((('R&amp;C-Painel de Controle'!$D$88)*('R&amp;C-Painel de Controle'!$D$44+'R&amp;C-Painel de Controle'!$D$46))/1000000))</f>
        <v>28.770117809568269</v>
      </c>
      <c r="T117" s="281">
        <f>IF('R-Definição'!$E$121="Existente",T90+((('R&amp;C-Painel de Controle'!$D$88+'R&amp;C-Painel de Controle'!$D$89)*('R&amp;C-Painel de Controle'!$D$44+'R&amp;C-Painel de Controle'!$D$46))/1000000),T90+((('R&amp;C-Painel de Controle'!$D$88)*('R&amp;C-Painel de Controle'!$D$44+'R&amp;C-Painel de Controle'!$D$46))/1000000))</f>
        <v>28.770117809568269</v>
      </c>
      <c r="U117" s="281">
        <f>IF('R-Definição'!$E$121="Existente",U90+((('R&amp;C-Painel de Controle'!$D$88+'R&amp;C-Painel de Controle'!$D$89)*('R&amp;C-Painel de Controle'!$D$44+'R&amp;C-Painel de Controle'!$D$46))/1000000),U90+((('R&amp;C-Painel de Controle'!$D$88)*('R&amp;C-Painel de Controle'!$D$44+'R&amp;C-Painel de Controle'!$D$46))/1000000))</f>
        <v>28.770117809568269</v>
      </c>
      <c r="V117" s="281">
        <f>IF('R-Definição'!$E$121="Existente",V90+((('R&amp;C-Painel de Controle'!$D$88+'R&amp;C-Painel de Controle'!$D$89)*('R&amp;C-Painel de Controle'!$D$44+'R&amp;C-Painel de Controle'!$D$46))/1000000),V90+((('R&amp;C-Painel de Controle'!$D$88)*('R&amp;C-Painel de Controle'!$D$44+'R&amp;C-Painel de Controle'!$D$46))/1000000))</f>
        <v>28.770117809568269</v>
      </c>
      <c r="W117" s="281">
        <f>IF('R-Definição'!$E$121="Existente",W90+((('R&amp;C-Painel de Controle'!$D$88+'R&amp;C-Painel de Controle'!$D$89)*('R&amp;C-Painel de Controle'!$D$44+'R&amp;C-Painel de Controle'!$D$46))/1000000),W90+((('R&amp;C-Painel de Controle'!$D$88)*('R&amp;C-Painel de Controle'!$D$44+'R&amp;C-Painel de Controle'!$D$46))/1000000))</f>
        <v>28.770117809568269</v>
      </c>
      <c r="X117" s="281">
        <f>IF('R-Definição'!$E$121="Existente",X90+((('R&amp;C-Painel de Controle'!$D$88+'R&amp;C-Painel de Controle'!$D$89)*('R&amp;C-Painel de Controle'!$D$44+'R&amp;C-Painel de Controle'!$D$46))/1000000),X90+((('R&amp;C-Painel de Controle'!$D$88)*('R&amp;C-Painel de Controle'!$D$44+'R&amp;C-Painel de Controle'!$D$46))/1000000))</f>
        <v>28.770117809568269</v>
      </c>
      <c r="Y117" s="281">
        <f>IF('R-Definição'!$E$121="Existente",Y90+((('R&amp;C-Painel de Controle'!$D$88+'R&amp;C-Painel de Controle'!$D$89)*('R&amp;C-Painel de Controle'!$D$44+'R&amp;C-Painel de Controle'!$D$46))/1000000),Y90+((('R&amp;C-Painel de Controle'!$D$88)*('R&amp;C-Painel de Controle'!$D$44+'R&amp;C-Painel de Controle'!$D$46))/1000000))</f>
        <v>28.770117809568269</v>
      </c>
      <c r="Z117" s="281">
        <f>IF('R-Definição'!$E$121="Existente",Z90+((('R&amp;C-Painel de Controle'!$D$88+'R&amp;C-Painel de Controle'!$D$89)*('R&amp;C-Painel de Controle'!$D$44+'R&amp;C-Painel de Controle'!$D$46))/1000000),Z90+((('R&amp;C-Painel de Controle'!$D$88)*('R&amp;C-Painel de Controle'!$D$44+'R&amp;C-Painel de Controle'!$D$46))/1000000))</f>
        <v>28.770117809568269</v>
      </c>
      <c r="AA117" s="281">
        <f>IF('R-Definição'!$E$121="Existente",AA90+((('R&amp;C-Painel de Controle'!$D$88+'R&amp;C-Painel de Controle'!$D$89)*('R&amp;C-Painel de Controle'!$D$44+'R&amp;C-Painel de Controle'!$D$46))/1000000),AA90+((('R&amp;C-Painel de Controle'!$D$88)*('R&amp;C-Painel de Controle'!$D$44+'R&amp;C-Painel de Controle'!$D$46))/1000000))</f>
        <v>28.770117809568269</v>
      </c>
      <c r="AB117" s="281">
        <f>IF('R-Definição'!$E$121="Existente",AB90+((('R&amp;C-Painel de Controle'!$D$88+'R&amp;C-Painel de Controle'!$D$89)*('R&amp;C-Painel de Controle'!$D$44+'R&amp;C-Painel de Controle'!$D$46))/1000000),AB90+((('R&amp;C-Painel de Controle'!$D$88)*('R&amp;C-Painel de Controle'!$D$44+'R&amp;C-Painel de Controle'!$D$46))/1000000))</f>
        <v>28.770117809568269</v>
      </c>
      <c r="AC117" s="281">
        <f>IF('R-Definição'!$E$121="Existente",AC90+((('R&amp;C-Painel de Controle'!$D$88+'R&amp;C-Painel de Controle'!$D$89)*('R&amp;C-Painel de Controle'!$D$44+'R&amp;C-Painel de Controle'!$D$46))/1000000),AC90+((('R&amp;C-Painel de Controle'!$D$88)*('R&amp;C-Painel de Controle'!$D$44+'R&amp;C-Painel de Controle'!$D$46))/1000000))</f>
        <v>28.770117809568269</v>
      </c>
      <c r="AD117" s="281">
        <f>IF('R-Definição'!$E$121="Existente",AD90+((('R&amp;C-Painel de Controle'!$D$88+'R&amp;C-Painel de Controle'!$D$89)*('R&amp;C-Painel de Controle'!$D$44+'R&amp;C-Painel de Controle'!$D$46))/1000000),AD90+((('R&amp;C-Painel de Controle'!$D$88)*('R&amp;C-Painel de Controle'!$D$44+'R&amp;C-Painel de Controle'!$D$46))/1000000))</f>
        <v>28.770117809568269</v>
      </c>
      <c r="AE117" s="281">
        <f>IF('R-Definição'!$E$121="Existente",AE90+((('R&amp;C-Painel de Controle'!$D$88+'R&amp;C-Painel de Controle'!$D$89)*('R&amp;C-Painel de Controle'!$D$44+'R&amp;C-Painel de Controle'!$D$46))/1000000),AE90+((('R&amp;C-Painel de Controle'!$D$88)*('R&amp;C-Painel de Controle'!$D$44+'R&amp;C-Painel de Controle'!$D$46))/1000000))</f>
        <v>28.770117809568269</v>
      </c>
      <c r="AF117" s="281">
        <f>IF('R-Definição'!$E$121="Existente",AF90+((('R&amp;C-Painel de Controle'!$D$88+'R&amp;C-Painel de Controle'!$D$89)*('R&amp;C-Painel de Controle'!$D$44+'R&amp;C-Painel de Controle'!$D$46))/1000000),AF90+((('R&amp;C-Painel de Controle'!$D$88)*('R&amp;C-Painel de Controle'!$D$44+'R&amp;C-Painel de Controle'!$D$46))/1000000))</f>
        <v>28.770117809568269</v>
      </c>
      <c r="AG117" s="281">
        <f>IF('R-Definição'!$E$121="Existente",AG90+((('R&amp;C-Painel de Controle'!$D$88+'R&amp;C-Painel de Controle'!$D$89)*('R&amp;C-Painel de Controle'!$D$44+'R&amp;C-Painel de Controle'!$D$46))/1000000),AG90+((('R&amp;C-Painel de Controle'!$D$88)*('R&amp;C-Painel de Controle'!$D$44+'R&amp;C-Painel de Controle'!$D$46))/1000000))</f>
        <v>28.770117809568269</v>
      </c>
      <c r="AH117" s="281">
        <f>IF('R-Definição'!$E$121="Existente",AH90+((('R&amp;C-Painel de Controle'!$D$88+'R&amp;C-Painel de Controle'!$D$89)*('R&amp;C-Painel de Controle'!$D$44+'R&amp;C-Painel de Controle'!$D$46))/1000000),AH90+((('R&amp;C-Painel de Controle'!$D$88)*('R&amp;C-Painel de Controle'!$D$44+'R&amp;C-Painel de Controle'!$D$46))/1000000))</f>
        <v>28.770117809568269</v>
      </c>
      <c r="AI117" s="281">
        <f>IF('R-Definição'!$E$121="Existente",AI90+((('R&amp;C-Painel de Controle'!$D$88+'R&amp;C-Painel de Controle'!$D$89)*('R&amp;C-Painel de Controle'!$D$44+'R&amp;C-Painel de Controle'!$D$46))/1000000),AI90+((('R&amp;C-Painel de Controle'!$D$88)*('R&amp;C-Painel de Controle'!$D$44+'R&amp;C-Painel de Controle'!$D$46))/1000000))</f>
        <v>28.770117809568269</v>
      </c>
      <c r="AJ117" s="281">
        <f>IF('R-Definição'!$E$121="Existente",AJ90+((('R&amp;C-Painel de Controle'!$D$88+'R&amp;C-Painel de Controle'!$D$89)*('R&amp;C-Painel de Controle'!$D$44+'R&amp;C-Painel de Controle'!$D$46))/1000000),AJ90+((('R&amp;C-Painel de Controle'!$D$88)*('R&amp;C-Painel de Controle'!$D$44+'R&amp;C-Painel de Controle'!$D$46))/1000000))</f>
        <v>28.770117809568269</v>
      </c>
      <c r="AK117" s="281">
        <f>IF('R-Definição'!$E$121="Existente",AK90+((('R&amp;C-Painel de Controle'!$D$88+'R&amp;C-Painel de Controle'!$D$89)*('R&amp;C-Painel de Controle'!$D$44+'R&amp;C-Painel de Controle'!$D$46))/1000000),AK90+((('R&amp;C-Painel de Controle'!$D$88)*('R&amp;C-Painel de Controle'!$D$44+'R&amp;C-Painel de Controle'!$D$46))/1000000))</f>
        <v>28.770117809568269</v>
      </c>
      <c r="AL117" s="281">
        <f>IF('R-Definição'!$E$121="Existente",AL90+((('R&amp;C-Painel de Controle'!$D$88+'R&amp;C-Painel de Controle'!$D$89)*('R&amp;C-Painel de Controle'!$D$44+'R&amp;C-Painel de Controle'!$D$46))/1000000),AL90+((('R&amp;C-Painel de Controle'!$D$88)*('R&amp;C-Painel de Controle'!$D$44+'R&amp;C-Painel de Controle'!$D$46))/1000000))</f>
        <v>28.770117809568269</v>
      </c>
      <c r="AM117" s="281">
        <f>IF('R-Definição'!$E$121="Existente",AM90+((('R&amp;C-Painel de Controle'!$D$88+'R&amp;C-Painel de Controle'!$D$89)*('R&amp;C-Painel de Controle'!$D$44+'R&amp;C-Painel de Controle'!$D$46))/1000000),AM90+((('R&amp;C-Painel de Controle'!$D$88)*('R&amp;C-Painel de Controle'!$D$44+'R&amp;C-Painel de Controle'!$D$46))/1000000))</f>
        <v>28.770117809568269</v>
      </c>
      <c r="AN117" s="281">
        <f>IF('R-Definição'!$E$121="Existente",AN90+((('R&amp;C-Painel de Controle'!$D$88+'R&amp;C-Painel de Controle'!$D$89)*('R&amp;C-Painel de Controle'!$D$44+'R&amp;C-Painel de Controle'!$D$46))/1000000),AN90+((('R&amp;C-Painel de Controle'!$D$88)*('R&amp;C-Painel de Controle'!$D$44+'R&amp;C-Painel de Controle'!$D$46))/1000000))</f>
        <v>28.770117809568269</v>
      </c>
      <c r="AO117" s="281">
        <f>IF('R-Definição'!$E$121="Existente",AO90+((('R&amp;C-Painel de Controle'!$D$88+'R&amp;C-Painel de Controle'!$D$89)*('R&amp;C-Painel de Controle'!$D$44+'R&amp;C-Painel de Controle'!$D$46))/1000000),AO90+((('R&amp;C-Painel de Controle'!$D$88)*('R&amp;C-Painel de Controle'!$D$44+'R&amp;C-Painel de Controle'!$D$46))/1000000))</f>
        <v>28.770117809568269</v>
      </c>
      <c r="AP117" s="281">
        <f>IF('R-Definição'!$E$121="Existente",AP90+((('R&amp;C-Painel de Controle'!$D$88+'R&amp;C-Painel de Controle'!$D$89)*('R&amp;C-Painel de Controle'!$D$44+'R&amp;C-Painel de Controle'!$D$46))/1000000),AP90+((('R&amp;C-Painel de Controle'!$D$88)*('R&amp;C-Painel de Controle'!$D$44+'R&amp;C-Painel de Controle'!$D$46))/1000000))</f>
        <v>28.770117809568269</v>
      </c>
      <c r="AQ117" s="281">
        <f>IF('R-Definição'!$E$121="Existente",AQ90+((('R&amp;C-Painel de Controle'!$D$88+'R&amp;C-Painel de Controle'!$D$89)*('R&amp;C-Painel de Controle'!$D$44+'R&amp;C-Painel de Controle'!$D$46))/1000000),AQ90+((('R&amp;C-Painel de Controle'!$D$88)*('R&amp;C-Painel de Controle'!$D$44+'R&amp;C-Painel de Controle'!$D$46))/1000000))</f>
        <v>28.770117809568269</v>
      </c>
      <c r="AR117" s="281">
        <f>IF('R-Definição'!$E$121="Existente",AR90+((('R&amp;C-Painel de Controle'!$D$88+'R&amp;C-Painel de Controle'!$D$89)*('R&amp;C-Painel de Controle'!$D$44+'R&amp;C-Painel de Controle'!$D$46))/1000000),AR90+((('R&amp;C-Painel de Controle'!$D$88)*('R&amp;C-Painel de Controle'!$D$44+'R&amp;C-Painel de Controle'!$D$46))/1000000))</f>
        <v>28.770117809568269</v>
      </c>
      <c r="AS117" s="281">
        <f>IF('R-Definição'!$E$121="Existente",AS90+((('R&amp;C-Painel de Controle'!$D$88+'R&amp;C-Painel de Controle'!$D$89)*('R&amp;C-Painel de Controle'!$D$44+'R&amp;C-Painel de Controle'!$D$46))/1000000),AS90+((('R&amp;C-Painel de Controle'!$D$88)*('R&amp;C-Painel de Controle'!$D$44+'R&amp;C-Painel de Controle'!$D$46))/1000000))</f>
        <v>28.770117809568269</v>
      </c>
      <c r="AT117" s="281">
        <f>IF('R-Definição'!$E$121="Existente",AT90+((('R&amp;C-Painel de Controle'!$D$88+'R&amp;C-Painel de Controle'!$D$89)*('R&amp;C-Painel de Controle'!$D$44+'R&amp;C-Painel de Controle'!$D$46))/1000000),AT90+((('R&amp;C-Painel de Controle'!$D$88)*('R&amp;C-Painel de Controle'!$D$44+'R&amp;C-Painel de Controle'!$D$46))/1000000))</f>
        <v>28.770117809568269</v>
      </c>
      <c r="AU117" s="281">
        <f>IF('R-Definição'!$E$121="Existente",AU90+((('R&amp;C-Painel de Controle'!$D$88+'R&amp;C-Painel de Controle'!$D$89)*('R&amp;C-Painel de Controle'!$D$44+'R&amp;C-Painel de Controle'!$D$46))/1000000),AU90+((('R&amp;C-Painel de Controle'!$D$88)*('R&amp;C-Painel de Controle'!$D$44+'R&amp;C-Painel de Controle'!$D$46))/1000000))</f>
        <v>28.770117809568269</v>
      </c>
      <c r="AV117" s="281">
        <f>IF('R-Definição'!$E$121="Existente",AV90+((('R&amp;C-Painel de Controle'!$D$88+'R&amp;C-Painel de Controle'!$D$89)*('R&amp;C-Painel de Controle'!$D$44+'R&amp;C-Painel de Controle'!$D$46))/1000000),AV90+((('R&amp;C-Painel de Controle'!$D$88)*('R&amp;C-Painel de Controle'!$D$44+'R&amp;C-Painel de Controle'!$D$46))/1000000))</f>
        <v>28.770117809568269</v>
      </c>
      <c r="AW117" s="281">
        <f>IF('R-Definição'!$E$121="Existente",AW90+((('R&amp;C-Painel de Controle'!$D$88+'R&amp;C-Painel de Controle'!$D$89)*('R&amp;C-Painel de Controle'!$D$44+'R&amp;C-Painel de Controle'!$D$46))/1000000),AW90+((('R&amp;C-Painel de Controle'!$D$88)*('R&amp;C-Painel de Controle'!$D$44+'R&amp;C-Painel de Controle'!$D$46))/1000000))</f>
        <v>28.770117809568269</v>
      </c>
      <c r="AX117" s="281">
        <f>IF('R-Definição'!$E$121="Existente",AX90+((('R&amp;C-Painel de Controle'!$D$88+'R&amp;C-Painel de Controle'!$D$89)*('R&amp;C-Painel de Controle'!$D$44+'R&amp;C-Painel de Controle'!$D$46))/1000000),AX90+((('R&amp;C-Painel de Controle'!$D$88)*('R&amp;C-Painel de Controle'!$D$44+'R&amp;C-Painel de Controle'!$D$46))/1000000))</f>
        <v>28.770117809568269</v>
      </c>
      <c r="AY117" s="281">
        <f>IF('R-Definição'!$E$121="Existente",AY90+((('R&amp;C-Painel de Controle'!$D$88+'R&amp;C-Painel de Controle'!$D$89)*('R&amp;C-Painel de Controle'!$D$44+'R&amp;C-Painel de Controle'!$D$46))/1000000),AY90+((('R&amp;C-Painel de Controle'!$D$88)*('R&amp;C-Painel de Controle'!$D$44+'R&amp;C-Painel de Controle'!$D$46))/1000000))</f>
        <v>28.770117809568269</v>
      </c>
      <c r="AZ117" s="281">
        <f>IF('R-Definição'!$E$121="Existente",AZ90+((('R&amp;C-Painel de Controle'!$D$88+'R&amp;C-Painel de Controle'!$D$89)*('R&amp;C-Painel de Controle'!$D$44+'R&amp;C-Painel de Controle'!$D$46))/1000000),AZ90+((('R&amp;C-Painel de Controle'!$D$88)*('R&amp;C-Painel de Controle'!$D$44+'R&amp;C-Painel de Controle'!$D$46))/1000000))</f>
        <v>28.770117809568269</v>
      </c>
      <c r="BA117" s="281">
        <f>IF('R-Definição'!$E$121="Existente",BA90+((('R&amp;C-Painel de Controle'!$D$88+'R&amp;C-Painel de Controle'!$D$89)*('R&amp;C-Painel de Controle'!$D$44+'R&amp;C-Painel de Controle'!$D$46))/1000000),BA90+((('R&amp;C-Painel de Controle'!$D$88)*('R&amp;C-Painel de Controle'!$D$44+'R&amp;C-Painel de Controle'!$D$46))/1000000))</f>
        <v>28.770117809568269</v>
      </c>
      <c r="BB117" s="281">
        <f>IF('R-Definição'!$E$121="Existente",BB90+((('R&amp;C-Painel de Controle'!$D$88+'R&amp;C-Painel de Controle'!$D$89)*('R&amp;C-Painel de Controle'!$D$44+'R&amp;C-Painel de Controle'!$D$46))/1000000),BB90+((('R&amp;C-Painel de Controle'!$D$88)*('R&amp;C-Painel de Controle'!$D$44+'R&amp;C-Painel de Controle'!$D$46))/1000000))</f>
        <v>28.770117809568269</v>
      </c>
      <c r="BC117" s="281">
        <f>IF('R-Definição'!$E$121="Existente",BC90+((('R&amp;C-Painel de Controle'!$D$88+'R&amp;C-Painel de Controle'!$D$89)*('R&amp;C-Painel de Controle'!$D$44+'R&amp;C-Painel de Controle'!$D$46))/1000000),BC90+((('R&amp;C-Painel de Controle'!$D$88)*('R&amp;C-Painel de Controle'!$D$44+'R&amp;C-Painel de Controle'!$D$46))/1000000))</f>
        <v>28.770117809568269</v>
      </c>
    </row>
    <row r="118" spans="1:58" s="192" customFormat="1" ht="18" customHeight="1" x14ac:dyDescent="0.25">
      <c r="B118" s="193" t="s">
        <v>899</v>
      </c>
      <c r="C118" s="1485">
        <v>0</v>
      </c>
      <c r="D118" s="281"/>
      <c r="E118" s="281"/>
      <c r="F118" s="281"/>
      <c r="G118" s="281"/>
      <c r="H118" s="281"/>
      <c r="I118" s="281"/>
      <c r="J118" s="281"/>
      <c r="K118" s="281"/>
      <c r="L118" s="281"/>
      <c r="M118" s="281"/>
      <c r="N118" s="281"/>
      <c r="O118" s="281"/>
      <c r="P118" s="281"/>
      <c r="Q118" s="281"/>
      <c r="R118" s="281"/>
      <c r="S118" s="281"/>
      <c r="T118" s="281"/>
      <c r="U118" s="281"/>
      <c r="V118" s="281"/>
      <c r="W118" s="281"/>
      <c r="X118" s="281"/>
      <c r="Y118" s="281"/>
      <c r="Z118" s="281"/>
      <c r="AA118" s="281"/>
      <c r="AB118" s="281"/>
      <c r="AC118" s="281"/>
      <c r="AD118" s="281"/>
      <c r="AE118" s="281"/>
      <c r="AF118" s="281"/>
      <c r="AG118" s="281"/>
      <c r="AH118" s="281"/>
      <c r="AI118" s="281"/>
      <c r="AJ118" s="281"/>
      <c r="AK118" s="281"/>
      <c r="AL118" s="281"/>
      <c r="AM118" s="281"/>
      <c r="AN118" s="281"/>
      <c r="AO118" s="281"/>
      <c r="AP118" s="281"/>
      <c r="AQ118" s="281"/>
      <c r="AR118" s="281"/>
      <c r="AS118" s="281"/>
      <c r="AT118" s="281"/>
      <c r="AU118" s="281"/>
      <c r="AV118" s="281"/>
      <c r="AW118" s="281"/>
      <c r="AX118" s="281"/>
      <c r="AY118" s="281"/>
      <c r="AZ118" s="281"/>
      <c r="BA118" s="281"/>
      <c r="BB118" s="281"/>
      <c r="BC118" s="281"/>
    </row>
    <row r="119" spans="1:58" s="192" customFormat="1" ht="25.9" customHeight="1" x14ac:dyDescent="0.25">
      <c r="B119" s="734" t="s">
        <v>624</v>
      </c>
      <c r="C119" s="281">
        <f>(C117+'R&amp;C-Painel de Controle'!$D$28)*(1+$C$118)</f>
        <v>1.1693171075868996</v>
      </c>
      <c r="D119" s="281">
        <f>(D117+'R&amp;C-Painel de Controle'!$D$28)*(1+$C$118)</f>
        <v>1.1693171075868996</v>
      </c>
      <c r="E119" s="281">
        <f>(E117+'R&amp;C-Painel de Controle'!$D$28)*(1+$C$118)</f>
        <v>1.1693171075868996</v>
      </c>
      <c r="F119" s="281">
        <f>(F117+'R&amp;C-Painel de Controle'!$D$28)*(1+$C$118)</f>
        <v>29.770117809568269</v>
      </c>
      <c r="G119" s="281">
        <f>(G117+'R&amp;C-Painel de Controle'!$D$28)*(1+$C$118)</f>
        <v>29.770117809568269</v>
      </c>
      <c r="H119" s="281">
        <f>(H117+'R&amp;C-Painel de Controle'!$D$28)*(1+$C$118)</f>
        <v>29.770117809568269</v>
      </c>
      <c r="I119" s="281">
        <f>(I117+'R&amp;C-Painel de Controle'!$D$28)*(1+$C$118)</f>
        <v>29.770117809568269</v>
      </c>
      <c r="J119" s="281">
        <f>(J117+'R&amp;C-Painel de Controle'!$D$28)*(1+$C$118)</f>
        <v>29.770117809568269</v>
      </c>
      <c r="K119" s="281">
        <f>(K117+'R&amp;C-Painel de Controle'!$D$28)*(1+$C$118)</f>
        <v>29.770117809568269</v>
      </c>
      <c r="L119" s="281">
        <f>(L117+'R&amp;C-Painel de Controle'!$D$28)*(1+$C$118)</f>
        <v>29.770117809568269</v>
      </c>
      <c r="M119" s="281">
        <f>(M117+'R&amp;C-Painel de Controle'!$D$28)*(1+$C$118)</f>
        <v>29.770117809568269</v>
      </c>
      <c r="N119" s="281">
        <f>(N117+'R&amp;C-Painel de Controle'!$D$28)*(1+$C$118)</f>
        <v>29.770117809568269</v>
      </c>
      <c r="O119" s="281">
        <f>(O117+'R&amp;C-Painel de Controle'!$D$28)*(1+$C$118)</f>
        <v>29.770117809568269</v>
      </c>
      <c r="P119" s="281">
        <f>(P117+'R&amp;C-Painel de Controle'!$D$28)*(1+$C$118)</f>
        <v>29.770117809568269</v>
      </c>
      <c r="Q119" s="281">
        <f>(Q117+'R&amp;C-Painel de Controle'!$D$28)*(1+$C$118)</f>
        <v>29.770117809568269</v>
      </c>
      <c r="R119" s="281">
        <f>(R117+'R&amp;C-Painel de Controle'!$D$28)*(1+$C$118)</f>
        <v>29.770117809568269</v>
      </c>
      <c r="S119" s="281">
        <f>(S117+'R&amp;C-Painel de Controle'!$D$28)*(1+$C$118)</f>
        <v>29.770117809568269</v>
      </c>
      <c r="T119" s="281">
        <f>(T117+'R&amp;C-Painel de Controle'!$D$28)*(1+$C$118)</f>
        <v>29.770117809568269</v>
      </c>
      <c r="U119" s="281">
        <f>(U117+'R&amp;C-Painel de Controle'!$D$28)*(1+$C$118)</f>
        <v>29.770117809568269</v>
      </c>
      <c r="V119" s="281">
        <f>(V117+'R&amp;C-Painel de Controle'!$D$28)*(1+$C$118)</f>
        <v>29.770117809568269</v>
      </c>
      <c r="W119" s="281">
        <f>(W117+'R&amp;C-Painel de Controle'!$D$28)*(1+$C$118)</f>
        <v>29.770117809568269</v>
      </c>
      <c r="X119" s="281">
        <f>(X117+'R&amp;C-Painel de Controle'!$D$28)*(1+$C$118)</f>
        <v>29.770117809568269</v>
      </c>
      <c r="Y119" s="281">
        <f>(Y117+'R&amp;C-Painel de Controle'!$D$28)*(1+$C$118)</f>
        <v>29.770117809568269</v>
      </c>
      <c r="Z119" s="281">
        <f>(Z117+'R&amp;C-Painel de Controle'!$D$28)*(1+$C$118)</f>
        <v>29.770117809568269</v>
      </c>
      <c r="AA119" s="281">
        <f>(AA117+'R&amp;C-Painel de Controle'!$D$28)*(1+$C$118)</f>
        <v>29.770117809568269</v>
      </c>
      <c r="AB119" s="281">
        <f>(AB117+'R&amp;C-Painel de Controle'!$D$28)*(1+$C$118)</f>
        <v>29.770117809568269</v>
      </c>
      <c r="AC119" s="281">
        <f>(AC117+'R&amp;C-Painel de Controle'!$D$28)*(1+$C$118)</f>
        <v>29.770117809568269</v>
      </c>
      <c r="AD119" s="281">
        <f>(AD117+'R&amp;C-Painel de Controle'!$D$28)*(1+$C$118)</f>
        <v>29.770117809568269</v>
      </c>
      <c r="AE119" s="281">
        <f>(AE117+'R&amp;C-Painel de Controle'!$D$28)*(1+$C$118)</f>
        <v>29.770117809568269</v>
      </c>
      <c r="AF119" s="281">
        <f>(AF117+'R&amp;C-Painel de Controle'!$D$28)*(1+$C$118)</f>
        <v>29.770117809568269</v>
      </c>
      <c r="AG119" s="281">
        <f>(AG117+'R&amp;C-Painel de Controle'!$D$28)*(1+$C$118)</f>
        <v>29.770117809568269</v>
      </c>
      <c r="AH119" s="281">
        <f>(AH117+'R&amp;C-Painel de Controle'!$D$28)*(1+$C$118)</f>
        <v>29.770117809568269</v>
      </c>
      <c r="AI119" s="281">
        <f>(AI117+'R&amp;C-Painel de Controle'!$D$28)*(1+$C$118)</f>
        <v>29.770117809568269</v>
      </c>
      <c r="AJ119" s="281">
        <f>(AJ117+'R&amp;C-Painel de Controle'!$D$28)*(1+$C$118)</f>
        <v>29.770117809568269</v>
      </c>
      <c r="AK119" s="281">
        <f>(AK117+'R&amp;C-Painel de Controle'!$D$28)*(1+$C$118)</f>
        <v>29.770117809568269</v>
      </c>
      <c r="AL119" s="281">
        <f>(AL117+'R&amp;C-Painel de Controle'!$D$28)*(1+$C$118)</f>
        <v>29.770117809568269</v>
      </c>
      <c r="AM119" s="281">
        <f>(AM117+'R&amp;C-Painel de Controle'!$D$28)*(1+$C$118)</f>
        <v>29.770117809568269</v>
      </c>
      <c r="AN119" s="281">
        <f>(AN117+'R&amp;C-Painel de Controle'!$D$28)*(1+$C$118)</f>
        <v>29.770117809568269</v>
      </c>
      <c r="AO119" s="281">
        <f>(AO117+'R&amp;C-Painel de Controle'!$D$28)*(1+$C$118)</f>
        <v>29.770117809568269</v>
      </c>
      <c r="AP119" s="281">
        <f>(AP117+'R&amp;C-Painel de Controle'!$D$28)*(1+$C$118)</f>
        <v>29.770117809568269</v>
      </c>
      <c r="AQ119" s="281">
        <f>(AQ117+'R&amp;C-Painel de Controle'!$D$28)*(1+$C$118)</f>
        <v>29.770117809568269</v>
      </c>
      <c r="AR119" s="281">
        <f>(AR117+'R&amp;C-Painel de Controle'!$D$28)*(1+$C$118)</f>
        <v>29.770117809568269</v>
      </c>
      <c r="AS119" s="281">
        <f>(AS117+'R&amp;C-Painel de Controle'!$D$28)*(1+$C$118)</f>
        <v>29.770117809568269</v>
      </c>
      <c r="AT119" s="281">
        <f>(AT117+'R&amp;C-Painel de Controle'!$D$28)*(1+$C$118)</f>
        <v>29.770117809568269</v>
      </c>
      <c r="AU119" s="281">
        <f>(AU117+'R&amp;C-Painel de Controle'!$D$28)*(1+$C$118)</f>
        <v>29.770117809568269</v>
      </c>
      <c r="AV119" s="281">
        <f>(AV117+'R&amp;C-Painel de Controle'!$D$28)*(1+$C$118)</f>
        <v>29.770117809568269</v>
      </c>
      <c r="AW119" s="281">
        <f>(AW117+'R&amp;C-Painel de Controle'!$D$28)*(1+$C$118)</f>
        <v>29.770117809568269</v>
      </c>
      <c r="AX119" s="281">
        <f>(AX117+'R&amp;C-Painel de Controle'!$D$28)*(1+$C$118)</f>
        <v>29.770117809568269</v>
      </c>
      <c r="AY119" s="281">
        <f>(AY117+'R&amp;C-Painel de Controle'!$D$28)*(1+$C$118)</f>
        <v>29.770117809568269</v>
      </c>
      <c r="AZ119" s="281">
        <f>(AZ117+'R&amp;C-Painel de Controle'!$D$28)*(1+$C$118)</f>
        <v>29.770117809568269</v>
      </c>
      <c r="BA119" s="281">
        <f>(BA117+'R&amp;C-Painel de Controle'!$D$28)*(1+$C$118)</f>
        <v>29.770117809568269</v>
      </c>
      <c r="BB119" s="281">
        <f>(BB117+'R&amp;C-Painel de Controle'!$D$28)*(1+$C$118)</f>
        <v>29.770117809568269</v>
      </c>
      <c r="BC119" s="281">
        <f>(BC117+'R&amp;C-Painel de Controle'!$D$28)*(1+$C$118)</f>
        <v>29.770117809568269</v>
      </c>
    </row>
    <row r="120" spans="1:58" s="192" customFormat="1" ht="18" customHeight="1" x14ac:dyDescent="0.25">
      <c r="B120" s="290"/>
      <c r="C120" s="1492"/>
      <c r="D120" s="1492"/>
      <c r="E120" s="1492"/>
      <c r="F120" s="1492"/>
      <c r="G120" s="1492"/>
      <c r="H120" s="1492"/>
      <c r="I120" s="1492"/>
      <c r="J120" s="1492"/>
      <c r="K120" s="1492"/>
      <c r="L120" s="1492"/>
      <c r="M120" s="1492"/>
      <c r="N120" s="1492"/>
      <c r="O120" s="1492"/>
      <c r="P120" s="1492"/>
      <c r="Q120" s="1492"/>
      <c r="R120" s="1492"/>
      <c r="S120" s="1492"/>
      <c r="T120" s="1492"/>
      <c r="U120" s="1492"/>
      <c r="V120" s="1492"/>
      <c r="W120" s="1492"/>
      <c r="X120" s="1492"/>
      <c r="Y120" s="1492"/>
      <c r="Z120" s="1492"/>
      <c r="AA120" s="1492"/>
      <c r="AB120" s="1492"/>
      <c r="AC120" s="1492"/>
      <c r="AD120" s="1492"/>
      <c r="AE120" s="1492"/>
      <c r="AF120" s="1492"/>
      <c r="AG120" s="1492"/>
      <c r="AH120" s="1492"/>
      <c r="AI120" s="1492"/>
      <c r="AJ120" s="1492"/>
      <c r="AK120" s="1492"/>
      <c r="AL120" s="1492"/>
      <c r="AM120" s="1492"/>
      <c r="AN120" s="1492"/>
      <c r="AO120" s="1492"/>
      <c r="AP120" s="1492"/>
      <c r="AQ120" s="1492"/>
      <c r="AR120" s="1492"/>
      <c r="AS120" s="1492"/>
      <c r="AT120" s="1492"/>
      <c r="AU120" s="1492"/>
      <c r="AV120" s="1492"/>
      <c r="AW120" s="1492"/>
      <c r="AX120" s="1492"/>
      <c r="AY120" s="1492"/>
      <c r="AZ120" s="1492"/>
      <c r="BA120" s="1492"/>
      <c r="BB120" s="1492"/>
      <c r="BC120" s="1492"/>
    </row>
    <row r="121" spans="1:58" s="192" customFormat="1" ht="25.9" customHeight="1" collapsed="1" x14ac:dyDescent="0.25">
      <c r="B121" s="734" t="s">
        <v>361</v>
      </c>
      <c r="C121" s="281">
        <f>IF('R&amp;C-Painel de Controle'!$D$25="Sim",(C125+C128+C131+C134+C137+C140+C143+C146)*('R&amp;C-Painel de Controle'!$D$26),0)</f>
        <v>0</v>
      </c>
      <c r="D121" s="281">
        <f>IF('R&amp;C-Painel de Controle'!$D$25="Sim",(D125+D128+D131+D134+D137+D140+D143+D146)*('R&amp;C-Painel de Controle'!$D$26),0)</f>
        <v>0</v>
      </c>
      <c r="E121" s="281">
        <f>IF('R&amp;C-Painel de Controle'!$D$25="Sim",(E125+E128+E131+E134+E137+E140+E143+E146)*('R&amp;C-Painel de Controle'!$D$26),0)</f>
        <v>0</v>
      </c>
      <c r="F121" s="281">
        <f>IF('R&amp;C-Painel de Controle'!$D$25="Sim",(F125+F128+F131+F134+F137+F140+F143+F146)*('R&amp;C-Painel de Controle'!$D$26),0)</f>
        <v>0</v>
      </c>
      <c r="G121" s="281">
        <f>IF('R&amp;C-Painel de Controle'!$D$25="Sim",(G125+G128+G131+G134+G137+G140+G143+G146)*('R&amp;C-Painel de Controle'!$D$26),0)</f>
        <v>0</v>
      </c>
      <c r="H121" s="281">
        <f>IF('R&amp;C-Painel de Controle'!$D$25="Sim",(H125+H128+H131+H134+H137+H140+H143+H146)*('R&amp;C-Painel de Controle'!$D$26),0)</f>
        <v>0</v>
      </c>
      <c r="I121" s="281">
        <f>IF('R&amp;C-Painel de Controle'!$D$25="Sim",(I125+I128+I131+I134+I137+I140+I143+I146)*('R&amp;C-Painel de Controle'!$D$26),0)</f>
        <v>0</v>
      </c>
      <c r="J121" s="281">
        <f>IF('R&amp;C-Painel de Controle'!$D$25="Sim",(J125+J128+J131+J134+J137+J140+J143+J146)*('R&amp;C-Painel de Controle'!$D$26),0)</f>
        <v>0</v>
      </c>
      <c r="K121" s="281">
        <f>IF('R&amp;C-Painel de Controle'!$D$25="Sim",(K125+K128+K131+K134+K137+K140+K143+K146)*('R&amp;C-Painel de Controle'!$D$26),0)</f>
        <v>0</v>
      </c>
      <c r="L121" s="281">
        <f>IF('R&amp;C-Painel de Controle'!$D$25="Sim",(L125+L128+L131+L134+L137+L140+L143+L146)*('R&amp;C-Painel de Controle'!$D$26),0)</f>
        <v>0</v>
      </c>
      <c r="M121" s="281">
        <f>IF('R&amp;C-Painel de Controle'!$D$25="Sim",(M125+M128+M131+M134+M137+M140+M143+M146)*('R&amp;C-Painel de Controle'!$D$26),0)</f>
        <v>0</v>
      </c>
      <c r="N121" s="281">
        <f>IF('R&amp;C-Painel de Controle'!$D$25="Sim",(N125+N128+N131+N134+N137+N140+N143+N146)*('R&amp;C-Painel de Controle'!$D$26),0)</f>
        <v>0</v>
      </c>
      <c r="O121" s="281">
        <f>IF('R&amp;C-Painel de Controle'!$D$25="Sim",(O125+O128+O131+O134+O137+O140+O143+O146)*('R&amp;C-Painel de Controle'!$D$26),0)</f>
        <v>0</v>
      </c>
      <c r="P121" s="281">
        <f>IF('R&amp;C-Painel de Controle'!$D$25="Sim",(P125+P128+P131+P134+P137+P140+P143+P146)*('R&amp;C-Painel de Controle'!$D$26),0)</f>
        <v>0</v>
      </c>
      <c r="Q121" s="281">
        <f>IF('R&amp;C-Painel de Controle'!$D$25="Sim",(Q125+Q128+Q131+Q134+Q137+Q140+Q143+Q146)*('R&amp;C-Painel de Controle'!$D$26),0)</f>
        <v>0</v>
      </c>
      <c r="R121" s="281">
        <f>IF('R&amp;C-Painel de Controle'!$D$25="Sim",(R125+R128+R131+R134+R137+R140+R143+R146)*('R&amp;C-Painel de Controle'!$D$26),0)</f>
        <v>0</v>
      </c>
      <c r="S121" s="281">
        <f>IF('R&amp;C-Painel de Controle'!$D$25="Sim",(S125+S128+S131+S134+S137+S140+S143+S146)*('R&amp;C-Painel de Controle'!$D$26),0)</f>
        <v>0</v>
      </c>
      <c r="T121" s="281">
        <f>IF('R&amp;C-Painel de Controle'!$D$25="Sim",(T125+T128+T131+T134+T137+T140+T143+T146)*('R&amp;C-Painel de Controle'!$D$26),0)</f>
        <v>0</v>
      </c>
      <c r="U121" s="281">
        <f>IF('R&amp;C-Painel de Controle'!$D$25="Sim",(U125+U128+U131+U134+U137+U140+U143+U146)*('R&amp;C-Painel de Controle'!$D$26),0)</f>
        <v>0</v>
      </c>
      <c r="V121" s="281">
        <f>IF('R&amp;C-Painel de Controle'!$D$25="Sim",(V125+V128+V131+V134+V137+V140+V143+V146)*('R&amp;C-Painel de Controle'!$D$26),0)</f>
        <v>0</v>
      </c>
      <c r="W121" s="281">
        <f>IF('R&amp;C-Painel de Controle'!$D$25="Sim",(W125+W128+W131+W134+W137+W140+W143+W146)*('R&amp;C-Painel de Controle'!$D$26),0)</f>
        <v>0</v>
      </c>
      <c r="X121" s="281">
        <f>IF('R&amp;C-Painel de Controle'!$D$25="Sim",(X125+X128+X131+X134+X137+X140+X143+X146)*('R&amp;C-Painel de Controle'!$D$26),0)</f>
        <v>0</v>
      </c>
      <c r="Y121" s="281">
        <f>IF('R&amp;C-Painel de Controle'!$D$25="Sim",(Y125+Y128+Y131+Y134+Y137+Y140+Y143+Y146)*('R&amp;C-Painel de Controle'!$D$26),0)</f>
        <v>0</v>
      </c>
      <c r="Z121" s="281">
        <f>IF('R&amp;C-Painel de Controle'!$D$25="Sim",(Z125+Z128+Z131+Z134+Z137+Z140+Z143+Z146)*('R&amp;C-Painel de Controle'!$D$26),0)</f>
        <v>0</v>
      </c>
      <c r="AA121" s="281">
        <f>IF('R&amp;C-Painel de Controle'!$D$25="Sim",(AA125+AA128+AA131+AA134+AA137+AA140+AA143+AA146)*('R&amp;C-Painel de Controle'!$D$26),0)</f>
        <v>0</v>
      </c>
      <c r="AB121" s="281">
        <f>IF('R&amp;C-Painel de Controle'!$D$25="Sim",(AB125+AB128+AB131+AB134+AB137+AB140+AB143+AB146)*('R&amp;C-Painel de Controle'!$D$26),0)</f>
        <v>0</v>
      </c>
      <c r="AC121" s="281">
        <f>IF('R&amp;C-Painel de Controle'!$D$25="Sim",(AC125+AC128+AC131+AC134+AC137+AC140+AC143+AC146)*('R&amp;C-Painel de Controle'!$D$26),0)</f>
        <v>0</v>
      </c>
      <c r="AD121" s="281">
        <f>IF('R&amp;C-Painel de Controle'!$D$25="Sim",(AD125+AD128+AD131+AD134+AD137+AD140+AD143+AD146)*('R&amp;C-Painel de Controle'!$D$26),0)</f>
        <v>0</v>
      </c>
      <c r="AE121" s="281">
        <f>IF('R&amp;C-Painel de Controle'!$D$25="Sim",(AE125+AE128+AE131+AE134+AE137+AE140+AE143+AE146)*('R&amp;C-Painel de Controle'!$D$26),0)</f>
        <v>0</v>
      </c>
      <c r="AF121" s="281">
        <f>IF('R&amp;C-Painel de Controle'!$D$25="Sim",(AF125+AF128+AF131+AF134+AF137+AF140+AF143+AF146)*('R&amp;C-Painel de Controle'!$D$26),0)</f>
        <v>0</v>
      </c>
      <c r="AG121" s="281">
        <f>IF('R&amp;C-Painel de Controle'!$D$25="Sim",(AG125+AG128+AG131+AG134+AG137+AG140+AG143+AG146)*('R&amp;C-Painel de Controle'!$D$26),0)</f>
        <v>0</v>
      </c>
      <c r="AH121" s="281">
        <f>IF('R&amp;C-Painel de Controle'!$D$25="Sim",(AH125+AH128+AH131+AH134+AH137+AH140+AH143+AH146)*('R&amp;C-Painel de Controle'!$D$26),0)</f>
        <v>0</v>
      </c>
      <c r="AI121" s="281">
        <f>IF('R&amp;C-Painel de Controle'!$D$25="Sim",(AI125+AI128+AI131+AI134+AI137+AI140+AI143+AI146)*('R&amp;C-Painel de Controle'!$D$26),0)</f>
        <v>0</v>
      </c>
      <c r="AJ121" s="281">
        <f>IF('R&amp;C-Painel de Controle'!$D$25="Sim",(AJ125+AJ128+AJ131+AJ134+AJ137+AJ140+AJ143+AJ146)*('R&amp;C-Painel de Controle'!$D$26),0)</f>
        <v>0</v>
      </c>
      <c r="AK121" s="281">
        <f>IF('R&amp;C-Painel de Controle'!$D$25="Sim",(AK125+AK128+AK131+AK134+AK137+AK140+AK143+AK146)*('R&amp;C-Painel de Controle'!$D$26),0)</f>
        <v>0</v>
      </c>
      <c r="AL121" s="281">
        <f>IF('R&amp;C-Painel de Controle'!$D$25="Sim",(AL125+AL128+AL131+AL134+AL137+AL140+AL143+AL146)*('R&amp;C-Painel de Controle'!$D$26),0)</f>
        <v>0</v>
      </c>
      <c r="AM121" s="281">
        <f>IF('R&amp;C-Painel de Controle'!$D$25="Sim",(AM125+AM128+AM131+AM134+AM137+AM140+AM143+AM146)*('R&amp;C-Painel de Controle'!$D$26),0)</f>
        <v>0</v>
      </c>
      <c r="AN121" s="281">
        <f>IF('R&amp;C-Painel de Controle'!$D$25="Sim",(AN125+AN128+AN131+AN134+AN137+AN140+AN143+AN146)*('R&amp;C-Painel de Controle'!$D$26),0)</f>
        <v>0</v>
      </c>
      <c r="AO121" s="281">
        <f>IF('R&amp;C-Painel de Controle'!$D$25="Sim",(AO125+AO128+AO131+AO134+AO137+AO140+AO143+AO146)*('R&amp;C-Painel de Controle'!$D$26),0)</f>
        <v>0</v>
      </c>
      <c r="AP121" s="281">
        <f>IF('R&amp;C-Painel de Controle'!$D$25="Sim",(AP125+AP128+AP131+AP134+AP137+AP140+AP143+AP146)*('R&amp;C-Painel de Controle'!$D$26),0)</f>
        <v>0</v>
      </c>
      <c r="AQ121" s="281">
        <f>IF('R&amp;C-Painel de Controle'!$D$25="Sim",(AQ125+AQ128+AQ131+AQ134+AQ137+AQ140+AQ143+AQ146)*('R&amp;C-Painel de Controle'!$D$26),0)</f>
        <v>0</v>
      </c>
      <c r="AR121" s="281">
        <f>IF('R&amp;C-Painel de Controle'!$D$25="Sim",(AR125+AR128+AR131+AR134+AR137+AR140+AR143+AR146)*('R&amp;C-Painel de Controle'!$D$26),0)</f>
        <v>0</v>
      </c>
      <c r="AS121" s="281">
        <f>IF('R&amp;C-Painel de Controle'!$D$25="Sim",(AS125+AS128+AS131+AS134+AS137+AS140+AS143+AS146)*('R&amp;C-Painel de Controle'!$D$26),0)</f>
        <v>0</v>
      </c>
      <c r="AT121" s="281">
        <f>IF('R&amp;C-Painel de Controle'!$D$25="Sim",(AT125+AT128+AT131+AT134+AT137+AT140+AT143+AT146)*('R&amp;C-Painel de Controle'!$D$26),0)</f>
        <v>0</v>
      </c>
      <c r="AU121" s="281">
        <f>IF('R&amp;C-Painel de Controle'!$D$25="Sim",(AU125+AU128+AU131+AU134+AU137+AU140+AU143+AU146)*('R&amp;C-Painel de Controle'!$D$26),0)</f>
        <v>0</v>
      </c>
      <c r="AV121" s="281">
        <f>IF('R&amp;C-Painel de Controle'!$D$25="Sim",(AV125+AV128+AV131+AV134+AV137+AV140+AV143+AV146)*('R&amp;C-Painel de Controle'!$D$26),0)</f>
        <v>0</v>
      </c>
      <c r="AW121" s="281">
        <f>IF('R&amp;C-Painel de Controle'!$D$25="Sim",(AW125+AW128+AW131+AW134+AW137+AW140+AW143+AW146)*('R&amp;C-Painel de Controle'!$D$26),0)</f>
        <v>0</v>
      </c>
      <c r="AX121" s="281">
        <f>IF('R&amp;C-Painel de Controle'!$D$25="Sim",(AX125+AX128+AX131+AX134+AX137+AX140+AX143+AX146)*('R&amp;C-Painel de Controle'!$D$26),0)</f>
        <v>0</v>
      </c>
      <c r="AY121" s="281">
        <f>IF('R&amp;C-Painel de Controle'!$D$25="Sim",(AY125+AY128+AY131+AY134+AY137+AY140+AY143+AY146)*('R&amp;C-Painel de Controle'!$D$26),0)</f>
        <v>0</v>
      </c>
      <c r="AZ121" s="281">
        <f>IF('R&amp;C-Painel de Controle'!$D$25="Sim",(AZ125+AZ128+AZ131+AZ134+AZ137+AZ140+AZ143+AZ146)*('R&amp;C-Painel de Controle'!$D$26),0)</f>
        <v>0</v>
      </c>
      <c r="BA121" s="281">
        <f>IF('R&amp;C-Painel de Controle'!$D$25="Sim",(BA125+BA128+BA131+BA134+BA137+BA140+BA143+BA146)*('R&amp;C-Painel de Controle'!$D$26),0)</f>
        <v>0</v>
      </c>
      <c r="BB121" s="281">
        <f>IF('R&amp;C-Painel de Controle'!$D$25="Sim",(BB125+BB128+BB131+BB134+BB137+BB140+BB143+BB146)*('R&amp;C-Painel de Controle'!$D$26),0)</f>
        <v>0</v>
      </c>
      <c r="BC121" s="281">
        <f>IF('R&amp;C-Painel de Controle'!$D$25="Sim",(BC125+BC128+BC131+BC134+BC137+BC140+BC143+BC146)*('R&amp;C-Painel de Controle'!$D$26),0)</f>
        <v>0</v>
      </c>
    </row>
    <row r="122" spans="1:58" s="192" customFormat="1" ht="18" hidden="1" customHeight="1" outlineLevel="1" x14ac:dyDescent="0.25">
      <c r="A122" s="277"/>
      <c r="B122" s="257" t="s">
        <v>356</v>
      </c>
      <c r="C122" s="1491">
        <f t="shared" ref="C122:AH122" si="49">C121/(1+$C$28)^C32</f>
        <v>0</v>
      </c>
      <c r="D122" s="1491">
        <f t="shared" si="49"/>
        <v>0</v>
      </c>
      <c r="E122" s="1491">
        <f t="shared" si="49"/>
        <v>0</v>
      </c>
      <c r="F122" s="1491">
        <f t="shared" si="49"/>
        <v>0</v>
      </c>
      <c r="G122" s="1491">
        <f t="shared" si="49"/>
        <v>0</v>
      </c>
      <c r="H122" s="1491">
        <f t="shared" si="49"/>
        <v>0</v>
      </c>
      <c r="I122" s="1491">
        <f t="shared" si="49"/>
        <v>0</v>
      </c>
      <c r="J122" s="1491">
        <f t="shared" si="49"/>
        <v>0</v>
      </c>
      <c r="K122" s="1491">
        <f t="shared" si="49"/>
        <v>0</v>
      </c>
      <c r="L122" s="1491">
        <f t="shared" si="49"/>
        <v>0</v>
      </c>
      <c r="M122" s="1491">
        <f t="shared" si="49"/>
        <v>0</v>
      </c>
      <c r="N122" s="1491">
        <f t="shared" si="49"/>
        <v>0</v>
      </c>
      <c r="O122" s="1491">
        <f t="shared" si="49"/>
        <v>0</v>
      </c>
      <c r="P122" s="1491">
        <f t="shared" si="49"/>
        <v>0</v>
      </c>
      <c r="Q122" s="1491">
        <f t="shared" si="49"/>
        <v>0</v>
      </c>
      <c r="R122" s="1491">
        <f t="shared" si="49"/>
        <v>0</v>
      </c>
      <c r="S122" s="1491">
        <f t="shared" si="49"/>
        <v>0</v>
      </c>
      <c r="T122" s="1491">
        <f t="shared" si="49"/>
        <v>0</v>
      </c>
      <c r="U122" s="1491">
        <f t="shared" si="49"/>
        <v>0</v>
      </c>
      <c r="V122" s="1491">
        <f t="shared" si="49"/>
        <v>0</v>
      </c>
      <c r="W122" s="1491">
        <f t="shared" si="49"/>
        <v>0</v>
      </c>
      <c r="X122" s="1491">
        <f t="shared" si="49"/>
        <v>0</v>
      </c>
      <c r="Y122" s="1491">
        <f t="shared" si="49"/>
        <v>0</v>
      </c>
      <c r="Z122" s="1491">
        <f t="shared" si="49"/>
        <v>0</v>
      </c>
      <c r="AA122" s="1491">
        <f t="shared" si="49"/>
        <v>0</v>
      </c>
      <c r="AB122" s="1491">
        <f t="shared" si="49"/>
        <v>0</v>
      </c>
      <c r="AC122" s="1491">
        <f t="shared" si="49"/>
        <v>0</v>
      </c>
      <c r="AD122" s="1491">
        <f t="shared" si="49"/>
        <v>0</v>
      </c>
      <c r="AE122" s="1491">
        <f t="shared" si="49"/>
        <v>0</v>
      </c>
      <c r="AF122" s="1491">
        <f t="shared" si="49"/>
        <v>0</v>
      </c>
      <c r="AG122" s="1491">
        <f t="shared" si="49"/>
        <v>0</v>
      </c>
      <c r="AH122" s="1491">
        <f t="shared" si="49"/>
        <v>0</v>
      </c>
      <c r="AI122" s="1491">
        <f t="shared" ref="AI122:BC122" si="50">AI121/(1+$C$28)^AI32</f>
        <v>0</v>
      </c>
      <c r="AJ122" s="1491">
        <f t="shared" si="50"/>
        <v>0</v>
      </c>
      <c r="AK122" s="1491">
        <f t="shared" si="50"/>
        <v>0</v>
      </c>
      <c r="AL122" s="1491">
        <f t="shared" si="50"/>
        <v>0</v>
      </c>
      <c r="AM122" s="1491">
        <f t="shared" si="50"/>
        <v>0</v>
      </c>
      <c r="AN122" s="1491">
        <f t="shared" si="50"/>
        <v>0</v>
      </c>
      <c r="AO122" s="1491">
        <f t="shared" si="50"/>
        <v>0</v>
      </c>
      <c r="AP122" s="1491">
        <f t="shared" si="50"/>
        <v>0</v>
      </c>
      <c r="AQ122" s="1491">
        <f t="shared" si="50"/>
        <v>0</v>
      </c>
      <c r="AR122" s="1491">
        <f t="shared" si="50"/>
        <v>0</v>
      </c>
      <c r="AS122" s="1491">
        <f t="shared" si="50"/>
        <v>0</v>
      </c>
      <c r="AT122" s="1491">
        <f t="shared" si="50"/>
        <v>0</v>
      </c>
      <c r="AU122" s="1491">
        <f t="shared" si="50"/>
        <v>0</v>
      </c>
      <c r="AV122" s="1491">
        <f t="shared" si="50"/>
        <v>0</v>
      </c>
      <c r="AW122" s="1491">
        <f t="shared" si="50"/>
        <v>0</v>
      </c>
      <c r="AX122" s="1491">
        <f t="shared" si="50"/>
        <v>0</v>
      </c>
      <c r="AY122" s="1491">
        <f t="shared" si="50"/>
        <v>0</v>
      </c>
      <c r="AZ122" s="1491">
        <f t="shared" si="50"/>
        <v>0</v>
      </c>
      <c r="BA122" s="1491">
        <f t="shared" si="50"/>
        <v>0</v>
      </c>
      <c r="BB122" s="1491">
        <f t="shared" si="50"/>
        <v>0</v>
      </c>
      <c r="BC122" s="1491">
        <f t="shared" si="50"/>
        <v>0</v>
      </c>
      <c r="BD122" s="277"/>
      <c r="BE122" s="277"/>
      <c r="BF122" s="277"/>
    </row>
    <row r="123" spans="1:58" s="192" customFormat="1" ht="18" hidden="1" customHeight="1" outlineLevel="1" x14ac:dyDescent="0.25">
      <c r="B123" s="732" t="str">
        <f>B92</f>
        <v>Triagem Manual — Seletivos</v>
      </c>
      <c r="C123" s="291" t="str">
        <f>C92</f>
        <v>Não</v>
      </c>
      <c r="D123" s="291">
        <f>D92</f>
        <v>0</v>
      </c>
      <c r="R123" s="274"/>
    </row>
    <row r="124" spans="1:58" s="192" customFormat="1" ht="18" hidden="1" customHeight="1" outlineLevel="1" x14ac:dyDescent="0.25">
      <c r="B124" s="260"/>
      <c r="C124" s="292"/>
      <c r="D124" s="289"/>
      <c r="E124" s="292"/>
      <c r="F124" s="292"/>
      <c r="G124" s="292"/>
      <c r="H124" s="292"/>
      <c r="I124" s="292"/>
      <c r="J124" s="292"/>
      <c r="K124" s="292"/>
      <c r="L124" s="292"/>
      <c r="M124" s="292"/>
      <c r="N124" s="292"/>
      <c r="O124" s="292"/>
      <c r="P124" s="292"/>
      <c r="Q124" s="292"/>
      <c r="R124" s="292"/>
      <c r="S124" s="292"/>
      <c r="T124" s="292"/>
      <c r="U124" s="292"/>
      <c r="V124" s="292"/>
      <c r="W124" s="292"/>
      <c r="X124" s="292"/>
      <c r="Y124" s="292"/>
      <c r="Z124" s="292"/>
      <c r="AA124" s="292"/>
      <c r="AB124" s="292"/>
      <c r="AC124" s="292"/>
      <c r="AD124" s="292"/>
      <c r="AE124" s="292"/>
      <c r="AF124" s="292"/>
      <c r="AG124" s="292"/>
      <c r="AH124" s="292"/>
      <c r="AI124" s="292"/>
      <c r="AJ124" s="292"/>
      <c r="AK124" s="292"/>
      <c r="AL124" s="292"/>
      <c r="AM124" s="292"/>
      <c r="AN124" s="292"/>
      <c r="AO124" s="292"/>
      <c r="AP124" s="292"/>
      <c r="AQ124" s="292"/>
      <c r="AR124" s="292"/>
      <c r="AS124" s="292"/>
      <c r="AT124" s="292"/>
      <c r="AU124" s="292"/>
      <c r="AV124" s="292"/>
      <c r="AW124" s="292"/>
      <c r="AX124" s="292"/>
      <c r="AY124" s="292"/>
      <c r="AZ124" s="292"/>
      <c r="BA124" s="292"/>
      <c r="BB124" s="292"/>
      <c r="BC124" s="292"/>
      <c r="BD124" s="274"/>
      <c r="BE124" s="274"/>
      <c r="BF124" s="274"/>
    </row>
    <row r="125" spans="1:58" s="192" customFormat="1" ht="18" hidden="1" customHeight="1" outlineLevel="1" x14ac:dyDescent="0.25">
      <c r="B125" s="260" t="s">
        <v>362</v>
      </c>
      <c r="C125" s="299">
        <v>0</v>
      </c>
      <c r="D125" s="300">
        <v>0</v>
      </c>
      <c r="E125" s="299">
        <v>0</v>
      </c>
      <c r="F125" s="299">
        <v>0</v>
      </c>
      <c r="G125" s="299">
        <v>0</v>
      </c>
      <c r="H125" s="299">
        <v>0</v>
      </c>
      <c r="I125" s="299">
        <v>0</v>
      </c>
      <c r="J125" s="299">
        <v>0</v>
      </c>
      <c r="K125" s="299">
        <v>0</v>
      </c>
      <c r="L125" s="299">
        <v>0</v>
      </c>
      <c r="M125" s="299">
        <v>0</v>
      </c>
      <c r="N125" s="299">
        <v>0</v>
      </c>
      <c r="O125" s="299">
        <v>0</v>
      </c>
      <c r="P125" s="299">
        <v>0</v>
      </c>
      <c r="Q125" s="299">
        <v>0</v>
      </c>
      <c r="R125" s="299">
        <v>0</v>
      </c>
      <c r="S125" s="299">
        <v>0</v>
      </c>
      <c r="T125" s="299">
        <v>0</v>
      </c>
      <c r="U125" s="299">
        <v>0</v>
      </c>
      <c r="V125" s="299">
        <v>0</v>
      </c>
      <c r="W125" s="299">
        <v>0</v>
      </c>
      <c r="X125" s="299">
        <v>0</v>
      </c>
      <c r="Y125" s="299">
        <v>0</v>
      </c>
      <c r="Z125" s="299">
        <v>0</v>
      </c>
      <c r="AA125" s="299">
        <v>0</v>
      </c>
      <c r="AB125" s="299">
        <v>0</v>
      </c>
      <c r="AC125" s="299">
        <v>0</v>
      </c>
      <c r="AD125" s="299">
        <v>0</v>
      </c>
      <c r="AE125" s="299">
        <v>0</v>
      </c>
      <c r="AF125" s="299">
        <v>0</v>
      </c>
      <c r="AG125" s="299">
        <v>0</v>
      </c>
      <c r="AH125" s="299">
        <v>0</v>
      </c>
      <c r="AI125" s="299">
        <v>0</v>
      </c>
      <c r="AJ125" s="299">
        <v>0</v>
      </c>
      <c r="AK125" s="299">
        <v>0</v>
      </c>
      <c r="AL125" s="299">
        <v>0</v>
      </c>
      <c r="AM125" s="299">
        <v>0</v>
      </c>
      <c r="AN125" s="299">
        <v>0</v>
      </c>
      <c r="AO125" s="299">
        <v>0</v>
      </c>
      <c r="AP125" s="299">
        <v>0</v>
      </c>
      <c r="AQ125" s="299">
        <v>0</v>
      </c>
      <c r="AR125" s="299">
        <v>0</v>
      </c>
      <c r="AS125" s="299">
        <v>0</v>
      </c>
      <c r="AT125" s="299">
        <v>0</v>
      </c>
      <c r="AU125" s="299">
        <v>0</v>
      </c>
      <c r="AV125" s="299">
        <v>0</v>
      </c>
      <c r="AW125" s="299">
        <v>0</v>
      </c>
      <c r="AX125" s="299">
        <v>0</v>
      </c>
      <c r="AY125" s="299">
        <v>0</v>
      </c>
      <c r="AZ125" s="299">
        <v>0</v>
      </c>
      <c r="BA125" s="299">
        <v>0</v>
      </c>
      <c r="BB125" s="299">
        <v>0</v>
      </c>
      <c r="BC125" s="299">
        <v>0</v>
      </c>
      <c r="BD125" s="280"/>
      <c r="BE125" s="280"/>
      <c r="BF125" s="280"/>
    </row>
    <row r="126" spans="1:58" s="192" customFormat="1" ht="18" hidden="1" customHeight="1" outlineLevel="1" x14ac:dyDescent="0.25">
      <c r="B126" s="732" t="str">
        <f>B95</f>
        <v>Triagem Mecanizada</v>
      </c>
      <c r="C126" s="291" t="str">
        <f>C95</f>
        <v>Sim</v>
      </c>
      <c r="D126" s="291">
        <f>D95</f>
        <v>2887.4249999999993</v>
      </c>
      <c r="E126" s="1274"/>
      <c r="F126" s="1274"/>
      <c r="G126" s="1274"/>
      <c r="H126" s="1274"/>
      <c r="I126" s="1274"/>
      <c r="J126" s="1274"/>
      <c r="K126" s="1274"/>
      <c r="L126" s="1274"/>
      <c r="M126" s="1274"/>
      <c r="N126" s="1274"/>
      <c r="O126" s="1274"/>
      <c r="P126" s="1274"/>
      <c r="Q126" s="1274"/>
      <c r="R126" s="1274"/>
      <c r="S126" s="1274"/>
      <c r="T126" s="1274"/>
      <c r="U126" s="1274"/>
      <c r="V126" s="1274"/>
      <c r="W126" s="1274"/>
      <c r="X126" s="1274"/>
      <c r="Y126" s="1274"/>
      <c r="Z126" s="1274"/>
      <c r="AA126" s="1274"/>
      <c r="AB126" s="1274"/>
      <c r="AC126" s="1274"/>
      <c r="AD126" s="1274"/>
      <c r="AE126" s="1274"/>
      <c r="AF126" s="1274"/>
      <c r="AG126" s="1274"/>
      <c r="AH126" s="1274"/>
      <c r="AI126" s="1274"/>
      <c r="AJ126" s="1274"/>
      <c r="AK126" s="1274"/>
      <c r="AL126" s="1274"/>
      <c r="AM126" s="1274"/>
      <c r="AN126" s="1274"/>
      <c r="AO126" s="1274"/>
      <c r="AP126" s="1274"/>
      <c r="AQ126" s="1274"/>
      <c r="AR126" s="1274"/>
      <c r="AS126" s="1274"/>
      <c r="AT126" s="1274"/>
      <c r="AU126" s="1274"/>
      <c r="AV126" s="1274"/>
      <c r="AW126" s="1274"/>
      <c r="AX126" s="1274"/>
      <c r="AY126" s="1274"/>
      <c r="AZ126" s="1274"/>
      <c r="BA126" s="1274"/>
      <c r="BB126" s="1274"/>
      <c r="BC126" s="740"/>
      <c r="BD126" s="274"/>
      <c r="BE126" s="274"/>
      <c r="BF126" s="274"/>
    </row>
    <row r="127" spans="1:58" s="192" customFormat="1" ht="18" hidden="1" customHeight="1" outlineLevel="1" x14ac:dyDescent="0.25">
      <c r="B127" s="260"/>
      <c r="C127" s="292"/>
      <c r="D127" s="289"/>
      <c r="E127" s="292"/>
      <c r="F127" s="292"/>
      <c r="G127" s="292"/>
      <c r="H127" s="292"/>
      <c r="I127" s="292"/>
      <c r="J127" s="292"/>
      <c r="K127" s="292"/>
      <c r="L127" s="292"/>
      <c r="M127" s="292"/>
      <c r="N127" s="292"/>
      <c r="O127" s="292"/>
      <c r="P127" s="292"/>
      <c r="Q127" s="292"/>
      <c r="R127" s="292"/>
      <c r="S127" s="292"/>
      <c r="T127" s="292"/>
      <c r="U127" s="292"/>
      <c r="V127" s="292"/>
      <c r="W127" s="292"/>
      <c r="X127" s="292"/>
      <c r="Y127" s="292"/>
      <c r="Z127" s="292"/>
      <c r="AA127" s="292"/>
      <c r="AB127" s="292"/>
      <c r="AC127" s="292"/>
      <c r="AD127" s="292"/>
      <c r="AE127" s="292"/>
      <c r="AF127" s="292"/>
      <c r="AG127" s="292"/>
      <c r="AH127" s="292"/>
      <c r="AI127" s="292"/>
      <c r="AJ127" s="292"/>
      <c r="AK127" s="292"/>
      <c r="AL127" s="292"/>
      <c r="AM127" s="292"/>
      <c r="AN127" s="292"/>
      <c r="AO127" s="292"/>
      <c r="AP127" s="292"/>
      <c r="AQ127" s="292"/>
      <c r="AR127" s="292"/>
      <c r="AS127" s="292"/>
      <c r="AT127" s="292"/>
      <c r="AU127" s="292"/>
      <c r="AV127" s="292"/>
      <c r="AW127" s="292"/>
      <c r="AX127" s="292"/>
      <c r="AY127" s="292"/>
      <c r="AZ127" s="292"/>
      <c r="BA127" s="292"/>
      <c r="BB127" s="292"/>
      <c r="BC127" s="292"/>
      <c r="BD127" s="274"/>
      <c r="BE127" s="274"/>
      <c r="BF127" s="274"/>
    </row>
    <row r="128" spans="1:58" s="192" customFormat="1" ht="18" hidden="1" customHeight="1" outlineLevel="1" x14ac:dyDescent="0.25">
      <c r="B128" s="260" t="s">
        <v>362</v>
      </c>
      <c r="C128" s="299">
        <v>0</v>
      </c>
      <c r="D128" s="300">
        <f>IF(D42&gt;0,'R&amp;C-Painel de Controle'!$O$56*D35*(1-0.0925)*(1-'R&amp;C-Painel de Controle'!$D$100*(1-$C$11))/1000000,0)</f>
        <v>0</v>
      </c>
      <c r="E128" s="300">
        <f>IF(E42&gt;0,'R&amp;C-Painel de Controle'!$O$56*E35*(1-0.0925)*(1-'R&amp;C-Painel de Controle'!$D$100*(1-$C$11))/1000000,0)</f>
        <v>0</v>
      </c>
      <c r="F128" s="300">
        <f>IF(F42&gt;0,'R&amp;C-Painel de Controle'!$O$56*F35*(1-0.0925)*(1-'R&amp;C-Painel de Controle'!$D$100*(1-$C$11))/1000000,0)</f>
        <v>0</v>
      </c>
      <c r="G128" s="300">
        <f>IF(G42&gt;0,'R&amp;C-Painel de Controle'!$O$56*G35*(1-0.0925)*(1-'R&amp;C-Painel de Controle'!$D$100*(1-$C$11))/1000000,0)</f>
        <v>0</v>
      </c>
      <c r="H128" s="300">
        <f>IF(H42&gt;0,'R&amp;C-Painel de Controle'!$O$56*(1-0.0925)*(1-'R&amp;C-Painel de Controle'!$D$100*(1-$C$11))*H35/1000000,0)</f>
        <v>0</v>
      </c>
      <c r="I128" s="300">
        <f>IF(I42&gt;0,'R&amp;C-Painel de Controle'!$O$56*(1-0.0925)*(1-'R&amp;C-Painel de Controle'!$D$100*(1-$C$11))*I35/1000000,0)</f>
        <v>0</v>
      </c>
      <c r="J128" s="300">
        <f>IF(J42&gt;0,'R&amp;C-Painel de Controle'!$O$56*(1-0.0925)*(1-'R&amp;C-Painel de Controle'!$D$100*(1-$C$11))*J35/1000000,0)</f>
        <v>0</v>
      </c>
      <c r="K128" s="300">
        <f>IF(K42&gt;0,'R&amp;C-Painel de Controle'!$O$56*(1-0.0925)*(1-'R&amp;C-Painel de Controle'!$D$100*(1-$C$11))*K35/1000000,0)</f>
        <v>0</v>
      </c>
      <c r="L128" s="300">
        <f>IF(L42&gt;0,'R&amp;C-Painel de Controle'!$O$56*(1-0.0925)*(1-'R&amp;C-Painel de Controle'!$D$100*(1-$C$11))*L35/1000000,0)</f>
        <v>0</v>
      </c>
      <c r="M128" s="300">
        <f>IF(M42&gt;0,'R&amp;C-Painel de Controle'!$O$56*(1-0.0925)*(1-'R&amp;C-Painel de Controle'!$D$100*(1-$C$11))*M35/1000000,0)</f>
        <v>0</v>
      </c>
      <c r="N128" s="300">
        <f>IF(N42&gt;0,'R&amp;C-Painel de Controle'!$O$56*(1-0.0925)*(1-'R&amp;C-Painel de Controle'!$D$100*(1-$C$11))*N35/1000000,0)</f>
        <v>0</v>
      </c>
      <c r="O128" s="300">
        <f>IF(O42&gt;0,'R&amp;C-Painel de Controle'!$O$56*(1-0.0925)*(1-'R&amp;C-Painel de Controle'!$D$100*(1-$C$11))*O35/1000000,0)</f>
        <v>0</v>
      </c>
      <c r="P128" s="300">
        <f>IF(P42&gt;0,'R&amp;C-Painel de Controle'!$O$56*(1-0.0925)*(1-'R&amp;C-Painel de Controle'!$D$100*(1-$C$11))*P35/1000000,0)</f>
        <v>0</v>
      </c>
      <c r="Q128" s="300">
        <f>IF(Q42&gt;0,'R&amp;C-Painel de Controle'!$O$56*(1-0.0925)*(1-'R&amp;C-Painel de Controle'!$D$100*(1-$C$11))*Q35/1000000,0)</f>
        <v>0</v>
      </c>
      <c r="R128" s="300">
        <f>IF(R42&gt;0,'R&amp;C-Painel de Controle'!$O$56*(1-0.0925)*(1-'R&amp;C-Painel de Controle'!$D$100*(1-$C$11))*R35/1000000,0)</f>
        <v>0</v>
      </c>
      <c r="S128" s="300">
        <f>IF(S42&gt;0,'R&amp;C-Painel de Controle'!$O$56*(1-0.0925)*(1-'R&amp;C-Painel de Controle'!$D$100*(1-$C$11))*S35/1000000,0)</f>
        <v>0</v>
      </c>
      <c r="T128" s="300">
        <f>IF(T42&gt;0,'R&amp;C-Painel de Controle'!$O$56*(1-0.0925)*(1-'R&amp;C-Painel de Controle'!$D$100*(1-$C$11))*T35/1000000,0)</f>
        <v>0</v>
      </c>
      <c r="U128" s="300">
        <f>IF(U42&gt;0,'R&amp;C-Painel de Controle'!$O$56*(1-0.0925)*(1-'R&amp;C-Painel de Controle'!$D$100*(1-$C$11))*U35/1000000,0)</f>
        <v>0</v>
      </c>
      <c r="V128" s="300">
        <f>IF(V42&gt;0,'R&amp;C-Painel de Controle'!$O$56*(1-0.0925)*(1-'R&amp;C-Painel de Controle'!$D$100*(1-$C$11))*V35/1000000,0)</f>
        <v>0</v>
      </c>
      <c r="W128" s="300">
        <f>IF(W42&gt;0,'R&amp;C-Painel de Controle'!$O$56*(1-0.0925)*(1-'R&amp;C-Painel de Controle'!$D$100*(1-$C$11))*W35/1000000,0)</f>
        <v>0</v>
      </c>
      <c r="X128" s="300">
        <f>IF(X42&gt;0,'R&amp;C-Painel de Controle'!$O$56*(1-0.0925)*(1-'R&amp;C-Painel de Controle'!$D$100*(1-$C$11))*X35/1000000,0)</f>
        <v>0</v>
      </c>
      <c r="Y128" s="300">
        <f>IF(Y42&gt;0,'R&amp;C-Painel de Controle'!$O$56*(1-0.0925)*(1-'R&amp;C-Painel de Controle'!$D$100*(1-$C$11))*Y35/1000000,0)</f>
        <v>0</v>
      </c>
      <c r="Z128" s="300">
        <f>IF(Z42&gt;0,'R&amp;C-Painel de Controle'!$O$56*(1-0.0925)*(1-'R&amp;C-Painel de Controle'!$D$100*(1-$C$11))*Z35/1000000,0)</f>
        <v>0</v>
      </c>
      <c r="AA128" s="300">
        <f>IF(AA42&gt;0,'R&amp;C-Painel de Controle'!$O$56*(1-0.0925)*(1-'R&amp;C-Painel de Controle'!$D$100*(1-$C$11))*AA35/1000000,0)</f>
        <v>0</v>
      </c>
      <c r="AB128" s="300">
        <f>IF(AB42&gt;0,'R&amp;C-Painel de Controle'!$O$56*(1-0.0925)*(1-'R&amp;C-Painel de Controle'!$D$100*(1-$C$11))*AB35/1000000,0)</f>
        <v>0</v>
      </c>
      <c r="AC128" s="300">
        <f>IF(AC42&gt;0,'R&amp;C-Painel de Controle'!$O$56*(1-0.0925)*(1-'R&amp;C-Painel de Controle'!$D$100*(1-$C$11))*AC35/1000000,0)</f>
        <v>0</v>
      </c>
      <c r="AD128" s="300">
        <f>IF(AD42&gt;0,'R&amp;C-Painel de Controle'!$O$56*(1-0.0925)*(1-'R&amp;C-Painel de Controle'!$D$100*(1-$C$11))*AD35/1000000,0)</f>
        <v>0</v>
      </c>
      <c r="AE128" s="300">
        <f>IF(AE42&gt;0,'R&amp;C-Painel de Controle'!$O$56*(1-0.0925)*(1-'R&amp;C-Painel de Controle'!$D$100*(1-$C$11))*AE35/1000000,0)</f>
        <v>0</v>
      </c>
      <c r="AF128" s="300">
        <f>IF(AF42&gt;0,'R&amp;C-Painel de Controle'!$O$56*(1-0.0925)*(1-'R&amp;C-Painel de Controle'!$D$100*(1-$C$11))*AF35/1000000,0)</f>
        <v>0</v>
      </c>
      <c r="AG128" s="300">
        <f>IF(AG42&gt;0,'R&amp;C-Painel de Controle'!$O$56*(1-0.0925)*(1-'R&amp;C-Painel de Controle'!$D$100*(1-$C$11))*AG35/1000000,0)</f>
        <v>0</v>
      </c>
      <c r="AH128" s="300">
        <f>IF(AH42&gt;0,'R&amp;C-Painel de Controle'!$O$56*(1-0.0925)*(1-'R&amp;C-Painel de Controle'!$D$100*(1-$C$11))*AH35/1000000,0)</f>
        <v>0</v>
      </c>
      <c r="AI128" s="300">
        <f>IF(AI42&gt;0,'R&amp;C-Painel de Controle'!$O$56*(1-0.0925)*(1-'R&amp;C-Painel de Controle'!$D$100*(1-$C$11))*AI35/1000000,0)</f>
        <v>0</v>
      </c>
      <c r="AJ128" s="300">
        <f>IF(AJ42&gt;0,'R&amp;C-Painel de Controle'!$O$56*(1-0.0925)*(1-'R&amp;C-Painel de Controle'!$D$100*(1-$C$11))*AJ35/1000000,0)</f>
        <v>0</v>
      </c>
      <c r="AK128" s="300">
        <f>IF(AK42&gt;0,'R&amp;C-Painel de Controle'!$O$56*(1-0.0925)*(1-'R&amp;C-Painel de Controle'!$D$100*(1-$C$11))*AK35/1000000,0)</f>
        <v>0</v>
      </c>
      <c r="AL128" s="300">
        <f>IF(AL42&gt;0,'R&amp;C-Painel de Controle'!$O$56*(1-0.0925)*(1-'R&amp;C-Painel de Controle'!$D$100*(1-$C$11))*AL35/1000000,0)</f>
        <v>0</v>
      </c>
      <c r="AM128" s="300">
        <f>IF(AM42&gt;0,'R&amp;C-Painel de Controle'!$O$56*(1-0.0925)*(1-'R&amp;C-Painel de Controle'!$D$100*(1-$C$11))*AM35/1000000,0)</f>
        <v>0</v>
      </c>
      <c r="AN128" s="300">
        <f>IF(AN42&gt;0,'R&amp;C-Painel de Controle'!$O$56*(1-0.0925)*(1-'R&amp;C-Painel de Controle'!$D$100*(1-$C$11))*AN35/1000000,0)</f>
        <v>0</v>
      </c>
      <c r="AO128" s="300">
        <f>IF(AO42&gt;0,'R&amp;C-Painel de Controle'!$O$56*(1-0.0925)*(1-'R&amp;C-Painel de Controle'!$D$100*(1-$C$11))*AO35/1000000,0)</f>
        <v>0</v>
      </c>
      <c r="AP128" s="300">
        <f>IF(AP42&gt;0,'R&amp;C-Painel de Controle'!$O$56*(1-0.0925)*(1-'R&amp;C-Painel de Controle'!$D$100*(1-$C$11))*AP35/1000000,0)</f>
        <v>0</v>
      </c>
      <c r="AQ128" s="300">
        <f>IF(AQ42&gt;0,'R&amp;C-Painel de Controle'!$O$56*(1-0.0925)*(1-'R&amp;C-Painel de Controle'!$D$100*(1-$C$11))*AQ35/1000000,0)</f>
        <v>0</v>
      </c>
      <c r="AR128" s="300">
        <f>IF(AR42&gt;0,'R&amp;C-Painel de Controle'!$O$56*(1-0.0925)*(1-'R&amp;C-Painel de Controle'!$D$100*(1-$C$11))*AR35/1000000,0)</f>
        <v>0</v>
      </c>
      <c r="AS128" s="300">
        <f>IF(AS42&gt;0,'R&amp;C-Painel de Controle'!$O$56*(1-0.0925)*(1-'R&amp;C-Painel de Controle'!$D$100*(1-$C$11))*AS35/1000000,0)</f>
        <v>0</v>
      </c>
      <c r="AT128" s="300">
        <f>IF(AT42&gt;0,'R&amp;C-Painel de Controle'!$O$56*(1-0.0925)*(1-'R&amp;C-Painel de Controle'!$D$100*(1-$C$11))*AT35/1000000,0)</f>
        <v>0</v>
      </c>
      <c r="AU128" s="300">
        <f>IF(AU42&gt;0,'R&amp;C-Painel de Controle'!$O$56*(1-0.0925)*(1-'R&amp;C-Painel de Controle'!$D$100*(1-$C$11))*AU35/1000000,0)</f>
        <v>0</v>
      </c>
      <c r="AV128" s="300">
        <f>IF(AV42&gt;0,'R&amp;C-Painel de Controle'!$O$56*(1-0.0925)*(1-'R&amp;C-Painel de Controle'!$D$100*(1-$C$11))*AV35/1000000,0)</f>
        <v>0</v>
      </c>
      <c r="AW128" s="300">
        <f>IF(AW42&gt;0,'R&amp;C-Painel de Controle'!$O$56*(1-0.0925)*(1-'R&amp;C-Painel de Controle'!$D$100*(1-$C$11))*AW35/1000000,0)</f>
        <v>0</v>
      </c>
      <c r="AX128" s="300">
        <f>IF(AX42&gt;0,'R&amp;C-Painel de Controle'!$O$56*(1-0.0925)*(1-'R&amp;C-Painel de Controle'!$D$100*(1-$C$11))*AX35/1000000,0)</f>
        <v>0</v>
      </c>
      <c r="AY128" s="300">
        <f>IF(AY42&gt;0,'R&amp;C-Painel de Controle'!$O$56*(1-0.0925)*(1-'R&amp;C-Painel de Controle'!$D$100*(1-$C$11))*AY35/1000000,0)</f>
        <v>0</v>
      </c>
      <c r="AZ128" s="300">
        <f>IF(AZ42&gt;0,'R&amp;C-Painel de Controle'!$O$56*(1-0.0925)*(1-'R&amp;C-Painel de Controle'!$D$100*(1-$C$11))*AZ35/1000000,0)</f>
        <v>0</v>
      </c>
      <c r="BA128" s="300">
        <f>IF(BA42&gt;0,'R&amp;C-Painel de Controle'!$O$56*(1-0.0925)*(1-'R&amp;C-Painel de Controle'!$D$100*(1-$C$11))*BA35/1000000,0)</f>
        <v>0</v>
      </c>
      <c r="BB128" s="300">
        <f>IF(BB42&gt;0,'R&amp;C-Painel de Controle'!$O$56*(1-0.0925)*(1-'R&amp;C-Painel de Controle'!$D$100*(1-$C$11))*BB35/1000000,0)</f>
        <v>0</v>
      </c>
      <c r="BC128" s="300">
        <f>IF(BC42&gt;0,'R&amp;C-Painel de Controle'!$O$56*(1-0.0925)*(1-'R&amp;C-Painel de Controle'!$D$100*(1-$C$11))*BC35/1000000,0)</f>
        <v>0</v>
      </c>
      <c r="BD128" s="280"/>
      <c r="BE128" s="280"/>
      <c r="BF128" s="280"/>
    </row>
    <row r="129" spans="2:58" s="192" customFormat="1" ht="18" hidden="1" customHeight="1" outlineLevel="1" x14ac:dyDescent="0.25">
      <c r="B129" s="732" t="str">
        <f>B98</f>
        <v>Produção de CDR TM — Trat. Mec.</v>
      </c>
      <c r="C129" s="291" t="str">
        <f>C98</f>
        <v>Não</v>
      </c>
      <c r="D129" s="291">
        <f>D98</f>
        <v>0</v>
      </c>
      <c r="BC129" s="740"/>
      <c r="BD129" s="274"/>
      <c r="BE129" s="274"/>
      <c r="BF129" s="274"/>
    </row>
    <row r="130" spans="2:58" s="192" customFormat="1" ht="18" hidden="1" customHeight="1" outlineLevel="1" x14ac:dyDescent="0.25">
      <c r="B130" s="260"/>
      <c r="C130" s="292"/>
      <c r="D130" s="289"/>
      <c r="E130" s="292"/>
      <c r="F130" s="292"/>
      <c r="G130" s="292"/>
      <c r="H130" s="292"/>
      <c r="I130" s="292"/>
      <c r="J130" s="292"/>
      <c r="K130" s="292"/>
      <c r="L130" s="292"/>
      <c r="M130" s="292"/>
      <c r="N130" s="292"/>
      <c r="O130" s="292"/>
      <c r="P130" s="292"/>
      <c r="Q130" s="292"/>
      <c r="R130" s="292"/>
      <c r="S130" s="292"/>
      <c r="T130" s="292"/>
      <c r="U130" s="292"/>
      <c r="V130" s="292"/>
      <c r="W130" s="292"/>
      <c r="X130" s="292"/>
      <c r="Y130" s="292"/>
      <c r="Z130" s="292"/>
      <c r="AA130" s="292"/>
      <c r="AB130" s="292"/>
      <c r="AC130" s="292"/>
      <c r="AD130" s="292"/>
      <c r="AE130" s="292"/>
      <c r="AF130" s="292"/>
      <c r="AG130" s="292"/>
      <c r="AH130" s="292"/>
      <c r="AI130" s="292"/>
      <c r="AJ130" s="292"/>
      <c r="AK130" s="292"/>
      <c r="AL130" s="292"/>
      <c r="AM130" s="292"/>
      <c r="AN130" s="292"/>
      <c r="AO130" s="292"/>
      <c r="AP130" s="292"/>
      <c r="AQ130" s="292"/>
      <c r="AR130" s="292"/>
      <c r="AS130" s="292"/>
      <c r="AT130" s="292"/>
      <c r="AU130" s="292"/>
      <c r="AV130" s="292"/>
      <c r="AW130" s="292"/>
      <c r="AX130" s="292"/>
      <c r="AY130" s="292"/>
      <c r="AZ130" s="292"/>
      <c r="BA130" s="292"/>
      <c r="BB130" s="292"/>
      <c r="BC130" s="292"/>
      <c r="BD130" s="274"/>
      <c r="BE130" s="274"/>
      <c r="BF130" s="274"/>
    </row>
    <row r="131" spans="2:58" s="192" customFormat="1" ht="18" hidden="1" customHeight="1" outlineLevel="1" x14ac:dyDescent="0.25">
      <c r="B131" s="260" t="s">
        <v>362</v>
      </c>
      <c r="C131" s="299">
        <v>0</v>
      </c>
      <c r="D131" s="300">
        <f>IF(D45&gt;0,'R&amp;C-Painel de Controle'!$O$59*(1-0.0925)*D35/1000000,0)</f>
        <v>0</v>
      </c>
      <c r="E131" s="300">
        <f>IF(E45&gt;0,'R&amp;C-Painel de Controle'!$O$59*(1-0.0925)*E35/1000000,0)</f>
        <v>0</v>
      </c>
      <c r="F131" s="300">
        <f>IF(F45&gt;0,'R&amp;C-Painel de Controle'!$O$59*(1-0.0925)*F35/1000000,0)</f>
        <v>0</v>
      </c>
      <c r="G131" s="300">
        <f>IF(G45&gt;0,'R&amp;C-Painel de Controle'!$O$59*(1-0.0925)*G35/1000000,0)</f>
        <v>0</v>
      </c>
      <c r="H131" s="300">
        <f>IF(H45&gt;0,'R&amp;C-Painel de Controle'!$O$59*(1-0.0925)*H35/1000000,0)</f>
        <v>0</v>
      </c>
      <c r="I131" s="300">
        <f>IF(I45&gt;0,'R&amp;C-Painel de Controle'!$O$59*(1-0.0925)*I35/1000000,0)</f>
        <v>0</v>
      </c>
      <c r="J131" s="300">
        <f>IF(J45&gt;0,'R&amp;C-Painel de Controle'!$O$59*(1-0.0925)*J35/1000000,0)</f>
        <v>0</v>
      </c>
      <c r="K131" s="300">
        <f>IF(K45&gt;0,'R&amp;C-Painel de Controle'!$O$59*(1-0.0925)*K35/1000000,0)</f>
        <v>0</v>
      </c>
      <c r="L131" s="300">
        <f>IF(L45&gt;0,'R&amp;C-Painel de Controle'!$O$59*(1-0.0925)*L35/1000000,0)</f>
        <v>0</v>
      </c>
      <c r="M131" s="300">
        <f>IF(M45&gt;0,'R&amp;C-Painel de Controle'!$O$59*(1-0.0925)*M35/1000000,0)</f>
        <v>0</v>
      </c>
      <c r="N131" s="300">
        <f>IF(N45&gt;0,'R&amp;C-Painel de Controle'!$O$59*(1-0.0925)*N35/1000000,0)</f>
        <v>0</v>
      </c>
      <c r="O131" s="300">
        <f>IF(O45&gt;0,'R&amp;C-Painel de Controle'!$O$59*(1-0.0925)*O35/1000000,0)</f>
        <v>0</v>
      </c>
      <c r="P131" s="300">
        <f>IF(P45&gt;0,'R&amp;C-Painel de Controle'!$O$59*(1-0.0925)*P35/1000000,0)</f>
        <v>0</v>
      </c>
      <c r="Q131" s="300">
        <f>IF(Q45&gt;0,'R&amp;C-Painel de Controle'!$O$59*(1-0.0925)*Q35/1000000,0)</f>
        <v>0</v>
      </c>
      <c r="R131" s="300">
        <f>IF(R45&gt;0,'R&amp;C-Painel de Controle'!$O$59*(1-0.0925)*R35/1000000,0)</f>
        <v>0</v>
      </c>
      <c r="S131" s="300">
        <f>IF(S45&gt;0,'R&amp;C-Painel de Controle'!$O$59*(1-0.0925)*S35/1000000,0)</f>
        <v>0</v>
      </c>
      <c r="T131" s="300">
        <f>IF(T45&gt;0,'R&amp;C-Painel de Controle'!$O$59*(1-0.0925)*T35/1000000,0)</f>
        <v>0</v>
      </c>
      <c r="U131" s="300">
        <f>IF(U45&gt;0,'R&amp;C-Painel de Controle'!$O$59*(1-0.0925)*U35/1000000,0)</f>
        <v>0</v>
      </c>
      <c r="V131" s="300">
        <f>IF(V45&gt;0,'R&amp;C-Painel de Controle'!$O$59*(1-0.0925)*V35/1000000,0)</f>
        <v>0</v>
      </c>
      <c r="W131" s="300">
        <f>IF(W45&gt;0,'R&amp;C-Painel de Controle'!$O$59*(1-0.0925)*W35/1000000,0)</f>
        <v>0</v>
      </c>
      <c r="X131" s="300">
        <f>IF(X45&gt;0,'R&amp;C-Painel de Controle'!$O$59*(1-0.0925)*X35/1000000,0)</f>
        <v>0</v>
      </c>
      <c r="Y131" s="300">
        <f>IF(Y45&gt;0,'R&amp;C-Painel de Controle'!$O$59*(1-0.0925)*Y35/1000000,0)</f>
        <v>0</v>
      </c>
      <c r="Z131" s="300">
        <f>IF(Z45&gt;0,'R&amp;C-Painel de Controle'!$O$59*(1-0.0925)*Z35/1000000,0)</f>
        <v>0</v>
      </c>
      <c r="AA131" s="300">
        <f>IF(AA45&gt;0,'R&amp;C-Painel de Controle'!$O$59*(1-0.0925)*AA35/1000000,0)</f>
        <v>0</v>
      </c>
      <c r="AB131" s="300">
        <f>IF(AB45&gt;0,'R&amp;C-Painel de Controle'!$O$59*(1-0.0925)*AB35/1000000,0)</f>
        <v>0</v>
      </c>
      <c r="AC131" s="300">
        <f>IF(AC45&gt;0,'R&amp;C-Painel de Controle'!$O$59*(1-0.0925)*AC35/1000000,0)</f>
        <v>0</v>
      </c>
      <c r="AD131" s="300">
        <f>IF(AD45&gt;0,'R&amp;C-Painel de Controle'!$O$59*(1-0.0925)*AD35/1000000,0)</f>
        <v>0</v>
      </c>
      <c r="AE131" s="300">
        <f>IF(AE45&gt;0,'R&amp;C-Painel de Controle'!$O$59*(1-0.0925)*AE35/1000000,0)</f>
        <v>0</v>
      </c>
      <c r="AF131" s="300">
        <f>IF(AF45&gt;0,'R&amp;C-Painel de Controle'!$O$59*(1-0.0925)*AF35/1000000,0)</f>
        <v>0</v>
      </c>
      <c r="AG131" s="300">
        <f>IF(AG45&gt;0,'R&amp;C-Painel de Controle'!$O$59*(1-0.0925)*AG35/1000000,0)</f>
        <v>0</v>
      </c>
      <c r="AH131" s="300">
        <f>IF(AH45&gt;0,'R&amp;C-Painel de Controle'!$O$59*(1-0.0925)*AH35/1000000,0)</f>
        <v>0</v>
      </c>
      <c r="AI131" s="300">
        <f>IF(AI45&gt;0,'R&amp;C-Painel de Controle'!$O$59*(1-0.0925)*AI35/1000000,0)</f>
        <v>0</v>
      </c>
      <c r="AJ131" s="300">
        <f>IF(AJ45&gt;0,'R&amp;C-Painel de Controle'!$O$59*(1-0.0925)*AJ35/1000000,0)</f>
        <v>0</v>
      </c>
      <c r="AK131" s="300">
        <f>IF(AK45&gt;0,'R&amp;C-Painel de Controle'!$O$59*(1-0.0925)*AK35/1000000,0)</f>
        <v>0</v>
      </c>
      <c r="AL131" s="300">
        <f>IF(AL45&gt;0,'R&amp;C-Painel de Controle'!$O$59*(1-0.0925)*AL35/1000000,0)</f>
        <v>0</v>
      </c>
      <c r="AM131" s="300">
        <f>IF(AM45&gt;0,'R&amp;C-Painel de Controle'!$O$59*(1-0.0925)*AM35/1000000,0)</f>
        <v>0</v>
      </c>
      <c r="AN131" s="300">
        <f>IF(AN45&gt;0,'R&amp;C-Painel de Controle'!$O$59*(1-0.0925)*AN35/1000000,0)</f>
        <v>0</v>
      </c>
      <c r="AO131" s="300">
        <f>IF(AO45&gt;0,'R&amp;C-Painel de Controle'!$O$59*(1-0.0925)*AO35/1000000,0)</f>
        <v>0</v>
      </c>
      <c r="AP131" s="300">
        <f>IF(AP45&gt;0,'R&amp;C-Painel de Controle'!$O$59*(1-0.0925)*AP35/1000000,0)</f>
        <v>0</v>
      </c>
      <c r="AQ131" s="300">
        <f>IF(AQ45&gt;0,'R&amp;C-Painel de Controle'!$O$59*(1-0.0925)*AQ35/1000000,0)</f>
        <v>0</v>
      </c>
      <c r="AR131" s="300">
        <f>IF(AR45&gt;0,'R&amp;C-Painel de Controle'!$O$59*(1-0.0925)*AR35/1000000,0)</f>
        <v>0</v>
      </c>
      <c r="AS131" s="300">
        <f>IF(AS45&gt;0,'R&amp;C-Painel de Controle'!$O$59*(1-0.0925)*AS35/1000000,0)</f>
        <v>0</v>
      </c>
      <c r="AT131" s="300">
        <f>IF(AT45&gt;0,'R&amp;C-Painel de Controle'!$O$59*(1-0.0925)*AT35/1000000,0)</f>
        <v>0</v>
      </c>
      <c r="AU131" s="300">
        <f>IF(AU45&gt;0,'R&amp;C-Painel de Controle'!$O$59*(1-0.0925)*AU35/1000000,0)</f>
        <v>0</v>
      </c>
      <c r="AV131" s="300">
        <f>IF(AV45&gt;0,'R&amp;C-Painel de Controle'!$O$59*(1-0.0925)*AV35/1000000,0)</f>
        <v>0</v>
      </c>
      <c r="AW131" s="300">
        <f>IF(AW45&gt;0,'R&amp;C-Painel de Controle'!$O$59*(1-0.0925)*AW35/1000000,0)</f>
        <v>0</v>
      </c>
      <c r="AX131" s="300">
        <f>IF(AX45&gt;0,'R&amp;C-Painel de Controle'!$O$59*(1-0.0925)*AX35/1000000,0)</f>
        <v>0</v>
      </c>
      <c r="AY131" s="300">
        <f>IF(AY45&gt;0,'R&amp;C-Painel de Controle'!$O$59*(1-0.0925)*AY35/1000000,0)</f>
        <v>0</v>
      </c>
      <c r="AZ131" s="300">
        <f>IF(AZ45&gt;0,'R&amp;C-Painel de Controle'!$O$59*(1-0.0925)*AZ35/1000000,0)</f>
        <v>0</v>
      </c>
      <c r="BA131" s="300">
        <f>IF(BA45&gt;0,'R&amp;C-Painel de Controle'!$O$59*(1-0.0925)*BA35/1000000,0)</f>
        <v>0</v>
      </c>
      <c r="BB131" s="300">
        <f>IF(BB45&gt;0,'R&amp;C-Painel de Controle'!$O$59*(1-0.0925)*BB35/1000000,0)</f>
        <v>0</v>
      </c>
      <c r="BC131" s="300">
        <f>IF(BC45&gt;0,'R&amp;C-Painel de Controle'!$O$59*(1-0.0925)*BC35/1000000,0)</f>
        <v>0</v>
      </c>
      <c r="BD131" s="280"/>
      <c r="BE131" s="280"/>
      <c r="BF131" s="280"/>
    </row>
    <row r="132" spans="2:58" s="192" customFormat="1" ht="18" hidden="1" customHeight="1" outlineLevel="1" x14ac:dyDescent="0.25">
      <c r="B132" s="732" t="str">
        <f>B101</f>
        <v>Prod. CDR TMB — Trat. Mec./Biológ.</v>
      </c>
      <c r="C132" s="291" t="str">
        <f>C101</f>
        <v>Não</v>
      </c>
      <c r="D132" s="291">
        <f>D101</f>
        <v>0</v>
      </c>
      <c r="E132" s="1274"/>
      <c r="F132" s="1274"/>
      <c r="G132" s="1274"/>
      <c r="H132" s="1274"/>
      <c r="I132" s="1274"/>
      <c r="J132" s="1274"/>
      <c r="K132" s="1274"/>
      <c r="L132" s="1274"/>
      <c r="M132" s="1274"/>
      <c r="N132" s="1274"/>
      <c r="O132" s="1274"/>
      <c r="P132" s="1274"/>
      <c r="Q132" s="1274"/>
      <c r="R132" s="1274"/>
      <c r="S132" s="1274"/>
      <c r="T132" s="1274"/>
      <c r="U132" s="1274"/>
      <c r="V132" s="1274"/>
      <c r="W132" s="1274"/>
      <c r="X132" s="1274"/>
      <c r="Y132" s="1274"/>
      <c r="Z132" s="1274"/>
      <c r="AA132" s="1274"/>
      <c r="AB132" s="1274"/>
      <c r="AC132" s="1274"/>
      <c r="AD132" s="1274"/>
      <c r="AE132" s="1274"/>
      <c r="AF132" s="1274"/>
      <c r="AG132" s="1274"/>
      <c r="AH132" s="1274"/>
      <c r="AI132" s="1274"/>
      <c r="AJ132" s="1274"/>
      <c r="AK132" s="1274"/>
      <c r="AL132" s="1274"/>
      <c r="AM132" s="1274"/>
      <c r="AN132" s="1274"/>
      <c r="AO132" s="1274"/>
      <c r="AP132" s="1274"/>
      <c r="AQ132" s="1274"/>
      <c r="AR132" s="1274"/>
      <c r="AS132" s="1274"/>
      <c r="AT132" s="1274"/>
      <c r="AU132" s="1274"/>
      <c r="AV132" s="1274"/>
      <c r="AW132" s="1274"/>
      <c r="AX132" s="1274"/>
      <c r="AY132" s="1274"/>
      <c r="AZ132" s="1274"/>
      <c r="BA132" s="1274"/>
      <c r="BB132" s="1274"/>
      <c r="BC132" s="740"/>
      <c r="BD132" s="274"/>
      <c r="BE132" s="274"/>
      <c r="BF132" s="274"/>
    </row>
    <row r="133" spans="2:58" s="192" customFormat="1" ht="18" hidden="1" customHeight="1" outlineLevel="1" x14ac:dyDescent="0.25">
      <c r="B133" s="260"/>
      <c r="C133" s="292"/>
      <c r="D133" s="291"/>
      <c r="E133" s="292"/>
      <c r="F133" s="292"/>
      <c r="G133" s="292"/>
      <c r="H133" s="292"/>
      <c r="I133" s="292"/>
      <c r="J133" s="292"/>
      <c r="K133" s="292"/>
      <c r="L133" s="292"/>
      <c r="M133" s="292"/>
      <c r="N133" s="292"/>
      <c r="O133" s="292"/>
      <c r="P133" s="292"/>
      <c r="Q133" s="292"/>
      <c r="R133" s="292"/>
      <c r="S133" s="292"/>
      <c r="T133" s="292"/>
      <c r="U133" s="292"/>
      <c r="V133" s="292"/>
      <c r="W133" s="292"/>
      <c r="X133" s="292"/>
      <c r="Y133" s="292"/>
      <c r="Z133" s="292"/>
      <c r="AA133" s="292"/>
      <c r="AB133" s="292"/>
      <c r="AC133" s="292"/>
      <c r="AD133" s="292"/>
      <c r="AE133" s="292"/>
      <c r="AF133" s="292"/>
      <c r="AG133" s="292"/>
      <c r="AH133" s="292"/>
      <c r="AI133" s="292"/>
      <c r="AJ133" s="292"/>
      <c r="AK133" s="292"/>
      <c r="AL133" s="292"/>
      <c r="AM133" s="292"/>
      <c r="AN133" s="292"/>
      <c r="AO133" s="292"/>
      <c r="AP133" s="292"/>
      <c r="AQ133" s="292"/>
      <c r="AR133" s="292"/>
      <c r="AS133" s="292"/>
      <c r="AT133" s="292"/>
      <c r="AU133" s="292"/>
      <c r="AV133" s="292"/>
      <c r="AW133" s="292"/>
      <c r="AX133" s="292"/>
      <c r="AY133" s="292"/>
      <c r="AZ133" s="292"/>
      <c r="BA133" s="292"/>
      <c r="BB133" s="292"/>
      <c r="BC133" s="292"/>
      <c r="BD133" s="274"/>
      <c r="BE133" s="274"/>
      <c r="BF133" s="274"/>
    </row>
    <row r="134" spans="2:58" s="192" customFormat="1" ht="18" hidden="1" customHeight="1" outlineLevel="1" x14ac:dyDescent="0.25">
      <c r="B134" s="260" t="s">
        <v>362</v>
      </c>
      <c r="C134" s="299">
        <v>0</v>
      </c>
      <c r="D134" s="300">
        <f>IF(D48&gt;0,'R&amp;C-Painel de Controle'!$O$62*(1-0.0925)*D35/1000000,0)</f>
        <v>0</v>
      </c>
      <c r="E134" s="300">
        <f>IF(E48&gt;0,'R&amp;C-Painel de Controle'!$O$62*(1-0.0925)*E35/1000000,0)</f>
        <v>0</v>
      </c>
      <c r="F134" s="300">
        <f>IF(F48&gt;0,'R&amp;C-Painel de Controle'!$O$62*(1-0.0925)*F35/1000000,0)</f>
        <v>0</v>
      </c>
      <c r="G134" s="300">
        <f>IF(G48&gt;0,'R&amp;C-Painel de Controle'!$O$62*(1-0.0925)*G35/1000000,0)</f>
        <v>0</v>
      </c>
      <c r="H134" s="300">
        <f>IF(H48&gt;0,'R&amp;C-Painel de Controle'!$O$62*(1-0.0925)*H35/1000000,0)</f>
        <v>0</v>
      </c>
      <c r="I134" s="300">
        <f>IF(I48&gt;0,'R&amp;C-Painel de Controle'!$O$62*(1-0.0925)*I35/1000000,0)</f>
        <v>0</v>
      </c>
      <c r="J134" s="300">
        <f>IF(J48&gt;0,'R&amp;C-Painel de Controle'!$O$62*(1-0.0925)*J35/1000000,0)</f>
        <v>0</v>
      </c>
      <c r="K134" s="300">
        <f>IF(K48&gt;0,'R&amp;C-Painel de Controle'!$O$62*(1-0.0925)*K35/1000000,0)</f>
        <v>0</v>
      </c>
      <c r="L134" s="300">
        <f>IF(L48&gt;0,'R&amp;C-Painel de Controle'!$O$62*(1-0.0925)*L35/1000000,0)</f>
        <v>0</v>
      </c>
      <c r="M134" s="300">
        <f>IF(M48&gt;0,'R&amp;C-Painel de Controle'!$O$62*(1-0.0925)*M35/1000000,0)</f>
        <v>0</v>
      </c>
      <c r="N134" s="300">
        <f>IF(N48&gt;0,'R&amp;C-Painel de Controle'!$O$62*(1-0.0925)*N35/1000000,0)</f>
        <v>0</v>
      </c>
      <c r="O134" s="300">
        <f>IF(O48&gt;0,'R&amp;C-Painel de Controle'!$O$62*(1-0.0925)*O35/1000000,0)</f>
        <v>0</v>
      </c>
      <c r="P134" s="300">
        <f>IF(P48&gt;0,'R&amp;C-Painel de Controle'!$O$62*(1-0.0925)*P35/1000000,0)</f>
        <v>0</v>
      </c>
      <c r="Q134" s="300">
        <f>IF(Q48&gt;0,'R&amp;C-Painel de Controle'!$O$62*(1-0.0925)*Q35/1000000,0)</f>
        <v>0</v>
      </c>
      <c r="R134" s="300">
        <f>IF(R48&gt;0,'R&amp;C-Painel de Controle'!$O$62*(1-0.0925)*R35/1000000,0)</f>
        <v>0</v>
      </c>
      <c r="S134" s="300">
        <f>IF(S48&gt;0,'R&amp;C-Painel de Controle'!$O$62*(1-0.0925)*S35/1000000,0)</f>
        <v>0</v>
      </c>
      <c r="T134" s="300">
        <f>IF(T48&gt;0,'R&amp;C-Painel de Controle'!$O$62*(1-0.0925)*T35/1000000,0)</f>
        <v>0</v>
      </c>
      <c r="U134" s="300">
        <f>IF(U48&gt;0,'R&amp;C-Painel de Controle'!$O$62*(1-0.0925)*U35/1000000,0)</f>
        <v>0</v>
      </c>
      <c r="V134" s="300">
        <f>IF(V48&gt;0,'R&amp;C-Painel de Controle'!$O$62*(1-0.0925)*V35/1000000,0)</f>
        <v>0</v>
      </c>
      <c r="W134" s="300">
        <f>IF(W48&gt;0,'R&amp;C-Painel de Controle'!$O$62*(1-0.0925)*W35/1000000,0)</f>
        <v>0</v>
      </c>
      <c r="X134" s="300">
        <f>IF(X48&gt;0,'R&amp;C-Painel de Controle'!$O$62*(1-0.0925)*X35/1000000,0)</f>
        <v>0</v>
      </c>
      <c r="Y134" s="300">
        <f>IF(Y48&gt;0,'R&amp;C-Painel de Controle'!$O$62*(1-0.0925)*Y35/1000000,0)</f>
        <v>0</v>
      </c>
      <c r="Z134" s="300">
        <f>IF(Z48&gt;0,'R&amp;C-Painel de Controle'!$O$62*(1-0.0925)*Z35/1000000,0)</f>
        <v>0</v>
      </c>
      <c r="AA134" s="300">
        <f>IF(AA48&gt;0,'R&amp;C-Painel de Controle'!$O$62*(1-0.0925)*AA35/1000000,0)</f>
        <v>0</v>
      </c>
      <c r="AB134" s="300">
        <f>IF(AB48&gt;0,'R&amp;C-Painel de Controle'!$O$62*(1-0.0925)*AB35/1000000,0)</f>
        <v>0</v>
      </c>
      <c r="AC134" s="300">
        <f>IF(AC48&gt;0,'R&amp;C-Painel de Controle'!$O$62*(1-0.0925)*AC35/1000000,0)</f>
        <v>0</v>
      </c>
      <c r="AD134" s="300">
        <f>IF(AD48&gt;0,'R&amp;C-Painel de Controle'!$O$62*(1-0.0925)*AD35/1000000,0)</f>
        <v>0</v>
      </c>
      <c r="AE134" s="300">
        <f>IF(AE48&gt;0,'R&amp;C-Painel de Controle'!$O$62*(1-0.0925)*AE35/1000000,0)</f>
        <v>0</v>
      </c>
      <c r="AF134" s="300">
        <f>IF(AF48&gt;0,'R&amp;C-Painel de Controle'!$O$62*(1-0.0925)*AF35/1000000,0)</f>
        <v>0</v>
      </c>
      <c r="AG134" s="300">
        <f>IF(AG48&gt;0,'R&amp;C-Painel de Controle'!$O$62*(1-0.0925)*AG35/1000000,0)</f>
        <v>0</v>
      </c>
      <c r="AH134" s="300">
        <f>IF(AH48&gt;0,'R&amp;C-Painel de Controle'!$O$62*(1-0.0925)*AH35/1000000,0)</f>
        <v>0</v>
      </c>
      <c r="AI134" s="300">
        <f>IF(AI48&gt;0,'R&amp;C-Painel de Controle'!$O$62*(1-0.0925)*AI35/1000000,0)</f>
        <v>0</v>
      </c>
      <c r="AJ134" s="300">
        <f>IF(AJ48&gt;0,'R&amp;C-Painel de Controle'!$O$62*(1-0.0925)*AJ35/1000000,0)</f>
        <v>0</v>
      </c>
      <c r="AK134" s="300">
        <f>IF(AK48&gt;0,'R&amp;C-Painel de Controle'!$O$62*(1-0.0925)*AK35/1000000,0)</f>
        <v>0</v>
      </c>
      <c r="AL134" s="300">
        <f>IF(AL48&gt;0,'R&amp;C-Painel de Controle'!$O$62*(1-0.0925)*AL35/1000000,0)</f>
        <v>0</v>
      </c>
      <c r="AM134" s="300">
        <f>IF(AM48&gt;0,'R&amp;C-Painel de Controle'!$O$62*(1-0.0925)*AM35/1000000,0)</f>
        <v>0</v>
      </c>
      <c r="AN134" s="300">
        <f>IF(AN48&gt;0,'R&amp;C-Painel de Controle'!$O$62*(1-0.0925)*AN35/1000000,0)</f>
        <v>0</v>
      </c>
      <c r="AO134" s="300">
        <f>IF(AO48&gt;0,'R&amp;C-Painel de Controle'!$O$62*(1-0.0925)*AO35/1000000,0)</f>
        <v>0</v>
      </c>
      <c r="AP134" s="300">
        <f>IF(AP48&gt;0,'R&amp;C-Painel de Controle'!$O$62*(1-0.0925)*AP35/1000000,0)</f>
        <v>0</v>
      </c>
      <c r="AQ134" s="300">
        <f>IF(AQ48&gt;0,'R&amp;C-Painel de Controle'!$O$62*(1-0.0925)*AQ35/1000000,0)</f>
        <v>0</v>
      </c>
      <c r="AR134" s="300">
        <f>IF(AR48&gt;0,'R&amp;C-Painel de Controle'!$O$62*(1-0.0925)*AR35/1000000,0)</f>
        <v>0</v>
      </c>
      <c r="AS134" s="300">
        <f>IF(AS48&gt;0,'R&amp;C-Painel de Controle'!$O$62*(1-0.0925)*AS35/1000000,0)</f>
        <v>0</v>
      </c>
      <c r="AT134" s="300">
        <f>IF(AT48&gt;0,'R&amp;C-Painel de Controle'!$O$62*(1-0.0925)*AT35/1000000,0)</f>
        <v>0</v>
      </c>
      <c r="AU134" s="300">
        <f>IF(AU48&gt;0,'R&amp;C-Painel de Controle'!$O$62*(1-0.0925)*AU35/1000000,0)</f>
        <v>0</v>
      </c>
      <c r="AV134" s="300">
        <f>IF(AV48&gt;0,'R&amp;C-Painel de Controle'!$O$62*(1-0.0925)*AV35/1000000,0)</f>
        <v>0</v>
      </c>
      <c r="AW134" s="300">
        <f>IF(AW48&gt;0,'R&amp;C-Painel de Controle'!$O$62*(1-0.0925)*AW35/1000000,0)</f>
        <v>0</v>
      </c>
      <c r="AX134" s="300">
        <f>IF(AX48&gt;0,'R&amp;C-Painel de Controle'!$O$62*(1-0.0925)*AX35/1000000,0)</f>
        <v>0</v>
      </c>
      <c r="AY134" s="300">
        <f>IF(AY48&gt;0,'R&amp;C-Painel de Controle'!$O$62*(1-0.0925)*AY35/1000000,0)</f>
        <v>0</v>
      </c>
      <c r="AZ134" s="300">
        <f>IF(AZ48&gt;0,'R&amp;C-Painel de Controle'!$O$62*(1-0.0925)*AZ35/1000000,0)</f>
        <v>0</v>
      </c>
      <c r="BA134" s="300">
        <f>IF(BA48&gt;0,'R&amp;C-Painel de Controle'!$O$62*(1-0.0925)*BA35/1000000,0)</f>
        <v>0</v>
      </c>
      <c r="BB134" s="300">
        <f>IF(BB48&gt;0,'R&amp;C-Painel de Controle'!$O$62*(1-0.0925)*BB35/1000000,0)</f>
        <v>0</v>
      </c>
      <c r="BC134" s="300">
        <f>IF(BC48&gt;0,'R&amp;C-Painel de Controle'!$O$62*(1-0.0925)*BC35/1000000,0)</f>
        <v>0</v>
      </c>
      <c r="BD134" s="280"/>
      <c r="BE134" s="280"/>
      <c r="BF134" s="280"/>
    </row>
    <row r="135" spans="2:58" s="192" customFormat="1" ht="18" hidden="1" customHeight="1" outlineLevel="1" x14ac:dyDescent="0.25">
      <c r="B135" s="732" t="str">
        <f>B104</f>
        <v>Biodigestão Anaeróbia</v>
      </c>
      <c r="C135" s="291" t="str">
        <f>C104</f>
        <v>Não'</v>
      </c>
      <c r="D135" s="291">
        <f>D104</f>
        <v>0</v>
      </c>
      <c r="BC135" s="740"/>
      <c r="BD135" s="274"/>
      <c r="BE135" s="274"/>
      <c r="BF135" s="274"/>
    </row>
    <row r="136" spans="2:58" s="192" customFormat="1" ht="18" hidden="1" customHeight="1" outlineLevel="1" x14ac:dyDescent="0.25">
      <c r="B136" s="260"/>
      <c r="C136" s="292"/>
      <c r="D136" s="289"/>
      <c r="E136" s="292"/>
      <c r="F136" s="292"/>
      <c r="G136" s="292"/>
      <c r="H136" s="292"/>
      <c r="I136" s="292"/>
      <c r="J136" s="292"/>
      <c r="K136" s="292"/>
      <c r="L136" s="292"/>
      <c r="M136" s="292"/>
      <c r="N136" s="292"/>
      <c r="O136" s="292"/>
      <c r="P136" s="292"/>
      <c r="Q136" s="292"/>
      <c r="R136" s="292"/>
      <c r="S136" s="292"/>
      <c r="T136" s="292"/>
      <c r="U136" s="292"/>
      <c r="V136" s="292"/>
      <c r="W136" s="292"/>
      <c r="X136" s="292"/>
      <c r="Y136" s="292"/>
      <c r="Z136" s="292"/>
      <c r="AA136" s="292"/>
      <c r="AB136" s="292"/>
      <c r="AC136" s="292"/>
      <c r="AD136" s="292"/>
      <c r="AE136" s="292"/>
      <c r="AF136" s="292"/>
      <c r="AG136" s="292"/>
      <c r="AH136" s="292"/>
      <c r="AI136" s="292"/>
      <c r="AJ136" s="292"/>
      <c r="AK136" s="292"/>
      <c r="AL136" s="292"/>
      <c r="AM136" s="292"/>
      <c r="AN136" s="292"/>
      <c r="AO136" s="292"/>
      <c r="AP136" s="292"/>
      <c r="AQ136" s="292"/>
      <c r="AR136" s="292"/>
      <c r="AS136" s="292"/>
      <c r="AT136" s="292"/>
      <c r="AU136" s="292"/>
      <c r="AV136" s="292"/>
      <c r="AW136" s="292"/>
      <c r="AX136" s="292"/>
      <c r="AY136" s="292"/>
      <c r="AZ136" s="292"/>
      <c r="BA136" s="292"/>
      <c r="BB136" s="292"/>
      <c r="BC136" s="292"/>
      <c r="BD136" s="274"/>
      <c r="BE136" s="274"/>
      <c r="BF136" s="274"/>
    </row>
    <row r="137" spans="2:58" s="192" customFormat="1" ht="18" hidden="1" customHeight="1" outlineLevel="1" x14ac:dyDescent="0.25">
      <c r="B137" s="260" t="s">
        <v>362</v>
      </c>
      <c r="C137" s="299">
        <v>0</v>
      </c>
      <c r="D137" s="300">
        <f>IF(D51&gt;0,'R&amp;C-Painel de Controle'!$O$65*(1-0.0925-$C$10)*D35/1000000,0)</f>
        <v>0</v>
      </c>
      <c r="E137" s="300">
        <f>IF(E51&gt;0,'R&amp;C-Painel de Controle'!$O$65*(1-0.0925-$C$10)*E35/1000000,0)</f>
        <v>0</v>
      </c>
      <c r="F137" s="300">
        <f>IF(F51&gt;0,'R&amp;C-Painel de Controle'!$O$65*(1-0.0925-$C$10)*F35/1000000,0)</f>
        <v>0</v>
      </c>
      <c r="G137" s="300">
        <f>IF(G51&gt;0,'R&amp;C-Painel de Controle'!$O$65*(1-0.0925-$C$10)*G35/1000000,0)</f>
        <v>0</v>
      </c>
      <c r="H137" s="300">
        <f>IF(H51&gt;0,'R&amp;C-Painel de Controle'!$O$65*(1-0.0925-$C$10)*H35/1000000,0)</f>
        <v>0</v>
      </c>
      <c r="I137" s="300">
        <f>IF(I51&gt;0,'R&amp;C-Painel de Controle'!$O$65*(1-0.0925-$C$10)*I35/1000000,0)</f>
        <v>0</v>
      </c>
      <c r="J137" s="300">
        <f>IF(J51&gt;0,'R&amp;C-Painel de Controle'!$O$65*(1-0.0925-$C$10)*J35/1000000,0)</f>
        <v>0</v>
      </c>
      <c r="K137" s="300">
        <f>IF(K51&gt;0,'R&amp;C-Painel de Controle'!$O$65*(1-0.0925-$C$10)*K35/1000000,0)</f>
        <v>0</v>
      </c>
      <c r="L137" s="300">
        <f>IF(L51&gt;0,'R&amp;C-Painel de Controle'!$O$65*(1-0.0925-$C$10)*L35/1000000,0)</f>
        <v>0</v>
      </c>
      <c r="M137" s="300">
        <f>IF(M51&gt;0,'R&amp;C-Painel de Controle'!$O$65*(1-0.0925-$C$10)*M35/1000000,0)</f>
        <v>0</v>
      </c>
      <c r="N137" s="300">
        <f>IF(N51&gt;0,'R&amp;C-Painel de Controle'!$O$65*(1-0.0925-$C$10)*N35/1000000,0)</f>
        <v>0</v>
      </c>
      <c r="O137" s="300">
        <f>IF(O51&gt;0,'R&amp;C-Painel de Controle'!$O$65*(1-0.0925-$C$10)*O35/1000000,0)</f>
        <v>0</v>
      </c>
      <c r="P137" s="300">
        <f>IF(P51&gt;0,'R&amp;C-Painel de Controle'!$O$65*(1-0.0925-$C$10)*P35/1000000,0)</f>
        <v>0</v>
      </c>
      <c r="Q137" s="300">
        <f>IF(Q51&gt;0,'R&amp;C-Painel de Controle'!$O$65*(1-0.0925-$C$10)*Q35/1000000,0)</f>
        <v>0</v>
      </c>
      <c r="R137" s="300">
        <f>IF(R51&gt;0,'R&amp;C-Painel de Controle'!$O$65*(1-0.0925-$C$10)*R35/1000000,0)</f>
        <v>0</v>
      </c>
      <c r="S137" s="300">
        <f>IF(S51&gt;0,'R&amp;C-Painel de Controle'!$O$65*(1-0.0925-$C$10)*S35/1000000,0)</f>
        <v>0</v>
      </c>
      <c r="T137" s="300">
        <f>IF(T51&gt;0,'R&amp;C-Painel de Controle'!$O$65*(1-0.0925-$C$10)*T35/1000000,0)</f>
        <v>0</v>
      </c>
      <c r="U137" s="300">
        <f>IF(U51&gt;0,'R&amp;C-Painel de Controle'!$O$65*(1-0.0925-$C$10)*U35/1000000,0)</f>
        <v>0</v>
      </c>
      <c r="V137" s="300">
        <f>IF(V51&gt;0,'R&amp;C-Painel de Controle'!$O$65*(1-0.0925-$C$10)*V35/1000000,0)</f>
        <v>0</v>
      </c>
      <c r="W137" s="300">
        <f>IF(W51&gt;0,'R&amp;C-Painel de Controle'!$O$65*(1-0.0925-$C$10)*W35/1000000,0)</f>
        <v>0</v>
      </c>
      <c r="X137" s="300">
        <f>IF(X51&gt;0,'R&amp;C-Painel de Controle'!$O$65*(1-0.0925-$C$10)*X35/1000000,0)</f>
        <v>0</v>
      </c>
      <c r="Y137" s="300">
        <f>IF(Y51&gt;0,'R&amp;C-Painel de Controle'!$O$65*(1-0.0925-$C$10)*Y35/1000000,0)</f>
        <v>0</v>
      </c>
      <c r="Z137" s="300">
        <f>IF(Z51&gt;0,'R&amp;C-Painel de Controle'!$O$65*(1-0.0925-$C$10)*Z35/1000000,0)</f>
        <v>0</v>
      </c>
      <c r="AA137" s="300">
        <f>IF(AA51&gt;0,'R&amp;C-Painel de Controle'!$O$65*(1-0.0925-$C$10)*AA35/1000000,0)</f>
        <v>0</v>
      </c>
      <c r="AB137" s="300">
        <f>IF(AB51&gt;0,'R&amp;C-Painel de Controle'!$O$65*(1-0.0925-$C$10)*AB35/1000000,0)</f>
        <v>0</v>
      </c>
      <c r="AC137" s="300">
        <f>IF(AC51&gt;0,'R&amp;C-Painel de Controle'!$O$65*(1-0.0925-$C$10)*AC35/1000000,0)</f>
        <v>0</v>
      </c>
      <c r="AD137" s="300">
        <f>IF(AD51&gt;0,'R&amp;C-Painel de Controle'!$O$65*(1-0.0925-$C$10)*AD35/1000000,0)</f>
        <v>0</v>
      </c>
      <c r="AE137" s="300">
        <f>IF(AE51&gt;0,'R&amp;C-Painel de Controle'!$O$65*(1-0.0925-$C$10)*AE35/1000000,0)</f>
        <v>0</v>
      </c>
      <c r="AF137" s="300">
        <f>IF(AF51&gt;0,'R&amp;C-Painel de Controle'!$O$65*(1-0.0925-$C$10)*AF35/1000000,0)</f>
        <v>0</v>
      </c>
      <c r="AG137" s="300">
        <f>IF(AG51&gt;0,'R&amp;C-Painel de Controle'!$O$65*(1-0.0925-$C$10)*AG35/1000000,0)</f>
        <v>0</v>
      </c>
      <c r="AH137" s="300">
        <f>IF(AH51&gt;0,'R&amp;C-Painel de Controle'!$O$65*(1-0.0925-$C$10)*AH35/1000000,0)</f>
        <v>0</v>
      </c>
      <c r="AI137" s="300">
        <f>IF(AI51&gt;0,'R&amp;C-Painel de Controle'!$O$65*(1-0.0925-$C$10)*AI35/1000000,0)</f>
        <v>0</v>
      </c>
      <c r="AJ137" s="300">
        <f>IF(AJ51&gt;0,'R&amp;C-Painel de Controle'!$O$65*(1-0.0925-$C$10)*AJ35/1000000,0)</f>
        <v>0</v>
      </c>
      <c r="AK137" s="300">
        <f>IF(AK51&gt;0,'R&amp;C-Painel de Controle'!$O$65*(1-0.0925-$C$10)*AK35/1000000,0)</f>
        <v>0</v>
      </c>
      <c r="AL137" s="300">
        <f>IF(AL51&gt;0,'R&amp;C-Painel de Controle'!$O$65*(1-0.0925-$C$10)*AL35/1000000,0)</f>
        <v>0</v>
      </c>
      <c r="AM137" s="300">
        <f>IF(AM51&gt;0,'R&amp;C-Painel de Controle'!$O$65*(1-0.0925-$C$10)*AM35/1000000,0)</f>
        <v>0</v>
      </c>
      <c r="AN137" s="300">
        <f>IF(AN51&gt;0,'R&amp;C-Painel de Controle'!$O$65*(1-0.0925-$C$10)*AN35/1000000,0)</f>
        <v>0</v>
      </c>
      <c r="AO137" s="300">
        <f>IF(AO51&gt;0,'R&amp;C-Painel de Controle'!$O$65*(1-0.0925-$C$10)*AO35/1000000,0)</f>
        <v>0</v>
      </c>
      <c r="AP137" s="300">
        <f>IF(AP51&gt;0,'R&amp;C-Painel de Controle'!$O$65*(1-0.0925-$C$10)*AP35/1000000,0)</f>
        <v>0</v>
      </c>
      <c r="AQ137" s="300">
        <f>IF(AQ51&gt;0,'R&amp;C-Painel de Controle'!$O$65*(1-0.0925-$C$10)*AQ35/1000000,0)</f>
        <v>0</v>
      </c>
      <c r="AR137" s="300">
        <f>IF(AR51&gt;0,'R&amp;C-Painel de Controle'!$O$65*(1-0.0925-$C$10)*AR35/1000000,0)</f>
        <v>0</v>
      </c>
      <c r="AS137" s="300">
        <f>IF(AS51&gt;0,'R&amp;C-Painel de Controle'!$O$65*(1-0.0925-$C$10)*AS35/1000000,0)</f>
        <v>0</v>
      </c>
      <c r="AT137" s="300">
        <f>IF(AT51&gt;0,'R&amp;C-Painel de Controle'!$O$65*(1-0.0925-$C$10)*AT35/1000000,0)</f>
        <v>0</v>
      </c>
      <c r="AU137" s="300">
        <f>IF(AU51&gt;0,'R&amp;C-Painel de Controle'!$O$65*(1-0.0925-$C$10)*AU35/1000000,0)</f>
        <v>0</v>
      </c>
      <c r="AV137" s="300">
        <f>IF(AV51&gt;0,'R&amp;C-Painel de Controle'!$O$65*(1-0.0925-$C$10)*AV35/1000000,0)</f>
        <v>0</v>
      </c>
      <c r="AW137" s="300">
        <f>IF(AW51&gt;0,'R&amp;C-Painel de Controle'!$O$65*(1-0.0925-$C$10)*AW35/1000000,0)</f>
        <v>0</v>
      </c>
      <c r="AX137" s="300">
        <f>IF(AX51&gt;0,'R&amp;C-Painel de Controle'!$O$65*(1-0.0925-$C$10)*AX35/1000000,0)</f>
        <v>0</v>
      </c>
      <c r="AY137" s="300">
        <f>IF(AY51&gt;0,'R&amp;C-Painel de Controle'!$O$65*(1-0.0925-$C$10)*AY35/1000000,0)</f>
        <v>0</v>
      </c>
      <c r="AZ137" s="300">
        <f>IF(AZ51&gt;0,'R&amp;C-Painel de Controle'!$O$65*(1-0.0925-$C$10)*AZ35/1000000,0)</f>
        <v>0</v>
      </c>
      <c r="BA137" s="300">
        <f>IF(BA51&gt;0,'R&amp;C-Painel de Controle'!$O$65*(1-0.0925-$C$10)*BA35/1000000,0)</f>
        <v>0</v>
      </c>
      <c r="BB137" s="300">
        <f>IF(BB51&gt;0,'R&amp;C-Painel de Controle'!$O$65*(1-0.0925-$C$10)*BB35/1000000,0)</f>
        <v>0</v>
      </c>
      <c r="BC137" s="300">
        <f>IF(BC51&gt;0,'R&amp;C-Painel de Controle'!$O$65*(1-0.0925-$C$10)*BC35/1000000,0)</f>
        <v>0</v>
      </c>
      <c r="BD137" s="280"/>
      <c r="BE137" s="280"/>
      <c r="BF137" s="280"/>
    </row>
    <row r="138" spans="2:58" s="192" customFormat="1" ht="18" hidden="1" customHeight="1" outlineLevel="1" x14ac:dyDescent="0.25">
      <c r="B138" s="732" t="str">
        <f>B107</f>
        <v>Compostagem</v>
      </c>
      <c r="C138" s="291" t="str">
        <f>C107</f>
        <v>Não</v>
      </c>
      <c r="D138" s="291">
        <f>D107</f>
        <v>0</v>
      </c>
      <c r="E138" s="1274"/>
      <c r="F138" s="1274"/>
      <c r="G138" s="1274"/>
      <c r="H138" s="1274"/>
      <c r="I138" s="1274"/>
      <c r="J138" s="1274"/>
      <c r="K138" s="1274"/>
      <c r="L138" s="1274"/>
      <c r="M138" s="1274"/>
      <c r="N138" s="1274"/>
      <c r="O138" s="1274"/>
      <c r="P138" s="1274"/>
      <c r="Q138" s="1274"/>
      <c r="R138" s="1274"/>
      <c r="S138" s="1274"/>
      <c r="T138" s="1274"/>
      <c r="U138" s="1274"/>
      <c r="V138" s="1274"/>
      <c r="W138" s="1274"/>
      <c r="X138" s="1274"/>
      <c r="Y138" s="1274"/>
      <c r="Z138" s="1274"/>
      <c r="AA138" s="1274"/>
      <c r="AB138" s="1274"/>
      <c r="AC138" s="1274"/>
      <c r="AD138" s="1274"/>
      <c r="AE138" s="1274"/>
      <c r="AF138" s="1274"/>
      <c r="AG138" s="1274"/>
      <c r="AH138" s="1274"/>
      <c r="AI138" s="1274"/>
      <c r="AJ138" s="1274"/>
      <c r="AK138" s="1274"/>
      <c r="AL138" s="1274"/>
      <c r="AM138" s="1274"/>
      <c r="AN138" s="1274"/>
      <c r="AO138" s="1274"/>
      <c r="AP138" s="1274"/>
      <c r="AQ138" s="1274"/>
      <c r="AR138" s="1274"/>
      <c r="AS138" s="1274"/>
      <c r="AT138" s="1274"/>
      <c r="AU138" s="1274"/>
      <c r="AV138" s="1274"/>
      <c r="AW138" s="1274"/>
      <c r="AX138" s="1274"/>
      <c r="AY138" s="1274"/>
      <c r="AZ138" s="1274"/>
      <c r="BA138" s="1274"/>
      <c r="BB138" s="1274"/>
      <c r="BC138" s="740"/>
      <c r="BD138" s="274"/>
      <c r="BE138" s="274"/>
      <c r="BF138" s="274"/>
    </row>
    <row r="139" spans="2:58" s="192" customFormat="1" ht="18" hidden="1" customHeight="1" outlineLevel="1" x14ac:dyDescent="0.25">
      <c r="B139" s="260"/>
      <c r="C139" s="292"/>
      <c r="D139" s="289"/>
      <c r="E139" s="292"/>
      <c r="F139" s="292"/>
      <c r="G139" s="292"/>
      <c r="H139" s="292"/>
      <c r="I139" s="292"/>
      <c r="J139" s="292"/>
      <c r="K139" s="292"/>
      <c r="L139" s="292"/>
      <c r="M139" s="292"/>
      <c r="N139" s="292"/>
      <c r="O139" s="292"/>
      <c r="P139" s="292"/>
      <c r="Q139" s="292"/>
      <c r="R139" s="292"/>
      <c r="S139" s="292"/>
      <c r="T139" s="292"/>
      <c r="U139" s="292"/>
      <c r="V139" s="292"/>
      <c r="W139" s="292"/>
      <c r="X139" s="292"/>
      <c r="Y139" s="292"/>
      <c r="Z139" s="292"/>
      <c r="AA139" s="292"/>
      <c r="AB139" s="292"/>
      <c r="AC139" s="292"/>
      <c r="AD139" s="292"/>
      <c r="AE139" s="292"/>
      <c r="AF139" s="292"/>
      <c r="AG139" s="292"/>
      <c r="AH139" s="292"/>
      <c r="AI139" s="292"/>
      <c r="AJ139" s="292"/>
      <c r="AK139" s="292"/>
      <c r="AL139" s="292"/>
      <c r="AM139" s="292"/>
      <c r="AN139" s="292"/>
      <c r="AO139" s="292"/>
      <c r="AP139" s="292"/>
      <c r="AQ139" s="292"/>
      <c r="AR139" s="292"/>
      <c r="AS139" s="292"/>
      <c r="AT139" s="292"/>
      <c r="AU139" s="292"/>
      <c r="AV139" s="292"/>
      <c r="AW139" s="292"/>
      <c r="AX139" s="292"/>
      <c r="AY139" s="292"/>
      <c r="AZ139" s="292"/>
      <c r="BA139" s="292"/>
      <c r="BB139" s="292"/>
      <c r="BC139" s="292"/>
      <c r="BD139" s="274"/>
      <c r="BE139" s="274"/>
      <c r="BF139" s="274"/>
    </row>
    <row r="140" spans="2:58" s="192" customFormat="1" ht="18" hidden="1" customHeight="1" outlineLevel="1" x14ac:dyDescent="0.25">
      <c r="B140" s="260" t="s">
        <v>362</v>
      </c>
      <c r="C140" s="299">
        <v>0</v>
      </c>
      <c r="D140" s="300">
        <f>IF(D54&gt;0,'R&amp;C-Painel de Controle'!$O$68*(1-0.0925)*D35/1000000,0)</f>
        <v>0</v>
      </c>
      <c r="E140" s="300">
        <f>IF(E54&gt;0,'R&amp;C-Painel de Controle'!$O$68*(1-0.0925)*E35/1000000,0)</f>
        <v>0</v>
      </c>
      <c r="F140" s="300">
        <f>IF(F54&gt;0,'R&amp;C-Painel de Controle'!$O$68*(1-0.0925)*F35/1000000,0)</f>
        <v>0</v>
      </c>
      <c r="G140" s="300">
        <f>IF(G54&gt;0,'R&amp;C-Painel de Controle'!$O$68*(1-0.0925)*G35/1000000,0)</f>
        <v>0</v>
      </c>
      <c r="H140" s="300">
        <f>IF(H54&gt;0,'R&amp;C-Painel de Controle'!$O$68*(1-0.0925)*H35/1000000,0)</f>
        <v>0</v>
      </c>
      <c r="I140" s="300">
        <f>IF(I54&gt;0,'R&amp;C-Painel de Controle'!$O$68*(1-0.0925)*I35/1000000,0)</f>
        <v>0</v>
      </c>
      <c r="J140" s="300">
        <f>IF(J54&gt;0,'R&amp;C-Painel de Controle'!$O$68*(1-0.0925)*J35/1000000,0)</f>
        <v>0</v>
      </c>
      <c r="K140" s="300">
        <f>IF(K54&gt;0,'R&amp;C-Painel de Controle'!$O$68*(1-0.0925)*K35/1000000,0)</f>
        <v>0</v>
      </c>
      <c r="L140" s="300">
        <f>IF(L54&gt;0,'R&amp;C-Painel de Controle'!$O$68*(1-0.0925)*L35/1000000,0)</f>
        <v>0</v>
      </c>
      <c r="M140" s="300">
        <f>IF(M54&gt;0,'R&amp;C-Painel de Controle'!$O$68*(1-0.0925)*M35/1000000,0)</f>
        <v>0</v>
      </c>
      <c r="N140" s="300">
        <f>IF(N54&gt;0,'R&amp;C-Painel de Controle'!$O$68*(1-0.0925)*N35/1000000,0)</f>
        <v>0</v>
      </c>
      <c r="O140" s="300">
        <f>IF(O54&gt;0,'R&amp;C-Painel de Controle'!$O$68*(1-0.0925)*O35/1000000,0)</f>
        <v>0</v>
      </c>
      <c r="P140" s="300">
        <f>IF(P54&gt;0,'R&amp;C-Painel de Controle'!$O$68*(1-0.0925)*P35/1000000,0)</f>
        <v>0</v>
      </c>
      <c r="Q140" s="300">
        <f>IF(Q54&gt;0,'R&amp;C-Painel de Controle'!$O$68*(1-0.0925)*Q35/1000000,0)</f>
        <v>0</v>
      </c>
      <c r="R140" s="300">
        <f>IF(R54&gt;0,'R&amp;C-Painel de Controle'!$O$68*(1-0.0925)*R35/1000000,0)</f>
        <v>0</v>
      </c>
      <c r="S140" s="300">
        <f>IF(S54&gt;0,'R&amp;C-Painel de Controle'!$O$68*(1-0.0925)*S35/1000000,0)</f>
        <v>0</v>
      </c>
      <c r="T140" s="300">
        <f>IF(T54&gt;0,'R&amp;C-Painel de Controle'!$O$68*(1-0.0925)*T35/1000000,0)</f>
        <v>0</v>
      </c>
      <c r="U140" s="300">
        <f>IF(U54&gt;0,'R&amp;C-Painel de Controle'!$O$68*(1-0.0925)*U35/1000000,0)</f>
        <v>0</v>
      </c>
      <c r="V140" s="300">
        <f>IF(V54&gt;0,'R&amp;C-Painel de Controle'!$O$68*(1-0.0925)*V35/1000000,0)</f>
        <v>0</v>
      </c>
      <c r="W140" s="300">
        <f>IF(W54&gt;0,'R&amp;C-Painel de Controle'!$O$68*(1-0.0925)*W35/1000000,0)</f>
        <v>0</v>
      </c>
      <c r="X140" s="300">
        <f>IF(X54&gt;0,'R&amp;C-Painel de Controle'!$O$68*(1-0.0925)*X35/1000000,0)</f>
        <v>0</v>
      </c>
      <c r="Y140" s="300">
        <f>IF(Y54&gt;0,'R&amp;C-Painel de Controle'!$O$68*(1-0.0925)*Y35/1000000,0)</f>
        <v>0</v>
      </c>
      <c r="Z140" s="300">
        <f>IF(Z54&gt;0,'R&amp;C-Painel de Controle'!$O$68*(1-0.0925)*Z35/1000000,0)</f>
        <v>0</v>
      </c>
      <c r="AA140" s="300">
        <f>IF(AA54&gt;0,'R&amp;C-Painel de Controle'!$O$68*(1-0.0925)*AA35/1000000,0)</f>
        <v>0</v>
      </c>
      <c r="AB140" s="300">
        <f>IF(AB54&gt;0,'R&amp;C-Painel de Controle'!$O$68*(1-0.0925)*AB35/1000000,0)</f>
        <v>0</v>
      </c>
      <c r="AC140" s="300">
        <f>IF(AC54&gt;0,'R&amp;C-Painel de Controle'!$O$68*(1-0.0925)*AC35/1000000,0)</f>
        <v>0</v>
      </c>
      <c r="AD140" s="300">
        <f>IF(AD54&gt;0,'R&amp;C-Painel de Controle'!$O$68*(1-0.0925)*AD35/1000000,0)</f>
        <v>0</v>
      </c>
      <c r="AE140" s="300">
        <f>IF(AE54&gt;0,'R&amp;C-Painel de Controle'!$O$68*(1-0.0925)*AE35/1000000,0)</f>
        <v>0</v>
      </c>
      <c r="AF140" s="300">
        <f>IF(AF54&gt;0,'R&amp;C-Painel de Controle'!$O$68*(1-0.0925)*AF35/1000000,0)</f>
        <v>0</v>
      </c>
      <c r="AG140" s="300">
        <f>IF(AG54&gt;0,'R&amp;C-Painel de Controle'!$O$68*(1-0.0925)*AG35/1000000,0)</f>
        <v>0</v>
      </c>
      <c r="AH140" s="300">
        <f>IF(AH54&gt;0,'R&amp;C-Painel de Controle'!$O$68*(1-0.0925)*AH35/1000000,0)</f>
        <v>0</v>
      </c>
      <c r="AI140" s="300">
        <f>IF(AI54&gt;0,'R&amp;C-Painel de Controle'!$O$68*(1-0.0925)*AI35/1000000,0)</f>
        <v>0</v>
      </c>
      <c r="AJ140" s="300">
        <f>IF(AJ54&gt;0,'R&amp;C-Painel de Controle'!$O$68*(1-0.0925)*AJ35/1000000,0)</f>
        <v>0</v>
      </c>
      <c r="AK140" s="300">
        <f>IF(AK54&gt;0,'R&amp;C-Painel de Controle'!$O$68*(1-0.0925)*AK35/1000000,0)</f>
        <v>0</v>
      </c>
      <c r="AL140" s="300">
        <f>IF(AL54&gt;0,'R&amp;C-Painel de Controle'!$O$68*(1-0.0925)*AL35/1000000,0)</f>
        <v>0</v>
      </c>
      <c r="AM140" s="300">
        <f>IF(AM54&gt;0,'R&amp;C-Painel de Controle'!$O$68*(1-0.0925)*AM35/1000000,0)</f>
        <v>0</v>
      </c>
      <c r="AN140" s="300">
        <f>IF(AN54&gt;0,'R&amp;C-Painel de Controle'!$O$68*(1-0.0925)*AN35/1000000,0)</f>
        <v>0</v>
      </c>
      <c r="AO140" s="300">
        <f>IF(AO54&gt;0,'R&amp;C-Painel de Controle'!$O$68*(1-0.0925)*AO35/1000000,0)</f>
        <v>0</v>
      </c>
      <c r="AP140" s="300">
        <f>IF(AP54&gt;0,'R&amp;C-Painel de Controle'!$O$68*(1-0.0925)*AP35/1000000,0)</f>
        <v>0</v>
      </c>
      <c r="AQ140" s="300">
        <f>IF(AQ54&gt;0,'R&amp;C-Painel de Controle'!$O$68*(1-0.0925)*AQ35/1000000,0)</f>
        <v>0</v>
      </c>
      <c r="AR140" s="300">
        <f>IF(AR54&gt;0,'R&amp;C-Painel de Controle'!$O$68*(1-0.0925)*AR35/1000000,0)</f>
        <v>0</v>
      </c>
      <c r="AS140" s="300">
        <f>IF(AS54&gt;0,'R&amp;C-Painel de Controle'!$O$68*(1-0.0925)*AS35/1000000,0)</f>
        <v>0</v>
      </c>
      <c r="AT140" s="300">
        <f>IF(AT54&gt;0,'R&amp;C-Painel de Controle'!$O$68*(1-0.0925)*AT35/1000000,0)</f>
        <v>0</v>
      </c>
      <c r="AU140" s="300">
        <f>IF(AU54&gt;0,'R&amp;C-Painel de Controle'!$O$68*(1-0.0925)*AU35/1000000,0)</f>
        <v>0</v>
      </c>
      <c r="AV140" s="300">
        <f>IF(AV54&gt;0,'R&amp;C-Painel de Controle'!$O$68*(1-0.0925)*AV35/1000000,0)</f>
        <v>0</v>
      </c>
      <c r="AW140" s="300">
        <f>IF(AW54&gt;0,'R&amp;C-Painel de Controle'!$O$68*(1-0.0925)*AW35/1000000,0)</f>
        <v>0</v>
      </c>
      <c r="AX140" s="300">
        <f>IF(AX54&gt;0,'R&amp;C-Painel de Controle'!$O$68*(1-0.0925)*AX35/1000000,0)</f>
        <v>0</v>
      </c>
      <c r="AY140" s="300">
        <f>IF(AY54&gt;0,'R&amp;C-Painel de Controle'!$O$68*(1-0.0925)*AY35/1000000,0)</f>
        <v>0</v>
      </c>
      <c r="AZ140" s="300">
        <f>IF(AZ54&gt;0,'R&amp;C-Painel de Controle'!$O$68*(1-0.0925)*AZ35/1000000,0)</f>
        <v>0</v>
      </c>
      <c r="BA140" s="300">
        <f>IF(BA54&gt;0,'R&amp;C-Painel de Controle'!$O$68*(1-0.0925)*BA35/1000000,0)</f>
        <v>0</v>
      </c>
      <c r="BB140" s="300">
        <f>IF(BB54&gt;0,'R&amp;C-Painel de Controle'!$O$68*(1-0.0925)*BB35/1000000,0)</f>
        <v>0</v>
      </c>
      <c r="BC140" s="300">
        <f>IF(BC54&gt;0,'R&amp;C-Painel de Controle'!$O$68*(1-0.0925)*BC35/1000000,0)</f>
        <v>0</v>
      </c>
      <c r="BD140" s="280"/>
      <c r="BE140" s="280"/>
      <c r="BF140" s="280"/>
    </row>
    <row r="141" spans="2:58" s="192" customFormat="1" ht="18" hidden="1" customHeight="1" outlineLevel="1" x14ac:dyDescent="0.25">
      <c r="B141" s="732" t="str">
        <f>B110</f>
        <v>Incineração</v>
      </c>
      <c r="C141" s="291" t="str">
        <f>C110</f>
        <v>Sim</v>
      </c>
      <c r="D141" s="291">
        <f>D110</f>
        <v>22892.155070624995</v>
      </c>
      <c r="BC141" s="740"/>
      <c r="BD141" s="274"/>
      <c r="BE141" s="274"/>
      <c r="BF141" s="274"/>
    </row>
    <row r="142" spans="2:58" s="192" customFormat="1" ht="18" hidden="1" customHeight="1" outlineLevel="1" x14ac:dyDescent="0.25">
      <c r="B142" s="260"/>
      <c r="C142" s="292"/>
      <c r="D142" s="289"/>
      <c r="E142" s="292"/>
      <c r="F142" s="292"/>
      <c r="G142" s="292"/>
      <c r="H142" s="292"/>
      <c r="I142" s="292"/>
      <c r="J142" s="292"/>
      <c r="K142" s="292"/>
      <c r="L142" s="292"/>
      <c r="M142" s="292"/>
      <c r="N142" s="292"/>
      <c r="O142" s="292"/>
      <c r="P142" s="292"/>
      <c r="Q142" s="292"/>
      <c r="R142" s="292"/>
      <c r="S142" s="292"/>
      <c r="T142" s="292"/>
      <c r="U142" s="292"/>
      <c r="V142" s="292"/>
      <c r="W142" s="292"/>
      <c r="X142" s="292"/>
      <c r="Y142" s="292"/>
      <c r="Z142" s="292"/>
      <c r="AA142" s="292"/>
      <c r="AB142" s="292"/>
      <c r="AC142" s="292"/>
      <c r="AD142" s="292"/>
      <c r="AE142" s="292"/>
      <c r="AF142" s="292"/>
      <c r="AG142" s="292"/>
      <c r="AH142" s="292"/>
      <c r="AI142" s="292"/>
      <c r="AJ142" s="292"/>
      <c r="AK142" s="292"/>
      <c r="AL142" s="292"/>
      <c r="AM142" s="292"/>
      <c r="AN142" s="292"/>
      <c r="AO142" s="292"/>
      <c r="AP142" s="292"/>
      <c r="AQ142" s="292"/>
      <c r="AR142" s="292"/>
      <c r="AS142" s="292"/>
      <c r="AT142" s="292"/>
      <c r="AU142" s="292"/>
      <c r="AV142" s="292"/>
      <c r="AW142" s="292"/>
      <c r="AX142" s="292"/>
      <c r="AY142" s="292"/>
      <c r="AZ142" s="292"/>
      <c r="BA142" s="292"/>
      <c r="BB142" s="292"/>
      <c r="BC142" s="292"/>
      <c r="BD142" s="274"/>
      <c r="BE142" s="274"/>
      <c r="BF142" s="274"/>
    </row>
    <row r="143" spans="2:58" s="192" customFormat="1" ht="18" hidden="1" customHeight="1" outlineLevel="1" x14ac:dyDescent="0.25">
      <c r="B143" s="260" t="s">
        <v>362</v>
      </c>
      <c r="C143" s="299">
        <v>0</v>
      </c>
      <c r="D143" s="300">
        <f>IF(D57&gt;0,'R&amp;C-Painel de Controle'!$O$71*(1-0.0925)*D35/1000000,0)</f>
        <v>0</v>
      </c>
      <c r="E143" s="300">
        <f>IF(E57&gt;0,'R&amp;C-Painel de Controle'!$O$71*(1-0.0925)*E35/1000000,0)</f>
        <v>0</v>
      </c>
      <c r="F143" s="300">
        <f>IF(F57&gt;0,'R&amp;C-Painel de Controle'!$O$71*(1-0.0925)*F35/1000000,0)</f>
        <v>6.9525493403067111</v>
      </c>
      <c r="G143" s="300">
        <f>IF(G57&gt;0,'R&amp;C-Painel de Controle'!$O$71*(1-0.0925)*G35/1000000,0)</f>
        <v>6.9852263222061524</v>
      </c>
      <c r="H143" s="300">
        <f>IF(H57&gt;0,'R&amp;C-Painel de Controle'!$O$71*(1-0.0925)*H35/1000000,0)</f>
        <v>7.0180568859205215</v>
      </c>
      <c r="I143" s="300">
        <f>IF(I57&gt;0,'R&amp;C-Painel de Controle'!$O$71*(1-0.0925)*I35/1000000,0)</f>
        <v>7.0510417532843475</v>
      </c>
      <c r="J143" s="300">
        <f>IF(J57&gt;0,'R&amp;C-Painel de Controle'!$O$71*(1-0.0925)*J35/1000000,0)</f>
        <v>7.0841816495247834</v>
      </c>
      <c r="K143" s="300">
        <f>IF(K57&gt;0,'R&amp;C-Painel de Controle'!$O$71*(1-0.0925)*K35/1000000,0)</f>
        <v>7.1174773032775489</v>
      </c>
      <c r="L143" s="300">
        <f>IF(L57&gt;0,'R&amp;C-Painel de Controle'!$O$71*(1-0.0925)*L35/1000000,0)</f>
        <v>7.1509294466029534</v>
      </c>
      <c r="M143" s="300">
        <f>IF(M57&gt;0,'R&amp;C-Painel de Controle'!$O$71*(1-0.0925)*M35/1000000,0)</f>
        <v>7.1845388150019875</v>
      </c>
      <c r="N143" s="300">
        <f>IF(N57&gt;0,'R&amp;C-Painel de Controle'!$O$71*(1-0.0925)*N35/1000000,0)</f>
        <v>7.2183061474324965</v>
      </c>
      <c r="O143" s="300">
        <f>IF(O57&gt;0,'R&amp;C-Painel de Controle'!$O$71*(1-0.0925)*O35/1000000,0)</f>
        <v>7.2522321863254291</v>
      </c>
      <c r="P143" s="300">
        <f>IF(P57&gt;0,'R&amp;C-Painel de Controle'!$O$71*(1-0.0925)*P35/1000000,0)</f>
        <v>7.2863176776011578</v>
      </c>
      <c r="Q143" s="300">
        <f>IF(Q57&gt;0,'R&amp;C-Painel de Controle'!$O$71*(1-0.0925)*Q35/1000000,0)</f>
        <v>7.3205633706858837</v>
      </c>
      <c r="R143" s="300">
        <f>IF(R57&gt;0,'R&amp;C-Painel de Controle'!$O$71*(1-0.0925)*R35/1000000,0)</f>
        <v>7.3549700185281068</v>
      </c>
      <c r="S143" s="300">
        <f>IF(S57&gt;0,'R&amp;C-Painel de Controle'!$O$71*(1-0.0925)*S35/1000000,0)</f>
        <v>7.3895383776151879</v>
      </c>
      <c r="T143" s="300">
        <f>IF(T57&gt;0,'R&amp;C-Painel de Controle'!$O$71*(1-0.0925)*T35/1000000,0)</f>
        <v>7.4242692079899797</v>
      </c>
      <c r="U143" s="300">
        <f>IF(U57&gt;0,'R&amp;C-Painel de Controle'!$O$71*(1-0.0925)*U35/1000000,0)</f>
        <v>7.4591632732675324</v>
      </c>
      <c r="V143" s="300">
        <f>IF(V57&gt;0,'R&amp;C-Painel de Controle'!$O$71*(1-0.0925)*V35/1000000,0)</f>
        <v>7.4942213406518894</v>
      </c>
      <c r="W143" s="300">
        <f>IF(W57&gt;0,'R&amp;C-Painel de Controle'!$O$71*(1-0.0925)*W35/1000000,0)</f>
        <v>7.5294441809529529</v>
      </c>
      <c r="X143" s="300">
        <f>IF(X57&gt;0,'R&amp;C-Painel de Controle'!$O$71*(1-0.0925)*X35/1000000,0)</f>
        <v>7.5648325686034319</v>
      </c>
      <c r="Y143" s="300">
        <f>IF(Y57&gt;0,'R&amp;C-Painel de Controle'!$O$71*(1-0.0925)*Y35/1000000,0)</f>
        <v>7.600387281675868</v>
      </c>
      <c r="Z143" s="300">
        <f>IF(Z57&gt;0,'R&amp;C-Painel de Controle'!$O$71*(1-0.0925)*Z35/1000000,0)</f>
        <v>7.6361091018997431</v>
      </c>
      <c r="AA143" s="300">
        <f>IF(AA57&gt;0,'R&amp;C-Painel de Controle'!$O$71*(1-0.0925)*AA35/1000000,0)</f>
        <v>7.6719988146786706</v>
      </c>
      <c r="AB143" s="300">
        <f>IF(AB57&gt;0,'R&amp;C-Painel de Controle'!$O$71*(1-0.0925)*AB35/1000000,0)</f>
        <v>7.7080572091076593</v>
      </c>
      <c r="AC143" s="300">
        <f>IF(AC57&gt;0,'R&amp;C-Painel de Controle'!$O$71*(1-0.0925)*AC35/1000000,0)</f>
        <v>7.7442850779904653</v>
      </c>
      <c r="AD143" s="300">
        <f>IF(AD57&gt;0,'R&amp;C-Painel de Controle'!$O$71*(1-0.0925)*AD35/1000000,0)</f>
        <v>7.7806832178570202</v>
      </c>
      <c r="AE143" s="300">
        <f>IF(AE57&gt;0,'R&amp;C-Painel de Controle'!$O$71*(1-0.0925)*AE35/1000000,0)</f>
        <v>7.8172524289809475</v>
      </c>
      <c r="AF143" s="300">
        <f>IF(AF57&gt;0,'R&amp;C-Painel de Controle'!$O$71*(1-0.0925)*AF35/1000000,0)</f>
        <v>7.8539935153971578</v>
      </c>
      <c r="AG143" s="300">
        <f>IF(AG57&gt;0,'R&amp;C-Painel de Controle'!$O$71*(1-0.0925)*AG35/1000000,0)</f>
        <v>7.890907284919523</v>
      </c>
      <c r="AH143" s="300">
        <f>IF(AH57&gt;0,'R&amp;C-Painel de Controle'!$O$71*(1-0.0925)*AH35/1000000,0)</f>
        <v>7.9279945491586439</v>
      </c>
      <c r="AI143" s="300">
        <f>IF(AI57&gt;0,'R&amp;C-Painel de Controle'!$O$71*(1-0.0925)*AI35/1000000,0)</f>
        <v>7.9652561235396888</v>
      </c>
      <c r="AJ143" s="300">
        <f>IF(AJ57&gt;0,'R&amp;C-Painel de Controle'!$O$71*(1-0.0925)*AJ35/1000000,0)</f>
        <v>8.0026928273203257</v>
      </c>
      <c r="AK143" s="300">
        <f>IF(AK57&gt;0,'R&amp;C-Painel de Controle'!$O$71*(1-0.0925)*AK35/1000000,0)</f>
        <v>8.04030548360873</v>
      </c>
      <c r="AL143" s="300">
        <f>IF(AL57&gt;0,'R&amp;C-Painel de Controle'!$O$71*(1-0.0925)*AL35/1000000,0)</f>
        <v>8.0780949193816909</v>
      </c>
      <c r="AM143" s="300">
        <f>IF(AM57&gt;0,'R&amp;C-Painel de Controle'!$O$71*(1-0.0925)*AM35/1000000,0)</f>
        <v>8.1160619655027855</v>
      </c>
      <c r="AN143" s="300">
        <f>IF(AN57&gt;0,'R&amp;C-Painel de Controle'!$O$71*(1-0.0925)*AN35/1000000,0)</f>
        <v>8.1542074567406484</v>
      </c>
      <c r="AO143" s="300">
        <f>IF(AO57&gt;0,'R&amp;C-Painel de Controle'!$O$71*(1-0.0925)*AO35/1000000,0)</f>
        <v>8.1925322317873288</v>
      </c>
      <c r="AP143" s="300">
        <f>IF(AP57&gt;0,'R&amp;C-Painel de Controle'!$O$71*(1-0.0925)*AP35/1000000,0)</f>
        <v>8.2310371332767271</v>
      </c>
      <c r="AQ143" s="300">
        <f>IF(AQ57&gt;0,'R&amp;C-Painel de Controle'!$O$71*(1-0.0925)*AQ35/1000000,0)</f>
        <v>8.2697230078031279</v>
      </c>
      <c r="AR143" s="300">
        <f>IF(AR57&gt;0,'R&amp;C-Painel de Controle'!$O$71*(1-0.0925)*AR35/1000000,0)</f>
        <v>8.3085907059398032</v>
      </c>
      <c r="AS143" s="300">
        <f>IF(AS57&gt;0,'R&amp;C-Painel de Controle'!$O$71*(1-0.0925)*AS35/1000000,0)</f>
        <v>8.3476410822577183</v>
      </c>
      <c r="AT143" s="300">
        <f>IF(AT57&gt;0,'R&amp;C-Painel de Controle'!$O$71*(1-0.0925)*AT35/1000000,0)</f>
        <v>8.3868749953443302</v>
      </c>
      <c r="AU143" s="300">
        <f>IF(AU57&gt;0,'R&amp;C-Painel de Controle'!$O$71*(1-0.0925)*AU35/1000000,0)</f>
        <v>8.4262933078224478</v>
      </c>
      <c r="AV143" s="300">
        <f>IF(AV57&gt;0,'R&amp;C-Painel de Controle'!$O$71*(1-0.0925)*AV35/1000000,0)</f>
        <v>8.4658968863692134</v>
      </c>
      <c r="AW143" s="300">
        <f>IF(AW57&gt;0,'R&amp;C-Painel de Controle'!$O$71*(1-0.0925)*AW35/1000000,0)</f>
        <v>8.505686601735146</v>
      </c>
      <c r="AX143" s="300">
        <f>IF(AX57&gt;0,'R&amp;C-Painel de Controle'!$O$71*(1-0.0925)*AX35/1000000,0)</f>
        <v>8.5456633287633021</v>
      </c>
      <c r="AY143" s="300">
        <f>IF(AY57&gt;0,'R&amp;C-Painel de Controle'!$O$71*(1-0.0925)*AY35/1000000,0)</f>
        <v>8.5858279464084895</v>
      </c>
      <c r="AZ143" s="300">
        <f>IF(AZ57&gt;0,'R&amp;C-Painel de Controle'!$O$71*(1-0.0925)*AZ35/1000000,0)</f>
        <v>8.6261813377566074</v>
      </c>
      <c r="BA143" s="300">
        <f>IF(BA57&gt;0,'R&amp;C-Painel de Controle'!$O$71*(1-0.0925)*BA35/1000000,0)</f>
        <v>8.6667243900440631</v>
      </c>
      <c r="BB143" s="300">
        <f>IF(BB57&gt;0,'R&amp;C-Painel de Controle'!$O$71*(1-0.0925)*BB35/1000000,0)</f>
        <v>8.7074579946772701</v>
      </c>
      <c r="BC143" s="300">
        <f>IF(BC57&gt;0,'R&amp;C-Painel de Controle'!$O$71*(1-0.0925)*BC35/1000000,0)</f>
        <v>8.7483830472522524</v>
      </c>
      <c r="BD143" s="280"/>
      <c r="BE143" s="280"/>
      <c r="BF143" s="280"/>
    </row>
    <row r="144" spans="2:58" s="192" customFormat="1" ht="18" hidden="1" customHeight="1" outlineLevel="1" x14ac:dyDescent="0.25">
      <c r="B144" s="732" t="str">
        <f>B113</f>
        <v>Aterro Sanitário</v>
      </c>
      <c r="C144" s="291" t="str">
        <f>C113</f>
        <v>Sim</v>
      </c>
      <c r="D144" s="291">
        <f>D113</f>
        <v>23358.431014124999</v>
      </c>
      <c r="E144" s="1274"/>
      <c r="F144" s="1274"/>
      <c r="G144" s="1274"/>
      <c r="H144" s="1274"/>
      <c r="I144" s="1274"/>
      <c r="J144" s="1274"/>
      <c r="K144" s="1274"/>
      <c r="L144" s="1274"/>
      <c r="M144" s="1274"/>
      <c r="N144" s="1274"/>
      <c r="O144" s="1274"/>
      <c r="P144" s="1274"/>
      <c r="Q144" s="1274"/>
      <c r="R144" s="1274"/>
      <c r="S144" s="1274"/>
      <c r="T144" s="1274"/>
      <c r="U144" s="1274"/>
      <c r="V144" s="1274"/>
      <c r="W144" s="1274"/>
      <c r="X144" s="1274"/>
      <c r="Y144" s="1274"/>
      <c r="Z144" s="1274"/>
      <c r="AA144" s="1274"/>
      <c r="AB144" s="1274"/>
      <c r="AC144" s="1274"/>
      <c r="AD144" s="1274"/>
      <c r="AE144" s="1274"/>
      <c r="AF144" s="1274"/>
      <c r="AG144" s="1274"/>
      <c r="AH144" s="1274"/>
      <c r="AI144" s="1274"/>
      <c r="AJ144" s="1274"/>
      <c r="AK144" s="1274"/>
      <c r="AL144" s="1274"/>
      <c r="AM144" s="1274"/>
      <c r="AN144" s="1274"/>
      <c r="AO144" s="1274"/>
      <c r="AP144" s="1274"/>
      <c r="AQ144" s="1274"/>
      <c r="AR144" s="1274"/>
      <c r="AS144" s="1274"/>
      <c r="AT144" s="1274"/>
      <c r="AU144" s="1274"/>
      <c r="AV144" s="1274"/>
      <c r="AW144" s="1274"/>
      <c r="AX144" s="1274"/>
      <c r="AY144" s="1274"/>
      <c r="AZ144" s="1274"/>
      <c r="BA144" s="1274"/>
      <c r="BB144" s="1274"/>
      <c r="BC144" s="740"/>
      <c r="BD144" s="274"/>
      <c r="BE144" s="274"/>
      <c r="BF144" s="274"/>
    </row>
    <row r="145" spans="2:58" s="192" customFormat="1" ht="18" hidden="1" customHeight="1" outlineLevel="1" x14ac:dyDescent="0.25">
      <c r="B145" s="260"/>
      <c r="C145" s="292"/>
      <c r="D145" s="289"/>
      <c r="E145" s="292"/>
      <c r="F145" s="292"/>
      <c r="G145" s="292"/>
      <c r="H145" s="292"/>
      <c r="I145" s="292"/>
      <c r="J145" s="292"/>
      <c r="K145" s="292"/>
      <c r="L145" s="292"/>
      <c r="M145" s="292"/>
      <c r="N145" s="292"/>
      <c r="O145" s="292"/>
      <c r="P145" s="292"/>
      <c r="Q145" s="292"/>
      <c r="R145" s="292"/>
      <c r="S145" s="292"/>
      <c r="T145" s="292"/>
      <c r="U145" s="292"/>
      <c r="V145" s="292"/>
      <c r="W145" s="292"/>
      <c r="X145" s="292"/>
      <c r="Y145" s="292"/>
      <c r="Z145" s="292"/>
      <c r="AA145" s="292"/>
      <c r="AB145" s="292"/>
      <c r="AC145" s="292"/>
      <c r="AD145" s="292"/>
      <c r="AE145" s="292"/>
      <c r="AF145" s="292"/>
      <c r="AG145" s="292"/>
      <c r="AH145" s="292"/>
      <c r="AI145" s="292"/>
      <c r="AJ145" s="292"/>
      <c r="AK145" s="292"/>
      <c r="AL145" s="292"/>
      <c r="AM145" s="292"/>
      <c r="AN145" s="292"/>
      <c r="AO145" s="292"/>
      <c r="AP145" s="292"/>
      <c r="AQ145" s="292"/>
      <c r="AR145" s="292"/>
      <c r="AS145" s="292"/>
      <c r="AT145" s="292"/>
      <c r="AU145" s="292"/>
      <c r="AV145" s="292"/>
      <c r="AW145" s="292"/>
      <c r="AX145" s="292"/>
      <c r="AY145" s="292"/>
      <c r="AZ145" s="292"/>
      <c r="BA145" s="292"/>
      <c r="BB145" s="292"/>
      <c r="BC145" s="292"/>
      <c r="BD145" s="274"/>
      <c r="BE145" s="274"/>
      <c r="BF145" s="274"/>
    </row>
    <row r="146" spans="2:58" s="192" customFormat="1" ht="18" hidden="1" customHeight="1" outlineLevel="1" x14ac:dyDescent="0.25">
      <c r="B146" s="260" t="s">
        <v>362</v>
      </c>
      <c r="C146" s="299">
        <v>0</v>
      </c>
      <c r="D146" s="300">
        <f>IF(D60&gt;0,'R&amp;C-Painel de Controle'!$O$74*(1-0.0925)*D35/1000000,0)</f>
        <v>0</v>
      </c>
      <c r="E146" s="300">
        <f>IF(E60&gt;0,'R&amp;C-Painel de Controle'!$O$74*(1-0.0925)*E35/1000000,0)</f>
        <v>0</v>
      </c>
      <c r="F146" s="300">
        <f>IF(F60&gt;0,'R&amp;C-Painel de Controle'!$O$74*(1-0.0925)*F35/1000000,0)</f>
        <v>0</v>
      </c>
      <c r="G146" s="300">
        <f>IF(G60&gt;0,'R&amp;C-Painel de Controle'!$O$74*(1-0.0925)*G35/1000000,0)</f>
        <v>0</v>
      </c>
      <c r="H146" s="300">
        <f>IF(H60&gt;0,'R&amp;C-Painel de Controle'!$O$74*(1-0.0925)*H35/1000000,0)</f>
        <v>0</v>
      </c>
      <c r="I146" s="300">
        <f>IF(I60&gt;0,'R&amp;C-Painel de Controle'!$O$74*(1-0.0925)*I35/1000000,0)</f>
        <v>0</v>
      </c>
      <c r="J146" s="300">
        <f>IF(J60&gt;0,'R&amp;C-Painel de Controle'!$O$74*(1-0.0925)*J35/1000000,0)</f>
        <v>0</v>
      </c>
      <c r="K146" s="300">
        <f>IF(K60&gt;0,'R&amp;C-Painel de Controle'!$O$74*(1-0.0925)*K35/1000000,0)</f>
        <v>0</v>
      </c>
      <c r="L146" s="300">
        <f>IF(L60&gt;0,'R&amp;C-Painel de Controle'!$O$74*(1-0.0925)*L35/1000000,0)</f>
        <v>0</v>
      </c>
      <c r="M146" s="300">
        <f>IF(M60&gt;0,'R&amp;C-Painel de Controle'!$O$74*(1-0.0925)*M35/1000000,0)</f>
        <v>0</v>
      </c>
      <c r="N146" s="300">
        <f>IF(N60&gt;0,'R&amp;C-Painel de Controle'!$O$74*(1-0.0925)*N35/1000000,0)</f>
        <v>0</v>
      </c>
      <c r="O146" s="300">
        <f>IF(O60&gt;0,'R&amp;C-Painel de Controle'!$O$74*(1-0.0925)*O35/1000000,0)</f>
        <v>0</v>
      </c>
      <c r="P146" s="300">
        <f>IF(P60&gt;0,'R&amp;C-Painel de Controle'!$O$74*(1-0.0925)*P35/1000000,0)</f>
        <v>0</v>
      </c>
      <c r="Q146" s="300">
        <f>IF(Q60&gt;0,'R&amp;C-Painel de Controle'!$O$74*(1-0.0925)*Q35/1000000,0)</f>
        <v>0</v>
      </c>
      <c r="R146" s="300">
        <f>IF(R60&gt;0,'R&amp;C-Painel de Controle'!$O$74*(1-0.0925)*R35/1000000,0)</f>
        <v>0</v>
      </c>
      <c r="S146" s="300">
        <f>IF(S60&gt;0,'R&amp;C-Painel de Controle'!$O$74*(1-0.0925)*S35/1000000,0)</f>
        <v>0</v>
      </c>
      <c r="T146" s="300">
        <f>IF(T60&gt;0,'R&amp;C-Painel de Controle'!$O$74*(1-0.0925)*T35/1000000,0)</f>
        <v>0</v>
      </c>
      <c r="U146" s="300">
        <f>IF(U60&gt;0,'R&amp;C-Painel de Controle'!$O$74*(1-0.0925)*U35/1000000,0)</f>
        <v>0</v>
      </c>
      <c r="V146" s="300">
        <f>IF(V60&gt;0,'R&amp;C-Painel de Controle'!$O$74*(1-0.0925)*V35/1000000,0)</f>
        <v>0</v>
      </c>
      <c r="W146" s="300">
        <f>IF(W60&gt;0,'R&amp;C-Painel de Controle'!$O$74*(1-0.0925)*W35/1000000,0)</f>
        <v>0</v>
      </c>
      <c r="X146" s="300">
        <f>IF(X60&gt;0,'R&amp;C-Painel de Controle'!$O$74*(1-0.0925)*X35/1000000,0)</f>
        <v>0</v>
      </c>
      <c r="Y146" s="300">
        <f>IF(Y60&gt;0,'R&amp;C-Painel de Controle'!$O$74*(1-0.0925)*Y35/1000000,0)</f>
        <v>0</v>
      </c>
      <c r="Z146" s="300">
        <f>IF(Z60&gt;0,'R&amp;C-Painel de Controle'!$O$74*(1-0.0925)*Z35/1000000,0)</f>
        <v>0</v>
      </c>
      <c r="AA146" s="300">
        <f>IF(AA60&gt;0,'R&amp;C-Painel de Controle'!$O$74*(1-0.0925)*AA35/1000000,0)</f>
        <v>0</v>
      </c>
      <c r="AB146" s="300">
        <f>IF(AB60&gt;0,'R&amp;C-Painel de Controle'!$O$74*(1-0.0925)*AB35/1000000,0)</f>
        <v>0</v>
      </c>
      <c r="AC146" s="300">
        <f>IF(AC60&gt;0,'R&amp;C-Painel de Controle'!$O$74*(1-0.0925)*AC35/1000000,0)</f>
        <v>0</v>
      </c>
      <c r="AD146" s="300">
        <f>IF(AD60&gt;0,'R&amp;C-Painel de Controle'!$O$74*(1-0.0925)*AD35/1000000,0)</f>
        <v>0</v>
      </c>
      <c r="AE146" s="300">
        <f>IF(AE60&gt;0,'R&amp;C-Painel de Controle'!$O$74*(1-0.0925)*AE35/1000000,0)</f>
        <v>0</v>
      </c>
      <c r="AF146" s="300">
        <f>IF(AF60&gt;0,'R&amp;C-Painel de Controle'!$O$74*(1-0.0925)*AF35/1000000,0)</f>
        <v>0</v>
      </c>
      <c r="AG146" s="300">
        <f>IF(AG60&gt;0,'R&amp;C-Painel de Controle'!$O$74*(1-0.0925)*AG35/1000000,0)</f>
        <v>0</v>
      </c>
      <c r="AH146" s="300">
        <f>IF(AH60&gt;0,'R&amp;C-Painel de Controle'!$O$74*(1-0.0925)*AH35/1000000,0)</f>
        <v>0</v>
      </c>
      <c r="AI146" s="300">
        <f>IF(AI60&gt;0,'R&amp;C-Painel de Controle'!$O$74*(1-0.0925)*AI35/1000000,0)</f>
        <v>0</v>
      </c>
      <c r="AJ146" s="300">
        <f>IF(AJ60&gt;0,'R&amp;C-Painel de Controle'!$O$74*(1-0.0925)*AJ35/1000000,0)</f>
        <v>0</v>
      </c>
      <c r="AK146" s="300">
        <f>IF(AK60&gt;0,'R&amp;C-Painel de Controle'!$O$74*(1-0.0925)*AK35/1000000,0)</f>
        <v>0</v>
      </c>
      <c r="AL146" s="300">
        <f>IF(AL60&gt;0,'R&amp;C-Painel de Controle'!$O$74*(1-0.0925)*AL35/1000000,0)</f>
        <v>0</v>
      </c>
      <c r="AM146" s="300">
        <f>IF(AM60&gt;0,'R&amp;C-Painel de Controle'!$O$74*(1-0.0925)*AM35/1000000,0)</f>
        <v>0</v>
      </c>
      <c r="AN146" s="300">
        <f>IF(AN60&gt;0,'R&amp;C-Painel de Controle'!$O$74*(1-0.0925)*AN35/1000000,0)</f>
        <v>0</v>
      </c>
      <c r="AO146" s="300">
        <f>IF(AO60&gt;0,'R&amp;C-Painel de Controle'!$O$74*(1-0.0925)*AO35/1000000,0)</f>
        <v>0</v>
      </c>
      <c r="AP146" s="300">
        <f>IF(AP60&gt;0,'R&amp;C-Painel de Controle'!$O$74*(1-0.0925)*AP35/1000000,0)</f>
        <v>0</v>
      </c>
      <c r="AQ146" s="300">
        <f>IF(AQ60&gt;0,'R&amp;C-Painel de Controle'!$O$74*(1-0.0925)*AQ35/1000000,0)</f>
        <v>0</v>
      </c>
      <c r="AR146" s="300">
        <f>IF(AR60&gt;0,'R&amp;C-Painel de Controle'!$O$74*(1-0.0925)*AR35/1000000,0)</f>
        <v>0</v>
      </c>
      <c r="AS146" s="300">
        <f>IF(AS60&gt;0,'R&amp;C-Painel de Controle'!$O$74*(1-0.0925)*AS35/1000000,0)</f>
        <v>0</v>
      </c>
      <c r="AT146" s="300">
        <f>IF(AT60&gt;0,'R&amp;C-Painel de Controle'!$O$74*(1-0.0925)*AT35/1000000,0)</f>
        <v>0</v>
      </c>
      <c r="AU146" s="300">
        <f>IF(AU60&gt;0,'R&amp;C-Painel de Controle'!$O$74*(1-0.0925)*AU35/1000000,0)</f>
        <v>0</v>
      </c>
      <c r="AV146" s="300">
        <f>IF(AV60&gt;0,'R&amp;C-Painel de Controle'!$O$74*(1-0.0925)*AV35/1000000,0)</f>
        <v>0</v>
      </c>
      <c r="AW146" s="300">
        <f>IF(AW60&gt;0,'R&amp;C-Painel de Controle'!$O$74*(1-0.0925)*AW35/1000000,0)</f>
        <v>0</v>
      </c>
      <c r="AX146" s="300">
        <f>IF(AX60&gt;0,'R&amp;C-Painel de Controle'!$O$74*(1-0.0925)*AX35/1000000,0)</f>
        <v>0</v>
      </c>
      <c r="AY146" s="300">
        <f>IF(AY60&gt;0,'R&amp;C-Painel de Controle'!$O$74*(1-0.0925)*AY35/1000000,0)</f>
        <v>0</v>
      </c>
      <c r="AZ146" s="300">
        <f>IF(AZ60&gt;0,'R&amp;C-Painel de Controle'!$O$74*(1-0.0925)*AZ35/1000000,0)</f>
        <v>0</v>
      </c>
      <c r="BA146" s="300">
        <f>IF(BA60&gt;0,'R&amp;C-Painel de Controle'!$O$74*(1-0.0925)*BA35/1000000,0)</f>
        <v>0</v>
      </c>
      <c r="BB146" s="300">
        <f>IF(BB60&gt;0,'R&amp;C-Painel de Controle'!$O$74*(1-0.0925)*BB35/1000000,0)</f>
        <v>0</v>
      </c>
      <c r="BC146" s="300">
        <f>IF(BC60&gt;0,'R&amp;C-Painel de Controle'!$O$74*(1-0.0925)*BC35/1000000,0)</f>
        <v>0</v>
      </c>
      <c r="BD146" s="280"/>
      <c r="BE146" s="280"/>
      <c r="BF146" s="280"/>
    </row>
    <row r="147" spans="2:58" s="192" customFormat="1" ht="18" customHeight="1" x14ac:dyDescent="0.25">
      <c r="B147" s="278"/>
      <c r="C147" s="281"/>
      <c r="D147" s="281"/>
      <c r="E147" s="281"/>
      <c r="F147" s="281"/>
      <c r="G147" s="281"/>
      <c r="H147" s="281"/>
      <c r="I147" s="281"/>
      <c r="J147" s="281"/>
      <c r="K147" s="281"/>
      <c r="L147" s="281"/>
      <c r="M147" s="281"/>
      <c r="N147" s="281"/>
      <c r="O147" s="281"/>
      <c r="P147" s="281"/>
      <c r="Q147" s="281"/>
      <c r="R147" s="274"/>
    </row>
    <row r="148" spans="2:58" s="192" customFormat="1" ht="25.15" customHeight="1" x14ac:dyDescent="0.25">
      <c r="B148" s="739" t="s">
        <v>363</v>
      </c>
      <c r="C148" s="281">
        <f t="shared" ref="C148:AH148" si="51">C35*$H$26*(1-0.0925-$C$10)/1000000+C149</f>
        <v>30.252753169713127</v>
      </c>
      <c r="D148" s="281">
        <f t="shared" si="51"/>
        <v>30.394941109610777</v>
      </c>
      <c r="E148" s="281">
        <f t="shared" si="51"/>
        <v>30.537797332825939</v>
      </c>
      <c r="F148" s="281">
        <f t="shared" si="51"/>
        <v>30.681324980290221</v>
      </c>
      <c r="G148" s="281">
        <f t="shared" si="51"/>
        <v>30.825527207697586</v>
      </c>
      <c r="H148" s="281">
        <f t="shared" si="51"/>
        <v>30.970407185573762</v>
      </c>
      <c r="I148" s="281">
        <f t="shared" si="51"/>
        <v>31.115968099345956</v>
      </c>
      <c r="J148" s="281">
        <f t="shared" si="51"/>
        <v>31.262213149412879</v>
      </c>
      <c r="K148" s="281">
        <f t="shared" si="51"/>
        <v>31.409145551215119</v>
      </c>
      <c r="L148" s="281">
        <f t="shared" si="51"/>
        <v>31.556768535305828</v>
      </c>
      <c r="M148" s="281">
        <f t="shared" si="51"/>
        <v>31.705085347421765</v>
      </c>
      <c r="N148" s="281">
        <f t="shared" si="51"/>
        <v>31.854099248554647</v>
      </c>
      <c r="O148" s="281">
        <f t="shared" si="51"/>
        <v>32.003813515022848</v>
      </c>
      <c r="P148" s="281">
        <f t="shared" si="51"/>
        <v>32.154231438543448</v>
      </c>
      <c r="Q148" s="281">
        <f t="shared" si="51"/>
        <v>32.305356326304604</v>
      </c>
      <c r="R148" s="281">
        <f t="shared" si="51"/>
        <v>32.457191501038245</v>
      </c>
      <c r="S148" s="281">
        <f t="shared" si="51"/>
        <v>32.609740301093119</v>
      </c>
      <c r="T148" s="281">
        <f t="shared" si="51"/>
        <v>32.763006080508248</v>
      </c>
      <c r="U148" s="281">
        <f t="shared" si="51"/>
        <v>32.916992209086636</v>
      </c>
      <c r="V148" s="281">
        <f t="shared" si="51"/>
        <v>33.07170207246935</v>
      </c>
      <c r="W148" s="281">
        <f t="shared" si="51"/>
        <v>33.227139072209951</v>
      </c>
      <c r="X148" s="281">
        <f t="shared" si="51"/>
        <v>33.383306625849336</v>
      </c>
      <c r="Y148" s="281">
        <f t="shared" si="51"/>
        <v>33.54020816699083</v>
      </c>
      <c r="Z148" s="281">
        <f t="shared" si="51"/>
        <v>33.697847145375675</v>
      </c>
      <c r="AA148" s="281">
        <f t="shared" si="51"/>
        <v>33.856227026958948</v>
      </c>
      <c r="AB148" s="281">
        <f t="shared" si="51"/>
        <v>34.015351293985645</v>
      </c>
      <c r="AC148" s="281">
        <f t="shared" si="51"/>
        <v>34.175223445067381</v>
      </c>
      <c r="AD148" s="281">
        <f t="shared" si="51"/>
        <v>34.335846995259189</v>
      </c>
      <c r="AE148" s="281">
        <f t="shared" si="51"/>
        <v>34.497225476136911</v>
      </c>
      <c r="AF148" s="281">
        <f t="shared" si="51"/>
        <v>34.659362435874748</v>
      </c>
      <c r="AG148" s="281">
        <f t="shared" si="51"/>
        <v>34.822261439323356</v>
      </c>
      <c r="AH148" s="281">
        <f t="shared" si="51"/>
        <v>34.985926068088169</v>
      </c>
      <c r="AI148" s="281">
        <f t="shared" ref="AI148:BC148" si="52">AI35*$H$26*(1-0.0925-$C$10)/1000000+AI149</f>
        <v>35.150359920608189</v>
      </c>
      <c r="AJ148" s="281">
        <f t="shared" si="52"/>
        <v>35.315566612235045</v>
      </c>
      <c r="AK148" s="281">
        <f t="shared" si="52"/>
        <v>35.481549775312544</v>
      </c>
      <c r="AL148" s="281">
        <f t="shared" si="52"/>
        <v>35.648313059256509</v>
      </c>
      <c r="AM148" s="281">
        <f t="shared" si="52"/>
        <v>35.815860130635009</v>
      </c>
      <c r="AN148" s="281">
        <f t="shared" si="52"/>
        <v>35.984194673248993</v>
      </c>
      <c r="AO148" s="281">
        <f t="shared" si="52"/>
        <v>36.153320388213267</v>
      </c>
      <c r="AP148" s="281">
        <f t="shared" si="52"/>
        <v>36.323240994037867</v>
      </c>
      <c r="AQ148" s="281">
        <f t="shared" si="52"/>
        <v>36.493960226709838</v>
      </c>
      <c r="AR148" s="281">
        <f t="shared" si="52"/>
        <v>36.665481839775374</v>
      </c>
      <c r="AS148" s="281">
        <f t="shared" si="52"/>
        <v>36.837809604422318</v>
      </c>
      <c r="AT148" s="281">
        <f t="shared" si="52"/>
        <v>37.0109473095631</v>
      </c>
      <c r="AU148" s="281">
        <f t="shared" si="52"/>
        <v>37.184898761918042</v>
      </c>
      <c r="AV148" s="281">
        <f t="shared" si="52"/>
        <v>37.35966778609906</v>
      </c>
      <c r="AW148" s="281">
        <f t="shared" si="52"/>
        <v>37.535258224693727</v>
      </c>
      <c r="AX148" s="281">
        <f t="shared" si="52"/>
        <v>37.711673938349783</v>
      </c>
      <c r="AY148" s="281">
        <f t="shared" si="52"/>
        <v>37.888918805860015</v>
      </c>
      <c r="AZ148" s="281">
        <f t="shared" si="52"/>
        <v>38.066996724247552</v>
      </c>
      <c r="BA148" s="281">
        <f t="shared" si="52"/>
        <v>38.245911608851522</v>
      </c>
      <c r="BB148" s="281">
        <f t="shared" si="52"/>
        <v>38.425667393413121</v>
      </c>
      <c r="BC148" s="281">
        <f t="shared" si="52"/>
        <v>38.606268030162163</v>
      </c>
    </row>
    <row r="149" spans="2:58" s="192" customFormat="1" ht="16.899999999999999" customHeight="1" x14ac:dyDescent="0.25">
      <c r="B149" s="192" t="s">
        <v>897</v>
      </c>
      <c r="C149" s="281">
        <f>'R&amp;C-Painel de Controle'!D31*312*'R&amp;C-Painel de Controle'!H31*(1-0.0925-$C$10)/1000000</f>
        <v>2.6754940163237793</v>
      </c>
      <c r="D149" s="281">
        <f>C149*(1+'R&amp;C-Painel de Controle'!$D$27)</f>
        <v>2.6880688382005009</v>
      </c>
      <c r="E149" s="281">
        <f>D149*(1+'R&amp;C-Painel de Controle'!$D$27)</f>
        <v>2.7007027617400432</v>
      </c>
      <c r="F149" s="281">
        <f>E149*(1+'R&amp;C-Painel de Controle'!$D$27)</f>
        <v>2.7133960647202211</v>
      </c>
      <c r="G149" s="281">
        <f>F149*(1+'R&amp;C-Painel de Controle'!$D$27)</f>
        <v>2.7261490262244061</v>
      </c>
      <c r="H149" s="281">
        <f>G149*(1+'R&amp;C-Painel de Controle'!$D$27)</f>
        <v>2.7389619266476606</v>
      </c>
      <c r="I149" s="281">
        <f>H149*(1+'R&amp;C-Painel de Controle'!$D$27)</f>
        <v>2.7518350477029045</v>
      </c>
      <c r="J149" s="281">
        <f>I149*(1+'R&amp;C-Painel de Controle'!$D$27)</f>
        <v>2.7647686724271079</v>
      </c>
      <c r="K149" s="281">
        <f>J149*(1+'R&amp;C-Painel de Controle'!$D$27)</f>
        <v>2.777763085187515</v>
      </c>
      <c r="L149" s="281">
        <f>K149*(1+'R&amp;C-Painel de Controle'!$D$27)</f>
        <v>2.7908185716878959</v>
      </c>
      <c r="M149" s="281">
        <f>L149*(1+'R&amp;C-Painel de Controle'!$D$27)</f>
        <v>2.8039354189748287</v>
      </c>
      <c r="N149" s="281">
        <f>M149*(1+'R&amp;C-Painel de Controle'!$D$27)</f>
        <v>2.8171139154440104</v>
      </c>
      <c r="O149" s="281">
        <f>N149*(1+'R&amp;C-Painel de Controle'!$D$27)</f>
        <v>2.8303543508465969</v>
      </c>
      <c r="P149" s="281">
        <f>O149*(1+'R&amp;C-Painel de Controle'!$D$27)</f>
        <v>2.8436570162955759</v>
      </c>
      <c r="Q149" s="281">
        <f>P149*(1+'R&amp;C-Painel de Controle'!$D$27)</f>
        <v>2.8570222042721647</v>
      </c>
      <c r="R149" s="281">
        <f>Q149*(1+'R&amp;C-Painel de Controle'!$D$27)</f>
        <v>2.8704502086322439</v>
      </c>
      <c r="S149" s="281">
        <f>R149*(1+'R&amp;C-Painel de Controle'!$D$27)</f>
        <v>2.8839413246128154</v>
      </c>
      <c r="T149" s="281">
        <f>S149*(1+'R&amp;C-Painel de Controle'!$D$27)</f>
        <v>2.8974958488384952</v>
      </c>
      <c r="U149" s="281">
        <f>T149*(1+'R&amp;C-Painel de Controle'!$D$27)</f>
        <v>2.9111140793280361</v>
      </c>
      <c r="V149" s="281">
        <f>U149*(1+'R&amp;C-Painel de Controle'!$D$27)</f>
        <v>2.9247963155008776</v>
      </c>
      <c r="W149" s="281">
        <f>V149*(1+'R&amp;C-Painel de Controle'!$D$27)</f>
        <v>2.9385428581837316</v>
      </c>
      <c r="X149" s="281">
        <f>W149*(1+'R&amp;C-Painel de Controle'!$D$27)</f>
        <v>2.9523540096171947</v>
      </c>
      <c r="Y149" s="281">
        <f>X149*(1+'R&amp;C-Painel de Controle'!$D$27)</f>
        <v>2.9662300734623952</v>
      </c>
      <c r="Z149" s="281">
        <f>Y149*(1+'R&amp;C-Painel de Controle'!$D$27)</f>
        <v>2.980171354807668</v>
      </c>
      <c r="AA149" s="281">
        <f>Z149*(1+'R&amp;C-Painel de Controle'!$D$27)</f>
        <v>2.9941781601752639</v>
      </c>
      <c r="AB149" s="281">
        <f>AA149*(1+'R&amp;C-Painel de Controle'!$D$27)</f>
        <v>3.0082507975280874</v>
      </c>
      <c r="AC149" s="281">
        <f>AB149*(1+'R&amp;C-Painel de Controle'!$D$27)</f>
        <v>3.0223895762764692</v>
      </c>
      <c r="AD149" s="281">
        <f>AC149*(1+'R&amp;C-Painel de Controle'!$D$27)</f>
        <v>3.0365948072849682</v>
      </c>
      <c r="AE149" s="281">
        <f>AD149*(1+'R&amp;C-Painel de Controle'!$D$27)</f>
        <v>3.0508668028792072</v>
      </c>
      <c r="AF149" s="281">
        <f>AE149*(1+'R&amp;C-Painel de Controle'!$D$27)</f>
        <v>3.065205876852739</v>
      </c>
      <c r="AG149" s="281">
        <f>AF149*(1+'R&amp;C-Painel de Controle'!$D$27)</f>
        <v>3.0796123444739467</v>
      </c>
      <c r="AH149" s="281">
        <f>AG149*(1+'R&amp;C-Painel de Controle'!$D$27)</f>
        <v>3.0940865224929741</v>
      </c>
      <c r="AI149" s="281">
        <f>AH149*(1+'R&amp;C-Painel de Controle'!$D$27)</f>
        <v>3.1086287291486907</v>
      </c>
      <c r="AJ149" s="281">
        <f>AI149*(1+'R&amp;C-Painel de Controle'!$D$27)</f>
        <v>3.1232392841756895</v>
      </c>
      <c r="AK149" s="281">
        <f>AJ149*(1+'R&amp;C-Painel de Controle'!$D$27)</f>
        <v>3.1379185088113148</v>
      </c>
      <c r="AL149" s="281">
        <f>AK149*(1+'R&amp;C-Painel de Controle'!$D$27)</f>
        <v>3.1526667258027277</v>
      </c>
      <c r="AM149" s="281">
        <f>AL149*(1+'R&amp;C-Painel de Controle'!$D$27)</f>
        <v>3.1674842594140005</v>
      </c>
      <c r="AN149" s="281">
        <f>AM149*(1+'R&amp;C-Painel de Controle'!$D$27)</f>
        <v>3.1823714354332462</v>
      </c>
      <c r="AO149" s="281">
        <f>AN149*(1+'R&amp;C-Painel de Controle'!$D$27)</f>
        <v>3.1973285811797822</v>
      </c>
      <c r="AP149" s="281">
        <f>AO149*(1+'R&amp;C-Painel de Controle'!$D$27)</f>
        <v>3.212356025511327</v>
      </c>
      <c r="AQ149" s="281">
        <f>AP149*(1+'R&amp;C-Painel de Controle'!$D$27)</f>
        <v>3.2274540988312301</v>
      </c>
      <c r="AR149" s="281">
        <f>AQ149*(1+'R&amp;C-Painel de Controle'!$D$27)</f>
        <v>3.2426231330957367</v>
      </c>
      <c r="AS149" s="281">
        <f>AR149*(1+'R&amp;C-Painel de Controle'!$D$27)</f>
        <v>3.2578634618212865</v>
      </c>
      <c r="AT149" s="281">
        <f>AS149*(1+'R&amp;C-Painel de Controle'!$D$27)</f>
        <v>3.2731754200918464</v>
      </c>
      <c r="AU149" s="281">
        <f>AT149*(1+'R&amp;C-Painel de Controle'!$D$27)</f>
        <v>3.288559344566278</v>
      </c>
      <c r="AV149" s="281">
        <f>AU149*(1+'R&amp;C-Painel de Controle'!$D$27)</f>
        <v>3.304015573485739</v>
      </c>
      <c r="AW149" s="281">
        <f>AV149*(1+'R&amp;C-Painel de Controle'!$D$27)</f>
        <v>3.3195444466811219</v>
      </c>
      <c r="AX149" s="281">
        <f>AW149*(1+'R&amp;C-Painel de Controle'!$D$27)</f>
        <v>3.3351463055805231</v>
      </c>
      <c r="AY149" s="281">
        <f>AX149*(1+'R&amp;C-Painel de Controle'!$D$27)</f>
        <v>3.3508214932167513</v>
      </c>
      <c r="AZ149" s="281">
        <f>AY149*(1+'R&amp;C-Painel de Controle'!$D$27)</f>
        <v>3.3665703542348697</v>
      </c>
      <c r="BA149" s="281">
        <f>AZ149*(1+'R&amp;C-Painel de Controle'!$D$27)</f>
        <v>3.3823932348997734</v>
      </c>
      <c r="BB149" s="281">
        <f>BA149*(1+'R&amp;C-Painel de Controle'!$D$27)</f>
        <v>3.3982904831038021</v>
      </c>
      <c r="BC149" s="281">
        <f>BB149*(1+'R&amp;C-Painel de Controle'!$D$27)</f>
        <v>3.4142624483743895</v>
      </c>
    </row>
    <row r="150" spans="2:58" s="192" customFormat="1" ht="25.15" customHeight="1" x14ac:dyDescent="0.25">
      <c r="B150" s="739" t="s">
        <v>625</v>
      </c>
      <c r="R150" s="274"/>
    </row>
    <row r="151" spans="2:58" s="192" customFormat="1" ht="16.899999999999999" customHeight="1" outlineLevel="1" x14ac:dyDescent="0.25">
      <c r="B151" s="192" t="s">
        <v>626</v>
      </c>
      <c r="C151" s="282">
        <f t="shared" ref="C151:BC151" si="53">C148+C121-C119</f>
        <v>29.083436062126228</v>
      </c>
      <c r="D151" s="282">
        <f t="shared" si="53"/>
        <v>29.225624002023878</v>
      </c>
      <c r="E151" s="282">
        <f t="shared" si="53"/>
        <v>29.36848022523904</v>
      </c>
      <c r="F151" s="282">
        <f t="shared" si="53"/>
        <v>0.91120717072195134</v>
      </c>
      <c r="G151" s="282">
        <f t="shared" si="53"/>
        <v>1.0554093981293171</v>
      </c>
      <c r="H151" s="282">
        <f t="shared" si="53"/>
        <v>1.2002893760054931</v>
      </c>
      <c r="I151" s="282">
        <f t="shared" si="53"/>
        <v>1.3458502897776867</v>
      </c>
      <c r="J151" s="282">
        <f t="shared" si="53"/>
        <v>1.4920953398446102</v>
      </c>
      <c r="K151" s="282">
        <f t="shared" si="53"/>
        <v>1.6390277416468493</v>
      </c>
      <c r="L151" s="282">
        <f t="shared" si="53"/>
        <v>1.7866507257375588</v>
      </c>
      <c r="M151" s="282">
        <f t="shared" si="53"/>
        <v>1.9349675378534954</v>
      </c>
      <c r="N151" s="282">
        <f t="shared" si="53"/>
        <v>2.0839814389863776</v>
      </c>
      <c r="O151" s="282">
        <f t="shared" si="53"/>
        <v>2.2336957054545792</v>
      </c>
      <c r="P151" s="282">
        <f t="shared" si="53"/>
        <v>2.3841136289751788</v>
      </c>
      <c r="Q151" s="282">
        <f t="shared" si="53"/>
        <v>2.5352385167363352</v>
      </c>
      <c r="R151" s="282">
        <f t="shared" si="53"/>
        <v>2.6870736914699762</v>
      </c>
      <c r="S151" s="282">
        <f t="shared" si="53"/>
        <v>2.8396224915248496</v>
      </c>
      <c r="T151" s="282">
        <f t="shared" si="53"/>
        <v>2.9928882709399787</v>
      </c>
      <c r="U151" s="282">
        <f t="shared" si="53"/>
        <v>3.1468743995183672</v>
      </c>
      <c r="V151" s="282">
        <f t="shared" si="53"/>
        <v>3.3015842629010805</v>
      </c>
      <c r="W151" s="282">
        <f t="shared" si="53"/>
        <v>3.4570212626416819</v>
      </c>
      <c r="X151" s="282">
        <f t="shared" si="53"/>
        <v>3.6131888162810668</v>
      </c>
      <c r="Y151" s="282">
        <f t="shared" si="53"/>
        <v>3.7700903574225606</v>
      </c>
      <c r="Z151" s="282">
        <f t="shared" si="53"/>
        <v>3.9277293358074061</v>
      </c>
      <c r="AA151" s="282">
        <f t="shared" si="53"/>
        <v>4.0861092173906783</v>
      </c>
      <c r="AB151" s="282">
        <f t="shared" si="53"/>
        <v>4.2452334844173762</v>
      </c>
      <c r="AC151" s="282">
        <f t="shared" si="53"/>
        <v>4.4051056354991118</v>
      </c>
      <c r="AD151" s="282">
        <f t="shared" si="53"/>
        <v>4.5657291856909197</v>
      </c>
      <c r="AE151" s="282">
        <f t="shared" si="53"/>
        <v>4.7271076665686422</v>
      </c>
      <c r="AF151" s="282">
        <f t="shared" si="53"/>
        <v>4.8892446263064784</v>
      </c>
      <c r="AG151" s="282">
        <f t="shared" si="53"/>
        <v>5.0521436297550864</v>
      </c>
      <c r="AH151" s="282">
        <f t="shared" si="53"/>
        <v>5.2158082585198997</v>
      </c>
      <c r="AI151" s="282">
        <f t="shared" si="53"/>
        <v>5.3802421110399195</v>
      </c>
      <c r="AJ151" s="282">
        <f t="shared" si="53"/>
        <v>5.5454488026667761</v>
      </c>
      <c r="AK151" s="282">
        <f t="shared" si="53"/>
        <v>5.7114319657442749</v>
      </c>
      <c r="AL151" s="282">
        <f t="shared" si="53"/>
        <v>5.8781952496882397</v>
      </c>
      <c r="AM151" s="282">
        <f t="shared" si="53"/>
        <v>6.04574232106674</v>
      </c>
      <c r="AN151" s="282">
        <f t="shared" si="53"/>
        <v>6.2140768636807238</v>
      </c>
      <c r="AO151" s="282">
        <f t="shared" si="53"/>
        <v>6.3832025786449975</v>
      </c>
      <c r="AP151" s="282">
        <f t="shared" si="53"/>
        <v>6.5531231844695981</v>
      </c>
      <c r="AQ151" s="282">
        <f t="shared" si="53"/>
        <v>6.7238424171415687</v>
      </c>
      <c r="AR151" s="282">
        <f t="shared" si="53"/>
        <v>6.8953640302071051</v>
      </c>
      <c r="AS151" s="282">
        <f t="shared" si="53"/>
        <v>7.0676917948540492</v>
      </c>
      <c r="AT151" s="282">
        <f t="shared" si="53"/>
        <v>7.2408294999948311</v>
      </c>
      <c r="AU151" s="282">
        <f t="shared" si="53"/>
        <v>7.4147809523497727</v>
      </c>
      <c r="AV151" s="282">
        <f t="shared" si="53"/>
        <v>7.5895499765307903</v>
      </c>
      <c r="AW151" s="282">
        <f t="shared" si="53"/>
        <v>7.7651404151254582</v>
      </c>
      <c r="AX151" s="282">
        <f t="shared" si="53"/>
        <v>7.9415561287815137</v>
      </c>
      <c r="AY151" s="282">
        <f t="shared" si="53"/>
        <v>8.1188009962917462</v>
      </c>
      <c r="AZ151" s="282">
        <f t="shared" si="53"/>
        <v>8.296878914679283</v>
      </c>
      <c r="BA151" s="282">
        <f t="shared" si="53"/>
        <v>8.4757937992832524</v>
      </c>
      <c r="BB151" s="282">
        <f t="shared" si="53"/>
        <v>8.6555495838448522</v>
      </c>
      <c r="BC151" s="282">
        <f t="shared" si="53"/>
        <v>8.8361502205938933</v>
      </c>
    </row>
    <row r="152" spans="2:58" s="192" customFormat="1" ht="16.899999999999999" customHeight="1" outlineLevel="1" x14ac:dyDescent="0.25">
      <c r="B152" s="192" t="s">
        <v>364</v>
      </c>
      <c r="C152" s="282">
        <f>C63</f>
        <v>46.8476242812241</v>
      </c>
      <c r="D152" s="282">
        <f>IF(SUM($C$152:C152)&lt;'R&amp;C-Painel de Controle'!$H$24,D63,0)</f>
        <v>73.093666936894934</v>
      </c>
      <c r="E152" s="282">
        <f>IF(SUM($C$152:D152)&lt;'R&amp;C-Painel de Controle'!$H$24,E63,0)</f>
        <v>63.851148973955475</v>
      </c>
      <c r="F152" s="282">
        <f>IF(SUM($C$152:E152)&lt;'R&amp;C-Painel de Controle'!$H$24,F63,0)</f>
        <v>0</v>
      </c>
      <c r="G152" s="282">
        <f>IF(SUM($C$152:F152)&lt;'R&amp;C-Painel de Controle'!$H$24,G63,0)</f>
        <v>0</v>
      </c>
      <c r="H152" s="282">
        <f>IF(SUM($C$152:G152)&lt;'R&amp;C-Painel de Controle'!$H$24,H63,0)</f>
        <v>0</v>
      </c>
      <c r="I152" s="282">
        <f>IF(SUM($C$152:H152)&lt;'R&amp;C-Painel de Controle'!$H$24,I63,0)</f>
        <v>0</v>
      </c>
      <c r="J152" s="282">
        <f>IF(SUM($C$152:I152)&lt;'R&amp;C-Painel de Controle'!$H$24,J63,0)</f>
        <v>0</v>
      </c>
      <c r="K152" s="282">
        <f>IF(SUM($C$152:J152)&lt;'R&amp;C-Painel de Controle'!$H$24,K63,0)</f>
        <v>0</v>
      </c>
      <c r="L152" s="282">
        <f>IF(SUM($C$152:K152)&lt;'R&amp;C-Painel de Controle'!$H$24,L63,0)</f>
        <v>0</v>
      </c>
      <c r="M152" s="282">
        <f>IF(SUM($C$152:L152)&lt;'R&amp;C-Painel de Controle'!$H$24,M63,0)</f>
        <v>0</v>
      </c>
      <c r="N152" s="282">
        <f>IF(SUM($C$152:M152)&lt;'R&amp;C-Painel de Controle'!$H$24,N63,0)</f>
        <v>0</v>
      </c>
      <c r="O152" s="282">
        <f>IF(SUM($C$152:N152)&lt;'R&amp;C-Painel de Controle'!$H$24,O63,0)</f>
        <v>0</v>
      </c>
      <c r="P152" s="282">
        <f>IF(SUM($C$152:O152)&lt;'R&amp;C-Painel de Controle'!$H$24,P63,0)</f>
        <v>0</v>
      </c>
      <c r="Q152" s="282">
        <f>IF(SUM($C$152:P152)&lt;'R&amp;C-Painel de Controle'!$H$24,Q63,0)</f>
        <v>0</v>
      </c>
      <c r="R152" s="282">
        <f>IF(SUM($C$152:Q152)&lt;'R&amp;C-Painel de Controle'!$H$24,R63,0)</f>
        <v>0</v>
      </c>
      <c r="S152" s="282">
        <f>IF(SUM($C$152:R152)&lt;'R&amp;C-Painel de Controle'!$H$24,S63,0)</f>
        <v>0</v>
      </c>
      <c r="T152" s="282">
        <f>IF(SUM($C$152:S152)&lt;'R&amp;C-Painel de Controle'!$H$24,T63,0)</f>
        <v>0</v>
      </c>
      <c r="U152" s="282">
        <f>IF(SUM($C$152:T152)&lt;'R&amp;C-Painel de Controle'!$H$24,U63,0)</f>
        <v>0</v>
      </c>
      <c r="V152" s="282">
        <f>IF(SUM($C$152:U152)&lt;'R&amp;C-Painel de Controle'!$H$24,V63,0)</f>
        <v>0</v>
      </c>
      <c r="W152" s="282">
        <f>IF(SUM($C$152:V152)&lt;'R&amp;C-Painel de Controle'!$H$24,W63,0)</f>
        <v>0</v>
      </c>
      <c r="X152" s="282">
        <f>IF(SUM($C$152:W152)&lt;'R&amp;C-Painel de Controle'!$H$24,X63,0)</f>
        <v>0</v>
      </c>
      <c r="Y152" s="282">
        <f>IF(SUM($C$152:X152)&lt;'R&amp;C-Painel de Controle'!$H$24,Y63,0)</f>
        <v>0</v>
      </c>
      <c r="Z152" s="282">
        <f>IF(SUM($C$152:Y152)&lt;'R&amp;C-Painel de Controle'!$H$24,Z63,0)</f>
        <v>0</v>
      </c>
      <c r="AA152" s="282">
        <f>IF(SUM($C$152:Z152)&lt;'R&amp;C-Painel de Controle'!$H$24,AA63,0)</f>
        <v>0</v>
      </c>
      <c r="AB152" s="282">
        <f>IF(SUM($C$152:AA152)&lt;'R&amp;C-Painel de Controle'!$H$24,AB63,0)</f>
        <v>0</v>
      </c>
      <c r="AC152" s="282">
        <f>IF(SUM($C$152:AB152)&lt;'R&amp;C-Painel de Controle'!$H$24,AC63,0)</f>
        <v>0</v>
      </c>
      <c r="AD152" s="282">
        <f>IF(SUM($C$152:AC152)&lt;'R&amp;C-Painel de Controle'!$H$24,AD63,0)</f>
        <v>0</v>
      </c>
      <c r="AE152" s="282">
        <f>IF(SUM($C$152:AD152)&lt;'R&amp;C-Painel de Controle'!$H$24,AE63,0)</f>
        <v>0</v>
      </c>
      <c r="AF152" s="282">
        <f>IF(SUM($C$152:AE152)&lt;'R&amp;C-Painel de Controle'!$H$24,AF63,0)</f>
        <v>0</v>
      </c>
      <c r="AG152" s="282">
        <f>IF(SUM($C$152:AF152)&lt;'R&amp;C-Painel de Controle'!$H$24,AG63,0)</f>
        <v>0</v>
      </c>
      <c r="AH152" s="282">
        <f>IF(SUM($C$152:AG152)&lt;'R&amp;C-Painel de Controle'!$H$24,AH63,0)</f>
        <v>0</v>
      </c>
      <c r="AI152" s="282">
        <f>IF(SUM($C$152:AH152)&lt;'R&amp;C-Painel de Controle'!$H$24,AI63,0)</f>
        <v>0</v>
      </c>
      <c r="AJ152" s="282">
        <f>IF(SUM($C$152:AI152)&lt;'R&amp;C-Painel de Controle'!$H$24,AJ63,0)</f>
        <v>0</v>
      </c>
      <c r="AK152" s="282">
        <f>IF(SUM($C$152:AJ152)&lt;'R&amp;C-Painel de Controle'!$H$24,AK63,0)</f>
        <v>0</v>
      </c>
      <c r="AL152" s="282">
        <f>IF(SUM($C$152:AK152)&lt;'R&amp;C-Painel de Controle'!$H$24,AL63,0)</f>
        <v>0</v>
      </c>
      <c r="AM152" s="282">
        <f>IF(SUM($C$152:AL152)&lt;'R&amp;C-Painel de Controle'!$H$24,AM63,0)</f>
        <v>0</v>
      </c>
      <c r="AN152" s="282">
        <f>IF(SUM($C$152:AM152)&lt;'R&amp;C-Painel de Controle'!$H$24,AN63,0)</f>
        <v>0</v>
      </c>
      <c r="AO152" s="282">
        <f>IF(SUM($C$152:AN152)&lt;'R&amp;C-Painel de Controle'!$H$24,AO63,0)</f>
        <v>0</v>
      </c>
      <c r="AP152" s="282">
        <f>IF(SUM($C$152:AO152)&lt;'R&amp;C-Painel de Controle'!$H$24,AP63,0)</f>
        <v>0</v>
      </c>
      <c r="AQ152" s="282">
        <f>IF(SUM($C$152:AP152)&lt;'R&amp;C-Painel de Controle'!$H$24,AQ63,0)</f>
        <v>0</v>
      </c>
      <c r="AR152" s="282">
        <f>IF(SUM($C$152:AQ152)&lt;'R&amp;C-Painel de Controle'!$H$24,AR63,0)</f>
        <v>0</v>
      </c>
      <c r="AS152" s="282">
        <f>IF(SUM($C$152:AR152)&lt;'R&amp;C-Painel de Controle'!$H$24,AS63,0)</f>
        <v>0</v>
      </c>
      <c r="AT152" s="282">
        <f>IF(SUM($C$152:AS152)&lt;'R&amp;C-Painel de Controle'!$H$24,AT63,0)</f>
        <v>0</v>
      </c>
      <c r="AU152" s="282">
        <f>IF(SUM($C$152:AT152)&lt;'R&amp;C-Painel de Controle'!$H$24,AU63,0)</f>
        <v>0</v>
      </c>
      <c r="AV152" s="282">
        <f>IF(SUM($C$152:AU152)&lt;'R&amp;C-Painel de Controle'!$H$24,AV63,0)</f>
        <v>0</v>
      </c>
      <c r="AW152" s="282">
        <f>IF(SUM($C$152:AV152)&lt;'R&amp;C-Painel de Controle'!$H$24,AW63,0)</f>
        <v>0</v>
      </c>
      <c r="AX152" s="282">
        <f>IF(SUM($C$152:AW152)&lt;'R&amp;C-Painel de Controle'!$H$24,AX63,0)</f>
        <v>0</v>
      </c>
      <c r="AY152" s="282">
        <f>IF(SUM($C$152:AX152)&lt;'R&amp;C-Painel de Controle'!$H$24,AY63,0)</f>
        <v>0</v>
      </c>
      <c r="AZ152" s="282">
        <f>IF(SUM($C$152:AY152)&lt;'R&amp;C-Painel de Controle'!$H$24,AZ63,0)</f>
        <v>0</v>
      </c>
      <c r="BA152" s="282">
        <f>IF(SUM($C$152:AZ152)&lt;'R&amp;C-Painel de Controle'!$H$24,BA63,0)</f>
        <v>0</v>
      </c>
      <c r="BB152" s="282">
        <f>IF(SUM($C$152:BA152)&lt;'R&amp;C-Painel de Controle'!$H$24,BB63,0)</f>
        <v>0</v>
      </c>
      <c r="BC152" s="282">
        <f>IF(SUM($C$152:BB152)&lt;'R&amp;C-Painel de Controle'!$H$24,BC63,0)</f>
        <v>0</v>
      </c>
    </row>
    <row r="153" spans="2:58" s="192" customFormat="1" ht="16.899999999999999" customHeight="1" outlineLevel="1" x14ac:dyDescent="0.25">
      <c r="B153" s="192" t="s">
        <v>365</v>
      </c>
      <c r="C153" s="282">
        <f t="shared" ref="C153:BC153" si="54">C151-C152</f>
        <v>-17.764188219097871</v>
      </c>
      <c r="D153" s="282">
        <f t="shared" si="54"/>
        <v>-43.868042934871056</v>
      </c>
      <c r="E153" s="282">
        <f t="shared" si="54"/>
        <v>-34.482668748716435</v>
      </c>
      <c r="F153" s="282">
        <f t="shared" si="54"/>
        <v>0.91120717072195134</v>
      </c>
      <c r="G153" s="282">
        <f t="shared" si="54"/>
        <v>1.0554093981293171</v>
      </c>
      <c r="H153" s="282">
        <f t="shared" si="54"/>
        <v>1.2002893760054931</v>
      </c>
      <c r="I153" s="282">
        <f t="shared" si="54"/>
        <v>1.3458502897776867</v>
      </c>
      <c r="J153" s="282">
        <f t="shared" si="54"/>
        <v>1.4920953398446102</v>
      </c>
      <c r="K153" s="282">
        <f t="shared" si="54"/>
        <v>1.6390277416468493</v>
      </c>
      <c r="L153" s="282">
        <f t="shared" si="54"/>
        <v>1.7866507257375588</v>
      </c>
      <c r="M153" s="282">
        <f t="shared" si="54"/>
        <v>1.9349675378534954</v>
      </c>
      <c r="N153" s="282">
        <f t="shared" si="54"/>
        <v>2.0839814389863776</v>
      </c>
      <c r="O153" s="282">
        <f t="shared" si="54"/>
        <v>2.2336957054545792</v>
      </c>
      <c r="P153" s="282">
        <f t="shared" si="54"/>
        <v>2.3841136289751788</v>
      </c>
      <c r="Q153" s="282">
        <f t="shared" si="54"/>
        <v>2.5352385167363352</v>
      </c>
      <c r="R153" s="282">
        <f t="shared" si="54"/>
        <v>2.6870736914699762</v>
      </c>
      <c r="S153" s="282">
        <f t="shared" si="54"/>
        <v>2.8396224915248496</v>
      </c>
      <c r="T153" s="282">
        <f t="shared" si="54"/>
        <v>2.9928882709399787</v>
      </c>
      <c r="U153" s="282">
        <f t="shared" si="54"/>
        <v>3.1468743995183672</v>
      </c>
      <c r="V153" s="282">
        <f t="shared" si="54"/>
        <v>3.3015842629010805</v>
      </c>
      <c r="W153" s="282">
        <f t="shared" si="54"/>
        <v>3.4570212626416819</v>
      </c>
      <c r="X153" s="282">
        <f t="shared" si="54"/>
        <v>3.6131888162810668</v>
      </c>
      <c r="Y153" s="282">
        <f t="shared" si="54"/>
        <v>3.7700903574225606</v>
      </c>
      <c r="Z153" s="282">
        <f t="shared" si="54"/>
        <v>3.9277293358074061</v>
      </c>
      <c r="AA153" s="282">
        <f t="shared" si="54"/>
        <v>4.0861092173906783</v>
      </c>
      <c r="AB153" s="282">
        <f t="shared" si="54"/>
        <v>4.2452334844173762</v>
      </c>
      <c r="AC153" s="282">
        <f t="shared" si="54"/>
        <v>4.4051056354991118</v>
      </c>
      <c r="AD153" s="282">
        <f t="shared" si="54"/>
        <v>4.5657291856909197</v>
      </c>
      <c r="AE153" s="282">
        <f t="shared" si="54"/>
        <v>4.7271076665686422</v>
      </c>
      <c r="AF153" s="282">
        <f t="shared" si="54"/>
        <v>4.8892446263064784</v>
      </c>
      <c r="AG153" s="282">
        <f t="shared" si="54"/>
        <v>5.0521436297550864</v>
      </c>
      <c r="AH153" s="282">
        <f t="shared" si="54"/>
        <v>5.2158082585198997</v>
      </c>
      <c r="AI153" s="282">
        <f t="shared" si="54"/>
        <v>5.3802421110399195</v>
      </c>
      <c r="AJ153" s="282">
        <f t="shared" si="54"/>
        <v>5.5454488026667761</v>
      </c>
      <c r="AK153" s="282">
        <f t="shared" si="54"/>
        <v>5.7114319657442749</v>
      </c>
      <c r="AL153" s="282">
        <f t="shared" si="54"/>
        <v>5.8781952496882397</v>
      </c>
      <c r="AM153" s="282">
        <f t="shared" si="54"/>
        <v>6.04574232106674</v>
      </c>
      <c r="AN153" s="282">
        <f t="shared" si="54"/>
        <v>6.2140768636807238</v>
      </c>
      <c r="AO153" s="282">
        <f t="shared" si="54"/>
        <v>6.3832025786449975</v>
      </c>
      <c r="AP153" s="282">
        <f t="shared" si="54"/>
        <v>6.5531231844695981</v>
      </c>
      <c r="AQ153" s="282">
        <f t="shared" si="54"/>
        <v>6.7238424171415687</v>
      </c>
      <c r="AR153" s="282">
        <f t="shared" si="54"/>
        <v>6.8953640302071051</v>
      </c>
      <c r="AS153" s="282">
        <f t="shared" si="54"/>
        <v>7.0676917948540492</v>
      </c>
      <c r="AT153" s="282">
        <f t="shared" si="54"/>
        <v>7.2408294999948311</v>
      </c>
      <c r="AU153" s="282">
        <f t="shared" si="54"/>
        <v>7.4147809523497727</v>
      </c>
      <c r="AV153" s="282">
        <f t="shared" si="54"/>
        <v>7.5895499765307903</v>
      </c>
      <c r="AW153" s="282">
        <f t="shared" si="54"/>
        <v>7.7651404151254582</v>
      </c>
      <c r="AX153" s="282">
        <f t="shared" si="54"/>
        <v>7.9415561287815137</v>
      </c>
      <c r="AY153" s="282">
        <f t="shared" si="54"/>
        <v>8.1188009962917462</v>
      </c>
      <c r="AZ153" s="282">
        <f t="shared" si="54"/>
        <v>8.296878914679283</v>
      </c>
      <c r="BA153" s="282">
        <f t="shared" si="54"/>
        <v>8.4757937992832524</v>
      </c>
      <c r="BB153" s="282">
        <f t="shared" si="54"/>
        <v>8.6555495838448522</v>
      </c>
      <c r="BC153" s="282">
        <f t="shared" si="54"/>
        <v>8.8361502205938933</v>
      </c>
    </row>
    <row r="154" spans="2:58" s="192" customFormat="1" ht="16.899999999999999" customHeight="1" outlineLevel="1" x14ac:dyDescent="0.25">
      <c r="B154" s="276" t="s">
        <v>366</v>
      </c>
      <c r="C154" s="282">
        <f>IF((C153&gt;0),C153*(1-($C$26+$C$25)),C153)</f>
        <v>-17.764188219097871</v>
      </c>
      <c r="D154" s="282">
        <f t="shared" ref="D154:BC154" si="55">IF((D153&gt;0),D153*(1-($C$26+$C$25)),D153)</f>
        <v>-43.868042934871056</v>
      </c>
      <c r="E154" s="282">
        <f t="shared" si="55"/>
        <v>-34.482668748716435</v>
      </c>
      <c r="F154" s="282">
        <f t="shared" si="55"/>
        <v>0.60139673267648797</v>
      </c>
      <c r="G154" s="282">
        <f t="shared" si="55"/>
        <v>0.69657020276534931</v>
      </c>
      <c r="H154" s="282">
        <f t="shared" si="55"/>
        <v>0.79219098816362554</v>
      </c>
      <c r="I154" s="282">
        <f t="shared" si="55"/>
        <v>0.8882611912532733</v>
      </c>
      <c r="J154" s="282">
        <f t="shared" si="55"/>
        <v>0.98478292429744274</v>
      </c>
      <c r="K154" s="282">
        <f t="shared" si="55"/>
        <v>1.0817583094869205</v>
      </c>
      <c r="L154" s="282">
        <f t="shared" si="55"/>
        <v>1.1791894789867889</v>
      </c>
      <c r="M154" s="282">
        <f t="shared" si="55"/>
        <v>1.2770785749833071</v>
      </c>
      <c r="N154" s="282">
        <f t="shared" si="55"/>
        <v>1.3754277497310092</v>
      </c>
      <c r="O154" s="282">
        <f t="shared" si="55"/>
        <v>1.4742391656000224</v>
      </c>
      <c r="P154" s="282">
        <f t="shared" si="55"/>
        <v>1.573514995123618</v>
      </c>
      <c r="Q154" s="282">
        <f t="shared" si="55"/>
        <v>1.6732574210459812</v>
      </c>
      <c r="R154" s="282">
        <f t="shared" si="55"/>
        <v>1.7734686363701844</v>
      </c>
      <c r="S154" s="282">
        <f t="shared" si="55"/>
        <v>1.8741508444064008</v>
      </c>
      <c r="T154" s="282">
        <f t="shared" si="55"/>
        <v>1.975306258820386</v>
      </c>
      <c r="U154" s="282">
        <f t="shared" si="55"/>
        <v>2.0769371036821225</v>
      </c>
      <c r="V154" s="282">
        <f t="shared" si="55"/>
        <v>2.1790456135147132</v>
      </c>
      <c r="W154" s="282">
        <f t="shared" si="55"/>
        <v>2.2816340333435101</v>
      </c>
      <c r="X154" s="282">
        <f t="shared" si="55"/>
        <v>2.3847046187455043</v>
      </c>
      <c r="Y154" s="282">
        <f t="shared" si="55"/>
        <v>2.4882596358988902</v>
      </c>
      <c r="Z154" s="282">
        <f t="shared" si="55"/>
        <v>2.592301361632888</v>
      </c>
      <c r="AA154" s="282">
        <f t="shared" si="55"/>
        <v>2.6968320834778479</v>
      </c>
      <c r="AB154" s="282">
        <f t="shared" si="55"/>
        <v>2.8018540997154684</v>
      </c>
      <c r="AC154" s="282">
        <f t="shared" si="55"/>
        <v>2.9073697194294139</v>
      </c>
      <c r="AD154" s="282">
        <f t="shared" si="55"/>
        <v>3.013381262556007</v>
      </c>
      <c r="AE154" s="282">
        <f t="shared" si="55"/>
        <v>3.1198910599353038</v>
      </c>
      <c r="AF154" s="282">
        <f t="shared" si="55"/>
        <v>3.226901453362276</v>
      </c>
      <c r="AG154" s="282">
        <f t="shared" si="55"/>
        <v>3.3344147956383572</v>
      </c>
      <c r="AH154" s="282">
        <f t="shared" si="55"/>
        <v>3.4424334506231338</v>
      </c>
      <c r="AI154" s="282">
        <f t="shared" si="55"/>
        <v>3.550959793286347</v>
      </c>
      <c r="AJ154" s="282">
        <f t="shared" si="55"/>
        <v>3.6599962097600724</v>
      </c>
      <c r="AK154" s="282">
        <f t="shared" si="55"/>
        <v>3.7695450973912217</v>
      </c>
      <c r="AL154" s="282">
        <f t="shared" si="55"/>
        <v>3.8796088647942382</v>
      </c>
      <c r="AM154" s="282">
        <f t="shared" si="55"/>
        <v>3.9901899319040486</v>
      </c>
      <c r="AN154" s="282">
        <f t="shared" si="55"/>
        <v>4.1012907300292776</v>
      </c>
      <c r="AO154" s="282">
        <f t="shared" si="55"/>
        <v>4.2129137019056984</v>
      </c>
      <c r="AP154" s="282">
        <f t="shared" si="55"/>
        <v>4.3250613017499351</v>
      </c>
      <c r="AQ154" s="282">
        <f t="shared" si="55"/>
        <v>4.4377359953134352</v>
      </c>
      <c r="AR154" s="282">
        <f t="shared" si="55"/>
        <v>4.5509402599366897</v>
      </c>
      <c r="AS154" s="282">
        <f t="shared" si="55"/>
        <v>4.6646765846036731</v>
      </c>
      <c r="AT154" s="282">
        <f t="shared" si="55"/>
        <v>4.7789474699965888</v>
      </c>
      <c r="AU154" s="282">
        <f t="shared" si="55"/>
        <v>4.8937554285508504</v>
      </c>
      <c r="AV154" s="282">
        <f t="shared" si="55"/>
        <v>5.0091029845103217</v>
      </c>
      <c r="AW154" s="282">
        <f t="shared" si="55"/>
        <v>5.1249926739828027</v>
      </c>
      <c r="AX154" s="282">
        <f t="shared" si="55"/>
        <v>5.2414270449957989</v>
      </c>
      <c r="AY154" s="282">
        <f t="shared" si="55"/>
        <v>5.3584086575525527</v>
      </c>
      <c r="AZ154" s="282">
        <f t="shared" si="55"/>
        <v>5.475940083688327</v>
      </c>
      <c r="BA154" s="282">
        <f t="shared" si="55"/>
        <v>5.5940239075269469</v>
      </c>
      <c r="BB154" s="282">
        <f t="shared" si="55"/>
        <v>5.7126627253376023</v>
      </c>
      <c r="BC154" s="282">
        <f t="shared" si="55"/>
        <v>5.8318591455919702</v>
      </c>
    </row>
    <row r="155" spans="2:58" s="192" customFormat="1" ht="16.899999999999999" customHeight="1" outlineLevel="1" x14ac:dyDescent="0.25">
      <c r="C155" s="283"/>
      <c r="D155" s="283"/>
      <c r="E155" s="283"/>
      <c r="F155" s="283"/>
      <c r="G155" s="283"/>
      <c r="H155" s="283"/>
      <c r="I155" s="283"/>
      <c r="J155" s="283"/>
      <c r="K155" s="283"/>
      <c r="L155" s="283"/>
      <c r="M155" s="283"/>
      <c r="N155" s="283"/>
      <c r="O155" s="283"/>
      <c r="P155" s="283"/>
      <c r="Q155" s="283"/>
      <c r="R155" s="282"/>
      <c r="S155" s="283"/>
      <c r="T155" s="283"/>
      <c r="U155" s="283"/>
      <c r="V155" s="283"/>
      <c r="W155" s="283"/>
      <c r="X155" s="283"/>
      <c r="Y155" s="283"/>
      <c r="Z155" s="283"/>
      <c r="AA155" s="283"/>
      <c r="AB155" s="283"/>
      <c r="AC155" s="283"/>
      <c r="AD155" s="283"/>
      <c r="AE155" s="283"/>
      <c r="AF155" s="283"/>
      <c r="AG155" s="283"/>
      <c r="AH155" s="283"/>
      <c r="AI155" s="283"/>
      <c r="AJ155" s="283"/>
      <c r="AK155" s="283"/>
      <c r="AL155" s="283"/>
      <c r="AM155" s="283"/>
      <c r="AN155" s="283"/>
      <c r="AO155" s="283"/>
      <c r="AP155" s="283"/>
      <c r="AQ155" s="283"/>
      <c r="AR155" s="283"/>
      <c r="AS155" s="283"/>
      <c r="AT155" s="283"/>
      <c r="AU155" s="283"/>
      <c r="AV155" s="283"/>
      <c r="AW155" s="283"/>
      <c r="AX155" s="283"/>
      <c r="AY155" s="283"/>
      <c r="AZ155" s="283"/>
      <c r="BA155" s="283"/>
      <c r="BB155" s="283"/>
      <c r="BC155" s="283"/>
    </row>
    <row r="156" spans="2:58" s="192" customFormat="1" ht="16.899999999999999" customHeight="1" outlineLevel="1" x14ac:dyDescent="0.25">
      <c r="B156" s="192" t="s">
        <v>415</v>
      </c>
      <c r="C156" s="282">
        <f>C154</f>
        <v>-17.764188219097871</v>
      </c>
      <c r="D156" s="282">
        <f t="shared" ref="D156:BC156" si="56">D154</f>
        <v>-43.868042934871056</v>
      </c>
      <c r="E156" s="282">
        <f t="shared" si="56"/>
        <v>-34.482668748716435</v>
      </c>
      <c r="F156" s="282">
        <f t="shared" si="56"/>
        <v>0.60139673267648797</v>
      </c>
      <c r="G156" s="282">
        <f t="shared" si="56"/>
        <v>0.69657020276534931</v>
      </c>
      <c r="H156" s="282">
        <f t="shared" si="56"/>
        <v>0.79219098816362554</v>
      </c>
      <c r="I156" s="282">
        <f t="shared" si="56"/>
        <v>0.8882611912532733</v>
      </c>
      <c r="J156" s="282">
        <f t="shared" si="56"/>
        <v>0.98478292429744274</v>
      </c>
      <c r="K156" s="282">
        <f t="shared" si="56"/>
        <v>1.0817583094869205</v>
      </c>
      <c r="L156" s="282">
        <f t="shared" si="56"/>
        <v>1.1791894789867889</v>
      </c>
      <c r="M156" s="282">
        <f t="shared" si="56"/>
        <v>1.2770785749833071</v>
      </c>
      <c r="N156" s="282">
        <f t="shared" si="56"/>
        <v>1.3754277497310092</v>
      </c>
      <c r="O156" s="282">
        <f t="shared" si="56"/>
        <v>1.4742391656000224</v>
      </c>
      <c r="P156" s="282">
        <f t="shared" si="56"/>
        <v>1.573514995123618</v>
      </c>
      <c r="Q156" s="282">
        <f t="shared" si="56"/>
        <v>1.6732574210459812</v>
      </c>
      <c r="R156" s="282">
        <f t="shared" si="56"/>
        <v>1.7734686363701844</v>
      </c>
      <c r="S156" s="282">
        <f t="shared" si="56"/>
        <v>1.8741508444064008</v>
      </c>
      <c r="T156" s="282">
        <f t="shared" si="56"/>
        <v>1.975306258820386</v>
      </c>
      <c r="U156" s="282">
        <f t="shared" si="56"/>
        <v>2.0769371036821225</v>
      </c>
      <c r="V156" s="282">
        <f t="shared" si="56"/>
        <v>2.1790456135147132</v>
      </c>
      <c r="W156" s="282">
        <f t="shared" si="56"/>
        <v>2.2816340333435101</v>
      </c>
      <c r="X156" s="282">
        <f t="shared" si="56"/>
        <v>2.3847046187455043</v>
      </c>
      <c r="Y156" s="282">
        <f t="shared" si="56"/>
        <v>2.4882596358988902</v>
      </c>
      <c r="Z156" s="282">
        <f t="shared" si="56"/>
        <v>2.592301361632888</v>
      </c>
      <c r="AA156" s="282">
        <f t="shared" si="56"/>
        <v>2.6968320834778479</v>
      </c>
      <c r="AB156" s="282">
        <f t="shared" si="56"/>
        <v>2.8018540997154684</v>
      </c>
      <c r="AC156" s="282">
        <f t="shared" si="56"/>
        <v>2.9073697194294139</v>
      </c>
      <c r="AD156" s="282">
        <f t="shared" si="56"/>
        <v>3.013381262556007</v>
      </c>
      <c r="AE156" s="282">
        <f t="shared" si="56"/>
        <v>3.1198910599353038</v>
      </c>
      <c r="AF156" s="282">
        <f t="shared" si="56"/>
        <v>3.226901453362276</v>
      </c>
      <c r="AG156" s="282">
        <f t="shared" si="56"/>
        <v>3.3344147956383572</v>
      </c>
      <c r="AH156" s="282">
        <f t="shared" si="56"/>
        <v>3.4424334506231338</v>
      </c>
      <c r="AI156" s="282">
        <f t="shared" si="56"/>
        <v>3.550959793286347</v>
      </c>
      <c r="AJ156" s="282">
        <f t="shared" si="56"/>
        <v>3.6599962097600724</v>
      </c>
      <c r="AK156" s="282">
        <f t="shared" si="56"/>
        <v>3.7695450973912217</v>
      </c>
      <c r="AL156" s="282">
        <f t="shared" si="56"/>
        <v>3.8796088647942382</v>
      </c>
      <c r="AM156" s="282">
        <f t="shared" si="56"/>
        <v>3.9901899319040486</v>
      </c>
      <c r="AN156" s="282">
        <f t="shared" si="56"/>
        <v>4.1012907300292776</v>
      </c>
      <c r="AO156" s="282">
        <f t="shared" si="56"/>
        <v>4.2129137019056984</v>
      </c>
      <c r="AP156" s="282">
        <f t="shared" si="56"/>
        <v>4.3250613017499351</v>
      </c>
      <c r="AQ156" s="282">
        <f t="shared" si="56"/>
        <v>4.4377359953134352</v>
      </c>
      <c r="AR156" s="282">
        <f t="shared" si="56"/>
        <v>4.5509402599366897</v>
      </c>
      <c r="AS156" s="282">
        <f t="shared" si="56"/>
        <v>4.6646765846036731</v>
      </c>
      <c r="AT156" s="282">
        <f t="shared" si="56"/>
        <v>4.7789474699965888</v>
      </c>
      <c r="AU156" s="282">
        <f t="shared" si="56"/>
        <v>4.8937554285508504</v>
      </c>
      <c r="AV156" s="282">
        <f t="shared" si="56"/>
        <v>5.0091029845103217</v>
      </c>
      <c r="AW156" s="282">
        <f t="shared" si="56"/>
        <v>5.1249926739828027</v>
      </c>
      <c r="AX156" s="282">
        <f t="shared" si="56"/>
        <v>5.2414270449957989</v>
      </c>
      <c r="AY156" s="282">
        <f t="shared" si="56"/>
        <v>5.3584086575525527</v>
      </c>
      <c r="AZ156" s="282">
        <f t="shared" si="56"/>
        <v>5.475940083688327</v>
      </c>
      <c r="BA156" s="282">
        <f t="shared" si="56"/>
        <v>5.5940239075269469</v>
      </c>
      <c r="BB156" s="282">
        <f t="shared" si="56"/>
        <v>5.7126627253376023</v>
      </c>
      <c r="BC156" s="282">
        <f t="shared" si="56"/>
        <v>5.8318591455919702</v>
      </c>
    </row>
    <row r="157" spans="2:58" s="192" customFormat="1" ht="16.899999999999999" customHeight="1" outlineLevel="1" x14ac:dyDescent="0.25">
      <c r="B157" s="192" t="s">
        <v>416</v>
      </c>
      <c r="C157" s="282">
        <f>C156</f>
        <v>-17.764188219097871</v>
      </c>
      <c r="D157" s="282">
        <f t="shared" ref="D157:BC157" si="57">C157+D156</f>
        <v>-61.632231153968931</v>
      </c>
      <c r="E157" s="282">
        <f t="shared" si="57"/>
        <v>-96.114899902685366</v>
      </c>
      <c r="F157" s="282">
        <f t="shared" si="57"/>
        <v>-95.513503170008875</v>
      </c>
      <c r="G157" s="282">
        <f t="shared" si="57"/>
        <v>-94.816932967243531</v>
      </c>
      <c r="H157" s="282">
        <f t="shared" si="57"/>
        <v>-94.024741979079906</v>
      </c>
      <c r="I157" s="282">
        <f t="shared" si="57"/>
        <v>-93.136480787826628</v>
      </c>
      <c r="J157" s="282">
        <f t="shared" si="57"/>
        <v>-92.151697863529179</v>
      </c>
      <c r="K157" s="282">
        <f t="shared" si="57"/>
        <v>-91.069939554042264</v>
      </c>
      <c r="L157" s="282">
        <f t="shared" si="57"/>
        <v>-89.890750075055479</v>
      </c>
      <c r="M157" s="282">
        <f t="shared" si="57"/>
        <v>-88.613671500072172</v>
      </c>
      <c r="N157" s="282">
        <f t="shared" si="57"/>
        <v>-87.238243750341169</v>
      </c>
      <c r="O157" s="282">
        <f t="shared" si="57"/>
        <v>-85.764004584741144</v>
      </c>
      <c r="P157" s="282">
        <f t="shared" si="57"/>
        <v>-84.190489589617528</v>
      </c>
      <c r="Q157" s="282">
        <f t="shared" si="57"/>
        <v>-82.517232168571553</v>
      </c>
      <c r="R157" s="282">
        <f t="shared" si="57"/>
        <v>-80.74376353220137</v>
      </c>
      <c r="S157" s="282">
        <f t="shared" si="57"/>
        <v>-78.869612687794969</v>
      </c>
      <c r="T157" s="282">
        <f t="shared" si="57"/>
        <v>-76.894306428974588</v>
      </c>
      <c r="U157" s="282">
        <f t="shared" si="57"/>
        <v>-74.817369325292461</v>
      </c>
      <c r="V157" s="282">
        <f t="shared" si="57"/>
        <v>-72.638323711777744</v>
      </c>
      <c r="W157" s="282">
        <f t="shared" si="57"/>
        <v>-70.356689678434236</v>
      </c>
      <c r="X157" s="282">
        <f t="shared" si="57"/>
        <v>-67.971985059688734</v>
      </c>
      <c r="Y157" s="282">
        <f t="shared" si="57"/>
        <v>-65.483725423789849</v>
      </c>
      <c r="Z157" s="282">
        <f t="shared" si="57"/>
        <v>-62.891424062156958</v>
      </c>
      <c r="AA157" s="282">
        <f t="shared" si="57"/>
        <v>-60.194591978679107</v>
      </c>
      <c r="AB157" s="282">
        <f t="shared" si="57"/>
        <v>-57.392737878963636</v>
      </c>
      <c r="AC157" s="282">
        <f t="shared" si="57"/>
        <v>-54.485368159534225</v>
      </c>
      <c r="AD157" s="282">
        <f t="shared" si="57"/>
        <v>-51.471986896978215</v>
      </c>
      <c r="AE157" s="282">
        <f t="shared" si="57"/>
        <v>-48.35209583704291</v>
      </c>
      <c r="AF157" s="282">
        <f t="shared" si="57"/>
        <v>-45.125194383680636</v>
      </c>
      <c r="AG157" s="282">
        <f t="shared" si="57"/>
        <v>-41.790779588042277</v>
      </c>
      <c r="AH157" s="282">
        <f t="shared" si="57"/>
        <v>-38.348346137419142</v>
      </c>
      <c r="AI157" s="282">
        <f t="shared" si="57"/>
        <v>-34.797386344132796</v>
      </c>
      <c r="AJ157" s="282">
        <f t="shared" si="57"/>
        <v>-31.137390134372723</v>
      </c>
      <c r="AK157" s="282">
        <f t="shared" si="57"/>
        <v>-27.3678450369815</v>
      </c>
      <c r="AL157" s="282">
        <f t="shared" si="57"/>
        <v>-23.488236172187261</v>
      </c>
      <c r="AM157" s="282">
        <f t="shared" si="57"/>
        <v>-19.498046240283212</v>
      </c>
      <c r="AN157" s="282">
        <f t="shared" si="57"/>
        <v>-15.396755510253936</v>
      </c>
      <c r="AO157" s="282">
        <f t="shared" si="57"/>
        <v>-11.183841808348237</v>
      </c>
      <c r="AP157" s="282">
        <f t="shared" si="57"/>
        <v>-6.8587805065983023</v>
      </c>
      <c r="AQ157" s="282">
        <f t="shared" si="57"/>
        <v>-2.4210445112848671</v>
      </c>
      <c r="AR157" s="282">
        <f t="shared" si="57"/>
        <v>2.1298957486518226</v>
      </c>
      <c r="AS157" s="282">
        <f t="shared" si="57"/>
        <v>6.7945723332554957</v>
      </c>
      <c r="AT157" s="282">
        <f t="shared" si="57"/>
        <v>11.573519803252085</v>
      </c>
      <c r="AU157" s="282">
        <f t="shared" si="57"/>
        <v>16.467275231802937</v>
      </c>
      <c r="AV157" s="282">
        <f t="shared" si="57"/>
        <v>21.476378216313257</v>
      </c>
      <c r="AW157" s="282">
        <f t="shared" si="57"/>
        <v>26.60137089029606</v>
      </c>
      <c r="AX157" s="282">
        <f t="shared" si="57"/>
        <v>31.842797935291859</v>
      </c>
      <c r="AY157" s="282">
        <f t="shared" si="57"/>
        <v>37.201206592844414</v>
      </c>
      <c r="AZ157" s="282">
        <f t="shared" si="57"/>
        <v>42.677146676532743</v>
      </c>
      <c r="BA157" s="282">
        <f t="shared" si="57"/>
        <v>48.271170584059689</v>
      </c>
      <c r="BB157" s="282">
        <f t="shared" si="57"/>
        <v>53.983833309397291</v>
      </c>
      <c r="BC157" s="282">
        <f t="shared" si="57"/>
        <v>59.815692454989261</v>
      </c>
    </row>
    <row r="158" spans="2:58" s="192" customFormat="1" ht="16.899999999999999" customHeight="1" outlineLevel="1" x14ac:dyDescent="0.25">
      <c r="C158" s="282"/>
      <c r="D158" s="282"/>
      <c r="E158" s="282"/>
      <c r="F158" s="282"/>
      <c r="G158" s="282"/>
      <c r="H158" s="282"/>
      <c r="I158" s="282"/>
      <c r="J158" s="282"/>
      <c r="K158" s="282"/>
      <c r="L158" s="282"/>
      <c r="M158" s="282"/>
      <c r="N158" s="282"/>
      <c r="O158" s="282"/>
      <c r="P158" s="282"/>
      <c r="Q158" s="282"/>
      <c r="R158" s="282"/>
      <c r="S158" s="282"/>
      <c r="T158" s="282"/>
      <c r="U158" s="282"/>
      <c r="V158" s="282"/>
      <c r="W158" s="282"/>
      <c r="X158" s="282"/>
      <c r="Y158" s="282"/>
      <c r="Z158" s="282"/>
      <c r="AA158" s="282"/>
      <c r="AB158" s="282"/>
      <c r="AC158" s="282"/>
      <c r="AD158" s="282"/>
      <c r="AE158" s="282"/>
      <c r="AF158" s="282"/>
      <c r="AG158" s="282"/>
      <c r="AH158" s="282"/>
      <c r="AI158" s="282"/>
      <c r="AJ158" s="282"/>
      <c r="AK158" s="282"/>
      <c r="AL158" s="282"/>
      <c r="AM158" s="282"/>
      <c r="AN158" s="282"/>
      <c r="AO158" s="282"/>
      <c r="AP158" s="282"/>
      <c r="AQ158" s="282"/>
      <c r="AR158" s="282"/>
      <c r="AS158" s="282"/>
      <c r="AT158" s="282"/>
      <c r="AU158" s="282"/>
      <c r="AV158" s="282"/>
      <c r="AW158" s="282"/>
      <c r="AX158" s="282"/>
      <c r="AY158" s="282"/>
      <c r="AZ158" s="282"/>
      <c r="BA158" s="282"/>
      <c r="BB158" s="282"/>
      <c r="BC158" s="282"/>
    </row>
    <row r="159" spans="2:58" s="192" customFormat="1" ht="16.899999999999999" customHeight="1" outlineLevel="1" x14ac:dyDescent="0.25">
      <c r="B159" s="284" t="s">
        <v>417</v>
      </c>
      <c r="C159" s="285">
        <f>NPV($C$28,C156)</f>
        <v>-16.187523436393178</v>
      </c>
      <c r="D159" s="285">
        <f t="shared" ref="D159:BC159" si="58">NPV($C$28,D156)</f>
        <v>-39.974524270886697</v>
      </c>
      <c r="E159" s="285">
        <f t="shared" si="58"/>
        <v>-31.422151219898339</v>
      </c>
      <c r="F159" s="285">
        <f t="shared" si="58"/>
        <v>0.54801962153862582</v>
      </c>
      <c r="G159" s="285">
        <f t="shared" si="58"/>
        <v>0.63474594748072655</v>
      </c>
      <c r="H159" s="285">
        <f t="shared" si="58"/>
        <v>0.72187988715475271</v>
      </c>
      <c r="I159" s="285">
        <f t="shared" si="58"/>
        <v>0.80942335634524631</v>
      </c>
      <c r="J159" s="285">
        <f t="shared" si="58"/>
        <v>0.89737827984093566</v>
      </c>
      <c r="K159" s="285">
        <f t="shared" si="58"/>
        <v>0.98574659147705546</v>
      </c>
      <c r="L159" s="285">
        <f t="shared" si="58"/>
        <v>1.0745302341778649</v>
      </c>
      <c r="M159" s="285">
        <f t="shared" si="58"/>
        <v>1.1637311599993687</v>
      </c>
      <c r="N159" s="285">
        <f t="shared" si="58"/>
        <v>1.2533513301722337</v>
      </c>
      <c r="O159" s="285">
        <f t="shared" si="58"/>
        <v>1.3433927151449085</v>
      </c>
      <c r="P159" s="285">
        <f t="shared" si="58"/>
        <v>1.433857294626953</v>
      </c>
      <c r="Q159" s="285">
        <f t="shared" si="58"/>
        <v>1.524747057632569</v>
      </c>
      <c r="R159" s="285">
        <f t="shared" si="58"/>
        <v>1.616064002524316</v>
      </c>
      <c r="S159" s="285">
        <f t="shared" si="58"/>
        <v>1.7078101370570447</v>
      </c>
      <c r="T159" s="285">
        <f t="shared" si="58"/>
        <v>1.799987478422076</v>
      </c>
      <c r="U159" s="285">
        <f t="shared" si="58"/>
        <v>1.8925980532915279</v>
      </c>
      <c r="V159" s="285">
        <f t="shared" si="58"/>
        <v>1.9856438978628699</v>
      </c>
      <c r="W159" s="285">
        <f t="shared" si="58"/>
        <v>2.0791270579036909</v>
      </c>
      <c r="X159" s="285">
        <f t="shared" si="58"/>
        <v>2.1730495887967054</v>
      </c>
      <c r="Y159" s="285">
        <f t="shared" si="58"/>
        <v>2.2674135555849193</v>
      </c>
      <c r="Z159" s="285">
        <f t="shared" si="58"/>
        <v>2.3622210330170295</v>
      </c>
      <c r="AA159" s="285">
        <f t="shared" si="58"/>
        <v>2.4574741055930818</v>
      </c>
      <c r="AB159" s="285">
        <f t="shared" si="58"/>
        <v>2.5531748676102319</v>
      </c>
      <c r="AC159" s="285">
        <f t="shared" si="58"/>
        <v>2.6493254232088703</v>
      </c>
      <c r="AD159" s="285">
        <f t="shared" si="58"/>
        <v>2.7459278864188148</v>
      </c>
      <c r="AE159" s="285">
        <f t="shared" si="58"/>
        <v>2.8429843812058539</v>
      </c>
      <c r="AF159" s="285">
        <f t="shared" si="58"/>
        <v>2.9404970415183853</v>
      </c>
      <c r="AG159" s="285">
        <f t="shared" si="58"/>
        <v>3.038468011334388</v>
      </c>
      <c r="AH159" s="285">
        <f t="shared" si="58"/>
        <v>3.1368994447085239</v>
      </c>
      <c r="AI159" s="285">
        <f t="shared" si="58"/>
        <v>3.2357935058195255</v>
      </c>
      <c r="AJ159" s="285">
        <f t="shared" si="58"/>
        <v>3.3351523690177443</v>
      </c>
      <c r="AK159" s="285">
        <f t="shared" si="58"/>
        <v>3.4349782188729923</v>
      </c>
      <c r="AL159" s="285">
        <f t="shared" si="58"/>
        <v>3.535273250222561</v>
      </c>
      <c r="AM159" s="285">
        <f t="shared" si="58"/>
        <v>3.6360396682194724</v>
      </c>
      <c r="AN159" s="285">
        <f t="shared" si="58"/>
        <v>3.7372796883809714</v>
      </c>
      <c r="AO159" s="285">
        <f t="shared" si="58"/>
        <v>3.8389955366372321</v>
      </c>
      <c r="AP159" s="285">
        <f t="shared" si="58"/>
        <v>3.9411894493802948</v>
      </c>
      <c r="AQ159" s="285">
        <f t="shared" si="58"/>
        <v>4.0438636735132452</v>
      </c>
      <c r="AR159" s="285">
        <f t="shared" si="58"/>
        <v>4.147020466499626</v>
      </c>
      <c r="AS159" s="285">
        <f t="shared" si="58"/>
        <v>4.250662096413043</v>
      </c>
      <c r="AT159" s="285">
        <f t="shared" si="58"/>
        <v>4.3547908419870502</v>
      </c>
      <c r="AU159" s="285">
        <f t="shared" si="58"/>
        <v>4.4594089926652547</v>
      </c>
      <c r="AV159" s="285">
        <f t="shared" si="58"/>
        <v>4.5645188486516508</v>
      </c>
      <c r="AW159" s="285">
        <f t="shared" si="58"/>
        <v>4.6701227209611833</v>
      </c>
      <c r="AX159" s="285">
        <f t="shared" si="58"/>
        <v>4.7762229314705662</v>
      </c>
      <c r="AY159" s="285">
        <f t="shared" si="58"/>
        <v>4.8828218129693397</v>
      </c>
      <c r="AZ159" s="285">
        <f t="shared" si="58"/>
        <v>4.9899217092111607</v>
      </c>
      <c r="BA159" s="285">
        <f t="shared" si="58"/>
        <v>5.0975249749653244</v>
      </c>
      <c r="BB159" s="285">
        <f t="shared" si="58"/>
        <v>5.205633976068528</v>
      </c>
      <c r="BC159" s="285">
        <f t="shared" si="58"/>
        <v>5.3142510894769188</v>
      </c>
    </row>
    <row r="160" spans="2:58" s="192" customFormat="1" ht="16.899999999999999" customHeight="1" outlineLevel="1" x14ac:dyDescent="0.25">
      <c r="B160" s="286" t="s">
        <v>418</v>
      </c>
      <c r="C160" s="285">
        <f>C159</f>
        <v>-16.187523436393178</v>
      </c>
      <c r="D160" s="285">
        <f t="shared" ref="D160:BC160" si="59">C160+D159</f>
        <v>-56.162047707279875</v>
      </c>
      <c r="E160" s="285">
        <f t="shared" si="59"/>
        <v>-87.584198927178221</v>
      </c>
      <c r="F160" s="285">
        <f t="shared" si="59"/>
        <v>-87.036179305639592</v>
      </c>
      <c r="G160" s="285">
        <f t="shared" si="59"/>
        <v>-86.401433358158869</v>
      </c>
      <c r="H160" s="285">
        <f t="shared" si="59"/>
        <v>-85.679553471004112</v>
      </c>
      <c r="I160" s="285">
        <f t="shared" si="59"/>
        <v>-84.870130114658863</v>
      </c>
      <c r="J160" s="285">
        <f t="shared" si="59"/>
        <v>-83.972751834817927</v>
      </c>
      <c r="K160" s="285">
        <f t="shared" si="59"/>
        <v>-82.987005243340874</v>
      </c>
      <c r="L160" s="285">
        <f t="shared" si="59"/>
        <v>-81.912475009163003</v>
      </c>
      <c r="M160" s="285">
        <f t="shared" si="59"/>
        <v>-80.748743849163631</v>
      </c>
      <c r="N160" s="285">
        <f t="shared" si="59"/>
        <v>-79.495392518991395</v>
      </c>
      <c r="O160" s="285">
        <f t="shared" si="59"/>
        <v>-78.151999803846479</v>
      </c>
      <c r="P160" s="285">
        <f t="shared" si="59"/>
        <v>-76.718142509219533</v>
      </c>
      <c r="Q160" s="285">
        <f t="shared" si="59"/>
        <v>-75.193395451586966</v>
      </c>
      <c r="R160" s="285">
        <f t="shared" si="59"/>
        <v>-73.577331449062655</v>
      </c>
      <c r="S160" s="285">
        <f t="shared" si="59"/>
        <v>-71.869521312005617</v>
      </c>
      <c r="T160" s="285">
        <f t="shared" si="59"/>
        <v>-70.069533833583534</v>
      </c>
      <c r="U160" s="285">
        <f t="shared" si="59"/>
        <v>-68.176935780292013</v>
      </c>
      <c r="V160" s="285">
        <f t="shared" si="59"/>
        <v>-66.191291882429141</v>
      </c>
      <c r="W160" s="285">
        <f t="shared" si="59"/>
        <v>-64.112164824525451</v>
      </c>
      <c r="X160" s="285">
        <f t="shared" si="59"/>
        <v>-61.939115235728742</v>
      </c>
      <c r="Y160" s="285">
        <f t="shared" si="59"/>
        <v>-59.671701680143826</v>
      </c>
      <c r="Z160" s="285">
        <f t="shared" si="59"/>
        <v>-57.309480647126797</v>
      </c>
      <c r="AA160" s="285">
        <f t="shared" si="59"/>
        <v>-54.852006541533719</v>
      </c>
      <c r="AB160" s="285">
        <f t="shared" si="59"/>
        <v>-52.298831673923488</v>
      </c>
      <c r="AC160" s="285">
        <f t="shared" si="59"/>
        <v>-49.649506250714616</v>
      </c>
      <c r="AD160" s="285">
        <f t="shared" si="59"/>
        <v>-46.903578364295804</v>
      </c>
      <c r="AE160" s="285">
        <f t="shared" si="59"/>
        <v>-44.060593983089952</v>
      </c>
      <c r="AF160" s="285">
        <f t="shared" si="59"/>
        <v>-41.120096941571568</v>
      </c>
      <c r="AG160" s="285">
        <f t="shared" si="59"/>
        <v>-38.08162893023718</v>
      </c>
      <c r="AH160" s="285">
        <f t="shared" si="59"/>
        <v>-34.944729485528654</v>
      </c>
      <c r="AI160" s="285">
        <f t="shared" si="59"/>
        <v>-31.708935979709128</v>
      </c>
      <c r="AJ160" s="285">
        <f t="shared" si="59"/>
        <v>-28.373783610691383</v>
      </c>
      <c r="AK160" s="285">
        <f t="shared" si="59"/>
        <v>-24.938805391818391</v>
      </c>
      <c r="AL160" s="285">
        <f t="shared" si="59"/>
        <v>-21.403532141595832</v>
      </c>
      <c r="AM160" s="285">
        <f t="shared" si="59"/>
        <v>-17.767492473376361</v>
      </c>
      <c r="AN160" s="285">
        <f t="shared" si="59"/>
        <v>-14.03021278499539</v>
      </c>
      <c r="AO160" s="285">
        <f t="shared" si="59"/>
        <v>-10.191217248358157</v>
      </c>
      <c r="AP160" s="285">
        <f t="shared" si="59"/>
        <v>-6.2500277989778628</v>
      </c>
      <c r="AQ160" s="285">
        <f t="shared" si="59"/>
        <v>-2.2061641254646176</v>
      </c>
      <c r="AR160" s="285">
        <f t="shared" si="59"/>
        <v>1.9408563410350084</v>
      </c>
      <c r="AS160" s="285">
        <f t="shared" si="59"/>
        <v>6.1915184374480514</v>
      </c>
      <c r="AT160" s="285">
        <f t="shared" si="59"/>
        <v>10.546309279435102</v>
      </c>
      <c r="AU160" s="285">
        <f t="shared" si="59"/>
        <v>15.005718272100356</v>
      </c>
      <c r="AV160" s="285">
        <f t="shared" si="59"/>
        <v>19.570237120752008</v>
      </c>
      <c r="AW160" s="285">
        <f t="shared" si="59"/>
        <v>24.240359841713193</v>
      </c>
      <c r="AX160" s="285">
        <f t="shared" si="59"/>
        <v>29.01658277318376</v>
      </c>
      <c r="AY160" s="285">
        <f t="shared" si="59"/>
        <v>33.899404586153096</v>
      </c>
      <c r="AZ160" s="285">
        <f t="shared" si="59"/>
        <v>38.889326295364256</v>
      </c>
      <c r="BA160" s="285">
        <f t="shared" si="59"/>
        <v>43.986851270329581</v>
      </c>
      <c r="BB160" s="285">
        <f t="shared" si="59"/>
        <v>49.192485246398107</v>
      </c>
      <c r="BC160" s="285">
        <f t="shared" si="59"/>
        <v>54.506736335875026</v>
      </c>
    </row>
    <row r="161" spans="1:58" s="192" customFormat="1" ht="16.899999999999999" customHeight="1" outlineLevel="1" x14ac:dyDescent="0.25">
      <c r="B161" s="192" t="s">
        <v>367</v>
      </c>
      <c r="C161" s="282">
        <f t="shared" ref="C161:AH161" si="60">C156/(1+$C$28)^C32</f>
        <v>-17.764188219097871</v>
      </c>
      <c r="D161" s="282">
        <f t="shared" si="60"/>
        <v>-39.974524270886697</v>
      </c>
      <c r="E161" s="282">
        <f t="shared" si="60"/>
        <v>-28.633270657826081</v>
      </c>
      <c r="F161" s="282">
        <f t="shared" si="60"/>
        <v>0.45505741634046193</v>
      </c>
      <c r="G161" s="282">
        <f t="shared" si="60"/>
        <v>0.48029168633434888</v>
      </c>
      <c r="H161" s="282">
        <f t="shared" si="60"/>
        <v>0.49774295104208088</v>
      </c>
      <c r="I161" s="282">
        <f t="shared" si="60"/>
        <v>0.5085702514283762</v>
      </c>
      <c r="J161" s="282">
        <f t="shared" si="60"/>
        <v>0.51379020258798969</v>
      </c>
      <c r="K161" s="282">
        <f t="shared" si="60"/>
        <v>0.51429297608580793</v>
      </c>
      <c r="L161" s="282">
        <f t="shared" si="60"/>
        <v>0.51085658153310076</v>
      </c>
      <c r="M161" s="282">
        <f t="shared" si="60"/>
        <v>0.50415962219375254</v>
      </c>
      <c r="N161" s="282">
        <f t="shared" si="60"/>
        <v>0.49479268188641423</v>
      </c>
      <c r="O161" s="282">
        <f t="shared" si="60"/>
        <v>0.48326848464647865</v>
      </c>
      <c r="P161" s="282">
        <f t="shared" si="60"/>
        <v>0.47003095436800307</v>
      </c>
      <c r="Q161" s="282">
        <f t="shared" si="60"/>
        <v>0.45546328880872067</v>
      </c>
      <c r="R161" s="282">
        <f t="shared" si="60"/>
        <v>0.43989515077422314</v>
      </c>
      <c r="S161" s="282">
        <f t="shared" si="60"/>
        <v>0.42360906887650307</v>
      </c>
      <c r="T161" s="282">
        <f t="shared" si="60"/>
        <v>0.40684613087547061</v>
      </c>
      <c r="U161" s="282">
        <f t="shared" si="60"/>
        <v>0.38981104415875867</v>
      </c>
      <c r="V161" s="282">
        <f t="shared" si="60"/>
        <v>0.37267663030389886</v>
      </c>
      <c r="W161" s="282">
        <f t="shared" si="60"/>
        <v>0.35558781381515814</v>
      </c>
      <c r="X161" s="282">
        <f t="shared" si="60"/>
        <v>0.3386651589605798</v>
      </c>
      <c r="Y161" s="282">
        <f t="shared" si="60"/>
        <v>0.32200800308572297</v>
      </c>
      <c r="Z161" s="282">
        <f t="shared" si="60"/>
        <v>0.30569722978853014</v>
      </c>
      <c r="AA161" s="282">
        <f t="shared" si="60"/>
        <v>0.28979772084972555</v>
      </c>
      <c r="AB161" s="282">
        <f t="shared" si="60"/>
        <v>0.27436052177563119</v>
      </c>
      <c r="AC161" s="282">
        <f t="shared" si="60"/>
        <v>0.25942475218065247</v>
      </c>
      <c r="AD161" s="282">
        <f t="shared" si="60"/>
        <v>0.2450192889743478</v>
      </c>
      <c r="AE161" s="282">
        <f t="shared" si="60"/>
        <v>0.23116424738679664</v>
      </c>
      <c r="AF161" s="282">
        <f t="shared" si="60"/>
        <v>0.21787228223276334</v>
      </c>
      <c r="AG161" s="282">
        <f t="shared" si="60"/>
        <v>0.20514972945049159</v>
      </c>
      <c r="AH161" s="282">
        <f t="shared" si="60"/>
        <v>0.19299760582790648</v>
      </c>
      <c r="AI161" s="282">
        <f t="shared" ref="AI161:BC161" si="61">AI156/(1+$C$28)^AI32</f>
        <v>0.18141248292355866</v>
      </c>
      <c r="AJ161" s="282">
        <f t="shared" si="61"/>
        <v>0.17038724947993461</v>
      </c>
      <c r="AK161" s="282">
        <f t="shared" si="61"/>
        <v>0.1599117750932374</v>
      </c>
      <c r="AL161" s="282">
        <f t="shared" si="61"/>
        <v>0.14997348652864667</v>
      </c>
      <c r="AM161" s="282">
        <f t="shared" si="61"/>
        <v>0.14055786683750127</v>
      </c>
      <c r="AN161" s="282">
        <f t="shared" si="61"/>
        <v>0.13164888632839714</v>
      </c>
      <c r="AO161" s="282">
        <f t="shared" si="61"/>
        <v>0.12322937345491992</v>
      </c>
      <c r="AP161" s="282">
        <f t="shared" si="61"/>
        <v>0.11528133279696261</v>
      </c>
      <c r="AQ161" s="282">
        <f t="shared" si="61"/>
        <v>0.1077862165198004</v>
      </c>
      <c r="AR161" s="282">
        <f t="shared" si="61"/>
        <v>0.10072515498583677</v>
      </c>
      <c r="AS161" s="282">
        <f t="shared" si="61"/>
        <v>9.4079151559678303E-2</v>
      </c>
      <c r="AT161" s="282">
        <f t="shared" si="61"/>
        <v>8.7829246080263462E-2</v>
      </c>
      <c r="AU161" s="282">
        <f t="shared" si="61"/>
        <v>8.1956650967250744E-2</v>
      </c>
      <c r="AV161" s="282">
        <f t="shared" si="61"/>
        <v>7.6442863476558681E-2</v>
      </c>
      <c r="AW161" s="282">
        <f t="shared" si="61"/>
        <v>7.1269757216243346E-2</v>
      </c>
      <c r="AX161" s="282">
        <f t="shared" si="61"/>
        <v>6.6419655673775821E-2</v>
      </c>
      <c r="AY161" s="282">
        <f t="shared" si="61"/>
        <v>6.1875390184713573E-2</v>
      </c>
      <c r="AZ161" s="282">
        <f t="shared" si="61"/>
        <v>5.7620344486685002E-2</v>
      </c>
      <c r="BA161" s="282">
        <f t="shared" si="61"/>
        <v>5.3638487747869237E-2</v>
      </c>
      <c r="BB161" s="282">
        <f t="shared" si="61"/>
        <v>4.9914397732469563E-2</v>
      </c>
      <c r="BC161" s="282">
        <f t="shared" si="61"/>
        <v>4.643327556409952E-2</v>
      </c>
    </row>
    <row r="162" spans="1:58" s="192" customFormat="1" ht="16.899999999999999" customHeight="1" outlineLevel="1" x14ac:dyDescent="0.25">
      <c r="B162" s="275" t="s">
        <v>368</v>
      </c>
      <c r="C162" s="282">
        <f>C161</f>
        <v>-17.764188219097871</v>
      </c>
      <c r="D162" s="282">
        <f t="shared" ref="D162:BC162" si="62">C162+D161</f>
        <v>-57.738712489984565</v>
      </c>
      <c r="E162" s="282">
        <f t="shared" si="62"/>
        <v>-86.371983147810653</v>
      </c>
      <c r="F162" s="282">
        <f t="shared" si="62"/>
        <v>-85.916925731470187</v>
      </c>
      <c r="G162" s="282">
        <f t="shared" si="62"/>
        <v>-85.436634045135833</v>
      </c>
      <c r="H162" s="282">
        <f t="shared" si="62"/>
        <v>-84.938891094093748</v>
      </c>
      <c r="I162" s="282">
        <f t="shared" si="62"/>
        <v>-84.430320842665367</v>
      </c>
      <c r="J162" s="282">
        <f t="shared" si="62"/>
        <v>-83.916530640077383</v>
      </c>
      <c r="K162" s="282">
        <f t="shared" si="62"/>
        <v>-83.402237663991571</v>
      </c>
      <c r="L162" s="282">
        <f t="shared" si="62"/>
        <v>-82.891381082458466</v>
      </c>
      <c r="M162" s="282">
        <f t="shared" si="62"/>
        <v>-82.387221460264712</v>
      </c>
      <c r="N162" s="282">
        <f t="shared" si="62"/>
        <v>-81.892428778378303</v>
      </c>
      <c r="O162" s="282">
        <f t="shared" si="62"/>
        <v>-81.40916029373183</v>
      </c>
      <c r="P162" s="282">
        <f t="shared" si="62"/>
        <v>-80.939129339363831</v>
      </c>
      <c r="Q162" s="282">
        <f t="shared" si="62"/>
        <v>-80.483666050555115</v>
      </c>
      <c r="R162" s="282">
        <f t="shared" si="62"/>
        <v>-80.043770899780895</v>
      </c>
      <c r="S162" s="282">
        <f t="shared" si="62"/>
        <v>-79.620161830904394</v>
      </c>
      <c r="T162" s="282">
        <f t="shared" si="62"/>
        <v>-79.213315700028929</v>
      </c>
      <c r="U162" s="282">
        <f t="shared" si="62"/>
        <v>-78.823504655870167</v>
      </c>
      <c r="V162" s="282">
        <f t="shared" si="62"/>
        <v>-78.450828025566267</v>
      </c>
      <c r="W162" s="282">
        <f t="shared" si="62"/>
        <v>-78.095240211751104</v>
      </c>
      <c r="X162" s="282">
        <f t="shared" si="62"/>
        <v>-77.756575052790524</v>
      </c>
      <c r="Y162" s="282">
        <f t="shared" si="62"/>
        <v>-77.434567049704796</v>
      </c>
      <c r="Z162" s="282">
        <f t="shared" si="62"/>
        <v>-77.128869819916261</v>
      </c>
      <c r="AA162" s="282">
        <f t="shared" si="62"/>
        <v>-76.839072099066541</v>
      </c>
      <c r="AB162" s="282">
        <f t="shared" si="62"/>
        <v>-76.564711577290907</v>
      </c>
      <c r="AC162" s="282">
        <f t="shared" si="62"/>
        <v>-76.305286825110258</v>
      </c>
      <c r="AD162" s="282">
        <f t="shared" si="62"/>
        <v>-76.06026753613591</v>
      </c>
      <c r="AE162" s="282">
        <f t="shared" si="62"/>
        <v>-75.82910328874911</v>
      </c>
      <c r="AF162" s="282">
        <f t="shared" si="62"/>
        <v>-75.611231006516348</v>
      </c>
      <c r="AG162" s="282">
        <f t="shared" si="62"/>
        <v>-75.406081277065852</v>
      </c>
      <c r="AH162" s="282">
        <f t="shared" si="62"/>
        <v>-75.213083671237939</v>
      </c>
      <c r="AI162" s="282">
        <f t="shared" si="62"/>
        <v>-75.031671188314377</v>
      </c>
      <c r="AJ162" s="282">
        <f t="shared" si="62"/>
        <v>-74.861283938834447</v>
      </c>
      <c r="AK162" s="282">
        <f t="shared" si="62"/>
        <v>-74.701372163741212</v>
      </c>
      <c r="AL162" s="282">
        <f t="shared" si="62"/>
        <v>-74.551398677212561</v>
      </c>
      <c r="AM162" s="282">
        <f t="shared" si="62"/>
        <v>-74.410840810375063</v>
      </c>
      <c r="AN162" s="282">
        <f t="shared" si="62"/>
        <v>-74.279191924046671</v>
      </c>
      <c r="AO162" s="282">
        <f t="shared" si="62"/>
        <v>-74.155962550591752</v>
      </c>
      <c r="AP162" s="282">
        <f t="shared" si="62"/>
        <v>-74.040681217794784</v>
      </c>
      <c r="AQ162" s="282">
        <f t="shared" si="62"/>
        <v>-73.932895001274986</v>
      </c>
      <c r="AR162" s="282">
        <f t="shared" si="62"/>
        <v>-73.832169846289148</v>
      </c>
      <c r="AS162" s="282">
        <f t="shared" si="62"/>
        <v>-73.738090694729465</v>
      </c>
      <c r="AT162" s="282">
        <f t="shared" si="62"/>
        <v>-73.650261448649204</v>
      </c>
      <c r="AU162" s="282">
        <f t="shared" si="62"/>
        <v>-73.568304797681947</v>
      </c>
      <c r="AV162" s="282">
        <f t="shared" si="62"/>
        <v>-73.491861934205389</v>
      </c>
      <c r="AW162" s="282">
        <f t="shared" si="62"/>
        <v>-73.420592176989146</v>
      </c>
      <c r="AX162" s="282">
        <f t="shared" si="62"/>
        <v>-73.354172521315377</v>
      </c>
      <c r="AY162" s="282">
        <f t="shared" si="62"/>
        <v>-73.292297131130667</v>
      </c>
      <c r="AZ162" s="282">
        <f t="shared" si="62"/>
        <v>-73.234676786643988</v>
      </c>
      <c r="BA162" s="282">
        <f t="shared" si="62"/>
        <v>-73.181038298896112</v>
      </c>
      <c r="BB162" s="282">
        <f t="shared" si="62"/>
        <v>-73.131123901163647</v>
      </c>
      <c r="BC162" s="282">
        <f t="shared" si="62"/>
        <v>-73.084690625599549</v>
      </c>
    </row>
    <row r="163" spans="1:58" s="192" customFormat="1" ht="16.899999999999999" customHeight="1" outlineLevel="1" x14ac:dyDescent="0.25">
      <c r="B163" s="275" t="s">
        <v>369</v>
      </c>
      <c r="C163" s="282">
        <f t="shared" ref="C163:AH163" si="63">C63/(1+$C$28)^C32</f>
        <v>46.8476242812241</v>
      </c>
      <c r="D163" s="282">
        <f t="shared" si="63"/>
        <v>66.606221010474698</v>
      </c>
      <c r="E163" s="282">
        <f t="shared" si="63"/>
        <v>53.019887866205124</v>
      </c>
      <c r="F163" s="282">
        <f t="shared" si="63"/>
        <v>0</v>
      </c>
      <c r="G163" s="282">
        <f t="shared" si="63"/>
        <v>0</v>
      </c>
      <c r="H163" s="282">
        <f t="shared" si="63"/>
        <v>0</v>
      </c>
      <c r="I163" s="282">
        <f t="shared" si="63"/>
        <v>0</v>
      </c>
      <c r="J163" s="282">
        <f t="shared" si="63"/>
        <v>0</v>
      </c>
      <c r="K163" s="282">
        <f t="shared" si="63"/>
        <v>0</v>
      </c>
      <c r="L163" s="282">
        <f t="shared" si="63"/>
        <v>0</v>
      </c>
      <c r="M163" s="282">
        <f t="shared" si="63"/>
        <v>0</v>
      </c>
      <c r="N163" s="282">
        <f t="shared" si="63"/>
        <v>0</v>
      </c>
      <c r="O163" s="282">
        <f t="shared" si="63"/>
        <v>0</v>
      </c>
      <c r="P163" s="282">
        <f t="shared" si="63"/>
        <v>0</v>
      </c>
      <c r="Q163" s="282">
        <f t="shared" si="63"/>
        <v>0</v>
      </c>
      <c r="R163" s="282">
        <f t="shared" si="63"/>
        <v>0</v>
      </c>
      <c r="S163" s="282">
        <f t="shared" si="63"/>
        <v>0</v>
      </c>
      <c r="T163" s="282">
        <f t="shared" si="63"/>
        <v>0</v>
      </c>
      <c r="U163" s="282">
        <f t="shared" si="63"/>
        <v>0</v>
      </c>
      <c r="V163" s="282">
        <f t="shared" si="63"/>
        <v>0</v>
      </c>
      <c r="W163" s="282">
        <f t="shared" si="63"/>
        <v>0</v>
      </c>
      <c r="X163" s="282">
        <f t="shared" si="63"/>
        <v>0</v>
      </c>
      <c r="Y163" s="282">
        <f t="shared" si="63"/>
        <v>0</v>
      </c>
      <c r="Z163" s="282">
        <f t="shared" si="63"/>
        <v>0</v>
      </c>
      <c r="AA163" s="282">
        <f t="shared" si="63"/>
        <v>0</v>
      </c>
      <c r="AB163" s="282">
        <f t="shared" si="63"/>
        <v>0</v>
      </c>
      <c r="AC163" s="282">
        <f t="shared" si="63"/>
        <v>0</v>
      </c>
      <c r="AD163" s="282">
        <f t="shared" si="63"/>
        <v>0</v>
      </c>
      <c r="AE163" s="282">
        <f t="shared" si="63"/>
        <v>0</v>
      </c>
      <c r="AF163" s="282">
        <f t="shared" si="63"/>
        <v>0</v>
      </c>
      <c r="AG163" s="282">
        <f t="shared" si="63"/>
        <v>0</v>
      </c>
      <c r="AH163" s="282">
        <f t="shared" si="63"/>
        <v>0</v>
      </c>
      <c r="AI163" s="282">
        <f t="shared" ref="AI163:BC163" si="64">AI63/(1+$C$28)^AI32</f>
        <v>0</v>
      </c>
      <c r="AJ163" s="282">
        <f t="shared" si="64"/>
        <v>0</v>
      </c>
      <c r="AK163" s="282">
        <f t="shared" si="64"/>
        <v>0</v>
      </c>
      <c r="AL163" s="282">
        <f t="shared" si="64"/>
        <v>0</v>
      </c>
      <c r="AM163" s="282">
        <f t="shared" si="64"/>
        <v>0</v>
      </c>
      <c r="AN163" s="282">
        <f t="shared" si="64"/>
        <v>0</v>
      </c>
      <c r="AO163" s="282">
        <f t="shared" si="64"/>
        <v>0</v>
      </c>
      <c r="AP163" s="282">
        <f t="shared" si="64"/>
        <v>0</v>
      </c>
      <c r="AQ163" s="282">
        <f t="shared" si="64"/>
        <v>0</v>
      </c>
      <c r="AR163" s="282">
        <f t="shared" si="64"/>
        <v>0</v>
      </c>
      <c r="AS163" s="282">
        <f t="shared" si="64"/>
        <v>0</v>
      </c>
      <c r="AT163" s="282">
        <f t="shared" si="64"/>
        <v>0</v>
      </c>
      <c r="AU163" s="282">
        <f t="shared" si="64"/>
        <v>0</v>
      </c>
      <c r="AV163" s="282">
        <f t="shared" si="64"/>
        <v>0</v>
      </c>
      <c r="AW163" s="282">
        <f t="shared" si="64"/>
        <v>0</v>
      </c>
      <c r="AX163" s="282">
        <f t="shared" si="64"/>
        <v>0</v>
      </c>
      <c r="AY163" s="282">
        <f t="shared" si="64"/>
        <v>0</v>
      </c>
      <c r="AZ163" s="282">
        <f t="shared" si="64"/>
        <v>0</v>
      </c>
      <c r="BA163" s="282">
        <f t="shared" si="64"/>
        <v>0</v>
      </c>
      <c r="BB163" s="282">
        <f t="shared" si="64"/>
        <v>0</v>
      </c>
      <c r="BC163" s="282">
        <f t="shared" si="64"/>
        <v>0</v>
      </c>
    </row>
    <row r="164" spans="1:58" s="192" customFormat="1" ht="16.899999999999999" customHeight="1" outlineLevel="1" x14ac:dyDescent="0.25">
      <c r="B164" s="275" t="s">
        <v>370</v>
      </c>
      <c r="C164" s="287">
        <f t="shared" ref="C164:BC164" si="65">IF(C$32&lt;=3,1,IF(C157&lt;0,1,IF(B164=1,1-(C157/C156),0)))</f>
        <v>1</v>
      </c>
      <c r="D164" s="287">
        <f t="shared" si="65"/>
        <v>1</v>
      </c>
      <c r="E164" s="287">
        <f t="shared" si="65"/>
        <v>1</v>
      </c>
      <c r="F164" s="287">
        <f t="shared" si="65"/>
        <v>1</v>
      </c>
      <c r="G164" s="287">
        <f t="shared" si="65"/>
        <v>1</v>
      </c>
      <c r="H164" s="287">
        <f t="shared" si="65"/>
        <v>1</v>
      </c>
      <c r="I164" s="287">
        <f t="shared" si="65"/>
        <v>1</v>
      </c>
      <c r="J164" s="287">
        <f t="shared" si="65"/>
        <v>1</v>
      </c>
      <c r="K164" s="287">
        <f t="shared" si="65"/>
        <v>1</v>
      </c>
      <c r="L164" s="287">
        <f t="shared" si="65"/>
        <v>1</v>
      </c>
      <c r="M164" s="287">
        <f t="shared" si="65"/>
        <v>1</v>
      </c>
      <c r="N164" s="287">
        <f t="shared" si="65"/>
        <v>1</v>
      </c>
      <c r="O164" s="287">
        <f t="shared" si="65"/>
        <v>1</v>
      </c>
      <c r="P164" s="287">
        <f t="shared" si="65"/>
        <v>1</v>
      </c>
      <c r="Q164" s="287">
        <f t="shared" si="65"/>
        <v>1</v>
      </c>
      <c r="R164" s="287">
        <f t="shared" si="65"/>
        <v>1</v>
      </c>
      <c r="S164" s="287">
        <f t="shared" si="65"/>
        <v>1</v>
      </c>
      <c r="T164" s="287">
        <f t="shared" si="65"/>
        <v>1</v>
      </c>
      <c r="U164" s="287">
        <f t="shared" si="65"/>
        <v>1</v>
      </c>
      <c r="V164" s="287">
        <f t="shared" si="65"/>
        <v>1</v>
      </c>
      <c r="W164" s="287">
        <f t="shared" si="65"/>
        <v>1</v>
      </c>
      <c r="X164" s="287">
        <f t="shared" si="65"/>
        <v>1</v>
      </c>
      <c r="Y164" s="287">
        <f t="shared" si="65"/>
        <v>1</v>
      </c>
      <c r="Z164" s="287">
        <f t="shared" si="65"/>
        <v>1</v>
      </c>
      <c r="AA164" s="287">
        <f t="shared" si="65"/>
        <v>1</v>
      </c>
      <c r="AB164" s="287">
        <f t="shared" si="65"/>
        <v>1</v>
      </c>
      <c r="AC164" s="287">
        <f t="shared" si="65"/>
        <v>1</v>
      </c>
      <c r="AD164" s="287">
        <f t="shared" si="65"/>
        <v>1</v>
      </c>
      <c r="AE164" s="287">
        <f t="shared" si="65"/>
        <v>1</v>
      </c>
      <c r="AF164" s="287">
        <f t="shared" si="65"/>
        <v>1</v>
      </c>
      <c r="AG164" s="287">
        <f t="shared" si="65"/>
        <v>1</v>
      </c>
      <c r="AH164" s="287">
        <f t="shared" si="65"/>
        <v>1</v>
      </c>
      <c r="AI164" s="287">
        <f t="shared" si="65"/>
        <v>1</v>
      </c>
      <c r="AJ164" s="287">
        <f t="shared" si="65"/>
        <v>1</v>
      </c>
      <c r="AK164" s="287">
        <f t="shared" si="65"/>
        <v>1</v>
      </c>
      <c r="AL164" s="287">
        <f t="shared" si="65"/>
        <v>1</v>
      </c>
      <c r="AM164" s="287">
        <f t="shared" si="65"/>
        <v>1</v>
      </c>
      <c r="AN164" s="287">
        <f t="shared" si="65"/>
        <v>1</v>
      </c>
      <c r="AO164" s="287">
        <f t="shared" si="65"/>
        <v>1</v>
      </c>
      <c r="AP164" s="287">
        <f t="shared" si="65"/>
        <v>1</v>
      </c>
      <c r="AQ164" s="287">
        <f t="shared" si="65"/>
        <v>1</v>
      </c>
      <c r="AR164" s="287">
        <f t="shared" si="65"/>
        <v>0.53198775923253883</v>
      </c>
      <c r="AS164" s="287">
        <f t="shared" si="65"/>
        <v>0</v>
      </c>
      <c r="AT164" s="287">
        <f t="shared" si="65"/>
        <v>0</v>
      </c>
      <c r="AU164" s="287">
        <f t="shared" si="65"/>
        <v>0</v>
      </c>
      <c r="AV164" s="287">
        <f t="shared" si="65"/>
        <v>0</v>
      </c>
      <c r="AW164" s="287">
        <f t="shared" si="65"/>
        <v>0</v>
      </c>
      <c r="AX164" s="287">
        <f t="shared" si="65"/>
        <v>0</v>
      </c>
      <c r="AY164" s="287">
        <f t="shared" si="65"/>
        <v>0</v>
      </c>
      <c r="AZ164" s="287">
        <f t="shared" si="65"/>
        <v>0</v>
      </c>
      <c r="BA164" s="287">
        <f t="shared" si="65"/>
        <v>0</v>
      </c>
      <c r="BB164" s="287">
        <f t="shared" si="65"/>
        <v>0</v>
      </c>
      <c r="BC164" s="287">
        <f t="shared" si="65"/>
        <v>0</v>
      </c>
    </row>
    <row r="165" spans="1:58" s="192" customFormat="1" ht="16.899999999999999" customHeight="1" outlineLevel="1" x14ac:dyDescent="0.25">
      <c r="B165" s="275" t="s">
        <v>371</v>
      </c>
      <c r="C165" s="272" t="str">
        <f>IF(C31=1,IRR($C156:C156),"-")</f>
        <v>-</v>
      </c>
      <c r="D165" s="272" t="str">
        <f>IF(D31=1,IRR($C156:D156),"-")</f>
        <v>-</v>
      </c>
      <c r="E165" s="272" t="str">
        <f>IF(E31=1,IRR($C156:E156),"-")</f>
        <v>-</v>
      </c>
      <c r="F165" s="272" t="str">
        <f>IF(F31=1,IRR($C156:F156),"-")</f>
        <v>-</v>
      </c>
      <c r="G165" s="272" t="str">
        <f>IF(G31=1,IRR($C156:G156),"-")</f>
        <v>-</v>
      </c>
      <c r="H165" s="272" t="str">
        <f>IF(H31=1,IRR($C156:H156),"-")</f>
        <v>-</v>
      </c>
      <c r="I165" s="272" t="str">
        <f>IF(I31=1,IRR($C156:I156),"-")</f>
        <v>-</v>
      </c>
      <c r="J165" s="272" t="str">
        <f>IF(J31=1,IRR($C156:J156),"-")</f>
        <v>-</v>
      </c>
      <c r="K165" s="272" t="str">
        <f>IF(K31=1,IRR($C156:K156),"-")</f>
        <v>-</v>
      </c>
      <c r="L165" s="272" t="str">
        <f>IF(L31=1,IRR($C156:L156),"-")</f>
        <v>-</v>
      </c>
      <c r="M165" s="272" t="str">
        <f>IF(M31=1,IRR($C156:M156),"-")</f>
        <v>-</v>
      </c>
      <c r="N165" s="272" t="str">
        <f>IF(N31=1,IRR($C156:N156),"-")</f>
        <v>-</v>
      </c>
      <c r="O165" s="272" t="str">
        <f>IF(O31=1,IRR($C156:O156),"-")</f>
        <v>-</v>
      </c>
      <c r="P165" s="272" t="str">
        <f>IF(P31=1,IRR($C156:P156),"-")</f>
        <v>-</v>
      </c>
      <c r="Q165" s="272" t="str">
        <f>IF(Q31=1,IRR($C156:Q156),"-")</f>
        <v>-</v>
      </c>
      <c r="R165" s="272" t="str">
        <f>IF(R31=1,IRR($C156:R156),"-")</f>
        <v>-</v>
      </c>
      <c r="S165" s="272" t="str">
        <f>IF(S31=1,IRR($C156:S156),"-")</f>
        <v>-</v>
      </c>
      <c r="T165" s="272" t="str">
        <f>IF(T31=1,IRR($C156:T156),"-")</f>
        <v>-</v>
      </c>
      <c r="U165" s="272" t="str">
        <f>IF(U31=1,IRR($C156:U156),"-")</f>
        <v>-</v>
      </c>
      <c r="V165" s="272" t="str">
        <f>IF(V31=1,IRR($C156:V156),"-")</f>
        <v>-</v>
      </c>
      <c r="W165" s="272" t="str">
        <f>IF(W31=1,IRR($C156:W156),"-")</f>
        <v>-</v>
      </c>
      <c r="X165" s="272" t="str">
        <f>IF(X31=1,IRR($C156:X156),"-")</f>
        <v>-</v>
      </c>
      <c r="Y165" s="272" t="str">
        <f>IF(Y31=1,IRR($C156:Y156),"-")</f>
        <v>-</v>
      </c>
      <c r="Z165" s="272" t="str">
        <f>IF(Z31=1,IRR($C156:Z156),"-")</f>
        <v>-</v>
      </c>
      <c r="AA165" s="272" t="str">
        <f>IF(AA31=1,IRR($C156:AA156),"-")</f>
        <v>-</v>
      </c>
      <c r="AB165" s="272" t="str">
        <f>IF(AB31=1,IRR($C156:AB156),"-")</f>
        <v>-</v>
      </c>
      <c r="AC165" s="272" t="str">
        <f>IF(AC31=1,IRR($C156:AC156),"-")</f>
        <v>-</v>
      </c>
      <c r="AD165" s="272" t="str">
        <f>IF(AD31=1,IRR($C156:AD156),"-")</f>
        <v>-</v>
      </c>
      <c r="AE165" s="272" t="str">
        <f>IF(AE31=1,IRR($C156:AE156),"-")</f>
        <v>-</v>
      </c>
      <c r="AF165" s="272" t="str">
        <f>IF(AF31=1,IRR($C156:AF156),"-")</f>
        <v>-</v>
      </c>
      <c r="AG165" s="272" t="str">
        <f>IF(AG31=1,IRR($C156:AG156),"-")</f>
        <v>-</v>
      </c>
      <c r="AH165" s="272" t="str">
        <f>IF(AH31=1,IRR($C156:AH156),"-")</f>
        <v>-</v>
      </c>
      <c r="AI165" s="272" t="str">
        <f>IF(AI31=1,IRR($C156:AI156),"-")</f>
        <v>-</v>
      </c>
      <c r="AJ165" s="272" t="str">
        <f>IF(AJ31=1,IRR($C156:AJ156),"-")</f>
        <v>-</v>
      </c>
      <c r="AK165" s="272">
        <f>IF(AK31=1,IRR($C156:AK156),"-")</f>
        <v>-1.5188156891934756E-2</v>
      </c>
      <c r="AL165" s="272" t="str">
        <f>IF(AL31=1,IRR($C156:AL156),"-")</f>
        <v>-</v>
      </c>
      <c r="AM165" s="272" t="str">
        <f>IF(AM31=1,IRR($C156:AM156),"-")</f>
        <v>-</v>
      </c>
      <c r="AN165" s="272" t="str">
        <f>IF(AN31=1,IRR($C156:AN156),"-")</f>
        <v>-</v>
      </c>
      <c r="AO165" s="272" t="str">
        <f>IF(AO31=1,IRR($C156:AO156),"-")</f>
        <v>-</v>
      </c>
      <c r="AP165" s="272" t="str">
        <f>IF(AP31=1,IRR($C156:AP156),"-")</f>
        <v>-</v>
      </c>
      <c r="AQ165" s="272" t="str">
        <f>IF(AQ31=1,IRR($C156:AQ156),"-")</f>
        <v>-</v>
      </c>
      <c r="AR165" s="272" t="str">
        <f>IF(AR31=1,IRR($C156:AR156),"-")</f>
        <v>-</v>
      </c>
      <c r="AS165" s="272" t="str">
        <f>IF(AS31=1,IRR($C156:AS156),"-")</f>
        <v>-</v>
      </c>
      <c r="AT165" s="272" t="str">
        <f>IF(AT31=1,IRR($C156:AT156),"-")</f>
        <v>-</v>
      </c>
      <c r="AU165" s="272" t="str">
        <f>IF(AU31=1,IRR($C156:AU156),"-")</f>
        <v>-</v>
      </c>
      <c r="AV165" s="272" t="str">
        <f>IF(AV31=1,IRR($C156:AV156),"-")</f>
        <v>-</v>
      </c>
      <c r="AW165" s="272" t="str">
        <f>IF(AW31=1,IRR($C156:AW156),"-")</f>
        <v>-</v>
      </c>
      <c r="AX165" s="272" t="str">
        <f>IF(AX31=1,IRR($C156:AX156),"-")</f>
        <v>-</v>
      </c>
      <c r="AY165" s="272" t="str">
        <f>IF(AY31=1,IRR($C156:AY156),"-")</f>
        <v>-</v>
      </c>
      <c r="AZ165" s="272" t="str">
        <f>IF(AZ31=1,IRR($C156:AZ156),"-")</f>
        <v>-</v>
      </c>
      <c r="BA165" s="272" t="str">
        <f>IF(BA31=1,IRR($C156:BA156),"-")</f>
        <v>-</v>
      </c>
      <c r="BB165" s="272" t="str">
        <f>IF(BB31=1,IRR($C156:BB156),"-")</f>
        <v>-</v>
      </c>
      <c r="BC165" s="272" t="str">
        <f>IF(BC31=1,IRR($C156:BC156),"-")</f>
        <v>-</v>
      </c>
    </row>
    <row r="166" spans="1:58" s="192" customFormat="1" ht="16.899999999999999" customHeight="1" outlineLevel="1" x14ac:dyDescent="0.25">
      <c r="C166" s="282"/>
      <c r="D166" s="282"/>
      <c r="E166" s="282"/>
      <c r="F166" s="282"/>
      <c r="G166" s="282"/>
      <c r="H166" s="282"/>
      <c r="I166" s="282"/>
      <c r="J166" s="282"/>
      <c r="K166" s="282"/>
      <c r="L166" s="282"/>
      <c r="M166" s="282"/>
      <c r="N166" s="282"/>
      <c r="O166" s="282"/>
      <c r="P166" s="282"/>
      <c r="Q166" s="282"/>
      <c r="R166" s="282"/>
      <c r="S166" s="282"/>
      <c r="T166" s="282"/>
      <c r="U166" s="282"/>
      <c r="V166" s="282"/>
      <c r="W166" s="282"/>
      <c r="X166" s="282"/>
      <c r="Y166" s="282"/>
      <c r="Z166" s="282"/>
      <c r="AA166" s="282"/>
      <c r="AB166" s="282"/>
      <c r="AC166" s="282"/>
      <c r="AD166" s="282"/>
      <c r="AE166" s="282"/>
      <c r="AF166" s="282"/>
      <c r="AG166" s="282"/>
      <c r="AH166" s="282"/>
      <c r="AI166" s="282"/>
      <c r="AJ166" s="282"/>
      <c r="AK166" s="282"/>
      <c r="AL166" s="282"/>
      <c r="AM166" s="282"/>
      <c r="AN166" s="282"/>
      <c r="AO166" s="282"/>
      <c r="AP166" s="282"/>
      <c r="AQ166" s="282"/>
      <c r="AR166" s="282"/>
      <c r="AS166" s="282"/>
      <c r="AT166" s="282"/>
      <c r="AU166" s="282"/>
      <c r="AV166" s="282"/>
      <c r="AW166" s="282"/>
      <c r="AX166" s="282"/>
      <c r="AY166" s="282"/>
      <c r="AZ166" s="282"/>
      <c r="BA166" s="282"/>
      <c r="BB166" s="282"/>
      <c r="BC166" s="282"/>
    </row>
    <row r="167" spans="1:58" s="192" customFormat="1" ht="16.899999999999999" customHeight="1" outlineLevel="1" x14ac:dyDescent="0.25">
      <c r="B167" s="110" t="s">
        <v>372</v>
      </c>
      <c r="C167" s="282">
        <f>C63*(1-$D$14)</f>
        <v>32.793336996856866</v>
      </c>
      <c r="D167" s="282">
        <f t="shared" ref="D167:BC167" si="66">D63*(1-$D$14)</f>
        <v>51.165566855826448</v>
      </c>
      <c r="E167" s="282">
        <f t="shared" si="66"/>
        <v>44.695804281768829</v>
      </c>
      <c r="F167" s="282">
        <f t="shared" si="66"/>
        <v>0</v>
      </c>
      <c r="G167" s="282">
        <f t="shared" si="66"/>
        <v>0</v>
      </c>
      <c r="H167" s="282">
        <f t="shared" si="66"/>
        <v>0</v>
      </c>
      <c r="I167" s="282">
        <f t="shared" si="66"/>
        <v>0</v>
      </c>
      <c r="J167" s="282">
        <f t="shared" si="66"/>
        <v>0</v>
      </c>
      <c r="K167" s="282">
        <f t="shared" si="66"/>
        <v>0</v>
      </c>
      <c r="L167" s="282">
        <f t="shared" si="66"/>
        <v>0</v>
      </c>
      <c r="M167" s="282">
        <f t="shared" si="66"/>
        <v>0</v>
      </c>
      <c r="N167" s="282">
        <f t="shared" si="66"/>
        <v>0</v>
      </c>
      <c r="O167" s="282">
        <f t="shared" si="66"/>
        <v>0</v>
      </c>
      <c r="P167" s="282">
        <f t="shared" si="66"/>
        <v>0</v>
      </c>
      <c r="Q167" s="282">
        <f t="shared" si="66"/>
        <v>0</v>
      </c>
      <c r="R167" s="282">
        <f t="shared" si="66"/>
        <v>0</v>
      </c>
      <c r="S167" s="282">
        <f t="shared" si="66"/>
        <v>0</v>
      </c>
      <c r="T167" s="282">
        <f t="shared" si="66"/>
        <v>0</v>
      </c>
      <c r="U167" s="282">
        <f t="shared" si="66"/>
        <v>0</v>
      </c>
      <c r="V167" s="282">
        <f t="shared" si="66"/>
        <v>0</v>
      </c>
      <c r="W167" s="282">
        <f t="shared" si="66"/>
        <v>0</v>
      </c>
      <c r="X167" s="282">
        <f t="shared" si="66"/>
        <v>0</v>
      </c>
      <c r="Y167" s="282">
        <f t="shared" si="66"/>
        <v>0</v>
      </c>
      <c r="Z167" s="282">
        <f t="shared" si="66"/>
        <v>0</v>
      </c>
      <c r="AA167" s="282">
        <f t="shared" si="66"/>
        <v>0</v>
      </c>
      <c r="AB167" s="282">
        <f t="shared" si="66"/>
        <v>0</v>
      </c>
      <c r="AC167" s="282">
        <f t="shared" si="66"/>
        <v>0</v>
      </c>
      <c r="AD167" s="282">
        <f t="shared" si="66"/>
        <v>0</v>
      </c>
      <c r="AE167" s="282">
        <f t="shared" si="66"/>
        <v>0</v>
      </c>
      <c r="AF167" s="282">
        <f t="shared" si="66"/>
        <v>0</v>
      </c>
      <c r="AG167" s="282">
        <f t="shared" si="66"/>
        <v>0</v>
      </c>
      <c r="AH167" s="282">
        <f t="shared" si="66"/>
        <v>0</v>
      </c>
      <c r="AI167" s="282">
        <f t="shared" si="66"/>
        <v>0</v>
      </c>
      <c r="AJ167" s="282">
        <f t="shared" si="66"/>
        <v>0</v>
      </c>
      <c r="AK167" s="282">
        <f t="shared" si="66"/>
        <v>0</v>
      </c>
      <c r="AL167" s="282">
        <f t="shared" si="66"/>
        <v>0</v>
      </c>
      <c r="AM167" s="282">
        <f t="shared" si="66"/>
        <v>0</v>
      </c>
      <c r="AN167" s="282">
        <f t="shared" si="66"/>
        <v>0</v>
      </c>
      <c r="AO167" s="282">
        <f t="shared" si="66"/>
        <v>0</v>
      </c>
      <c r="AP167" s="282">
        <f t="shared" si="66"/>
        <v>0</v>
      </c>
      <c r="AQ167" s="282">
        <f t="shared" si="66"/>
        <v>0</v>
      </c>
      <c r="AR167" s="282">
        <f t="shared" si="66"/>
        <v>0</v>
      </c>
      <c r="AS167" s="282">
        <f t="shared" si="66"/>
        <v>0</v>
      </c>
      <c r="AT167" s="282">
        <f t="shared" si="66"/>
        <v>0</v>
      </c>
      <c r="AU167" s="282">
        <f t="shared" si="66"/>
        <v>0</v>
      </c>
      <c r="AV167" s="282">
        <f t="shared" si="66"/>
        <v>0</v>
      </c>
      <c r="AW167" s="282">
        <f t="shared" si="66"/>
        <v>0</v>
      </c>
      <c r="AX167" s="282">
        <f t="shared" si="66"/>
        <v>0</v>
      </c>
      <c r="AY167" s="282">
        <f t="shared" si="66"/>
        <v>0</v>
      </c>
      <c r="AZ167" s="282">
        <f t="shared" si="66"/>
        <v>0</v>
      </c>
      <c r="BA167" s="282">
        <f t="shared" si="66"/>
        <v>0</v>
      </c>
      <c r="BB167" s="282">
        <f t="shared" si="66"/>
        <v>0</v>
      </c>
      <c r="BC167" s="282">
        <f t="shared" si="66"/>
        <v>0</v>
      </c>
    </row>
    <row r="168" spans="1:58" s="192" customFormat="1" ht="16.899999999999999" customHeight="1" outlineLevel="1" x14ac:dyDescent="0.25">
      <c r="B168" s="276" t="s">
        <v>627</v>
      </c>
      <c r="C168" s="282">
        <f>C167</f>
        <v>32.793336996856866</v>
      </c>
      <c r="D168" s="282">
        <f t="shared" ref="D168:BC168" si="67">C173+D167</f>
        <v>83.958903852683306</v>
      </c>
      <c r="E168" s="282">
        <f t="shared" si="67"/>
        <v>128.65470813445214</v>
      </c>
      <c r="F168" s="282">
        <f t="shared" si="67"/>
        <v>128.65470813445214</v>
      </c>
      <c r="G168" s="282">
        <f t="shared" si="67"/>
        <v>122.22197272772954</v>
      </c>
      <c r="H168" s="282">
        <f t="shared" si="67"/>
        <v>115.78923732100694</v>
      </c>
      <c r="I168" s="282">
        <f t="shared" si="67"/>
        <v>109.35650191428434</v>
      </c>
      <c r="J168" s="282">
        <f t="shared" si="67"/>
        <v>102.92376650756174</v>
      </c>
      <c r="K168" s="282">
        <f t="shared" si="67"/>
        <v>96.491031100839137</v>
      </c>
      <c r="L168" s="282">
        <f t="shared" si="67"/>
        <v>90.058295694116538</v>
      </c>
      <c r="M168" s="282">
        <f t="shared" si="67"/>
        <v>83.625560287393938</v>
      </c>
      <c r="N168" s="282">
        <f t="shared" si="67"/>
        <v>77.192824880671338</v>
      </c>
      <c r="O168" s="282">
        <f t="shared" si="67"/>
        <v>70.760089473948739</v>
      </c>
      <c r="P168" s="282">
        <f t="shared" si="67"/>
        <v>64.327354067226139</v>
      </c>
      <c r="Q168" s="282">
        <f t="shared" si="67"/>
        <v>57.894618660503532</v>
      </c>
      <c r="R168" s="282">
        <f t="shared" si="67"/>
        <v>51.461883253780925</v>
      </c>
      <c r="S168" s="282">
        <f t="shared" si="67"/>
        <v>45.029147847058319</v>
      </c>
      <c r="T168" s="282">
        <f t="shared" si="67"/>
        <v>38.596412440335712</v>
      </c>
      <c r="U168" s="282">
        <f t="shared" si="67"/>
        <v>32.163677033613105</v>
      </c>
      <c r="V168" s="282">
        <f t="shared" si="67"/>
        <v>25.730941626890498</v>
      </c>
      <c r="W168" s="282">
        <f t="shared" si="67"/>
        <v>19.298206220167891</v>
      </c>
      <c r="X168" s="282">
        <f t="shared" si="67"/>
        <v>12.865470813445285</v>
      </c>
      <c r="Y168" s="282">
        <f t="shared" si="67"/>
        <v>6.4327354067226779</v>
      </c>
      <c r="Z168" s="282">
        <f t="shared" si="67"/>
        <v>7.1054273576010019E-14</v>
      </c>
      <c r="AA168" s="282">
        <f t="shared" si="67"/>
        <v>7.1054273576010019E-14</v>
      </c>
      <c r="AB168" s="282">
        <f t="shared" si="67"/>
        <v>7.1054273576010019E-14</v>
      </c>
      <c r="AC168" s="282">
        <f t="shared" si="67"/>
        <v>7.1054273576010019E-14</v>
      </c>
      <c r="AD168" s="282">
        <f t="shared" si="67"/>
        <v>7.1054273576010019E-14</v>
      </c>
      <c r="AE168" s="282">
        <f t="shared" si="67"/>
        <v>7.1054273576010019E-14</v>
      </c>
      <c r="AF168" s="282">
        <f t="shared" si="67"/>
        <v>7.1054273576010019E-14</v>
      </c>
      <c r="AG168" s="282">
        <f t="shared" si="67"/>
        <v>7.1054273576010019E-14</v>
      </c>
      <c r="AH168" s="282">
        <f t="shared" si="67"/>
        <v>7.1054273576010019E-14</v>
      </c>
      <c r="AI168" s="282">
        <f t="shared" si="67"/>
        <v>7.1054273576010019E-14</v>
      </c>
      <c r="AJ168" s="282">
        <f t="shared" si="67"/>
        <v>7.1054273576010019E-14</v>
      </c>
      <c r="AK168" s="282">
        <f t="shared" si="67"/>
        <v>7.1054273576010019E-14</v>
      </c>
      <c r="AL168" s="282">
        <f t="shared" si="67"/>
        <v>7.1054273576010019E-14</v>
      </c>
      <c r="AM168" s="282">
        <f t="shared" si="67"/>
        <v>7.1054273576010019E-14</v>
      </c>
      <c r="AN168" s="282">
        <f t="shared" si="67"/>
        <v>7.1054273576010019E-14</v>
      </c>
      <c r="AO168" s="282">
        <f t="shared" si="67"/>
        <v>7.1054273576010019E-14</v>
      </c>
      <c r="AP168" s="282">
        <f t="shared" si="67"/>
        <v>7.1054273576010019E-14</v>
      </c>
      <c r="AQ168" s="282">
        <f t="shared" si="67"/>
        <v>7.1054273576010019E-14</v>
      </c>
      <c r="AR168" s="282">
        <f t="shared" si="67"/>
        <v>7.1054273576010019E-14</v>
      </c>
      <c r="AS168" s="282">
        <f t="shared" si="67"/>
        <v>7.1054273576010019E-14</v>
      </c>
      <c r="AT168" s="282">
        <f t="shared" si="67"/>
        <v>7.1054273576010019E-14</v>
      </c>
      <c r="AU168" s="282">
        <f t="shared" si="67"/>
        <v>7.1054273576010019E-14</v>
      </c>
      <c r="AV168" s="282">
        <f t="shared" si="67"/>
        <v>7.1054273576010019E-14</v>
      </c>
      <c r="AW168" s="282">
        <f t="shared" si="67"/>
        <v>7.1054273576010019E-14</v>
      </c>
      <c r="AX168" s="282">
        <f t="shared" si="67"/>
        <v>7.1054273576010019E-14</v>
      </c>
      <c r="AY168" s="282">
        <f t="shared" si="67"/>
        <v>7.1054273576010019E-14</v>
      </c>
      <c r="AZ168" s="282">
        <f t="shared" si="67"/>
        <v>7.1054273576010019E-14</v>
      </c>
      <c r="BA168" s="282">
        <f t="shared" si="67"/>
        <v>7.1054273576010019E-14</v>
      </c>
      <c r="BB168" s="282">
        <f t="shared" si="67"/>
        <v>7.1054273576010019E-14</v>
      </c>
      <c r="BC168" s="282">
        <f t="shared" si="67"/>
        <v>7.1054273576010019E-14</v>
      </c>
    </row>
    <row r="169" spans="1:58" s="192" customFormat="1" ht="16.899999999999999" customHeight="1" outlineLevel="1" x14ac:dyDescent="0.25">
      <c r="A169" s="275"/>
      <c r="B169" s="288" t="s">
        <v>373</v>
      </c>
      <c r="C169" s="277">
        <v>0</v>
      </c>
      <c r="D169" s="277">
        <v>1</v>
      </c>
      <c r="E169" s="277">
        <v>2</v>
      </c>
      <c r="F169" s="277">
        <v>3</v>
      </c>
      <c r="G169" s="277">
        <v>4</v>
      </c>
      <c r="H169" s="277">
        <v>5</v>
      </c>
      <c r="I169" s="277">
        <v>6</v>
      </c>
      <c r="J169" s="277">
        <v>7</v>
      </c>
      <c r="K169" s="277">
        <v>8</v>
      </c>
      <c r="L169" s="277">
        <v>9</v>
      </c>
      <c r="M169" s="277">
        <v>10</v>
      </c>
      <c r="N169" s="277">
        <v>11</v>
      </c>
      <c r="O169" s="277">
        <v>12</v>
      </c>
      <c r="P169" s="277">
        <v>13</v>
      </c>
      <c r="Q169" s="277">
        <v>14</v>
      </c>
      <c r="R169" s="277">
        <v>15</v>
      </c>
      <c r="S169" s="277">
        <v>16</v>
      </c>
      <c r="T169" s="277">
        <v>17</v>
      </c>
      <c r="U169" s="277">
        <v>18</v>
      </c>
      <c r="V169" s="277">
        <v>19</v>
      </c>
      <c r="W169" s="277">
        <v>20</v>
      </c>
      <c r="X169" s="277">
        <v>21</v>
      </c>
      <c r="Y169" s="277">
        <v>22</v>
      </c>
      <c r="Z169" s="277">
        <v>23</v>
      </c>
      <c r="AA169" s="277">
        <v>24</v>
      </c>
      <c r="AB169" s="277">
        <v>25</v>
      </c>
      <c r="AC169" s="277">
        <v>26</v>
      </c>
      <c r="AD169" s="277">
        <v>27</v>
      </c>
      <c r="AE169" s="277">
        <v>28</v>
      </c>
      <c r="AF169" s="277">
        <v>29</v>
      </c>
      <c r="AG169" s="277">
        <v>30</v>
      </c>
      <c r="AH169" s="277">
        <v>31</v>
      </c>
      <c r="AI169" s="277">
        <v>32</v>
      </c>
      <c r="AJ169" s="277">
        <v>33</v>
      </c>
      <c r="AK169" s="277">
        <v>34</v>
      </c>
      <c r="AL169" s="277">
        <v>35</v>
      </c>
      <c r="AM169" s="277">
        <v>36</v>
      </c>
      <c r="AN169" s="277">
        <v>37</v>
      </c>
      <c r="AO169" s="277">
        <v>38</v>
      </c>
      <c r="AP169" s="277">
        <v>39</v>
      </c>
      <c r="AQ169" s="277">
        <v>40</v>
      </c>
      <c r="AR169" s="277">
        <v>41</v>
      </c>
      <c r="AS169" s="277">
        <v>42</v>
      </c>
      <c r="AT169" s="277">
        <v>43</v>
      </c>
      <c r="AU169" s="277">
        <v>44</v>
      </c>
      <c r="AV169" s="277">
        <v>45</v>
      </c>
      <c r="AW169" s="277">
        <v>46</v>
      </c>
      <c r="AX169" s="277">
        <v>47</v>
      </c>
      <c r="AY169" s="277">
        <v>48</v>
      </c>
      <c r="AZ169" s="277">
        <v>49</v>
      </c>
      <c r="BA169" s="277">
        <v>50</v>
      </c>
      <c r="BB169" s="277">
        <v>51</v>
      </c>
      <c r="BC169" s="277">
        <v>52</v>
      </c>
      <c r="BD169" s="275"/>
      <c r="BE169" s="275"/>
      <c r="BF169" s="275"/>
    </row>
    <row r="170" spans="1:58" s="192" customFormat="1" ht="16.899999999999999" customHeight="1" outlineLevel="1" x14ac:dyDescent="0.25">
      <c r="B170" s="192" t="s">
        <v>628</v>
      </c>
      <c r="C170" s="274">
        <f t="shared" ref="C170:AH170" si="68">IF(C169&lt;=$C$23,0,IF(C169&lt;($C$23+$C$22+1),1,2))</f>
        <v>0</v>
      </c>
      <c r="D170" s="274">
        <f t="shared" si="68"/>
        <v>0</v>
      </c>
      <c r="E170" s="274">
        <f t="shared" si="68"/>
        <v>0</v>
      </c>
      <c r="F170" s="274">
        <f t="shared" si="68"/>
        <v>1</v>
      </c>
      <c r="G170" s="274">
        <f t="shared" si="68"/>
        <v>1</v>
      </c>
      <c r="H170" s="274">
        <f t="shared" si="68"/>
        <v>1</v>
      </c>
      <c r="I170" s="274">
        <f t="shared" si="68"/>
        <v>1</v>
      </c>
      <c r="J170" s="274">
        <f t="shared" si="68"/>
        <v>1</v>
      </c>
      <c r="K170" s="274">
        <f t="shared" si="68"/>
        <v>1</v>
      </c>
      <c r="L170" s="274">
        <f t="shared" si="68"/>
        <v>1</v>
      </c>
      <c r="M170" s="274">
        <f t="shared" si="68"/>
        <v>1</v>
      </c>
      <c r="N170" s="274">
        <f t="shared" si="68"/>
        <v>1</v>
      </c>
      <c r="O170" s="274">
        <f t="shared" si="68"/>
        <v>1</v>
      </c>
      <c r="P170" s="274">
        <f t="shared" si="68"/>
        <v>1</v>
      </c>
      <c r="Q170" s="274">
        <f t="shared" si="68"/>
        <v>1</v>
      </c>
      <c r="R170" s="274">
        <f t="shared" si="68"/>
        <v>1</v>
      </c>
      <c r="S170" s="274">
        <f t="shared" si="68"/>
        <v>1</v>
      </c>
      <c r="T170" s="274">
        <f t="shared" si="68"/>
        <v>1</v>
      </c>
      <c r="U170" s="274">
        <f t="shared" si="68"/>
        <v>1</v>
      </c>
      <c r="V170" s="274">
        <f t="shared" si="68"/>
        <v>1</v>
      </c>
      <c r="W170" s="274">
        <f t="shared" si="68"/>
        <v>1</v>
      </c>
      <c r="X170" s="274">
        <f t="shared" si="68"/>
        <v>1</v>
      </c>
      <c r="Y170" s="274">
        <f t="shared" si="68"/>
        <v>1</v>
      </c>
      <c r="Z170" s="274">
        <f t="shared" si="68"/>
        <v>2</v>
      </c>
      <c r="AA170" s="274">
        <f t="shared" si="68"/>
        <v>2</v>
      </c>
      <c r="AB170" s="274">
        <f t="shared" si="68"/>
        <v>2</v>
      </c>
      <c r="AC170" s="274">
        <f t="shared" si="68"/>
        <v>2</v>
      </c>
      <c r="AD170" s="274">
        <f t="shared" si="68"/>
        <v>2</v>
      </c>
      <c r="AE170" s="274">
        <f t="shared" si="68"/>
        <v>2</v>
      </c>
      <c r="AF170" s="274">
        <f t="shared" si="68"/>
        <v>2</v>
      </c>
      <c r="AG170" s="274">
        <f t="shared" si="68"/>
        <v>2</v>
      </c>
      <c r="AH170" s="274">
        <f t="shared" si="68"/>
        <v>2</v>
      </c>
      <c r="AI170" s="274">
        <f t="shared" ref="AI170:BC170" si="69">IF(AI169&lt;=$C$23,0,IF(AI169&lt;($C$23+$C$22+1),1,2))</f>
        <v>2</v>
      </c>
      <c r="AJ170" s="274">
        <f t="shared" si="69"/>
        <v>2</v>
      </c>
      <c r="AK170" s="274">
        <f t="shared" si="69"/>
        <v>2</v>
      </c>
      <c r="AL170" s="274">
        <f t="shared" si="69"/>
        <v>2</v>
      </c>
      <c r="AM170" s="274">
        <f t="shared" si="69"/>
        <v>2</v>
      </c>
      <c r="AN170" s="274">
        <f t="shared" si="69"/>
        <v>2</v>
      </c>
      <c r="AO170" s="274">
        <f t="shared" si="69"/>
        <v>2</v>
      </c>
      <c r="AP170" s="274">
        <f t="shared" si="69"/>
        <v>2</v>
      </c>
      <c r="AQ170" s="274">
        <f t="shared" si="69"/>
        <v>2</v>
      </c>
      <c r="AR170" s="274">
        <f t="shared" si="69"/>
        <v>2</v>
      </c>
      <c r="AS170" s="274">
        <f t="shared" si="69"/>
        <v>2</v>
      </c>
      <c r="AT170" s="274">
        <f t="shared" si="69"/>
        <v>2</v>
      </c>
      <c r="AU170" s="274">
        <f t="shared" si="69"/>
        <v>2</v>
      </c>
      <c r="AV170" s="274">
        <f t="shared" si="69"/>
        <v>2</v>
      </c>
      <c r="AW170" s="274">
        <f t="shared" si="69"/>
        <v>2</v>
      </c>
      <c r="AX170" s="274">
        <f t="shared" si="69"/>
        <v>2</v>
      </c>
      <c r="AY170" s="274">
        <f t="shared" si="69"/>
        <v>2</v>
      </c>
      <c r="AZ170" s="274">
        <f t="shared" si="69"/>
        <v>2</v>
      </c>
      <c r="BA170" s="274">
        <f t="shared" si="69"/>
        <v>2</v>
      </c>
      <c r="BB170" s="274">
        <f t="shared" si="69"/>
        <v>2</v>
      </c>
      <c r="BC170" s="274">
        <f t="shared" si="69"/>
        <v>2</v>
      </c>
    </row>
    <row r="171" spans="1:58" s="192" customFormat="1" ht="16.899999999999999" customHeight="1" outlineLevel="1" x14ac:dyDescent="0.25">
      <c r="B171" s="110" t="s">
        <v>374</v>
      </c>
      <c r="C171" s="282">
        <v>0</v>
      </c>
      <c r="D171" s="282">
        <f t="shared" ref="D171:AI171" si="70">IF(D170=0,0,IF(D170=1,-1*SUM($C167:$BC167)/$C$22,0))</f>
        <v>0</v>
      </c>
      <c r="E171" s="282">
        <f t="shared" si="70"/>
        <v>0</v>
      </c>
      <c r="F171" s="282">
        <f t="shared" si="70"/>
        <v>-6.4327354067226068</v>
      </c>
      <c r="G171" s="282">
        <f t="shared" si="70"/>
        <v>-6.4327354067226068</v>
      </c>
      <c r="H171" s="282">
        <f t="shared" si="70"/>
        <v>-6.4327354067226068</v>
      </c>
      <c r="I171" s="282">
        <f t="shared" si="70"/>
        <v>-6.4327354067226068</v>
      </c>
      <c r="J171" s="282">
        <f t="shared" si="70"/>
        <v>-6.4327354067226068</v>
      </c>
      <c r="K171" s="282">
        <f t="shared" si="70"/>
        <v>-6.4327354067226068</v>
      </c>
      <c r="L171" s="282">
        <f t="shared" si="70"/>
        <v>-6.4327354067226068</v>
      </c>
      <c r="M171" s="282">
        <f t="shared" si="70"/>
        <v>-6.4327354067226068</v>
      </c>
      <c r="N171" s="282">
        <f t="shared" si="70"/>
        <v>-6.4327354067226068</v>
      </c>
      <c r="O171" s="282">
        <f t="shared" si="70"/>
        <v>-6.4327354067226068</v>
      </c>
      <c r="P171" s="282">
        <f t="shared" si="70"/>
        <v>-6.4327354067226068</v>
      </c>
      <c r="Q171" s="282">
        <f t="shared" si="70"/>
        <v>-6.4327354067226068</v>
      </c>
      <c r="R171" s="282">
        <f t="shared" si="70"/>
        <v>-6.4327354067226068</v>
      </c>
      <c r="S171" s="282">
        <f t="shared" si="70"/>
        <v>-6.4327354067226068</v>
      </c>
      <c r="T171" s="282">
        <f t="shared" si="70"/>
        <v>-6.4327354067226068</v>
      </c>
      <c r="U171" s="282">
        <f t="shared" si="70"/>
        <v>-6.4327354067226068</v>
      </c>
      <c r="V171" s="282">
        <f t="shared" si="70"/>
        <v>-6.4327354067226068</v>
      </c>
      <c r="W171" s="282">
        <f t="shared" si="70"/>
        <v>-6.4327354067226068</v>
      </c>
      <c r="X171" s="282">
        <f t="shared" si="70"/>
        <v>-6.4327354067226068</v>
      </c>
      <c r="Y171" s="282">
        <f t="shared" si="70"/>
        <v>-6.4327354067226068</v>
      </c>
      <c r="Z171" s="282">
        <f t="shared" si="70"/>
        <v>0</v>
      </c>
      <c r="AA171" s="282">
        <f t="shared" si="70"/>
        <v>0</v>
      </c>
      <c r="AB171" s="282">
        <f t="shared" si="70"/>
        <v>0</v>
      </c>
      <c r="AC171" s="282">
        <f t="shared" si="70"/>
        <v>0</v>
      </c>
      <c r="AD171" s="282">
        <f t="shared" si="70"/>
        <v>0</v>
      </c>
      <c r="AE171" s="282">
        <f t="shared" si="70"/>
        <v>0</v>
      </c>
      <c r="AF171" s="282">
        <f t="shared" si="70"/>
        <v>0</v>
      </c>
      <c r="AG171" s="282">
        <f t="shared" si="70"/>
        <v>0</v>
      </c>
      <c r="AH171" s="282">
        <f t="shared" si="70"/>
        <v>0</v>
      </c>
      <c r="AI171" s="282">
        <f t="shared" si="70"/>
        <v>0</v>
      </c>
      <c r="AJ171" s="282">
        <f t="shared" ref="AJ171:BC171" si="71">IF(AJ170=0,0,IF(AJ170=1,-1*SUM($C167:$BC167)/$C$22,0))</f>
        <v>0</v>
      </c>
      <c r="AK171" s="282">
        <f t="shared" si="71"/>
        <v>0</v>
      </c>
      <c r="AL171" s="282">
        <f t="shared" si="71"/>
        <v>0</v>
      </c>
      <c r="AM171" s="282">
        <f t="shared" si="71"/>
        <v>0</v>
      </c>
      <c r="AN171" s="282">
        <f t="shared" si="71"/>
        <v>0</v>
      </c>
      <c r="AO171" s="282">
        <f t="shared" si="71"/>
        <v>0</v>
      </c>
      <c r="AP171" s="282">
        <f t="shared" si="71"/>
        <v>0</v>
      </c>
      <c r="AQ171" s="282">
        <f t="shared" si="71"/>
        <v>0</v>
      </c>
      <c r="AR171" s="282">
        <f t="shared" si="71"/>
        <v>0</v>
      </c>
      <c r="AS171" s="282">
        <f t="shared" si="71"/>
        <v>0</v>
      </c>
      <c r="AT171" s="282">
        <f t="shared" si="71"/>
        <v>0</v>
      </c>
      <c r="AU171" s="282">
        <f t="shared" si="71"/>
        <v>0</v>
      </c>
      <c r="AV171" s="282">
        <f t="shared" si="71"/>
        <v>0</v>
      </c>
      <c r="AW171" s="282">
        <f t="shared" si="71"/>
        <v>0</v>
      </c>
      <c r="AX171" s="282">
        <f t="shared" si="71"/>
        <v>0</v>
      </c>
      <c r="AY171" s="282">
        <f t="shared" si="71"/>
        <v>0</v>
      </c>
      <c r="AZ171" s="282">
        <f t="shared" si="71"/>
        <v>0</v>
      </c>
      <c r="BA171" s="282">
        <f t="shared" si="71"/>
        <v>0</v>
      </c>
      <c r="BB171" s="282">
        <f t="shared" si="71"/>
        <v>0</v>
      </c>
      <c r="BC171" s="282">
        <f t="shared" si="71"/>
        <v>0</v>
      </c>
    </row>
    <row r="172" spans="1:58" s="192" customFormat="1" ht="16.899999999999999" customHeight="1" outlineLevel="1" x14ac:dyDescent="0.25">
      <c r="B172" s="110" t="s">
        <v>375</v>
      </c>
      <c r="C172" s="282">
        <v>0</v>
      </c>
      <c r="D172" s="282">
        <f t="shared" ref="D172:AI172" si="72">IF(D170=0,-1*$C$24*C173,IF(D170=1,-1*$C$21*C173,0))</f>
        <v>-1.4265101593632736</v>
      </c>
      <c r="E172" s="282">
        <f t="shared" si="72"/>
        <v>-3.6522123175917236</v>
      </c>
      <c r="F172" s="282">
        <f t="shared" si="72"/>
        <v>-6.4327354067226068</v>
      </c>
      <c r="G172" s="282">
        <f t="shared" si="72"/>
        <v>-6.111098636386477</v>
      </c>
      <c r="H172" s="282">
        <f t="shared" si="72"/>
        <v>-5.7894618660503472</v>
      </c>
      <c r="I172" s="282">
        <f t="shared" si="72"/>
        <v>-5.4678250957142174</v>
      </c>
      <c r="J172" s="282">
        <f t="shared" si="72"/>
        <v>-5.1461883253780876</v>
      </c>
      <c r="K172" s="282">
        <f t="shared" si="72"/>
        <v>-4.8245515550419569</v>
      </c>
      <c r="L172" s="282">
        <f t="shared" si="72"/>
        <v>-4.5029147847058271</v>
      </c>
      <c r="M172" s="282">
        <f t="shared" si="72"/>
        <v>-4.1812780143696973</v>
      </c>
      <c r="N172" s="282">
        <f t="shared" si="72"/>
        <v>-3.859641244033567</v>
      </c>
      <c r="O172" s="282">
        <f t="shared" si="72"/>
        <v>-3.5380044736974372</v>
      </c>
      <c r="P172" s="282">
        <f t="shared" si="72"/>
        <v>-3.216367703361307</v>
      </c>
      <c r="Q172" s="282">
        <f t="shared" si="72"/>
        <v>-2.8947309330251767</v>
      </c>
      <c r="R172" s="282">
        <f t="shared" si="72"/>
        <v>-2.5730941626890464</v>
      </c>
      <c r="S172" s="282">
        <f t="shared" si="72"/>
        <v>-2.2514573923529162</v>
      </c>
      <c r="T172" s="282">
        <f t="shared" si="72"/>
        <v>-1.9298206220167857</v>
      </c>
      <c r="U172" s="282">
        <f t="shared" si="72"/>
        <v>-1.6081838516806553</v>
      </c>
      <c r="V172" s="282">
        <f t="shared" si="72"/>
        <v>-1.286547081344525</v>
      </c>
      <c r="W172" s="282">
        <f t="shared" si="72"/>
        <v>-0.96491031100839464</v>
      </c>
      <c r="X172" s="282">
        <f t="shared" si="72"/>
        <v>-0.64327354067226428</v>
      </c>
      <c r="Y172" s="282">
        <f t="shared" si="72"/>
        <v>-0.32163677033613391</v>
      </c>
      <c r="Z172" s="282">
        <f t="shared" si="72"/>
        <v>0</v>
      </c>
      <c r="AA172" s="282">
        <f t="shared" si="72"/>
        <v>0</v>
      </c>
      <c r="AB172" s="282">
        <f t="shared" si="72"/>
        <v>0</v>
      </c>
      <c r="AC172" s="282">
        <f t="shared" si="72"/>
        <v>0</v>
      </c>
      <c r="AD172" s="282">
        <f t="shared" si="72"/>
        <v>0</v>
      </c>
      <c r="AE172" s="282">
        <f t="shared" si="72"/>
        <v>0</v>
      </c>
      <c r="AF172" s="282">
        <f t="shared" si="72"/>
        <v>0</v>
      </c>
      <c r="AG172" s="282">
        <f t="shared" si="72"/>
        <v>0</v>
      </c>
      <c r="AH172" s="282">
        <f t="shared" si="72"/>
        <v>0</v>
      </c>
      <c r="AI172" s="282">
        <f t="shared" si="72"/>
        <v>0</v>
      </c>
      <c r="AJ172" s="282">
        <f t="shared" ref="AJ172:BC172" si="73">IF(AJ170=0,-1*$C$24*AI173,IF(AJ170=1,-1*$C$21*AI173,0))</f>
        <v>0</v>
      </c>
      <c r="AK172" s="282">
        <f t="shared" si="73"/>
        <v>0</v>
      </c>
      <c r="AL172" s="282">
        <f t="shared" si="73"/>
        <v>0</v>
      </c>
      <c r="AM172" s="282">
        <f t="shared" si="73"/>
        <v>0</v>
      </c>
      <c r="AN172" s="282">
        <f t="shared" si="73"/>
        <v>0</v>
      </c>
      <c r="AO172" s="282">
        <f t="shared" si="73"/>
        <v>0</v>
      </c>
      <c r="AP172" s="282">
        <f t="shared" si="73"/>
        <v>0</v>
      </c>
      <c r="AQ172" s="282">
        <f t="shared" si="73"/>
        <v>0</v>
      </c>
      <c r="AR172" s="282">
        <f t="shared" si="73"/>
        <v>0</v>
      </c>
      <c r="AS172" s="282">
        <f t="shared" si="73"/>
        <v>0</v>
      </c>
      <c r="AT172" s="282">
        <f t="shared" si="73"/>
        <v>0</v>
      </c>
      <c r="AU172" s="282">
        <f t="shared" si="73"/>
        <v>0</v>
      </c>
      <c r="AV172" s="282">
        <f t="shared" si="73"/>
        <v>0</v>
      </c>
      <c r="AW172" s="282">
        <f t="shared" si="73"/>
        <v>0</v>
      </c>
      <c r="AX172" s="282">
        <f t="shared" si="73"/>
        <v>0</v>
      </c>
      <c r="AY172" s="282">
        <f t="shared" si="73"/>
        <v>0</v>
      </c>
      <c r="AZ172" s="282">
        <f t="shared" si="73"/>
        <v>0</v>
      </c>
      <c r="BA172" s="282">
        <f t="shared" si="73"/>
        <v>0</v>
      </c>
      <c r="BB172" s="282">
        <f t="shared" si="73"/>
        <v>0</v>
      </c>
      <c r="BC172" s="282">
        <f t="shared" si="73"/>
        <v>0</v>
      </c>
    </row>
    <row r="173" spans="1:58" s="192" customFormat="1" ht="16.899999999999999" customHeight="1" outlineLevel="1" x14ac:dyDescent="0.25">
      <c r="B173" s="278" t="s">
        <v>629</v>
      </c>
      <c r="C173" s="282">
        <f>C168+C171</f>
        <v>32.793336996856866</v>
      </c>
      <c r="D173" s="282">
        <f t="shared" ref="D173:BC173" si="74">D168+D171</f>
        <v>83.958903852683306</v>
      </c>
      <c r="E173" s="282">
        <f t="shared" si="74"/>
        <v>128.65470813445214</v>
      </c>
      <c r="F173" s="282">
        <f t="shared" si="74"/>
        <v>122.22197272772954</v>
      </c>
      <c r="G173" s="282">
        <f t="shared" si="74"/>
        <v>115.78923732100694</v>
      </c>
      <c r="H173" s="282">
        <f t="shared" si="74"/>
        <v>109.35650191428434</v>
      </c>
      <c r="I173" s="282">
        <f t="shared" si="74"/>
        <v>102.92376650756174</v>
      </c>
      <c r="J173" s="282">
        <f t="shared" si="74"/>
        <v>96.491031100839137</v>
      </c>
      <c r="K173" s="282">
        <f t="shared" si="74"/>
        <v>90.058295694116538</v>
      </c>
      <c r="L173" s="282">
        <f t="shared" si="74"/>
        <v>83.625560287393938</v>
      </c>
      <c r="M173" s="282">
        <f t="shared" si="74"/>
        <v>77.192824880671338</v>
      </c>
      <c r="N173" s="282">
        <f t="shared" si="74"/>
        <v>70.760089473948739</v>
      </c>
      <c r="O173" s="282">
        <f t="shared" si="74"/>
        <v>64.327354067226139</v>
      </c>
      <c r="P173" s="282">
        <f t="shared" si="74"/>
        <v>57.894618660503532</v>
      </c>
      <c r="Q173" s="282">
        <f t="shared" si="74"/>
        <v>51.461883253780925</v>
      </c>
      <c r="R173" s="282">
        <f t="shared" si="74"/>
        <v>45.029147847058319</v>
      </c>
      <c r="S173" s="282">
        <f t="shared" si="74"/>
        <v>38.596412440335712</v>
      </c>
      <c r="T173" s="282">
        <f t="shared" si="74"/>
        <v>32.163677033613105</v>
      </c>
      <c r="U173" s="282">
        <f t="shared" si="74"/>
        <v>25.730941626890498</v>
      </c>
      <c r="V173" s="282">
        <f t="shared" si="74"/>
        <v>19.298206220167891</v>
      </c>
      <c r="W173" s="282">
        <f t="shared" si="74"/>
        <v>12.865470813445285</v>
      </c>
      <c r="X173" s="282">
        <f t="shared" si="74"/>
        <v>6.4327354067226779</v>
      </c>
      <c r="Y173" s="282">
        <f t="shared" si="74"/>
        <v>7.1054273576010019E-14</v>
      </c>
      <c r="Z173" s="282">
        <f t="shared" si="74"/>
        <v>7.1054273576010019E-14</v>
      </c>
      <c r="AA173" s="282">
        <f t="shared" si="74"/>
        <v>7.1054273576010019E-14</v>
      </c>
      <c r="AB173" s="282">
        <f t="shared" si="74"/>
        <v>7.1054273576010019E-14</v>
      </c>
      <c r="AC173" s="282">
        <f t="shared" si="74"/>
        <v>7.1054273576010019E-14</v>
      </c>
      <c r="AD173" s="282">
        <f t="shared" si="74"/>
        <v>7.1054273576010019E-14</v>
      </c>
      <c r="AE173" s="282">
        <f t="shared" si="74"/>
        <v>7.1054273576010019E-14</v>
      </c>
      <c r="AF173" s="282">
        <f t="shared" si="74"/>
        <v>7.1054273576010019E-14</v>
      </c>
      <c r="AG173" s="282">
        <f t="shared" si="74"/>
        <v>7.1054273576010019E-14</v>
      </c>
      <c r="AH173" s="282">
        <f t="shared" si="74"/>
        <v>7.1054273576010019E-14</v>
      </c>
      <c r="AI173" s="282">
        <f t="shared" si="74"/>
        <v>7.1054273576010019E-14</v>
      </c>
      <c r="AJ173" s="282">
        <f t="shared" si="74"/>
        <v>7.1054273576010019E-14</v>
      </c>
      <c r="AK173" s="282">
        <f t="shared" si="74"/>
        <v>7.1054273576010019E-14</v>
      </c>
      <c r="AL173" s="282">
        <f t="shared" si="74"/>
        <v>7.1054273576010019E-14</v>
      </c>
      <c r="AM173" s="282">
        <f t="shared" si="74"/>
        <v>7.1054273576010019E-14</v>
      </c>
      <c r="AN173" s="282">
        <f t="shared" si="74"/>
        <v>7.1054273576010019E-14</v>
      </c>
      <c r="AO173" s="282">
        <f t="shared" si="74"/>
        <v>7.1054273576010019E-14</v>
      </c>
      <c r="AP173" s="282">
        <f t="shared" si="74"/>
        <v>7.1054273576010019E-14</v>
      </c>
      <c r="AQ173" s="282">
        <f t="shared" si="74"/>
        <v>7.1054273576010019E-14</v>
      </c>
      <c r="AR173" s="282">
        <f t="shared" si="74"/>
        <v>7.1054273576010019E-14</v>
      </c>
      <c r="AS173" s="282">
        <f t="shared" si="74"/>
        <v>7.1054273576010019E-14</v>
      </c>
      <c r="AT173" s="282">
        <f t="shared" si="74"/>
        <v>7.1054273576010019E-14</v>
      </c>
      <c r="AU173" s="282">
        <f t="shared" si="74"/>
        <v>7.1054273576010019E-14</v>
      </c>
      <c r="AV173" s="282">
        <f t="shared" si="74"/>
        <v>7.1054273576010019E-14</v>
      </c>
      <c r="AW173" s="282">
        <f t="shared" si="74"/>
        <v>7.1054273576010019E-14</v>
      </c>
      <c r="AX173" s="282">
        <f t="shared" si="74"/>
        <v>7.1054273576010019E-14</v>
      </c>
      <c r="AY173" s="282">
        <f t="shared" si="74"/>
        <v>7.1054273576010019E-14</v>
      </c>
      <c r="AZ173" s="282">
        <f t="shared" si="74"/>
        <v>7.1054273576010019E-14</v>
      </c>
      <c r="BA173" s="282">
        <f t="shared" si="74"/>
        <v>7.1054273576010019E-14</v>
      </c>
      <c r="BB173" s="282">
        <f t="shared" si="74"/>
        <v>7.1054273576010019E-14</v>
      </c>
      <c r="BC173" s="282">
        <f t="shared" si="74"/>
        <v>7.1054273576010019E-14</v>
      </c>
    </row>
    <row r="174" spans="1:58" s="192" customFormat="1" ht="16.899999999999999" customHeight="1" outlineLevel="1" x14ac:dyDescent="0.25">
      <c r="C174" s="283"/>
      <c r="D174" s="283"/>
      <c r="E174" s="283"/>
      <c r="F174" s="283"/>
      <c r="G174" s="283"/>
      <c r="H174" s="283"/>
      <c r="I174" s="283"/>
      <c r="J174" s="283"/>
      <c r="K174" s="283"/>
      <c r="L174" s="283"/>
      <c r="M174" s="283"/>
      <c r="N174" s="283"/>
      <c r="O174" s="283"/>
      <c r="P174" s="283"/>
      <c r="Q174" s="283"/>
      <c r="R174" s="282"/>
      <c r="S174" s="283"/>
      <c r="T174" s="283"/>
      <c r="U174" s="283"/>
      <c r="V174" s="283"/>
      <c r="W174" s="283"/>
      <c r="X174" s="283"/>
      <c r="Y174" s="283"/>
      <c r="Z174" s="283"/>
      <c r="AA174" s="283"/>
      <c r="AB174" s="283"/>
      <c r="AC174" s="283"/>
      <c r="AD174" s="283"/>
      <c r="AE174" s="283"/>
      <c r="AF174" s="283"/>
      <c r="AG174" s="283"/>
      <c r="AH174" s="283"/>
      <c r="AI174" s="283"/>
      <c r="AJ174" s="283"/>
      <c r="AK174" s="283"/>
      <c r="AL174" s="283"/>
      <c r="AM174" s="283"/>
      <c r="AN174" s="283"/>
      <c r="AO174" s="283"/>
      <c r="AP174" s="283"/>
      <c r="AQ174" s="283"/>
      <c r="AR174" s="283"/>
      <c r="AS174" s="283"/>
      <c r="AT174" s="283"/>
      <c r="AU174" s="283"/>
      <c r="AV174" s="283"/>
      <c r="AW174" s="283"/>
      <c r="AX174" s="283"/>
      <c r="AY174" s="283"/>
      <c r="AZ174" s="283"/>
      <c r="BA174" s="283"/>
      <c r="BB174" s="283"/>
      <c r="BC174" s="283"/>
    </row>
    <row r="175" spans="1:58" s="192" customFormat="1" ht="16.899999999999999" customHeight="1" outlineLevel="1" x14ac:dyDescent="0.25">
      <c r="B175" s="192" t="s">
        <v>421</v>
      </c>
      <c r="C175" s="282">
        <f>C156+C167+C171+C172-C148+C35*$H$29*(1-0.0925-$C$10)/1000000+C149</f>
        <v>16.904203073308768</v>
      </c>
      <c r="D175" s="282">
        <f t="shared" ref="D175:BC175" si="75">D156+D167+D171+D172-D148+D35*$H$29*(1-0.0925-$C$10)/1000000+D149</f>
        <v>7.7548808123309776</v>
      </c>
      <c r="E175" s="282">
        <f t="shared" si="75"/>
        <v>8.4536444413380032</v>
      </c>
      <c r="F175" s="282">
        <f t="shared" si="75"/>
        <v>-10.362457065129774</v>
      </c>
      <c r="G175" s="282">
        <f t="shared" si="75"/>
        <v>-9.936709224731274</v>
      </c>
      <c r="H175" s="282">
        <f t="shared" si="75"/>
        <v>-9.5104720623034886</v>
      </c>
      <c r="I175" s="282">
        <f t="shared" si="75"/>
        <v>-9.0837432780328733</v>
      </c>
      <c r="J175" s="282">
        <f t="shared" si="75"/>
        <v>-8.6565205612967677</v>
      </c>
      <c r="K175" s="282">
        <f t="shared" si="75"/>
        <v>-8.22880159061258</v>
      </c>
      <c r="L175" s="282">
        <f t="shared" si="75"/>
        <v>-7.8005840335867491</v>
      </c>
      <c r="M175" s="282">
        <f t="shared" si="75"/>
        <v>-7.3718655468634875</v>
      </c>
      <c r="N175" s="282">
        <f t="shared" si="75"/>
        <v>-6.9426437760732052</v>
      </c>
      <c r="O175" s="282">
        <f t="shared" si="75"/>
        <v>-6.5129163557807823</v>
      </c>
      <c r="P175" s="282">
        <f t="shared" si="75"/>
        <v>-6.082680909433571</v>
      </c>
      <c r="Q175" s="282">
        <f t="shared" si="75"/>
        <v>-5.6519350493091007</v>
      </c>
      <c r="R175" s="282">
        <f t="shared" si="75"/>
        <v>-5.2206763764626327</v>
      </c>
      <c r="S175" s="282">
        <f t="shared" si="75"/>
        <v>-4.788902480674361</v>
      </c>
      <c r="T175" s="282">
        <f t="shared" si="75"/>
        <v>-4.3566109403964646</v>
      </c>
      <c r="U175" s="282">
        <f t="shared" si="75"/>
        <v>-3.9237993226998364</v>
      </c>
      <c r="V175" s="282">
        <f t="shared" si="75"/>
        <v>-3.4904651832206355</v>
      </c>
      <c r="W175" s="282">
        <f t="shared" si="75"/>
        <v>-3.0566060661064456</v>
      </c>
      <c r="X175" s="282">
        <f t="shared" si="75"/>
        <v>-2.6222195039623921</v>
      </c>
      <c r="Y175" s="282">
        <f t="shared" si="75"/>
        <v>-2.1873030177968462</v>
      </c>
      <c r="Z175" s="282">
        <f t="shared" si="75"/>
        <v>4.6808812897557015</v>
      </c>
      <c r="AA175" s="282">
        <f t="shared" si="75"/>
        <v>4.7952283372628282</v>
      </c>
      <c r="AB175" s="282">
        <f t="shared" si="75"/>
        <v>4.9101128158932452</v>
      </c>
      <c r="AC175" s="282">
        <f t="shared" si="75"/>
        <v>5.0255372515732102</v>
      </c>
      <c r="AD175" s="282">
        <f t="shared" si="75"/>
        <v>5.1415041821008973</v>
      </c>
      <c r="AE175" s="282">
        <f t="shared" si="75"/>
        <v>5.2580161572020447</v>
      </c>
      <c r="AF175" s="282">
        <f t="shared" si="75"/>
        <v>5.3750757385861814</v>
      </c>
      <c r="AG175" s="282">
        <f t="shared" si="75"/>
        <v>5.492685500002807</v>
      </c>
      <c r="AH175" s="282">
        <f t="shared" si="75"/>
        <v>5.6108480272980987</v>
      </c>
      <c r="AI175" s="282">
        <f t="shared" si="75"/>
        <v>5.7295659184716712</v>
      </c>
      <c r="AJ175" s="282">
        <f t="shared" si="75"/>
        <v>5.8488417837337749</v>
      </c>
      <c r="AK175" s="282">
        <f t="shared" si="75"/>
        <v>5.9686782455626046</v>
      </c>
      <c r="AL175" s="282">
        <f t="shared" si="75"/>
        <v>6.0890779387620242</v>
      </c>
      <c r="AM175" s="282">
        <f t="shared" si="75"/>
        <v>6.2100435105194878</v>
      </c>
      <c r="AN175" s="282">
        <f t="shared" si="75"/>
        <v>6.331577620464202</v>
      </c>
      <c r="AO175" s="282">
        <f t="shared" si="75"/>
        <v>6.4536829407256704</v>
      </c>
      <c r="AP175" s="282">
        <f t="shared" si="75"/>
        <v>6.5763621559923573</v>
      </c>
      <c r="AQ175" s="282">
        <f t="shared" si="75"/>
        <v>6.6996179635708151</v>
      </c>
      <c r="AR175" s="282">
        <f t="shared" si="75"/>
        <v>6.8234530734448704</v>
      </c>
      <c r="AS175" s="282">
        <f t="shared" si="75"/>
        <v>6.9478702083353374</v>
      </c>
      <c r="AT175" s="282">
        <f t="shared" si="75"/>
        <v>7.0728721037597921</v>
      </c>
      <c r="AU175" s="282">
        <f t="shared" si="75"/>
        <v>7.1984615080927457</v>
      </c>
      <c r="AV175" s="282">
        <f t="shared" si="75"/>
        <v>7.3246411826260491</v>
      </c>
      <c r="AW175" s="282">
        <f t="shared" si="75"/>
        <v>7.4514139016296719</v>
      </c>
      <c r="AX175" s="282">
        <f t="shared" si="75"/>
        <v>7.5787824524126108</v>
      </c>
      <c r="AY175" s="282">
        <f t="shared" si="75"/>
        <v>7.7067496353842362</v>
      </c>
      <c r="AZ175" s="282">
        <f t="shared" si="75"/>
        <v>7.8353182641158234</v>
      </c>
      <c r="BA175" s="282">
        <f t="shared" si="75"/>
        <v>7.9644911654024426</v>
      </c>
      <c r="BB175" s="282">
        <f t="shared" si="75"/>
        <v>8.0942711793251139</v>
      </c>
      <c r="BC175" s="282">
        <f t="shared" si="75"/>
        <v>8.2246611593132162</v>
      </c>
    </row>
    <row r="176" spans="1:58" s="192" customFormat="1" ht="16.899999999999999" customHeight="1" outlineLevel="1" x14ac:dyDescent="0.25">
      <c r="B176" s="192" t="s">
        <v>422</v>
      </c>
      <c r="C176" s="282">
        <f>C175</f>
        <v>16.904203073308768</v>
      </c>
      <c r="D176" s="282">
        <f t="shared" ref="D176:BC176" si="76">C176+D175</f>
        <v>24.659083885639745</v>
      </c>
      <c r="E176" s="282">
        <f t="shared" si="76"/>
        <v>33.112728326977745</v>
      </c>
      <c r="F176" s="282">
        <f t="shared" si="76"/>
        <v>22.750271261847971</v>
      </c>
      <c r="G176" s="282">
        <f t="shared" si="76"/>
        <v>12.813562037116697</v>
      </c>
      <c r="H176" s="282">
        <f t="shared" si="76"/>
        <v>3.3030899748132079</v>
      </c>
      <c r="I176" s="282">
        <f t="shared" si="76"/>
        <v>-5.7806533032196654</v>
      </c>
      <c r="J176" s="282">
        <f t="shared" si="76"/>
        <v>-14.437173864516433</v>
      </c>
      <c r="K176" s="282">
        <f t="shared" si="76"/>
        <v>-22.665975455129015</v>
      </c>
      <c r="L176" s="282">
        <f t="shared" si="76"/>
        <v>-30.466559488715763</v>
      </c>
      <c r="M176" s="282">
        <f t="shared" si="76"/>
        <v>-37.838425035579249</v>
      </c>
      <c r="N176" s="282">
        <f t="shared" si="76"/>
        <v>-44.781068811652453</v>
      </c>
      <c r="O176" s="282">
        <f t="shared" si="76"/>
        <v>-51.293985167433235</v>
      </c>
      <c r="P176" s="282">
        <f t="shared" si="76"/>
        <v>-57.376666076866805</v>
      </c>
      <c r="Q176" s="282">
        <f t="shared" si="76"/>
        <v>-63.028601126175907</v>
      </c>
      <c r="R176" s="282">
        <f t="shared" si="76"/>
        <v>-68.249277502638535</v>
      </c>
      <c r="S176" s="282">
        <f t="shared" si="76"/>
        <v>-73.038179983312901</v>
      </c>
      <c r="T176" s="282">
        <f t="shared" si="76"/>
        <v>-77.394790923709365</v>
      </c>
      <c r="U176" s="282">
        <f t="shared" si="76"/>
        <v>-81.318590246409201</v>
      </c>
      <c r="V176" s="282">
        <f t="shared" si="76"/>
        <v>-84.809055429629836</v>
      </c>
      <c r="W176" s="282">
        <f t="shared" si="76"/>
        <v>-87.865661495736276</v>
      </c>
      <c r="X176" s="282">
        <f t="shared" si="76"/>
        <v>-90.487880999698675</v>
      </c>
      <c r="Y176" s="282">
        <f t="shared" si="76"/>
        <v>-92.675184017495525</v>
      </c>
      <c r="Z176" s="282">
        <f t="shared" si="76"/>
        <v>-87.994302727739822</v>
      </c>
      <c r="AA176" s="282">
        <f t="shared" si="76"/>
        <v>-83.199074390476994</v>
      </c>
      <c r="AB176" s="282">
        <f t="shared" si="76"/>
        <v>-78.288961574583752</v>
      </c>
      <c r="AC176" s="282">
        <f t="shared" si="76"/>
        <v>-73.26342432301054</v>
      </c>
      <c r="AD176" s="282">
        <f t="shared" si="76"/>
        <v>-68.121920140909637</v>
      </c>
      <c r="AE176" s="282">
        <f t="shared" si="76"/>
        <v>-62.863903983707594</v>
      </c>
      <c r="AF176" s="282">
        <f t="shared" si="76"/>
        <v>-57.488828245121411</v>
      </c>
      <c r="AG176" s="282">
        <f t="shared" si="76"/>
        <v>-51.996142745118604</v>
      </c>
      <c r="AH176" s="282">
        <f t="shared" si="76"/>
        <v>-46.385294717820507</v>
      </c>
      <c r="AI176" s="282">
        <f t="shared" si="76"/>
        <v>-40.655728799348836</v>
      </c>
      <c r="AJ176" s="282">
        <f t="shared" si="76"/>
        <v>-34.806887015615061</v>
      </c>
      <c r="AK176" s="282">
        <f t="shared" si="76"/>
        <v>-28.838208770052457</v>
      </c>
      <c r="AL176" s="282">
        <f t="shared" si="76"/>
        <v>-22.749130831290433</v>
      </c>
      <c r="AM176" s="282">
        <f t="shared" si="76"/>
        <v>-16.539087320770946</v>
      </c>
      <c r="AN176" s="282">
        <f t="shared" si="76"/>
        <v>-10.207509700306744</v>
      </c>
      <c r="AO176" s="282">
        <f t="shared" si="76"/>
        <v>-3.7538267595810737</v>
      </c>
      <c r="AP176" s="282">
        <f t="shared" si="76"/>
        <v>2.8225353964112836</v>
      </c>
      <c r="AQ176" s="282">
        <f t="shared" si="76"/>
        <v>9.5221533599820987</v>
      </c>
      <c r="AR176" s="282">
        <f t="shared" si="76"/>
        <v>16.345606433426969</v>
      </c>
      <c r="AS176" s="282">
        <f t="shared" si="76"/>
        <v>23.293476641762307</v>
      </c>
      <c r="AT176" s="282">
        <f t="shared" si="76"/>
        <v>30.3663487455221</v>
      </c>
      <c r="AU176" s="282">
        <f t="shared" si="76"/>
        <v>37.564810253614844</v>
      </c>
      <c r="AV176" s="282">
        <f t="shared" si="76"/>
        <v>44.88945143624089</v>
      </c>
      <c r="AW176" s="282">
        <f t="shared" si="76"/>
        <v>52.340865337870561</v>
      </c>
      <c r="AX176" s="282">
        <f t="shared" si="76"/>
        <v>59.919647790283172</v>
      </c>
      <c r="AY176" s="282">
        <f t="shared" si="76"/>
        <v>67.626397425667406</v>
      </c>
      <c r="AZ176" s="282">
        <f t="shared" si="76"/>
        <v>75.461715689783233</v>
      </c>
      <c r="BA176" s="282">
        <f t="shared" si="76"/>
        <v>83.426206855185683</v>
      </c>
      <c r="BB176" s="282">
        <f t="shared" si="76"/>
        <v>91.520478034510802</v>
      </c>
      <c r="BC176" s="282">
        <f t="shared" si="76"/>
        <v>99.745139193824016</v>
      </c>
    </row>
    <row r="177" spans="2:55" s="192" customFormat="1" ht="16.899999999999999" customHeight="1" outlineLevel="1" x14ac:dyDescent="0.25">
      <c r="C177" s="283"/>
      <c r="D177" s="283"/>
      <c r="E177" s="283"/>
      <c r="F177" s="283"/>
      <c r="G177" s="283"/>
      <c r="H177" s="283"/>
      <c r="I177" s="283"/>
      <c r="J177" s="283"/>
      <c r="K177" s="283"/>
      <c r="L177" s="283"/>
      <c r="M177" s="283"/>
      <c r="N177" s="283"/>
      <c r="O177" s="283"/>
      <c r="P177" s="283"/>
      <c r="Q177" s="283"/>
      <c r="R177" s="282"/>
      <c r="S177" s="283"/>
      <c r="T177" s="283"/>
      <c r="U177" s="283"/>
      <c r="V177" s="283"/>
      <c r="W177" s="283"/>
      <c r="X177" s="283"/>
      <c r="Y177" s="283"/>
      <c r="Z177" s="283"/>
      <c r="AA177" s="283"/>
      <c r="AB177" s="283"/>
      <c r="AC177" s="283"/>
      <c r="AD177" s="283"/>
      <c r="AE177" s="283"/>
      <c r="AF177" s="283"/>
      <c r="AG177" s="283"/>
      <c r="AH177" s="283"/>
      <c r="AI177" s="283"/>
      <c r="AJ177" s="283"/>
      <c r="AK177" s="283"/>
      <c r="AL177" s="283"/>
      <c r="AM177" s="283"/>
      <c r="AN177" s="283"/>
      <c r="AO177" s="283"/>
      <c r="AP177" s="283"/>
      <c r="AQ177" s="283"/>
      <c r="AR177" s="283"/>
      <c r="AS177" s="283"/>
      <c r="AT177" s="283"/>
      <c r="AU177" s="283"/>
      <c r="AV177" s="283"/>
      <c r="AW177" s="283"/>
      <c r="AX177" s="283"/>
      <c r="AY177" s="283"/>
      <c r="AZ177" s="283"/>
      <c r="BA177" s="283"/>
      <c r="BB177" s="283"/>
      <c r="BC177" s="283"/>
    </row>
    <row r="178" spans="2:55" s="192" customFormat="1" ht="16.899999999999999" customHeight="1" outlineLevel="1" x14ac:dyDescent="0.25">
      <c r="B178" s="284" t="s">
        <v>419</v>
      </c>
      <c r="C178" s="285">
        <f>NPV($D$28,C175)</f>
        <v>15.938339688203628</v>
      </c>
      <c r="D178" s="285">
        <f t="shared" ref="D178:BC178" si="77">NPV($D$28,D175)</f>
        <v>7.3117865475494792</v>
      </c>
      <c r="E178" s="285">
        <f t="shared" si="77"/>
        <v>7.9706245911163522</v>
      </c>
      <c r="F178" s="285">
        <f t="shared" si="77"/>
        <v>-9.7703724921080273</v>
      </c>
      <c r="G178" s="285">
        <f t="shared" si="77"/>
        <v>-9.3689508058940927</v>
      </c>
      <c r="H178" s="285">
        <f t="shared" si="77"/>
        <v>-8.967067756273325</v>
      </c>
      <c r="I178" s="285">
        <f t="shared" si="77"/>
        <v>-8.5647211748377075</v>
      </c>
      <c r="J178" s="285">
        <f t="shared" si="77"/>
        <v>-8.1619088829877118</v>
      </c>
      <c r="K178" s="285">
        <f t="shared" si="77"/>
        <v>-7.7586286918843861</v>
      </c>
      <c r="L178" s="285">
        <f t="shared" si="77"/>
        <v>-7.3548784024012344</v>
      </c>
      <c r="M178" s="285">
        <f t="shared" si="77"/>
        <v>-6.9506558050758889</v>
      </c>
      <c r="N178" s="285">
        <f t="shared" si="77"/>
        <v>-6.5459586800614797</v>
      </c>
      <c r="O178" s="285">
        <f t="shared" si="77"/>
        <v>-6.1407847970778642</v>
      </c>
      <c r="P178" s="285">
        <f t="shared" si="77"/>
        <v>-5.7351319153625973</v>
      </c>
      <c r="Q178" s="285">
        <f t="shared" si="77"/>
        <v>-5.32899778362163</v>
      </c>
      <c r="R178" s="285">
        <f t="shared" si="77"/>
        <v>-4.9223801399798539</v>
      </c>
      <c r="S178" s="285">
        <f t="shared" si="77"/>
        <v>-4.5152767119313229</v>
      </c>
      <c r="T178" s="285">
        <f t="shared" si="77"/>
        <v>-4.1076852162893314</v>
      </c>
      <c r="U178" s="285">
        <f t="shared" si="77"/>
        <v>-3.6996033591361837</v>
      </c>
      <c r="V178" s="285">
        <f t="shared" si="77"/>
        <v>-3.2910288357728037</v>
      </c>
      <c r="W178" s="285">
        <f t="shared" si="77"/>
        <v>-2.8819593306679669</v>
      </c>
      <c r="X178" s="285">
        <f t="shared" si="77"/>
        <v>-2.4723925174074979</v>
      </c>
      <c r="Y178" s="285">
        <f t="shared" si="77"/>
        <v>-2.0623260586430758</v>
      </c>
      <c r="Z178" s="285">
        <f t="shared" si="77"/>
        <v>4.4134275784986814</v>
      </c>
      <c r="AA178" s="285">
        <f t="shared" si="77"/>
        <v>4.5212411250828097</v>
      </c>
      <c r="AB178" s="285">
        <f t="shared" si="77"/>
        <v>4.6295613953358901</v>
      </c>
      <c r="AC178" s="285">
        <f t="shared" si="77"/>
        <v>4.7383907708591462</v>
      </c>
      <c r="AD178" s="285">
        <f t="shared" si="77"/>
        <v>4.8477316444473857</v>
      </c>
      <c r="AE178" s="285">
        <f t="shared" si="77"/>
        <v>4.9575864201414719</v>
      </c>
      <c r="AF178" s="285">
        <f t="shared" si="77"/>
        <v>5.0679575132813328</v>
      </c>
      <c r="AG178" s="285">
        <f t="shared" si="77"/>
        <v>5.1788473505589359</v>
      </c>
      <c r="AH178" s="285">
        <f t="shared" si="77"/>
        <v>5.2902583700717507</v>
      </c>
      <c r="AI178" s="285">
        <f t="shared" si="77"/>
        <v>5.4021930213762692</v>
      </c>
      <c r="AJ178" s="285">
        <f t="shared" si="77"/>
        <v>5.5146537655419339</v>
      </c>
      <c r="AK178" s="285">
        <f t="shared" si="77"/>
        <v>5.6276430752051709</v>
      </c>
      <c r="AL178" s="285">
        <f t="shared" si="77"/>
        <v>5.7411634346238207</v>
      </c>
      <c r="AM178" s="285">
        <f t="shared" si="77"/>
        <v>5.8552173397317437</v>
      </c>
      <c r="AN178" s="285">
        <f t="shared" si="77"/>
        <v>5.9698072981936656</v>
      </c>
      <c r="AO178" s="285">
        <f t="shared" si="77"/>
        <v>6.0849358294603721</v>
      </c>
      <c r="AP178" s="285">
        <f t="shared" si="77"/>
        <v>6.2006054648240214</v>
      </c>
      <c r="AQ178" s="285">
        <f t="shared" si="77"/>
        <v>6.3168187474738966</v>
      </c>
      <c r="AR178" s="285">
        <f t="shared" si="77"/>
        <v>6.4335782325522066</v>
      </c>
      <c r="AS178" s="285">
        <f t="shared" si="77"/>
        <v>6.5508864872103878</v>
      </c>
      <c r="AT178" s="285">
        <f t="shared" si="77"/>
        <v>6.668746090665465</v>
      </c>
      <c r="AU178" s="285">
        <f t="shared" si="77"/>
        <v>6.7871596342567848</v>
      </c>
      <c r="AV178" s="285">
        <f t="shared" si="77"/>
        <v>6.9061297215029693</v>
      </c>
      <c r="AW178" s="285">
        <f t="shared" si="77"/>
        <v>7.025658968159223</v>
      </c>
      <c r="AX178" s="285">
        <f t="shared" si="77"/>
        <v>7.1457500022747604</v>
      </c>
      <c r="AY178" s="285">
        <f t="shared" si="77"/>
        <v>7.2664054642506475</v>
      </c>
      <c r="AZ178" s="285">
        <f t="shared" si="77"/>
        <v>7.387628006897816</v>
      </c>
      <c r="BA178" s="285">
        <f t="shared" si="77"/>
        <v>7.5094202954954206</v>
      </c>
      <c r="BB178" s="285">
        <f t="shared" si="77"/>
        <v>7.6317850078494383</v>
      </c>
      <c r="BC178" s="285">
        <f t="shared" si="77"/>
        <v>7.7547248343515145</v>
      </c>
    </row>
    <row r="179" spans="2:55" s="192" customFormat="1" ht="16.899999999999999" customHeight="1" outlineLevel="1" x14ac:dyDescent="0.25">
      <c r="B179" s="286" t="s">
        <v>420</v>
      </c>
      <c r="C179" s="285">
        <f>C178</f>
        <v>15.938339688203628</v>
      </c>
      <c r="D179" s="285">
        <f t="shared" ref="D179" si="78">C179+D178</f>
        <v>23.250126235753108</v>
      </c>
      <c r="E179" s="285">
        <f t="shared" ref="E179" si="79">D179+E178</f>
        <v>31.220750826869459</v>
      </c>
      <c r="F179" s="285">
        <f t="shared" ref="F179" si="80">E179+F178</f>
        <v>21.450378334761432</v>
      </c>
      <c r="G179" s="285">
        <f t="shared" ref="G179" si="81">F179+G178</f>
        <v>12.081427528867339</v>
      </c>
      <c r="H179" s="285">
        <f t="shared" ref="H179" si="82">G179+H178</f>
        <v>3.114359772594014</v>
      </c>
      <c r="I179" s="285">
        <f t="shared" ref="I179" si="83">H179+I178</f>
        <v>-5.4503614022436935</v>
      </c>
      <c r="J179" s="285">
        <f t="shared" ref="J179" si="84">I179+J178</f>
        <v>-13.612270285231405</v>
      </c>
      <c r="K179" s="285">
        <f t="shared" ref="K179" si="85">J179+K178</f>
        <v>-21.370898977115793</v>
      </c>
      <c r="L179" s="285">
        <f t="shared" ref="L179" si="86">K179+L178</f>
        <v>-28.725777379517027</v>
      </c>
      <c r="M179" s="285">
        <f t="shared" ref="M179" si="87">L179+M178</f>
        <v>-35.676433184592916</v>
      </c>
      <c r="N179" s="285">
        <f t="shared" ref="N179" si="88">M179+N178</f>
        <v>-42.222391864654398</v>
      </c>
      <c r="O179" s="285">
        <f t="shared" ref="O179" si="89">N179+O178</f>
        <v>-48.363176661732261</v>
      </c>
      <c r="P179" s="285">
        <f t="shared" ref="P179" si="90">O179+P178</f>
        <v>-54.098308577094855</v>
      </c>
      <c r="Q179" s="285">
        <f t="shared" ref="Q179" si="91">P179+Q178</f>
        <v>-59.427306360716486</v>
      </c>
      <c r="R179" s="285">
        <f t="shared" ref="R179" si="92">Q179+R178</f>
        <v>-64.349686500696336</v>
      </c>
      <c r="S179" s="285">
        <f t="shared" ref="S179" si="93">R179+S178</f>
        <v>-68.864963212627657</v>
      </c>
      <c r="T179" s="285">
        <f t="shared" ref="T179" si="94">S179+T178</f>
        <v>-72.972648428916983</v>
      </c>
      <c r="U179" s="285">
        <f t="shared" ref="U179" si="95">T179+U178</f>
        <v>-76.67225178805316</v>
      </c>
      <c r="V179" s="285">
        <f t="shared" ref="V179" si="96">U179+V178</f>
        <v>-79.963280623825966</v>
      </c>
      <c r="W179" s="285">
        <f t="shared" ref="W179" si="97">V179+W178</f>
        <v>-82.845239954493934</v>
      </c>
      <c r="X179" s="285">
        <f t="shared" ref="X179" si="98">W179+X178</f>
        <v>-85.317632471901433</v>
      </c>
      <c r="Y179" s="285">
        <f t="shared" ref="Y179" si="99">X179+Y178</f>
        <v>-87.379958530544513</v>
      </c>
      <c r="Z179" s="285">
        <f t="shared" ref="Z179" si="100">Y179+Z178</f>
        <v>-82.966530952045829</v>
      </c>
      <c r="AA179" s="285">
        <f t="shared" ref="AA179" si="101">Z179+AA178</f>
        <v>-78.44528982696302</v>
      </c>
      <c r="AB179" s="285">
        <f t="shared" ref="AB179" si="102">AA179+AB178</f>
        <v>-73.815728431627136</v>
      </c>
      <c r="AC179" s="285">
        <f t="shared" ref="AC179" si="103">AB179+AC178</f>
        <v>-69.077337660767995</v>
      </c>
      <c r="AD179" s="285">
        <f t="shared" ref="AD179" si="104">AC179+AD178</f>
        <v>-64.229606016320616</v>
      </c>
      <c r="AE179" s="285">
        <f t="shared" ref="AE179" si="105">AD179+AE178</f>
        <v>-59.272019596179142</v>
      </c>
      <c r="AF179" s="285">
        <f t="shared" ref="AF179" si="106">AE179+AF178</f>
        <v>-54.204062082897806</v>
      </c>
      <c r="AG179" s="285">
        <f t="shared" ref="AG179" si="107">AF179+AG178</f>
        <v>-49.025214732338867</v>
      </c>
      <c r="AH179" s="285">
        <f t="shared" ref="AH179" si="108">AG179+AH178</f>
        <v>-43.734956362267113</v>
      </c>
      <c r="AI179" s="285">
        <f t="shared" ref="AI179" si="109">AH179+AI178</f>
        <v>-38.332763340890843</v>
      </c>
      <c r="AJ179" s="285">
        <f t="shared" ref="AJ179" si="110">AI179+AJ178</f>
        <v>-32.818109575348906</v>
      </c>
      <c r="AK179" s="285">
        <f t="shared" ref="AK179" si="111">AJ179+AK178</f>
        <v>-27.190466500143735</v>
      </c>
      <c r="AL179" s="285">
        <f t="shared" ref="AL179" si="112">AK179+AL178</f>
        <v>-21.449303065519914</v>
      </c>
      <c r="AM179" s="285">
        <f t="shared" ref="AM179" si="113">AL179+AM178</f>
        <v>-15.594085725788169</v>
      </c>
      <c r="AN179" s="285">
        <f t="shared" ref="AN179" si="114">AM179+AN178</f>
        <v>-9.6242784275945041</v>
      </c>
      <c r="AO179" s="285">
        <f t="shared" ref="AO179" si="115">AN179+AO178</f>
        <v>-3.539342598134132</v>
      </c>
      <c r="AP179" s="285">
        <f t="shared" ref="AP179" si="116">AO179+AP178</f>
        <v>2.6612628666898894</v>
      </c>
      <c r="AQ179" s="285">
        <f t="shared" ref="AQ179" si="117">AP179+AQ178</f>
        <v>8.978081614163786</v>
      </c>
      <c r="AR179" s="285">
        <f t="shared" ref="AR179" si="118">AQ179+AR178</f>
        <v>15.411659846715992</v>
      </c>
      <c r="AS179" s="285">
        <f t="shared" ref="AS179" si="119">AR179+AS178</f>
        <v>21.96254633392638</v>
      </c>
      <c r="AT179" s="285">
        <f t="shared" ref="AT179" si="120">AS179+AT178</f>
        <v>28.631292424591845</v>
      </c>
      <c r="AU179" s="285">
        <f t="shared" ref="AU179" si="121">AT179+AU178</f>
        <v>35.418452058848629</v>
      </c>
      <c r="AV179" s="285">
        <f t="shared" ref="AV179" si="122">AU179+AV178</f>
        <v>42.3245817803516</v>
      </c>
      <c r="AW179" s="285">
        <f t="shared" ref="AW179" si="123">AV179+AW178</f>
        <v>49.350240748510821</v>
      </c>
      <c r="AX179" s="285">
        <f t="shared" ref="AX179" si="124">AW179+AX178</f>
        <v>56.49599075078558</v>
      </c>
      <c r="AY179" s="285">
        <f t="shared" ref="AY179" si="125">AX179+AY178</f>
        <v>63.762396215036226</v>
      </c>
      <c r="AZ179" s="285">
        <f t="shared" ref="AZ179" si="126">AY179+AZ178</f>
        <v>71.150024221934046</v>
      </c>
      <c r="BA179" s="285">
        <f t="shared" ref="BA179" si="127">AZ179+BA178</f>
        <v>78.659444517429463</v>
      </c>
      <c r="BB179" s="285">
        <f t="shared" ref="BB179" si="128">BA179+BB178</f>
        <v>86.291229525278908</v>
      </c>
      <c r="BC179" s="285">
        <f t="shared" ref="BC179" si="129">BB179+BC178</f>
        <v>94.045954359630429</v>
      </c>
    </row>
    <row r="180" spans="2:55" s="192" customFormat="1" ht="16.899999999999999" customHeight="1" outlineLevel="1" x14ac:dyDescent="0.25">
      <c r="B180" s="192" t="s">
        <v>367</v>
      </c>
      <c r="C180" s="282">
        <f>C175/(1+$D$28)^C32</f>
        <v>16.904203073308768</v>
      </c>
      <c r="D180" s="282">
        <f t="shared" ref="D180:BC180" si="130">D175/(1+$D$28)^D32</f>
        <v>7.3117865475494792</v>
      </c>
      <c r="E180" s="282">
        <f t="shared" si="130"/>
        <v>7.5152032727855484</v>
      </c>
      <c r="F180" s="282">
        <f t="shared" si="130"/>
        <v>-8.6857610156836191</v>
      </c>
      <c r="G180" s="282">
        <f t="shared" si="130"/>
        <v>-7.853008910553533</v>
      </c>
      <c r="H180" s="282">
        <f t="shared" si="130"/>
        <v>-7.0866985637748776</v>
      </c>
      <c r="I180" s="282">
        <f t="shared" si="130"/>
        <v>-6.3819752427887231</v>
      </c>
      <c r="J180" s="282">
        <f t="shared" si="130"/>
        <v>-5.7343210646531038</v>
      </c>
      <c r="K180" s="282">
        <f t="shared" si="130"/>
        <v>-5.1395324051572295</v>
      </c>
      <c r="L180" s="282">
        <f t="shared" si="130"/>
        <v>-4.5936987869843842</v>
      </c>
      <c r="M180" s="282">
        <f t="shared" si="130"/>
        <v>-4.0931831518058601</v>
      </c>
      <c r="N180" s="282">
        <f t="shared" si="130"/>
        <v>-3.6346034272213439</v>
      </c>
      <c r="O180" s="282">
        <f t="shared" si="130"/>
        <v>-3.2148153051159203</v>
      </c>
      <c r="P180" s="282">
        <f t="shared" si="130"/>
        <v>-2.8308961533033767</v>
      </c>
      <c r="Q180" s="282">
        <f t="shared" si="130"/>
        <v>-2.4801299872923157</v>
      </c>
      <c r="R180" s="282">
        <f t="shared" si="130"/>
        <v>-2.1599934336663189</v>
      </c>
      <c r="S180" s="282">
        <f t="shared" si="130"/>
        <v>-1.868142620931124</v>
      </c>
      <c r="T180" s="282">
        <f t="shared" si="130"/>
        <v>-1.6024009377693957</v>
      </c>
      <c r="U180" s="282">
        <f t="shared" si="130"/>
        <v>-1.3607476024735732</v>
      </c>
      <c r="V180" s="282">
        <f t="shared" si="130"/>
        <v>-1.1413069909161144</v>
      </c>
      <c r="W180" s="282">
        <f t="shared" si="130"/>
        <v>-0.94233867377881886</v>
      </c>
      <c r="X180" s="282">
        <f t="shared" si="130"/>
        <v>-0.76222811691342141</v>
      </c>
      <c r="Y180" s="282">
        <f t="shared" si="130"/>
        <v>-0.5994780016568495</v>
      </c>
      <c r="Z180" s="282">
        <f t="shared" si="130"/>
        <v>1.2095958921505736</v>
      </c>
      <c r="AA180" s="282">
        <f t="shared" si="130"/>
        <v>1.1683429580432341</v>
      </c>
      <c r="AB180" s="282">
        <f t="shared" si="130"/>
        <v>1.1279787060478057</v>
      </c>
      <c r="AC180" s="282">
        <f t="shared" si="130"/>
        <v>1.0885297529544118</v>
      </c>
      <c r="AD180" s="282">
        <f t="shared" si="130"/>
        <v>1.0500171156163847</v>
      </c>
      <c r="AE180" s="282">
        <f t="shared" si="130"/>
        <v>1.0124567459106566</v>
      </c>
      <c r="AF180" s="282">
        <f t="shared" si="130"/>
        <v>0.97586002380043946</v>
      </c>
      <c r="AG180" s="282">
        <f t="shared" si="130"/>
        <v>0.94023421149124231</v>
      </c>
      <c r="AH180" s="282">
        <f t="shared" si="130"/>
        <v>0.90558287146912286</v>
      </c>
      <c r="AI180" s="282">
        <f t="shared" si="130"/>
        <v>0.87190625102070063</v>
      </c>
      <c r="AJ180" s="282">
        <f t="shared" si="130"/>
        <v>0.839201635657843</v>
      </c>
      <c r="AK180" s="282">
        <f t="shared" si="130"/>
        <v>0.80746367370461258</v>
      </c>
      <c r="AL180" s="282">
        <f t="shared" si="130"/>
        <v>0.77668467414982523</v>
      </c>
      <c r="AM180" s="282">
        <f t="shared" si="130"/>
        <v>0.74685487972429276</v>
      </c>
      <c r="AN180" s="282">
        <f t="shared" si="130"/>
        <v>0.71796271702718917</v>
      </c>
      <c r="AO180" s="282">
        <f t="shared" si="130"/>
        <v>0.68999502540018842</v>
      </c>
      <c r="AP180" s="282">
        <f t="shared" si="130"/>
        <v>0.66293726613051185</v>
      </c>
      <c r="AQ180" s="282">
        <f t="shared" si="130"/>
        <v>0.63677371345441092</v>
      </c>
      <c r="AR180" s="282">
        <f t="shared" si="130"/>
        <v>0.61148762873013518</v>
      </c>
      <c r="AS180" s="282">
        <f t="shared" si="130"/>
        <v>0.58706141905394749</v>
      </c>
      <c r="AT180" s="282">
        <f t="shared" si="130"/>
        <v>0.56347678150345459</v>
      </c>
      <c r="AU180" s="282">
        <f t="shared" si="130"/>
        <v>0.54071483410935728</v>
      </c>
      <c r="AV180" s="282">
        <f t="shared" si="130"/>
        <v>0.51875623457901643</v>
      </c>
      <c r="AW180" s="282">
        <f t="shared" si="130"/>
        <v>0.49758128772280735</v>
      </c>
      <c r="AX180" s="282">
        <f t="shared" si="130"/>
        <v>0.47717004246663819</v>
      </c>
      <c r="AY180" s="282">
        <f t="shared" si="130"/>
        <v>0.45750237927102894</v>
      </c>
      <c r="AZ180" s="282">
        <f t="shared" si="130"/>
        <v>0.43855808871836155</v>
      </c>
      <c r="BA180" s="282">
        <f t="shared" si="130"/>
        <v>0.42031694197516811</v>
      </c>
      <c r="BB180" s="282">
        <f t="shared" si="130"/>
        <v>0.40275875378526127</v>
      </c>
      <c r="BC180" s="282">
        <f t="shared" si="130"/>
        <v>0.38586343860194783</v>
      </c>
    </row>
    <row r="181" spans="2:55" s="192" customFormat="1" ht="16.899999999999999" customHeight="1" outlineLevel="1" x14ac:dyDescent="0.25">
      <c r="B181" s="275" t="s">
        <v>368</v>
      </c>
      <c r="C181" s="282">
        <f>C180</f>
        <v>16.904203073308768</v>
      </c>
      <c r="D181" s="285">
        <f t="shared" ref="D181" si="131">C181+D180</f>
        <v>24.215989620858245</v>
      </c>
      <c r="E181" s="285">
        <f t="shared" ref="E181" si="132">D181+E180</f>
        <v>31.731192893643794</v>
      </c>
      <c r="F181" s="285">
        <f t="shared" ref="F181" si="133">E181+F180</f>
        <v>23.045431877960176</v>
      </c>
      <c r="G181" s="285">
        <f t="shared" ref="G181" si="134">F181+G180</f>
        <v>15.192422967406642</v>
      </c>
      <c r="H181" s="285">
        <f t="shared" ref="H181" si="135">G181+H180</f>
        <v>8.1057244036317648</v>
      </c>
      <c r="I181" s="285">
        <f t="shared" ref="I181" si="136">H181+I180</f>
        <v>1.7237491608430418</v>
      </c>
      <c r="J181" s="285">
        <f t="shared" ref="J181" si="137">I181+J180</f>
        <v>-4.010571903810062</v>
      </c>
      <c r="K181" s="285">
        <f t="shared" ref="K181" si="138">J181+K180</f>
        <v>-9.1501043089672915</v>
      </c>
      <c r="L181" s="285">
        <f t="shared" ref="L181" si="139">K181+L180</f>
        <v>-13.743803095951677</v>
      </c>
      <c r="M181" s="285">
        <f t="shared" ref="M181" si="140">L181+M180</f>
        <v>-17.836986247757537</v>
      </c>
      <c r="N181" s="285">
        <f t="shared" ref="N181" si="141">M181+N180</f>
        <v>-21.47158967497888</v>
      </c>
      <c r="O181" s="285">
        <f t="shared" ref="O181" si="142">N181+O180</f>
        <v>-24.6864049800948</v>
      </c>
      <c r="P181" s="285">
        <f t="shared" ref="P181" si="143">O181+P180</f>
        <v>-27.517301133398178</v>
      </c>
      <c r="Q181" s="285">
        <f t="shared" ref="Q181" si="144">P181+Q180</f>
        <v>-29.997431120690493</v>
      </c>
      <c r="R181" s="285">
        <f t="shared" ref="R181" si="145">Q181+R180</f>
        <v>-32.157424554356808</v>
      </c>
      <c r="S181" s="285">
        <f t="shared" ref="S181" si="146">R181+S180</f>
        <v>-34.025567175287932</v>
      </c>
      <c r="T181" s="285">
        <f t="shared" ref="T181" si="147">S181+T180</f>
        <v>-35.627968113057328</v>
      </c>
      <c r="U181" s="285">
        <f t="shared" ref="U181" si="148">T181+U180</f>
        <v>-36.988715715530901</v>
      </c>
      <c r="V181" s="285">
        <f t="shared" ref="V181" si="149">U181+V180</f>
        <v>-38.130022706447015</v>
      </c>
      <c r="W181" s="285">
        <f t="shared" ref="W181" si="150">V181+W180</f>
        <v>-39.072361380225836</v>
      </c>
      <c r="X181" s="285">
        <f t="shared" ref="X181" si="151">W181+X180</f>
        <v>-39.834589497139255</v>
      </c>
      <c r="Y181" s="285">
        <f t="shared" ref="Y181" si="152">X181+Y180</f>
        <v>-40.434067498796104</v>
      </c>
      <c r="Z181" s="285">
        <f t="shared" ref="Z181" si="153">Y181+Z180</f>
        <v>-39.22447160664553</v>
      </c>
      <c r="AA181" s="285">
        <f t="shared" ref="AA181" si="154">Z181+AA180</f>
        <v>-38.056128648602296</v>
      </c>
      <c r="AB181" s="285">
        <f t="shared" ref="AB181" si="155">AA181+AB180</f>
        <v>-36.928149942554491</v>
      </c>
      <c r="AC181" s="285">
        <f t="shared" ref="AC181" si="156">AB181+AC180</f>
        <v>-35.839620189600076</v>
      </c>
      <c r="AD181" s="285">
        <f t="shared" ref="AD181" si="157">AC181+AD180</f>
        <v>-34.789603073983692</v>
      </c>
      <c r="AE181" s="285">
        <f t="shared" ref="AE181" si="158">AD181+AE180</f>
        <v>-33.777146328073037</v>
      </c>
      <c r="AF181" s="285">
        <f t="shared" ref="AF181" si="159">AE181+AF180</f>
        <v>-32.801286304272601</v>
      </c>
      <c r="AG181" s="285">
        <f t="shared" ref="AG181" si="160">AF181+AG180</f>
        <v>-31.86105209278136</v>
      </c>
      <c r="AH181" s="285">
        <f t="shared" ref="AH181" si="161">AG181+AH180</f>
        <v>-30.955469221312239</v>
      </c>
      <c r="AI181" s="285">
        <f t="shared" ref="AI181" si="162">AH181+AI180</f>
        <v>-30.083562970291538</v>
      </c>
      <c r="AJ181" s="285">
        <f t="shared" ref="AJ181" si="163">AI181+AJ180</f>
        <v>-29.244361334633695</v>
      </c>
      <c r="AK181" s="285">
        <f t="shared" ref="AK181" si="164">AJ181+AK180</f>
        <v>-28.43689766092908</v>
      </c>
      <c r="AL181" s="285">
        <f t="shared" ref="AL181" si="165">AK181+AL180</f>
        <v>-27.660212986779257</v>
      </c>
      <c r="AM181" s="285">
        <f t="shared" ref="AM181" si="166">AL181+AM180</f>
        <v>-26.913358107054965</v>
      </c>
      <c r="AN181" s="285">
        <f t="shared" ref="AN181" si="167">AM181+AN180</f>
        <v>-26.195395390027777</v>
      </c>
      <c r="AO181" s="285">
        <f t="shared" ref="AO181" si="168">AN181+AO180</f>
        <v>-25.505400364627587</v>
      </c>
      <c r="AP181" s="285">
        <f t="shared" ref="AP181" si="169">AO181+AP180</f>
        <v>-24.842463098497074</v>
      </c>
      <c r="AQ181" s="285">
        <f t="shared" ref="AQ181" si="170">AP181+AQ180</f>
        <v>-24.205689385042664</v>
      </c>
      <c r="AR181" s="285">
        <f t="shared" ref="AR181" si="171">AQ181+AR180</f>
        <v>-23.594201756312529</v>
      </c>
      <c r="AS181" s="285">
        <f t="shared" ref="AS181" si="172">AR181+AS180</f>
        <v>-23.00714033725858</v>
      </c>
      <c r="AT181" s="285">
        <f t="shared" ref="AT181" si="173">AS181+AT180</f>
        <v>-22.443663555755126</v>
      </c>
      <c r="AU181" s="285">
        <f t="shared" ref="AU181" si="174">AT181+AU180</f>
        <v>-21.902948721645767</v>
      </c>
      <c r="AV181" s="285">
        <f t="shared" ref="AV181" si="175">AU181+AV180</f>
        <v>-21.384192487066752</v>
      </c>
      <c r="AW181" s="285">
        <f t="shared" ref="AW181" si="176">AV181+AW180</f>
        <v>-20.886611199343946</v>
      </c>
      <c r="AX181" s="285">
        <f t="shared" ref="AX181" si="177">AW181+AX180</f>
        <v>-20.409441156877307</v>
      </c>
      <c r="AY181" s="285">
        <f t="shared" ref="AY181" si="178">AX181+AY180</f>
        <v>-19.951938777606276</v>
      </c>
      <c r="AZ181" s="285">
        <f t="shared" ref="AZ181" si="179">AY181+AZ180</f>
        <v>-19.513380688887914</v>
      </c>
      <c r="BA181" s="285">
        <f t="shared" ref="BA181" si="180">AZ181+BA180</f>
        <v>-19.093063746912744</v>
      </c>
      <c r="BB181" s="285">
        <f t="shared" ref="BB181" si="181">BA181+BB180</f>
        <v>-18.690304993127484</v>
      </c>
      <c r="BC181" s="285">
        <f t="shared" ref="BC181" si="182">BB181+BC180</f>
        <v>-18.304441554525535</v>
      </c>
    </row>
    <row r="182" spans="2:55" s="192" customFormat="1" ht="16.899999999999999" customHeight="1" outlineLevel="1" x14ac:dyDescent="0.25">
      <c r="B182" s="275" t="s">
        <v>369</v>
      </c>
      <c r="C182" s="282">
        <f t="shared" ref="C182:AH182" si="183">C167/(1+$C$28)^C32</f>
        <v>32.793336996856866</v>
      </c>
      <c r="D182" s="282">
        <f t="shared" si="183"/>
        <v>46.624354707332287</v>
      </c>
      <c r="E182" s="282">
        <f t="shared" si="183"/>
        <v>37.113921506343587</v>
      </c>
      <c r="F182" s="282">
        <f t="shared" si="183"/>
        <v>0</v>
      </c>
      <c r="G182" s="282">
        <f t="shared" si="183"/>
        <v>0</v>
      </c>
      <c r="H182" s="282">
        <f t="shared" si="183"/>
        <v>0</v>
      </c>
      <c r="I182" s="282">
        <f t="shared" si="183"/>
        <v>0</v>
      </c>
      <c r="J182" s="282">
        <f t="shared" si="183"/>
        <v>0</v>
      </c>
      <c r="K182" s="282">
        <f t="shared" si="183"/>
        <v>0</v>
      </c>
      <c r="L182" s="282">
        <f t="shared" si="183"/>
        <v>0</v>
      </c>
      <c r="M182" s="282">
        <f t="shared" si="183"/>
        <v>0</v>
      </c>
      <c r="N182" s="282">
        <f t="shared" si="183"/>
        <v>0</v>
      </c>
      <c r="O182" s="282">
        <f t="shared" si="183"/>
        <v>0</v>
      </c>
      <c r="P182" s="282">
        <f t="shared" si="183"/>
        <v>0</v>
      </c>
      <c r="Q182" s="282">
        <f t="shared" si="183"/>
        <v>0</v>
      </c>
      <c r="R182" s="282">
        <f t="shared" si="183"/>
        <v>0</v>
      </c>
      <c r="S182" s="282">
        <f t="shared" si="183"/>
        <v>0</v>
      </c>
      <c r="T182" s="282">
        <f t="shared" si="183"/>
        <v>0</v>
      </c>
      <c r="U182" s="282">
        <f t="shared" si="183"/>
        <v>0</v>
      </c>
      <c r="V182" s="282">
        <f t="shared" si="183"/>
        <v>0</v>
      </c>
      <c r="W182" s="282">
        <f t="shared" si="183"/>
        <v>0</v>
      </c>
      <c r="X182" s="282">
        <f t="shared" si="183"/>
        <v>0</v>
      </c>
      <c r="Y182" s="282">
        <f t="shared" si="183"/>
        <v>0</v>
      </c>
      <c r="Z182" s="282">
        <f t="shared" si="183"/>
        <v>0</v>
      </c>
      <c r="AA182" s="282">
        <f t="shared" si="183"/>
        <v>0</v>
      </c>
      <c r="AB182" s="282">
        <f t="shared" si="183"/>
        <v>0</v>
      </c>
      <c r="AC182" s="282">
        <f t="shared" si="183"/>
        <v>0</v>
      </c>
      <c r="AD182" s="282">
        <f t="shared" si="183"/>
        <v>0</v>
      </c>
      <c r="AE182" s="282">
        <f t="shared" si="183"/>
        <v>0</v>
      </c>
      <c r="AF182" s="282">
        <f t="shared" si="183"/>
        <v>0</v>
      </c>
      <c r="AG182" s="282">
        <f t="shared" si="183"/>
        <v>0</v>
      </c>
      <c r="AH182" s="282">
        <f t="shared" si="183"/>
        <v>0</v>
      </c>
      <c r="AI182" s="282">
        <f t="shared" ref="AI182:BC182" si="184">AI167/(1+$C$28)^AI32</f>
        <v>0</v>
      </c>
      <c r="AJ182" s="282">
        <f t="shared" si="184"/>
        <v>0</v>
      </c>
      <c r="AK182" s="282">
        <f t="shared" si="184"/>
        <v>0</v>
      </c>
      <c r="AL182" s="282">
        <f t="shared" si="184"/>
        <v>0</v>
      </c>
      <c r="AM182" s="282">
        <f t="shared" si="184"/>
        <v>0</v>
      </c>
      <c r="AN182" s="282">
        <f t="shared" si="184"/>
        <v>0</v>
      </c>
      <c r="AO182" s="282">
        <f t="shared" si="184"/>
        <v>0</v>
      </c>
      <c r="AP182" s="282">
        <f t="shared" si="184"/>
        <v>0</v>
      </c>
      <c r="AQ182" s="282">
        <f t="shared" si="184"/>
        <v>0</v>
      </c>
      <c r="AR182" s="282">
        <f t="shared" si="184"/>
        <v>0</v>
      </c>
      <c r="AS182" s="282">
        <f t="shared" si="184"/>
        <v>0</v>
      </c>
      <c r="AT182" s="282">
        <f t="shared" si="184"/>
        <v>0</v>
      </c>
      <c r="AU182" s="282">
        <f t="shared" si="184"/>
        <v>0</v>
      </c>
      <c r="AV182" s="282">
        <f t="shared" si="184"/>
        <v>0</v>
      </c>
      <c r="AW182" s="282">
        <f t="shared" si="184"/>
        <v>0</v>
      </c>
      <c r="AX182" s="282">
        <f t="shared" si="184"/>
        <v>0</v>
      </c>
      <c r="AY182" s="282">
        <f t="shared" si="184"/>
        <v>0</v>
      </c>
      <c r="AZ182" s="282">
        <f t="shared" si="184"/>
        <v>0</v>
      </c>
      <c r="BA182" s="282">
        <f t="shared" si="184"/>
        <v>0</v>
      </c>
      <c r="BB182" s="282">
        <f t="shared" si="184"/>
        <v>0</v>
      </c>
      <c r="BC182" s="282">
        <f t="shared" si="184"/>
        <v>0</v>
      </c>
    </row>
    <row r="183" spans="2:55" s="192" customFormat="1" ht="16.899999999999999" customHeight="1" outlineLevel="1" x14ac:dyDescent="0.25">
      <c r="B183" s="275" t="s">
        <v>370</v>
      </c>
      <c r="C183" s="1490">
        <f t="shared" ref="C183:L183" si="185">IF(C$32&lt;=3,1,IF(C176&lt;0,1,IF(B183=1,1-(C176/C175),0)))</f>
        <v>1</v>
      </c>
      <c r="D183" s="1490">
        <f t="shared" si="185"/>
        <v>1</v>
      </c>
      <c r="E183" s="1490">
        <f t="shared" si="185"/>
        <v>1</v>
      </c>
      <c r="F183" s="1490">
        <f t="shared" si="185"/>
        <v>1</v>
      </c>
      <c r="G183" s="1490">
        <f t="shared" si="185"/>
        <v>2.2895176609601577</v>
      </c>
      <c r="H183" s="1490">
        <f t="shared" si="185"/>
        <v>0</v>
      </c>
      <c r="I183" s="1490">
        <f t="shared" si="185"/>
        <v>1</v>
      </c>
      <c r="J183" s="1490">
        <f t="shared" si="185"/>
        <v>1</v>
      </c>
      <c r="K183" s="1490">
        <f t="shared" si="185"/>
        <v>1</v>
      </c>
      <c r="L183" s="1490">
        <f t="shared" si="185"/>
        <v>1</v>
      </c>
      <c r="M183" s="287">
        <f t="shared" ref="M183:BC183" si="186">IF(M$32&lt;=3,0,IF(M176&lt;0,1,IF(L183=1,1-(M176/M175),0)))</f>
        <v>1</v>
      </c>
      <c r="N183" s="287">
        <f t="shared" si="186"/>
        <v>1</v>
      </c>
      <c r="O183" s="287">
        <f t="shared" si="186"/>
        <v>1</v>
      </c>
      <c r="P183" s="287">
        <f t="shared" si="186"/>
        <v>1</v>
      </c>
      <c r="Q183" s="287">
        <f t="shared" si="186"/>
        <v>1</v>
      </c>
      <c r="R183" s="287">
        <f t="shared" si="186"/>
        <v>1</v>
      </c>
      <c r="S183" s="287">
        <f t="shared" si="186"/>
        <v>1</v>
      </c>
      <c r="T183" s="287">
        <f t="shared" si="186"/>
        <v>1</v>
      </c>
      <c r="U183" s="287">
        <f t="shared" si="186"/>
        <v>1</v>
      </c>
      <c r="V183" s="287">
        <f t="shared" si="186"/>
        <v>1</v>
      </c>
      <c r="W183" s="287">
        <f t="shared" si="186"/>
        <v>1</v>
      </c>
      <c r="X183" s="287">
        <f t="shared" si="186"/>
        <v>1</v>
      </c>
      <c r="Y183" s="287">
        <f t="shared" si="186"/>
        <v>1</v>
      </c>
      <c r="Z183" s="287">
        <f t="shared" si="186"/>
        <v>1</v>
      </c>
      <c r="AA183" s="287">
        <f t="shared" si="186"/>
        <v>1</v>
      </c>
      <c r="AB183" s="287">
        <f t="shared" si="186"/>
        <v>1</v>
      </c>
      <c r="AC183" s="287">
        <f t="shared" si="186"/>
        <v>1</v>
      </c>
      <c r="AD183" s="287">
        <f t="shared" si="186"/>
        <v>1</v>
      </c>
      <c r="AE183" s="287">
        <f t="shared" si="186"/>
        <v>1</v>
      </c>
      <c r="AF183" s="287">
        <f t="shared" si="186"/>
        <v>1</v>
      </c>
      <c r="AG183" s="287">
        <f t="shared" si="186"/>
        <v>1</v>
      </c>
      <c r="AH183" s="287">
        <f t="shared" si="186"/>
        <v>1</v>
      </c>
      <c r="AI183" s="287">
        <f t="shared" si="186"/>
        <v>1</v>
      </c>
      <c r="AJ183" s="287">
        <f t="shared" si="186"/>
        <v>1</v>
      </c>
      <c r="AK183" s="287">
        <f t="shared" si="186"/>
        <v>1</v>
      </c>
      <c r="AL183" s="287">
        <f t="shared" si="186"/>
        <v>1</v>
      </c>
      <c r="AM183" s="287">
        <f t="shared" si="186"/>
        <v>1</v>
      </c>
      <c r="AN183" s="287">
        <f t="shared" si="186"/>
        <v>1</v>
      </c>
      <c r="AO183" s="287">
        <f t="shared" si="186"/>
        <v>1</v>
      </c>
      <c r="AP183" s="287">
        <f t="shared" si="186"/>
        <v>0.57080596696771035</v>
      </c>
      <c r="AQ183" s="287">
        <f t="shared" si="186"/>
        <v>0</v>
      </c>
      <c r="AR183" s="287">
        <f t="shared" si="186"/>
        <v>0</v>
      </c>
      <c r="AS183" s="287">
        <f t="shared" si="186"/>
        <v>0</v>
      </c>
      <c r="AT183" s="287">
        <f t="shared" si="186"/>
        <v>0</v>
      </c>
      <c r="AU183" s="287">
        <f t="shared" si="186"/>
        <v>0</v>
      </c>
      <c r="AV183" s="287">
        <f t="shared" si="186"/>
        <v>0</v>
      </c>
      <c r="AW183" s="287">
        <f t="shared" si="186"/>
        <v>0</v>
      </c>
      <c r="AX183" s="287">
        <f t="shared" si="186"/>
        <v>0</v>
      </c>
      <c r="AY183" s="287">
        <f t="shared" si="186"/>
        <v>0</v>
      </c>
      <c r="AZ183" s="287">
        <f t="shared" si="186"/>
        <v>0</v>
      </c>
      <c r="BA183" s="287">
        <f t="shared" si="186"/>
        <v>0</v>
      </c>
      <c r="BB183" s="287">
        <f t="shared" si="186"/>
        <v>0</v>
      </c>
      <c r="BC183" s="287">
        <f t="shared" si="186"/>
        <v>0</v>
      </c>
    </row>
    <row r="184" spans="2:55" s="192" customFormat="1" ht="16.899999999999999" customHeight="1" outlineLevel="1" x14ac:dyDescent="0.25">
      <c r="B184" s="275" t="s">
        <v>371</v>
      </c>
      <c r="C184" s="272" t="str">
        <f>IF(C31=1,IRR($C175:C175),"-")</f>
        <v>-</v>
      </c>
      <c r="D184" s="272" t="str">
        <f>IF(D31=1,IRR($C175:D175),"-")</f>
        <v>-</v>
      </c>
      <c r="E184" s="272" t="str">
        <f>IF(E31=1,IRR($C175:E175),"-")</f>
        <v>-</v>
      </c>
      <c r="F184" s="272" t="str">
        <f>IF(F31=1,IRR($C175:F175),"-")</f>
        <v>-</v>
      </c>
      <c r="G184" s="272" t="str">
        <f>IF(G31=1,IRR($C175:G175),"-")</f>
        <v>-</v>
      </c>
      <c r="H184" s="272" t="str">
        <f>IF(H31=1,IRR($C175:H175),"-")</f>
        <v>-</v>
      </c>
      <c r="I184" s="272" t="str">
        <f>IF(I31=1,IRR($C175:I175),"-")</f>
        <v>-</v>
      </c>
      <c r="J184" s="272" t="str">
        <f>IF(J31=1,IRR($C175:J175),"-")</f>
        <v>-</v>
      </c>
      <c r="K184" s="272" t="str">
        <f>IF(K31=1,IRR($C175:K175),"-")</f>
        <v>-</v>
      </c>
      <c r="L184" s="272" t="str">
        <f>IF(L31=1,IRR($C175:L175),"-")</f>
        <v>-</v>
      </c>
      <c r="M184" s="272" t="str">
        <f>IF(M31=1,IRR($C175:M175),"-")</f>
        <v>-</v>
      </c>
      <c r="N184" s="272" t="str">
        <f>IF(N31=1,IRR($C175:N175),"-")</f>
        <v>-</v>
      </c>
      <c r="O184" s="272" t="str">
        <f>IF(O31=1,IRR($C175:O175),"-")</f>
        <v>-</v>
      </c>
      <c r="P184" s="272" t="str">
        <f>IF(P31=1,IRR($C175:P175),"-")</f>
        <v>-</v>
      </c>
      <c r="Q184" s="272" t="str">
        <f>IF(Q31=1,IRR($C175:Q175),"-")</f>
        <v>-</v>
      </c>
      <c r="R184" s="272" t="str">
        <f>IF(R31=1,IRR($C175:R175),"-")</f>
        <v>-</v>
      </c>
      <c r="S184" s="272" t="str">
        <f>IF(S31=1,IRR($C175:S175),"-")</f>
        <v>-</v>
      </c>
      <c r="T184" s="272" t="str">
        <f>IF(T31=1,IRR($C175:T175),"-")</f>
        <v>-</v>
      </c>
      <c r="U184" s="272" t="str">
        <f>IF(U31=1,IRR($C175:U175),"-")</f>
        <v>-</v>
      </c>
      <c r="V184" s="272" t="str">
        <f>IF(V31=1,IRR($C175:V175),"-")</f>
        <v>-</v>
      </c>
      <c r="W184" s="272" t="str">
        <f>IF(W31=1,IRR($C175:W175),"-")</f>
        <v>-</v>
      </c>
      <c r="X184" s="272" t="str">
        <f>IF(X31=1,IRR($C175:X175),"-")</f>
        <v>-</v>
      </c>
      <c r="Y184" s="272" t="str">
        <f>IF(Y31=1,IRR($C175:Y175),"-")</f>
        <v>-</v>
      </c>
      <c r="Z184" s="272" t="str">
        <f>IF(Z31=1,IRR($C175:Z175),"-")</f>
        <v>-</v>
      </c>
      <c r="AA184" s="272" t="str">
        <f>IF(AA31=1,IRR($C175:AA175),"-")</f>
        <v>-</v>
      </c>
      <c r="AB184" s="272" t="str">
        <f>IF(AB31=1,IRR($C175:AB175),"-")</f>
        <v>-</v>
      </c>
      <c r="AC184" s="272" t="str">
        <f>IF(AC31=1,IRR($C175:AC175),"-")</f>
        <v>-</v>
      </c>
      <c r="AD184" s="272" t="str">
        <f>IF(AD31=1,IRR($C175:AD175),"-")</f>
        <v>-</v>
      </c>
      <c r="AE184" s="272" t="str">
        <f>IF(AE31=1,IRR($C175:AE175),"-")</f>
        <v>-</v>
      </c>
      <c r="AF184" s="272" t="str">
        <f>IF(AF31=1,IRR($C175:AF175),"-")</f>
        <v>-</v>
      </c>
      <c r="AG184" s="272" t="str">
        <f>IF(AG31=1,IRR($C175:AG175),"-")</f>
        <v>-</v>
      </c>
      <c r="AH184" s="272" t="str">
        <f>IF(AH31=1,IRR($C175:AH175),"-")</f>
        <v>-</v>
      </c>
      <c r="AI184" s="272" t="str">
        <f>IF(AI31=1,IRR($C175:AI175),"-")</f>
        <v>-</v>
      </c>
      <c r="AJ184" s="272" t="str">
        <f>IF(AJ31=1,IRR($C175:AJ175),"-")</f>
        <v>-</v>
      </c>
      <c r="AK184" s="272">
        <f>IF(AK31=1,IRR($C175:AK175),"-")</f>
        <v>0.192118513653595</v>
      </c>
      <c r="AL184" s="272" t="str">
        <f>IF(AL31=1,IRR($C175:AL175),"-")</f>
        <v>-</v>
      </c>
      <c r="AM184" s="272" t="str">
        <f>IF(AM31=1,IRR($C175:AM175),"-")</f>
        <v>-</v>
      </c>
      <c r="AN184" s="272" t="str">
        <f>IF(AN31=1,IRR($C175:AN175),"-")</f>
        <v>-</v>
      </c>
      <c r="AO184" s="272" t="str">
        <f>IF(AO31=1,IRR($C175:AO175),"-")</f>
        <v>-</v>
      </c>
      <c r="AP184" s="272" t="str">
        <f>IF(AP31=1,IRR($C175:AP175),"-")</f>
        <v>-</v>
      </c>
      <c r="AQ184" s="272" t="str">
        <f>IF(AQ31=1,IRR($C175:AQ175),"-")</f>
        <v>-</v>
      </c>
      <c r="AR184" s="272" t="str">
        <f>IF(AR31=1,IRR($C175:AR175),"-")</f>
        <v>-</v>
      </c>
      <c r="AS184" s="272" t="str">
        <f>IF(AS31=1,IRR($C175:AS175),"-")</f>
        <v>-</v>
      </c>
      <c r="AT184" s="272" t="str">
        <f>IF(AT31=1,IRR($C175:AT175),"-")</f>
        <v>-</v>
      </c>
      <c r="AU184" s="272" t="str">
        <f>IF(AU31=1,IRR($C175:AU175),"-")</f>
        <v>-</v>
      </c>
      <c r="AV184" s="272" t="str">
        <f>IF(AV31=1,IRR($C175:AV175),"-")</f>
        <v>-</v>
      </c>
      <c r="AW184" s="272" t="str">
        <f>IF(AW31=1,IRR($C175:AW175),"-")</f>
        <v>-</v>
      </c>
      <c r="AX184" s="272" t="str">
        <f>IF(AX31=1,IRR($C175:AX175),"-")</f>
        <v>-</v>
      </c>
      <c r="AY184" s="272" t="str">
        <f>IF(AY31=1,IRR($C175:AY175),"-")</f>
        <v>-</v>
      </c>
      <c r="AZ184" s="272" t="str">
        <f>IF(AZ31=1,IRR($C175:AZ175),"-")</f>
        <v>-</v>
      </c>
      <c r="BA184" s="272" t="str">
        <f>IF(BA31=1,IRR($C175:BA175),"-")</f>
        <v>-</v>
      </c>
      <c r="BB184" s="272" t="str">
        <f>IF(BB31=1,IRR($C175:BB175),"-")</f>
        <v>-</v>
      </c>
      <c r="BC184" s="272" t="str">
        <f>IF(BC31=1,IRR($C175:BC175),"-")</f>
        <v>-</v>
      </c>
    </row>
    <row r="185" spans="2:55" ht="14.25" customHeight="1" outlineLevel="1" x14ac:dyDescent="0.25">
      <c r="C185" s="64"/>
      <c r="D185" s="64"/>
      <c r="E185" s="64"/>
      <c r="F185" s="66"/>
      <c r="G185" s="66"/>
      <c r="H185" s="66"/>
      <c r="I185" s="66"/>
      <c r="J185" s="66"/>
      <c r="K185" s="66"/>
      <c r="L185" s="66"/>
      <c r="M185" s="66"/>
      <c r="N185" s="66"/>
      <c r="O185" s="66"/>
      <c r="P185" s="66"/>
      <c r="Q185" s="66"/>
      <c r="R185" s="66"/>
      <c r="S185" s="66"/>
      <c r="T185" s="66"/>
      <c r="U185" s="66"/>
      <c r="V185" s="66"/>
      <c r="W185" s="66"/>
      <c r="X185" s="66"/>
      <c r="Y185" s="66"/>
      <c r="Z185" s="66"/>
      <c r="AA185" s="66"/>
      <c r="AB185" s="66"/>
      <c r="AC185" s="66"/>
      <c r="AD185" s="66"/>
      <c r="AE185" s="66"/>
      <c r="AF185" s="66"/>
      <c r="AG185" s="66"/>
      <c r="AH185" s="66"/>
      <c r="AI185" s="66"/>
      <c r="AJ185" s="66"/>
      <c r="AK185" s="66"/>
      <c r="AL185" s="66"/>
      <c r="AM185" s="66"/>
      <c r="AN185" s="66"/>
      <c r="AO185" s="66"/>
      <c r="AP185" s="66"/>
      <c r="AQ185" s="66"/>
      <c r="AR185" s="66"/>
      <c r="AS185" s="66"/>
      <c r="AT185" s="66"/>
      <c r="AU185" s="66"/>
      <c r="AV185" s="66"/>
      <c r="AW185" s="66"/>
      <c r="AX185" s="66"/>
      <c r="AY185" s="66"/>
      <c r="AZ185" s="66"/>
      <c r="BA185" s="66"/>
      <c r="BB185" s="66"/>
      <c r="BC185" s="66"/>
    </row>
    <row r="186" spans="2:55" ht="14.25" customHeight="1" x14ac:dyDescent="0.25">
      <c r="C186" s="66"/>
      <c r="D186" s="66"/>
      <c r="E186" s="66"/>
      <c r="F186" s="66"/>
      <c r="G186" s="66"/>
      <c r="H186" s="66"/>
      <c r="I186" s="66"/>
      <c r="J186" s="66"/>
      <c r="K186" s="66"/>
      <c r="L186" s="66"/>
      <c r="M186" s="66"/>
      <c r="N186" s="66"/>
      <c r="O186" s="66"/>
      <c r="P186" s="66"/>
      <c r="Q186" s="66"/>
      <c r="R186" s="66"/>
      <c r="S186" s="66"/>
      <c r="T186" s="66"/>
      <c r="U186" s="66"/>
      <c r="V186" s="66"/>
      <c r="W186" s="66"/>
      <c r="X186" s="66"/>
      <c r="Y186" s="66"/>
      <c r="Z186" s="66"/>
      <c r="AA186" s="66"/>
      <c r="AB186" s="66"/>
      <c r="AC186" s="66"/>
      <c r="AD186" s="66"/>
      <c r="AE186" s="66"/>
      <c r="AF186" s="66"/>
      <c r="AG186" s="66"/>
      <c r="AH186" s="66"/>
      <c r="AI186" s="66"/>
      <c r="AJ186" s="66"/>
      <c r="AK186" s="66"/>
      <c r="AL186" s="66"/>
      <c r="AM186" s="66"/>
      <c r="AN186" s="66"/>
      <c r="AO186" s="66"/>
      <c r="AP186" s="66"/>
      <c r="AQ186" s="66"/>
      <c r="AR186" s="66"/>
      <c r="AS186" s="66"/>
      <c r="AT186" s="66"/>
      <c r="AU186" s="66"/>
      <c r="AV186" s="66"/>
      <c r="AW186" s="66"/>
      <c r="AX186" s="66"/>
      <c r="AY186" s="66"/>
      <c r="AZ186" s="66"/>
      <c r="BA186" s="66"/>
      <c r="BB186" s="66"/>
      <c r="BC186" s="66"/>
    </row>
    <row r="187" spans="2:55" ht="14.25" customHeight="1" x14ac:dyDescent="0.25">
      <c r="C187" s="66"/>
      <c r="D187" s="66"/>
      <c r="E187" s="66"/>
      <c r="F187" s="66"/>
      <c r="G187" s="66"/>
      <c r="H187" s="66"/>
      <c r="I187" s="66"/>
      <c r="J187" s="66"/>
      <c r="K187" s="66"/>
      <c r="L187" s="66"/>
      <c r="M187" s="66"/>
      <c r="N187" s="66"/>
      <c r="O187" s="66"/>
      <c r="P187" s="66"/>
      <c r="Q187" s="66"/>
      <c r="R187" s="65"/>
      <c r="S187" s="66"/>
      <c r="T187" s="66"/>
      <c r="U187" s="66"/>
      <c r="V187" s="66"/>
      <c r="W187" s="66"/>
      <c r="X187" s="66"/>
      <c r="Y187" s="66"/>
      <c r="Z187" s="66"/>
      <c r="AA187" s="66"/>
      <c r="AB187" s="66"/>
      <c r="AC187" s="66"/>
      <c r="AD187" s="66"/>
      <c r="AE187" s="66"/>
      <c r="AF187" s="66"/>
      <c r="AG187" s="66"/>
      <c r="AH187" s="66"/>
      <c r="AI187" s="66"/>
      <c r="AJ187" s="66"/>
      <c r="AK187" s="66"/>
      <c r="AL187" s="66"/>
      <c r="AM187" s="66"/>
      <c r="AN187" s="66"/>
      <c r="AO187" s="66"/>
      <c r="AP187" s="66"/>
      <c r="AQ187" s="66"/>
      <c r="AR187" s="66"/>
      <c r="AS187" s="66"/>
      <c r="AT187" s="66"/>
      <c r="AU187" s="66"/>
      <c r="AV187" s="66"/>
      <c r="AW187" s="66"/>
      <c r="AX187" s="66"/>
      <c r="AY187" s="66"/>
      <c r="AZ187" s="66"/>
      <c r="BA187" s="66"/>
      <c r="BB187" s="66"/>
      <c r="BC187" s="66"/>
    </row>
    <row r="188" spans="2:55" ht="14.25" customHeight="1" x14ac:dyDescent="0.25">
      <c r="C188" s="66"/>
      <c r="D188" s="66"/>
      <c r="E188" s="66"/>
      <c r="F188" s="66"/>
      <c r="G188" s="66"/>
      <c r="H188" s="66"/>
      <c r="I188" s="66"/>
      <c r="J188" s="66"/>
      <c r="K188" s="66"/>
      <c r="L188" s="66"/>
      <c r="M188" s="66"/>
      <c r="N188" s="66"/>
      <c r="O188" s="66"/>
      <c r="P188" s="66"/>
      <c r="Q188" s="66"/>
      <c r="R188" s="65"/>
      <c r="S188" s="66"/>
      <c r="T188" s="66"/>
      <c r="U188" s="66"/>
      <c r="V188" s="66"/>
      <c r="W188" s="66"/>
      <c r="X188" s="66"/>
      <c r="Y188" s="66"/>
      <c r="Z188" s="66"/>
      <c r="AA188" s="66"/>
      <c r="AB188" s="66"/>
      <c r="AC188" s="66"/>
      <c r="AD188" s="66"/>
      <c r="AE188" s="66"/>
      <c r="AF188" s="66"/>
      <c r="AG188" s="66"/>
      <c r="AH188" s="66"/>
      <c r="AI188" s="66"/>
      <c r="AJ188" s="66"/>
      <c r="AK188" s="66"/>
      <c r="AL188" s="66"/>
      <c r="AM188" s="66"/>
      <c r="AN188" s="66"/>
      <c r="AO188" s="66"/>
      <c r="AP188" s="66"/>
      <c r="AQ188" s="66"/>
      <c r="AR188" s="66"/>
      <c r="AS188" s="66"/>
      <c r="AT188" s="66"/>
      <c r="AU188" s="66"/>
      <c r="AV188" s="66"/>
      <c r="AW188" s="66"/>
      <c r="AX188" s="66"/>
      <c r="AY188" s="66"/>
      <c r="AZ188" s="66"/>
      <c r="BA188" s="66"/>
      <c r="BB188" s="66"/>
      <c r="BC188" s="66"/>
    </row>
    <row r="189" spans="2:55" ht="14.25" customHeight="1" x14ac:dyDescent="0.25">
      <c r="C189" s="66"/>
      <c r="D189" s="66"/>
      <c r="E189" s="66"/>
      <c r="F189" s="66"/>
      <c r="G189" s="66"/>
      <c r="H189" s="66"/>
      <c r="I189" s="66"/>
      <c r="J189" s="66"/>
      <c r="K189" s="66"/>
      <c r="L189" s="66"/>
      <c r="M189" s="66"/>
      <c r="N189" s="66"/>
      <c r="O189" s="66"/>
      <c r="P189" s="66"/>
      <c r="Q189" s="66"/>
      <c r="R189" s="65"/>
      <c r="S189" s="66"/>
      <c r="T189" s="66"/>
      <c r="U189" s="66"/>
      <c r="V189" s="66"/>
      <c r="W189" s="66"/>
      <c r="X189" s="66"/>
      <c r="Y189" s="66"/>
      <c r="Z189" s="66"/>
      <c r="AA189" s="66"/>
      <c r="AB189" s="66"/>
      <c r="AC189" s="66"/>
      <c r="AD189" s="66"/>
      <c r="AE189" s="66"/>
      <c r="AF189" s="66"/>
      <c r="AG189" s="66"/>
      <c r="AH189" s="66"/>
      <c r="AI189" s="66"/>
      <c r="AJ189" s="66"/>
      <c r="AK189" s="66"/>
      <c r="AL189" s="66"/>
      <c r="AM189" s="66"/>
      <c r="AN189" s="66"/>
      <c r="AO189" s="66"/>
      <c r="AP189" s="66"/>
      <c r="AQ189" s="66"/>
      <c r="AR189" s="66"/>
      <c r="AS189" s="66"/>
      <c r="AT189" s="66"/>
      <c r="AU189" s="66"/>
      <c r="AV189" s="66"/>
      <c r="AW189" s="66"/>
      <c r="AX189" s="66"/>
      <c r="AY189" s="66"/>
      <c r="AZ189" s="66"/>
      <c r="BA189" s="66"/>
      <c r="BB189" s="66"/>
      <c r="BC189" s="66"/>
    </row>
    <row r="190" spans="2:55" ht="14.25" customHeight="1" x14ac:dyDescent="0.25">
      <c r="R190" s="62"/>
    </row>
    <row r="191" spans="2:55" ht="14.25" customHeight="1" x14ac:dyDescent="0.25">
      <c r="C191" s="66"/>
      <c r="D191" s="66"/>
      <c r="E191" s="66"/>
      <c r="F191" s="66"/>
      <c r="G191" s="66"/>
      <c r="H191" s="66"/>
      <c r="I191" s="66"/>
      <c r="J191" s="66"/>
      <c r="K191" s="66"/>
      <c r="L191" s="66"/>
      <c r="M191" s="66"/>
      <c r="N191" s="66"/>
      <c r="O191" s="66"/>
      <c r="P191" s="66"/>
      <c r="Q191" s="66"/>
      <c r="R191" s="65"/>
      <c r="S191" s="66"/>
      <c r="T191" s="66"/>
      <c r="U191" s="66"/>
      <c r="V191" s="66"/>
      <c r="W191" s="66"/>
      <c r="X191" s="66"/>
      <c r="Y191" s="66"/>
      <c r="Z191" s="66"/>
      <c r="AA191" s="66"/>
      <c r="AB191" s="66"/>
      <c r="AC191" s="66"/>
      <c r="AD191" s="66"/>
      <c r="AE191" s="66"/>
      <c r="AF191" s="66"/>
      <c r="AG191" s="66"/>
      <c r="AH191" s="66"/>
      <c r="AI191" s="66"/>
      <c r="AJ191" s="66"/>
      <c r="AK191" s="66"/>
      <c r="AL191" s="66"/>
      <c r="AM191" s="66"/>
      <c r="AN191" s="66"/>
      <c r="AO191" s="66"/>
      <c r="AP191" s="66"/>
      <c r="AQ191" s="66"/>
      <c r="AR191" s="66"/>
      <c r="AS191" s="66"/>
      <c r="AT191" s="66"/>
      <c r="AU191" s="66"/>
      <c r="AV191" s="66"/>
      <c r="AW191" s="66"/>
      <c r="AX191" s="66"/>
      <c r="AY191" s="66"/>
      <c r="AZ191" s="66"/>
      <c r="BA191" s="66"/>
      <c r="BB191" s="66"/>
      <c r="BC191" s="66"/>
    </row>
    <row r="192" spans="2:55" ht="14.25" customHeight="1" x14ac:dyDescent="0.25">
      <c r="C192" s="66"/>
      <c r="D192" s="66"/>
      <c r="E192" s="66"/>
      <c r="F192" s="66"/>
      <c r="G192" s="66"/>
      <c r="H192" s="66"/>
      <c r="I192" s="66"/>
      <c r="J192" s="66"/>
      <c r="K192" s="66"/>
      <c r="L192" s="66"/>
      <c r="M192" s="66"/>
      <c r="N192" s="66"/>
      <c r="O192" s="66"/>
      <c r="P192" s="66"/>
      <c r="Q192" s="66"/>
      <c r="R192" s="65"/>
      <c r="S192" s="66"/>
      <c r="T192" s="66"/>
      <c r="U192" s="66"/>
      <c r="V192" s="66"/>
      <c r="W192" s="66"/>
      <c r="X192" s="66"/>
      <c r="Y192" s="66"/>
      <c r="Z192" s="66"/>
      <c r="AA192" s="66"/>
      <c r="AB192" s="66"/>
      <c r="AC192" s="66"/>
      <c r="AD192" s="66"/>
      <c r="AE192" s="66"/>
      <c r="AF192" s="66"/>
      <c r="AG192" s="66"/>
      <c r="AH192" s="66"/>
      <c r="AI192" s="66"/>
      <c r="AJ192" s="66"/>
      <c r="AK192" s="66"/>
      <c r="AL192" s="66"/>
      <c r="AM192" s="66"/>
      <c r="AN192" s="66"/>
      <c r="AO192" s="66"/>
      <c r="AP192" s="66"/>
      <c r="AQ192" s="66"/>
      <c r="AR192" s="66"/>
      <c r="AS192" s="66"/>
      <c r="AT192" s="66"/>
      <c r="AU192" s="66"/>
      <c r="AV192" s="66"/>
      <c r="AW192" s="66"/>
      <c r="AX192" s="66"/>
      <c r="AY192" s="66"/>
      <c r="AZ192" s="66"/>
      <c r="BA192" s="66"/>
      <c r="BB192" s="66"/>
      <c r="BC192" s="66"/>
    </row>
    <row r="193" spans="18:18" ht="14.25" customHeight="1" x14ac:dyDescent="0.25">
      <c r="R193" s="62"/>
    </row>
    <row r="194" spans="18:18" ht="14.25" customHeight="1" x14ac:dyDescent="0.25">
      <c r="R194" s="62"/>
    </row>
  </sheetData>
  <sheetProtection formatRows="0" pivotTables="0"/>
  <mergeCells count="13">
    <mergeCell ref="O26:Q26"/>
    <mergeCell ref="F6:H6"/>
    <mergeCell ref="B2:D4"/>
    <mergeCell ref="F28:G28"/>
    <mergeCell ref="F29:G29"/>
    <mergeCell ref="K26:L26"/>
    <mergeCell ref="K27:L27"/>
    <mergeCell ref="K28:L28"/>
    <mergeCell ref="F27:G27"/>
    <mergeCell ref="F16:F23"/>
    <mergeCell ref="F26:G26"/>
    <mergeCell ref="G17:G18"/>
    <mergeCell ref="H17:H18"/>
  </mergeCells>
  <pageMargins left="0.511811024" right="0.511811024" top="0.78740157499999996" bottom="0.78740157499999996" header="0" footer="0"/>
  <pageSetup paperSize="9"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Planilha2">
    <outlinePr summaryBelow="0"/>
  </sheetPr>
  <dimension ref="A1:BH142"/>
  <sheetViews>
    <sheetView tabSelected="1" zoomScale="75" zoomScaleNormal="75" workbookViewId="0">
      <selection activeCell="B2" sqref="B2"/>
    </sheetView>
  </sheetViews>
  <sheetFormatPr defaultColWidth="8.85546875" defaultRowHeight="15" outlineLevelRow="1" x14ac:dyDescent="0.25"/>
  <cols>
    <col min="1" max="1" width="6.5703125" style="33" customWidth="1"/>
    <col min="2" max="2" width="85.7109375" style="1487" customWidth="1"/>
    <col min="3" max="3" width="13.7109375" style="35" bestFit="1" customWidth="1"/>
    <col min="4" max="8" width="14.7109375" style="33" customWidth="1"/>
    <col min="9" max="60" width="10.7109375" style="33" customWidth="1"/>
    <col min="61" max="16384" width="8.85546875" style="33"/>
  </cols>
  <sheetData>
    <row r="1" spans="1:60" ht="15.75" thickBot="1" x14ac:dyDescent="0.3">
      <c r="D1" s="1545"/>
      <c r="E1" s="1545"/>
      <c r="F1" s="1545"/>
      <c r="G1" s="1545"/>
      <c r="H1" s="1545"/>
    </row>
    <row r="2" spans="1:60" ht="22.5" thickTop="1" thickBot="1" x14ac:dyDescent="0.3">
      <c r="B2" s="1652" t="s">
        <v>999</v>
      </c>
      <c r="C2" s="2912" t="str">
        <f>'R&amp;C-Painel de Controle'!G2</f>
        <v>CIRSOP - Consórcio RSU Oeste Paulista</v>
      </c>
      <c r="D2" s="2913"/>
      <c r="E2" s="2913"/>
      <c r="F2" s="2913"/>
      <c r="G2" s="2913"/>
      <c r="H2" s="2914"/>
      <c r="I2" s="749"/>
    </row>
    <row r="3" spans="1:60" ht="4.9000000000000004" customHeight="1" thickTop="1" thickBot="1" x14ac:dyDescent="0.3"/>
    <row r="4" spans="1:60" ht="19.5" thickTop="1" x14ac:dyDescent="0.25">
      <c r="B4" s="1638" t="str">
        <f>B104</f>
        <v>Quant. RSU (Ano 1)</v>
      </c>
      <c r="C4" s="1639">
        <f>C104</f>
        <v>73.8</v>
      </c>
      <c r="D4" s="1640" t="str">
        <f>D104</f>
        <v>t/d</v>
      </c>
      <c r="E4" s="1641"/>
      <c r="F4" s="1641"/>
      <c r="G4" s="1641"/>
      <c r="H4" s="1642"/>
      <c r="I4" s="749"/>
    </row>
    <row r="5" spans="1:60" ht="19.899999999999999" customHeight="1" x14ac:dyDescent="0.25">
      <c r="B5" s="1643" t="s">
        <v>1024</v>
      </c>
      <c r="C5" s="1644">
        <f>'R&amp;C-Painel de Controle'!D33</f>
        <v>1396.7092707049733</v>
      </c>
      <c r="D5" s="1645" t="s">
        <v>293</v>
      </c>
      <c r="E5" s="1646"/>
      <c r="F5" s="1646"/>
      <c r="G5" s="1646"/>
      <c r="H5" s="1647"/>
      <c r="I5" s="749"/>
    </row>
    <row r="6" spans="1:60" ht="19.899999999999999" customHeight="1" x14ac:dyDescent="0.25">
      <c r="B6" s="1643" t="s">
        <v>1025</v>
      </c>
      <c r="C6" s="1644">
        <f>'R&amp;C-Painel de Controle'!H33</f>
        <v>1491.675405776728</v>
      </c>
      <c r="D6" s="1645" t="s">
        <v>293</v>
      </c>
      <c r="E6" s="1646"/>
      <c r="F6" s="1646"/>
      <c r="G6" s="1646"/>
      <c r="H6" s="1647"/>
      <c r="I6" s="749"/>
    </row>
    <row r="7" spans="1:60" ht="18.75" x14ac:dyDescent="0.25">
      <c r="B7" s="1643" t="s">
        <v>972</v>
      </c>
      <c r="C7" s="1644">
        <f>'R&amp;C-Painel de Controle'!D32</f>
        <v>35</v>
      </c>
      <c r="D7" s="1645" t="s">
        <v>260</v>
      </c>
      <c r="E7" s="1646"/>
      <c r="F7" s="1646"/>
      <c r="G7" s="1646"/>
      <c r="H7" s="1647"/>
      <c r="I7" s="749"/>
    </row>
    <row r="8" spans="1:60" ht="19.5" thickBot="1" x14ac:dyDescent="0.3">
      <c r="B8" s="1648" t="s">
        <v>930</v>
      </c>
      <c r="C8" s="1653">
        <f>'C-FCL Real'!C28</f>
        <v>9.74E-2</v>
      </c>
      <c r="D8" s="1649" t="s">
        <v>194</v>
      </c>
      <c r="E8" s="1650"/>
      <c r="F8" s="1650"/>
      <c r="G8" s="1650"/>
      <c r="H8" s="1651"/>
      <c r="I8" s="749"/>
    </row>
    <row r="9" spans="1:60" ht="4.9000000000000004" customHeight="1" thickTop="1" thickBot="1" x14ac:dyDescent="0.3"/>
    <row r="10" spans="1:60" s="885" customFormat="1" ht="19.899999999999999" customHeight="1" thickTop="1" x14ac:dyDescent="0.25">
      <c r="B10" s="2915" t="s">
        <v>998</v>
      </c>
      <c r="C10" s="2916"/>
      <c r="D10" s="2919" t="s">
        <v>994</v>
      </c>
      <c r="E10" s="2920"/>
      <c r="F10" s="2920"/>
      <c r="G10" s="2920"/>
      <c r="H10" s="2921"/>
      <c r="J10" s="1591" t="s">
        <v>995</v>
      </c>
      <c r="K10" s="1591" t="s">
        <v>993</v>
      </c>
      <c r="L10" s="1591" t="s">
        <v>996</v>
      </c>
      <c r="M10" s="1591" t="s">
        <v>994</v>
      </c>
    </row>
    <row r="11" spans="1:60" s="885" customFormat="1" ht="19.899999999999999" customHeight="1" thickBot="1" x14ac:dyDescent="0.3">
      <c r="B11" s="2917"/>
      <c r="C11" s="2918"/>
      <c r="D11" s="2922"/>
      <c r="E11" s="2923"/>
      <c r="F11" s="2923"/>
      <c r="G11" s="2923"/>
      <c r="H11" s="2924"/>
    </row>
    <row r="12" spans="1:60" ht="4.9000000000000004" customHeight="1" thickTop="1" thickBot="1" x14ac:dyDescent="0.3"/>
    <row r="13" spans="1:60" s="39" customFormat="1" ht="25.15" customHeight="1" collapsed="1" thickTop="1" thickBot="1" x14ac:dyDescent="0.3">
      <c r="B13" s="2929" t="s">
        <v>990</v>
      </c>
      <c r="C13" s="2930"/>
      <c r="D13" s="2930"/>
      <c r="E13" s="2930"/>
      <c r="F13" s="2930"/>
      <c r="G13" s="2930"/>
      <c r="H13" s="2931"/>
      <c r="I13" s="33"/>
      <c r="J13" s="33"/>
    </row>
    <row r="14" spans="1:60" s="689" customFormat="1" ht="15" hidden="1" customHeight="1" outlineLevel="1" thickTop="1" x14ac:dyDescent="0.25">
      <c r="B14" s="1546" t="str">
        <f>'C-FCL Real'!B32</f>
        <v>Ano do Contrato</v>
      </c>
      <c r="C14" s="1506"/>
      <c r="D14" s="1555">
        <f>'C-FCL Real'!C32</f>
        <v>0</v>
      </c>
      <c r="E14" s="689">
        <f>'C-FCL Real'!D32</f>
        <v>1</v>
      </c>
      <c r="F14" s="689">
        <f>'C-FCL Real'!E32</f>
        <v>2</v>
      </c>
      <c r="G14" s="689">
        <f>'C-FCL Real'!F32</f>
        <v>3</v>
      </c>
      <c r="H14" s="689">
        <f>'C-FCL Real'!G32</f>
        <v>4</v>
      </c>
      <c r="I14" s="689">
        <f>'C-FCL Real'!H32</f>
        <v>5</v>
      </c>
      <c r="J14" s="689">
        <f>'C-FCL Real'!I32</f>
        <v>6</v>
      </c>
      <c r="K14" s="689">
        <f>'C-FCL Real'!J32</f>
        <v>7</v>
      </c>
      <c r="L14" s="689">
        <f>'C-FCL Real'!K32</f>
        <v>8</v>
      </c>
      <c r="M14" s="689">
        <f>'C-FCL Real'!L32</f>
        <v>9</v>
      </c>
      <c r="N14" s="689">
        <f>'C-FCL Real'!M32</f>
        <v>10</v>
      </c>
      <c r="O14" s="689">
        <f>'C-FCL Real'!N32</f>
        <v>11</v>
      </c>
      <c r="P14" s="689">
        <f>'C-FCL Real'!O32</f>
        <v>12</v>
      </c>
      <c r="Q14" s="689">
        <f>'C-FCL Real'!P32</f>
        <v>13</v>
      </c>
      <c r="R14" s="689">
        <f>'C-FCL Real'!Q32</f>
        <v>14</v>
      </c>
      <c r="S14" s="689">
        <f>'C-FCL Real'!R32</f>
        <v>15</v>
      </c>
      <c r="T14" s="689">
        <f>'C-FCL Real'!S32</f>
        <v>16</v>
      </c>
      <c r="U14" s="689">
        <f>'C-FCL Real'!T32</f>
        <v>17</v>
      </c>
      <c r="V14" s="689">
        <f>'C-FCL Real'!U32</f>
        <v>18</v>
      </c>
      <c r="W14" s="689">
        <f>'C-FCL Real'!V32</f>
        <v>19</v>
      </c>
      <c r="X14" s="689">
        <f>'C-FCL Real'!W32</f>
        <v>20</v>
      </c>
      <c r="Y14" s="689">
        <f>'C-FCL Real'!X32</f>
        <v>21</v>
      </c>
      <c r="Z14" s="689">
        <f>'C-FCL Real'!Y32</f>
        <v>22</v>
      </c>
      <c r="AA14" s="689">
        <f>'C-FCL Real'!Z32</f>
        <v>23</v>
      </c>
      <c r="AB14" s="689">
        <f>'C-FCL Real'!AA32</f>
        <v>24</v>
      </c>
      <c r="AC14" s="689">
        <f>'C-FCL Real'!AB32</f>
        <v>25</v>
      </c>
      <c r="AD14" s="689">
        <f>'C-FCL Real'!AC32</f>
        <v>26</v>
      </c>
      <c r="AE14" s="689">
        <f>'C-FCL Real'!AD32</f>
        <v>27</v>
      </c>
      <c r="AF14" s="689">
        <f>'C-FCL Real'!AE32</f>
        <v>28</v>
      </c>
      <c r="AG14" s="689">
        <f>'C-FCL Real'!AF32</f>
        <v>29</v>
      </c>
      <c r="AH14" s="689">
        <f>'C-FCL Real'!AG32</f>
        <v>30</v>
      </c>
      <c r="AI14" s="689">
        <f>'C-FCL Real'!AH32</f>
        <v>31</v>
      </c>
      <c r="AJ14" s="689">
        <f>'C-FCL Real'!AI32</f>
        <v>32</v>
      </c>
      <c r="AK14" s="689">
        <f>'C-FCL Real'!AJ32</f>
        <v>33</v>
      </c>
      <c r="AL14" s="689">
        <f>'C-FCL Real'!AK32</f>
        <v>34</v>
      </c>
      <c r="AM14" s="689">
        <f>'C-FCL Real'!AL32</f>
        <v>35</v>
      </c>
      <c r="AN14" s="689">
        <f>'C-FCL Real'!AM32</f>
        <v>36</v>
      </c>
      <c r="AO14" s="689">
        <f>'C-FCL Real'!AN32</f>
        <v>37</v>
      </c>
      <c r="AP14" s="689">
        <f>'C-FCL Real'!AO32</f>
        <v>38</v>
      </c>
      <c r="AQ14" s="689">
        <f>'C-FCL Real'!AP32</f>
        <v>39</v>
      </c>
      <c r="AR14" s="689">
        <f>'C-FCL Real'!AQ32</f>
        <v>40</v>
      </c>
      <c r="AS14" s="689">
        <f>'C-FCL Real'!AR32</f>
        <v>41</v>
      </c>
      <c r="AT14" s="689">
        <f>'C-FCL Real'!AS32</f>
        <v>42</v>
      </c>
      <c r="AU14" s="689">
        <f>'C-FCL Real'!AT32</f>
        <v>43</v>
      </c>
      <c r="AV14" s="689">
        <f>'C-FCL Real'!AU32</f>
        <v>44</v>
      </c>
      <c r="AW14" s="689">
        <f>'C-FCL Real'!AV32</f>
        <v>45</v>
      </c>
      <c r="AX14" s="689">
        <f>'C-FCL Real'!AW32</f>
        <v>46</v>
      </c>
      <c r="AY14" s="689">
        <f>'C-FCL Real'!AX32</f>
        <v>47</v>
      </c>
      <c r="AZ14" s="689">
        <f>'C-FCL Real'!AY32</f>
        <v>48</v>
      </c>
      <c r="BA14" s="689">
        <f>'C-FCL Real'!AZ32</f>
        <v>49</v>
      </c>
      <c r="BB14" s="689">
        <f>'C-FCL Real'!BA32</f>
        <v>50</v>
      </c>
      <c r="BC14" s="689">
        <f>'C-FCL Real'!BB32</f>
        <v>51</v>
      </c>
      <c r="BD14" s="689">
        <f>'C-FCL Real'!BC32</f>
        <v>52</v>
      </c>
      <c r="BE14" s="689">
        <f>'C-FCL Real'!BD32</f>
        <v>0</v>
      </c>
      <c r="BF14" s="689">
        <f>'C-FCL Real'!BE32</f>
        <v>0</v>
      </c>
      <c r="BG14" s="689">
        <f>'C-FCL Real'!BF32</f>
        <v>0</v>
      </c>
      <c r="BH14" s="689">
        <f>'C-FCL Real'!BD32</f>
        <v>0</v>
      </c>
    </row>
    <row r="15" spans="1:60" s="1499" customFormat="1" ht="15" hidden="1" customHeight="1" outlineLevel="1" x14ac:dyDescent="0.25">
      <c r="A15" s="2911" t="s">
        <v>991</v>
      </c>
      <c r="B15" s="1547" t="s">
        <v>911</v>
      </c>
      <c r="C15" s="1560"/>
      <c r="D15" s="1556">
        <f>'C-FCL Real'!C33</f>
        <v>1</v>
      </c>
      <c r="E15" s="1541">
        <f>'C-FCL Real'!D33</f>
        <v>1</v>
      </c>
      <c r="F15" s="1541">
        <f>'C-FCL Real'!E33</f>
        <v>1</v>
      </c>
      <c r="G15" s="1541">
        <f>'C-FCL Real'!F33</f>
        <v>1</v>
      </c>
      <c r="H15" s="1541">
        <f>'C-FCL Real'!G33</f>
        <v>1</v>
      </c>
      <c r="I15" s="1541">
        <f>'C-FCL Real'!H33</f>
        <v>1</v>
      </c>
      <c r="J15" s="1541">
        <f>'C-FCL Real'!I33</f>
        <v>1</v>
      </c>
      <c r="K15" s="1541">
        <f>'C-FCL Real'!J33</f>
        <v>1</v>
      </c>
      <c r="L15" s="1541">
        <f>'C-FCL Real'!K33</f>
        <v>1</v>
      </c>
      <c r="M15" s="1541">
        <f>'C-FCL Real'!L33</f>
        <v>1</v>
      </c>
      <c r="N15" s="1541">
        <f>'C-FCL Real'!M33</f>
        <v>1</v>
      </c>
      <c r="O15" s="1541">
        <f>'C-FCL Real'!N33</f>
        <v>1</v>
      </c>
      <c r="P15" s="1541">
        <f>'C-FCL Real'!O33</f>
        <v>1</v>
      </c>
      <c r="Q15" s="1541">
        <f>'C-FCL Real'!P33</f>
        <v>1</v>
      </c>
      <c r="R15" s="1541">
        <f>'C-FCL Real'!Q33</f>
        <v>1</v>
      </c>
      <c r="S15" s="1541">
        <f>'C-FCL Real'!R33</f>
        <v>1</v>
      </c>
      <c r="T15" s="1541">
        <f>'C-FCL Real'!S33</f>
        <v>1</v>
      </c>
      <c r="U15" s="1541">
        <f>'C-FCL Real'!T33</f>
        <v>1</v>
      </c>
      <c r="V15" s="1541">
        <f>'C-FCL Real'!U33</f>
        <v>1</v>
      </c>
      <c r="W15" s="1541">
        <f>'C-FCL Real'!V33</f>
        <v>1</v>
      </c>
      <c r="X15" s="1541">
        <f>'C-FCL Real'!W33</f>
        <v>1</v>
      </c>
      <c r="Y15" s="1541">
        <f>'C-FCL Real'!X33</f>
        <v>1</v>
      </c>
      <c r="Z15" s="1541">
        <f>'C-FCL Real'!Y33</f>
        <v>1</v>
      </c>
      <c r="AA15" s="1541">
        <f>'C-FCL Real'!Z33</f>
        <v>1</v>
      </c>
      <c r="AB15" s="1541">
        <f>'C-FCL Real'!AA33</f>
        <v>1</v>
      </c>
      <c r="AC15" s="1541">
        <f>'C-FCL Real'!AB33</f>
        <v>1</v>
      </c>
      <c r="AD15" s="1541">
        <f>'C-FCL Real'!AC33</f>
        <v>1</v>
      </c>
      <c r="AE15" s="1541">
        <f>'C-FCL Real'!AD33</f>
        <v>1</v>
      </c>
      <c r="AF15" s="1541">
        <f>'C-FCL Real'!AE33</f>
        <v>1</v>
      </c>
      <c r="AG15" s="1541">
        <f>'C-FCL Real'!AF33</f>
        <v>1</v>
      </c>
      <c r="AH15" s="1541">
        <f>'C-FCL Real'!AG33</f>
        <v>1</v>
      </c>
      <c r="AI15" s="1541">
        <f>'C-FCL Real'!AH33</f>
        <v>1</v>
      </c>
      <c r="AJ15" s="1541">
        <f>'C-FCL Real'!AI33</f>
        <v>1</v>
      </c>
      <c r="AK15" s="1541">
        <f>'C-FCL Real'!AJ33</f>
        <v>1</v>
      </c>
      <c r="AL15" s="1541">
        <f>'C-FCL Real'!AK33</f>
        <v>1</v>
      </c>
      <c r="AM15" s="1541">
        <f>'C-FCL Real'!AL33</f>
        <v>0</v>
      </c>
      <c r="AN15" s="1541">
        <f>'C-FCL Real'!AM33</f>
        <v>0</v>
      </c>
      <c r="AO15" s="1541">
        <f>'C-FCL Real'!AN33</f>
        <v>0</v>
      </c>
      <c r="AP15" s="1541">
        <f>'C-FCL Real'!AO33</f>
        <v>0</v>
      </c>
      <c r="AQ15" s="1541">
        <f>'C-FCL Real'!AP33</f>
        <v>0</v>
      </c>
      <c r="AR15" s="1541">
        <f>'C-FCL Real'!AQ33</f>
        <v>0</v>
      </c>
      <c r="AS15" s="1541">
        <f>'C-FCL Real'!AR33</f>
        <v>0</v>
      </c>
      <c r="AT15" s="1541">
        <f>'C-FCL Real'!AS33</f>
        <v>0</v>
      </c>
      <c r="AU15" s="1541">
        <f>'C-FCL Real'!AT33</f>
        <v>0</v>
      </c>
      <c r="AV15" s="1541">
        <f>'C-FCL Real'!AU33</f>
        <v>0</v>
      </c>
      <c r="AW15" s="1541">
        <f>'C-FCL Real'!AV33</f>
        <v>0</v>
      </c>
      <c r="AX15" s="1541">
        <f>'C-FCL Real'!AW33</f>
        <v>0</v>
      </c>
      <c r="AY15" s="1541">
        <f>'C-FCL Real'!AX33</f>
        <v>0</v>
      </c>
      <c r="AZ15" s="1541">
        <f>'C-FCL Real'!AY33</f>
        <v>0</v>
      </c>
      <c r="BA15" s="1541">
        <f>'C-FCL Real'!AZ33</f>
        <v>0</v>
      </c>
      <c r="BB15" s="1541">
        <f>'C-FCL Real'!BA33</f>
        <v>0</v>
      </c>
      <c r="BC15" s="1541">
        <f>'C-FCL Real'!BB33</f>
        <v>0</v>
      </c>
      <c r="BD15" s="1541">
        <f>'C-FCL Real'!BC33</f>
        <v>0</v>
      </c>
      <c r="BE15" s="1541">
        <f>'C-FCL Real'!BD33</f>
        <v>0</v>
      </c>
      <c r="BF15" s="1541">
        <f>'C-FCL Real'!BE33</f>
        <v>0</v>
      </c>
      <c r="BG15" s="1541">
        <f>'C-FCL Real'!BF33</f>
        <v>0</v>
      </c>
      <c r="BH15" s="1542">
        <f>'C-FCL Real'!BG33</f>
        <v>0</v>
      </c>
    </row>
    <row r="16" spans="1:60" s="42" customFormat="1" ht="15" hidden="1" customHeight="1" outlineLevel="1" x14ac:dyDescent="0.25">
      <c r="A16" s="2911"/>
      <c r="B16" s="1548" t="str">
        <f>'C-FCL Real'!B35</f>
        <v>Dados Quantitativos RSU</v>
      </c>
      <c r="C16" s="1561">
        <f>SUMIF($D$15:$BG$15,1,D16:BG16)</f>
        <v>866526.61433096475</v>
      </c>
      <c r="D16" s="1557">
        <f>'C-FCL Real'!C35</f>
        <v>23025.599999999999</v>
      </c>
      <c r="E16" s="1544">
        <f>'C-FCL Real'!D35</f>
        <v>23133.820319999995</v>
      </c>
      <c r="F16" s="1544">
        <f>'C-FCL Real'!E35</f>
        <v>23242.549275503992</v>
      </c>
      <c r="G16" s="1544">
        <f>'C-FCL Real'!F35</f>
        <v>23351.789257098859</v>
      </c>
      <c r="H16" s="1544">
        <f>'C-FCL Real'!G35</f>
        <v>23461.542666607224</v>
      </c>
      <c r="I16" s="1544">
        <f>'C-FCL Real'!H35</f>
        <v>23571.811917140276</v>
      </c>
      <c r="J16" s="1544">
        <f>'C-FCL Real'!I35</f>
        <v>23682.599433150834</v>
      </c>
      <c r="K16" s="1544">
        <f>'C-FCL Real'!J35</f>
        <v>23793.907650486643</v>
      </c>
      <c r="L16" s="1544">
        <f>'C-FCL Real'!K35</f>
        <v>23905.739016443928</v>
      </c>
      <c r="M16" s="1544">
        <f>'C-FCL Real'!L35</f>
        <v>24018.095989821213</v>
      </c>
      <c r="N16" s="1544">
        <f>'C-FCL Real'!M35</f>
        <v>24130.981040973373</v>
      </c>
      <c r="O16" s="1544">
        <f>'C-FCL Real'!N35</f>
        <v>24244.396651865947</v>
      </c>
      <c r="P16" s="1544">
        <f>'C-FCL Real'!O35</f>
        <v>24358.345316129715</v>
      </c>
      <c r="Q16" s="1544">
        <f>'C-FCL Real'!P35</f>
        <v>24472.829539115522</v>
      </c>
      <c r="R16" s="1544">
        <f>'C-FCL Real'!Q35</f>
        <v>24587.851837949365</v>
      </c>
      <c r="S16" s="1544">
        <f>'C-FCL Real'!O35</f>
        <v>24358.345316129715</v>
      </c>
      <c r="T16" s="1544">
        <f>'C-FCL Real'!P35</f>
        <v>24472.829539115522</v>
      </c>
      <c r="U16" s="1544">
        <f>'C-FCL Real'!Q35</f>
        <v>24587.851837949365</v>
      </c>
      <c r="V16" s="1544">
        <f>'C-FCL Real'!R35</f>
        <v>24703.414741587727</v>
      </c>
      <c r="W16" s="1544">
        <f>'C-FCL Real'!S35</f>
        <v>24819.520790873186</v>
      </c>
      <c r="X16" s="1544">
        <f>'C-FCL Real'!T35</f>
        <v>24936.17253859029</v>
      </c>
      <c r="Y16" s="1544">
        <f>'C-FCL Real'!U35</f>
        <v>25053.372549521664</v>
      </c>
      <c r="Z16" s="1544">
        <f>'C-FCL Real'!V35</f>
        <v>25171.123400504413</v>
      </c>
      <c r="AA16" s="1544">
        <f>'C-FCL Real'!W35</f>
        <v>25289.427680486784</v>
      </c>
      <c r="AB16" s="1544">
        <f>'C-FCL Real'!X35</f>
        <v>25408.287990585071</v>
      </c>
      <c r="AC16" s="1544">
        <f>'C-FCL Real'!Y35</f>
        <v>25527.70694414082</v>
      </c>
      <c r="AD16" s="1544">
        <f>'C-FCL Real'!Z35</f>
        <v>25647.68716677828</v>
      </c>
      <c r="AE16" s="1544">
        <f>'C-FCL Real'!AA35</f>
        <v>25768.231296462134</v>
      </c>
      <c r="AF16" s="1544">
        <f>'C-FCL Real'!AB35</f>
        <v>25889.341983555503</v>
      </c>
      <c r="AG16" s="1544">
        <f>'C-FCL Real'!AC35</f>
        <v>26011.021890878212</v>
      </c>
      <c r="AH16" s="1544">
        <f>'C-FCL Real'!AD35</f>
        <v>26133.273693765339</v>
      </c>
      <c r="AI16" s="1544">
        <f>'C-FCL Real'!AE35</f>
        <v>26256.100080126034</v>
      </c>
      <c r="AJ16" s="1544">
        <f>'C-FCL Real'!AF35</f>
        <v>26379.503750502623</v>
      </c>
      <c r="AK16" s="1544">
        <f>'C-FCL Real'!AG35</f>
        <v>26503.487418129982</v>
      </c>
      <c r="AL16" s="1544">
        <f>'C-FCL Real'!AH35</f>
        <v>26628.053808995192</v>
      </c>
      <c r="AM16" s="1544">
        <f>'C-FCL Real'!AI35</f>
        <v>26753.205661897468</v>
      </c>
      <c r="AN16" s="1544">
        <f>'C-FCL Real'!AJ35</f>
        <v>26878.945728508384</v>
      </c>
      <c r="AO16" s="1544">
        <f>'C-FCL Real'!AK35</f>
        <v>27005.276773432372</v>
      </c>
      <c r="AP16" s="1544">
        <f>'C-FCL Real'!AL35</f>
        <v>27132.201574267503</v>
      </c>
      <c r="AQ16" s="1544">
        <f>'C-FCL Real'!AM35</f>
        <v>27259.722921666558</v>
      </c>
      <c r="AR16" s="1544">
        <f>'C-FCL Real'!AN35</f>
        <v>27387.843619398391</v>
      </c>
      <c r="AS16" s="1544">
        <f>'C-FCL Real'!AO35</f>
        <v>27516.566484409563</v>
      </c>
      <c r="AT16" s="1544">
        <f>'C-FCL Real'!AP35</f>
        <v>27645.894346886285</v>
      </c>
      <c r="AU16" s="1544">
        <f>'C-FCL Real'!AQ35</f>
        <v>27775.83005031665</v>
      </c>
      <c r="AV16" s="1544">
        <f>'C-FCL Real'!AR35</f>
        <v>27906.376451553137</v>
      </c>
      <c r="AW16" s="1544">
        <f>'C-FCL Real'!AS35</f>
        <v>28037.536420875433</v>
      </c>
      <c r="AX16" s="1544">
        <f>'C-FCL Real'!AT35</f>
        <v>28169.312842053547</v>
      </c>
      <c r="AY16" s="1544">
        <f>'C-FCL Real'!AU35</f>
        <v>28301.708612411196</v>
      </c>
      <c r="AZ16" s="1544">
        <f>'C-FCL Real'!AV35</f>
        <v>28434.726642889527</v>
      </c>
      <c r="BA16" s="1544">
        <f>'C-FCL Real'!AW35</f>
        <v>28568.369858111106</v>
      </c>
      <c r="BB16" s="1544">
        <f>'C-FCL Real'!AX35</f>
        <v>28702.641196444227</v>
      </c>
      <c r="BC16" s="1544">
        <f>'C-FCL Real'!AY35</f>
        <v>28837.543610067514</v>
      </c>
      <c r="BD16" s="1544">
        <f>'C-FCL Real'!AZ35</f>
        <v>28973.080065034828</v>
      </c>
      <c r="BE16" s="1544">
        <f>'C-FCL Real'!BA35</f>
        <v>29109.253541340491</v>
      </c>
      <c r="BF16" s="1544">
        <f>'C-FCL Real'!BB35</f>
        <v>29246.067032984789</v>
      </c>
      <c r="BG16" s="1544">
        <f>'C-FCL Real'!BC35</f>
        <v>29383.523548039815</v>
      </c>
      <c r="BH16" s="1544">
        <f>'C-FCL Real'!BD35</f>
        <v>0</v>
      </c>
    </row>
    <row r="17" spans="1:60" ht="15" hidden="1" customHeight="1" outlineLevel="1" x14ac:dyDescent="0.25">
      <c r="A17" s="35"/>
      <c r="B17" s="1548"/>
      <c r="C17" s="1562"/>
      <c r="D17" s="1558"/>
      <c r="E17" s="1500"/>
      <c r="F17" s="1500"/>
      <c r="G17" s="1500"/>
      <c r="H17" s="1500"/>
      <c r="I17" s="1500"/>
      <c r="J17" s="1500"/>
      <c r="K17" s="1500"/>
      <c r="L17" s="1500"/>
      <c r="M17" s="1500"/>
      <c r="N17" s="1500"/>
      <c r="O17" s="1500"/>
      <c r="P17" s="1500"/>
      <c r="Q17" s="1500"/>
      <c r="R17" s="1500"/>
      <c r="S17" s="1500"/>
      <c r="T17" s="1500"/>
      <c r="U17" s="1500"/>
      <c r="V17" s="1500"/>
      <c r="W17" s="1500"/>
      <c r="X17" s="1500"/>
      <c r="Y17" s="1500"/>
      <c r="Z17" s="1500"/>
      <c r="AA17" s="1500"/>
      <c r="AB17" s="1500"/>
      <c r="AC17" s="1500"/>
      <c r="AD17" s="1500"/>
      <c r="AE17" s="1500"/>
      <c r="AF17" s="1500"/>
      <c r="AG17" s="1500"/>
      <c r="AH17" s="1500"/>
      <c r="AI17" s="1500"/>
      <c r="AJ17" s="1500"/>
    </row>
    <row r="18" spans="1:60" ht="15" hidden="1" customHeight="1" outlineLevel="1" x14ac:dyDescent="0.25">
      <c r="A18" s="1575">
        <f>C18*1000000/$C$16</f>
        <v>212.10247573754967</v>
      </c>
      <c r="B18" s="1549" t="str">
        <f>'C-FCL Real'!B63</f>
        <v>Dados de Capex</v>
      </c>
      <c r="C18" s="1563">
        <f>SUMIF($D$15:$BG$15,1,D18:BG18)</f>
        <v>183.79244019207451</v>
      </c>
      <c r="D18" s="1559">
        <f>'C-FCL Real'!C63</f>
        <v>46.8476242812241</v>
      </c>
      <c r="E18" s="48">
        <f>'C-FCL Real'!D63</f>
        <v>73.093666936894934</v>
      </c>
      <c r="F18" s="48">
        <f>'C-FCL Real'!E63</f>
        <v>63.851148973955475</v>
      </c>
      <c r="G18" s="48">
        <f>'C-FCL Real'!F63</f>
        <v>0</v>
      </c>
      <c r="H18" s="48">
        <f>'C-FCL Real'!G63</f>
        <v>0</v>
      </c>
      <c r="I18" s="48">
        <f>'C-FCL Real'!H63</f>
        <v>0</v>
      </c>
      <c r="J18" s="48">
        <f>'C-FCL Real'!I63</f>
        <v>0</v>
      </c>
      <c r="K18" s="48">
        <f>'C-FCL Real'!J63</f>
        <v>0</v>
      </c>
      <c r="L18" s="48">
        <f>'C-FCL Real'!K63</f>
        <v>0</v>
      </c>
      <c r="M18" s="48">
        <f>'C-FCL Real'!L63</f>
        <v>0</v>
      </c>
      <c r="N18" s="48">
        <f>'C-FCL Real'!M63</f>
        <v>0</v>
      </c>
      <c r="O18" s="48">
        <f>'C-FCL Real'!N63</f>
        <v>0</v>
      </c>
      <c r="P18" s="48">
        <f>'C-FCL Real'!O63</f>
        <v>0</v>
      </c>
      <c r="Q18" s="48">
        <f>'C-FCL Real'!P63</f>
        <v>0</v>
      </c>
      <c r="R18" s="48">
        <f>'C-FCL Real'!Q63</f>
        <v>0</v>
      </c>
      <c r="S18" s="48">
        <f>'C-FCL Real'!O63</f>
        <v>0</v>
      </c>
      <c r="T18" s="48">
        <f>'C-FCL Real'!P63</f>
        <v>0</v>
      </c>
      <c r="U18" s="48">
        <f>'C-FCL Real'!Q63</f>
        <v>0</v>
      </c>
      <c r="V18" s="48">
        <f>'C-FCL Real'!R63</f>
        <v>0</v>
      </c>
      <c r="W18" s="48">
        <f>'C-FCL Real'!S63</f>
        <v>0</v>
      </c>
      <c r="X18" s="48">
        <f>'C-FCL Real'!T63</f>
        <v>0</v>
      </c>
      <c r="Y18" s="48">
        <f>'C-FCL Real'!U63</f>
        <v>0</v>
      </c>
      <c r="Z18" s="48">
        <f>'C-FCL Real'!V63</f>
        <v>0</v>
      </c>
      <c r="AA18" s="48">
        <f>'C-FCL Real'!W63</f>
        <v>0</v>
      </c>
      <c r="AB18" s="48">
        <f>'C-FCL Real'!X63</f>
        <v>0</v>
      </c>
      <c r="AC18" s="48">
        <f>'C-FCL Real'!Y63</f>
        <v>0</v>
      </c>
      <c r="AD18" s="48">
        <f>'C-FCL Real'!Z63</f>
        <v>0</v>
      </c>
      <c r="AE18" s="48">
        <f>'C-FCL Real'!AA63</f>
        <v>0</v>
      </c>
      <c r="AF18" s="48">
        <f>'C-FCL Real'!AB63</f>
        <v>0</v>
      </c>
      <c r="AG18" s="48">
        <f>'C-FCL Real'!AC63</f>
        <v>0</v>
      </c>
      <c r="AH18" s="48">
        <f>'C-FCL Real'!AD63</f>
        <v>0</v>
      </c>
      <c r="AI18" s="48">
        <f>'C-FCL Real'!AE63</f>
        <v>0</v>
      </c>
      <c r="AJ18" s="48">
        <f>'C-FCL Real'!AF63</f>
        <v>0</v>
      </c>
      <c r="AK18" s="48">
        <f>'C-FCL Real'!AG63</f>
        <v>0</v>
      </c>
      <c r="AL18" s="48">
        <f>'C-FCL Real'!AH63</f>
        <v>0</v>
      </c>
      <c r="AM18" s="48">
        <f>'C-FCL Real'!AI63</f>
        <v>0</v>
      </c>
      <c r="AN18" s="48">
        <f>'C-FCL Real'!AJ63</f>
        <v>0</v>
      </c>
      <c r="AO18" s="48">
        <f>'C-FCL Real'!AK63</f>
        <v>0</v>
      </c>
      <c r="AP18" s="48">
        <f>'C-FCL Real'!AL63</f>
        <v>0</v>
      </c>
      <c r="AQ18" s="48">
        <f>'C-FCL Real'!AM63</f>
        <v>0</v>
      </c>
      <c r="AR18" s="48">
        <f>'C-FCL Real'!AN63</f>
        <v>0</v>
      </c>
      <c r="AS18" s="48">
        <f>'C-FCL Real'!AO63</f>
        <v>0</v>
      </c>
      <c r="AT18" s="48">
        <f>'C-FCL Real'!AP63</f>
        <v>0</v>
      </c>
      <c r="AU18" s="48">
        <f>'C-FCL Real'!AQ63</f>
        <v>0</v>
      </c>
      <c r="AV18" s="48">
        <f>'C-FCL Real'!AR63</f>
        <v>0</v>
      </c>
      <c r="AW18" s="48">
        <f>'C-FCL Real'!AS63</f>
        <v>0</v>
      </c>
      <c r="AX18" s="48">
        <f>'C-FCL Real'!AT63</f>
        <v>0</v>
      </c>
      <c r="AY18" s="48">
        <f>'C-FCL Real'!AU63</f>
        <v>0</v>
      </c>
      <c r="AZ18" s="48">
        <f>'C-FCL Real'!AV63</f>
        <v>0</v>
      </c>
      <c r="BA18" s="48">
        <f>'C-FCL Real'!AW63</f>
        <v>0</v>
      </c>
      <c r="BB18" s="48">
        <f>'C-FCL Real'!AX63</f>
        <v>0</v>
      </c>
      <c r="BC18" s="48">
        <f>'C-FCL Real'!AY63</f>
        <v>0</v>
      </c>
      <c r="BD18" s="48">
        <f>'C-FCL Real'!AZ63</f>
        <v>0</v>
      </c>
      <c r="BE18" s="48">
        <f>'C-FCL Real'!BA63</f>
        <v>0</v>
      </c>
      <c r="BF18" s="48">
        <f>'C-FCL Real'!BB63</f>
        <v>0</v>
      </c>
      <c r="BG18" s="48">
        <f>'C-FCL Real'!BC63</f>
        <v>0</v>
      </c>
      <c r="BH18" s="48">
        <f>'C-FCL Real'!BD63</f>
        <v>0</v>
      </c>
    </row>
    <row r="19" spans="1:60" ht="15" hidden="1" customHeight="1" outlineLevel="1" x14ac:dyDescent="0.25">
      <c r="A19" s="1575">
        <f>C19*1000000/$C$16</f>
        <v>193.27726967154152</v>
      </c>
      <c r="B19" s="1596" t="s">
        <v>914</v>
      </c>
      <c r="C19" s="1562">
        <f>SUMIF($D$15:$BG$15,1,D19:BG19)</f>
        <v>167.47989811561374</v>
      </c>
      <c r="D19" s="1559">
        <f t="shared" ref="D19:AJ19" si="0">NPV($C$8,D18:D18)</f>
        <v>42.68965216076554</v>
      </c>
      <c r="E19" s="48">
        <f t="shared" si="0"/>
        <v>66.606221010474698</v>
      </c>
      <c r="F19" s="48">
        <f t="shared" si="0"/>
        <v>58.184024944373498</v>
      </c>
      <c r="G19" s="48">
        <f t="shared" si="0"/>
        <v>0</v>
      </c>
      <c r="H19" s="48">
        <f t="shared" si="0"/>
        <v>0</v>
      </c>
      <c r="I19" s="48">
        <f t="shared" si="0"/>
        <v>0</v>
      </c>
      <c r="J19" s="48">
        <f t="shared" si="0"/>
        <v>0</v>
      </c>
      <c r="K19" s="48">
        <f t="shared" si="0"/>
        <v>0</v>
      </c>
      <c r="L19" s="48">
        <f t="shared" si="0"/>
        <v>0</v>
      </c>
      <c r="M19" s="48">
        <f t="shared" si="0"/>
        <v>0</v>
      </c>
      <c r="N19" s="48">
        <f t="shared" si="0"/>
        <v>0</v>
      </c>
      <c r="O19" s="48">
        <f t="shared" si="0"/>
        <v>0</v>
      </c>
      <c r="P19" s="48">
        <f t="shared" si="0"/>
        <v>0</v>
      </c>
      <c r="Q19" s="48">
        <f t="shared" si="0"/>
        <v>0</v>
      </c>
      <c r="R19" s="48">
        <f t="shared" si="0"/>
        <v>0</v>
      </c>
      <c r="S19" s="48">
        <f t="shared" si="0"/>
        <v>0</v>
      </c>
      <c r="T19" s="48">
        <f t="shared" si="0"/>
        <v>0</v>
      </c>
      <c r="U19" s="48">
        <f t="shared" si="0"/>
        <v>0</v>
      </c>
      <c r="V19" s="48">
        <f t="shared" si="0"/>
        <v>0</v>
      </c>
      <c r="W19" s="48">
        <f t="shared" si="0"/>
        <v>0</v>
      </c>
      <c r="X19" s="48">
        <f t="shared" si="0"/>
        <v>0</v>
      </c>
      <c r="Y19" s="48">
        <f t="shared" si="0"/>
        <v>0</v>
      </c>
      <c r="Z19" s="48">
        <f t="shared" si="0"/>
        <v>0</v>
      </c>
      <c r="AA19" s="48">
        <f t="shared" si="0"/>
        <v>0</v>
      </c>
      <c r="AB19" s="48">
        <f t="shared" si="0"/>
        <v>0</v>
      </c>
      <c r="AC19" s="48">
        <f t="shared" si="0"/>
        <v>0</v>
      </c>
      <c r="AD19" s="48">
        <f t="shared" si="0"/>
        <v>0</v>
      </c>
      <c r="AE19" s="48">
        <f t="shared" si="0"/>
        <v>0</v>
      </c>
      <c r="AF19" s="48">
        <f t="shared" si="0"/>
        <v>0</v>
      </c>
      <c r="AG19" s="48">
        <f t="shared" si="0"/>
        <v>0</v>
      </c>
      <c r="AH19" s="48">
        <f t="shared" si="0"/>
        <v>0</v>
      </c>
      <c r="AI19" s="48">
        <f t="shared" si="0"/>
        <v>0</v>
      </c>
      <c r="AJ19" s="48">
        <f t="shared" si="0"/>
        <v>0</v>
      </c>
      <c r="AK19" s="48"/>
      <c r="AL19" s="48"/>
      <c r="AM19" s="48"/>
      <c r="AN19" s="48"/>
      <c r="AO19" s="48"/>
      <c r="AP19" s="48"/>
      <c r="AQ19" s="48"/>
      <c r="AR19" s="48"/>
      <c r="AS19" s="48"/>
      <c r="AT19" s="48"/>
      <c r="AU19" s="48"/>
      <c r="AV19" s="48"/>
      <c r="AW19" s="48"/>
      <c r="AX19" s="48"/>
      <c r="AY19" s="48"/>
      <c r="AZ19" s="48"/>
      <c r="BA19" s="48"/>
      <c r="BB19" s="48"/>
      <c r="BC19" s="48"/>
      <c r="BD19" s="48"/>
      <c r="BE19" s="48"/>
      <c r="BF19" s="48"/>
      <c r="BG19" s="48"/>
      <c r="BH19" s="48"/>
    </row>
    <row r="20" spans="1:60" ht="15" hidden="1" customHeight="1" outlineLevel="1" x14ac:dyDescent="0.25">
      <c r="A20" s="1575"/>
      <c r="B20" s="749"/>
      <c r="C20" s="1832">
        <f>C18*1000000/(C16/C43)</f>
        <v>7423.5866508142381</v>
      </c>
      <c r="D20" s="1559"/>
      <c r="E20" s="48"/>
      <c r="F20" s="48"/>
      <c r="G20" s="48"/>
      <c r="H20" s="48"/>
      <c r="I20" s="48"/>
      <c r="J20" s="48"/>
      <c r="K20" s="48"/>
      <c r="L20" s="48"/>
      <c r="M20" s="48"/>
      <c r="N20" s="48"/>
      <c r="O20" s="48"/>
      <c r="P20" s="48"/>
      <c r="Q20" s="48"/>
      <c r="R20" s="48"/>
      <c r="S20" s="48"/>
      <c r="T20" s="48"/>
      <c r="U20" s="48"/>
      <c r="V20" s="48"/>
      <c r="W20" s="48"/>
      <c r="X20" s="48"/>
      <c r="Y20" s="48"/>
      <c r="Z20" s="48"/>
      <c r="AA20" s="48"/>
      <c r="AB20" s="48"/>
      <c r="AC20" s="48"/>
      <c r="AD20" s="48"/>
      <c r="AE20" s="48"/>
      <c r="AF20" s="48"/>
      <c r="AG20" s="48"/>
      <c r="AH20" s="48"/>
      <c r="AI20" s="48"/>
      <c r="AJ20" s="48"/>
      <c r="AK20" s="48"/>
      <c r="AL20" s="48"/>
      <c r="AM20" s="48"/>
      <c r="AN20" s="48"/>
      <c r="AO20" s="48"/>
      <c r="AP20" s="48"/>
      <c r="AQ20" s="48"/>
      <c r="AR20" s="48"/>
      <c r="AS20" s="48"/>
      <c r="AT20" s="48"/>
      <c r="AU20" s="48"/>
      <c r="AV20" s="48"/>
      <c r="AW20" s="48"/>
      <c r="AX20" s="48"/>
      <c r="AY20" s="48"/>
      <c r="AZ20" s="48"/>
      <c r="BA20" s="48"/>
      <c r="BB20" s="48"/>
      <c r="BC20" s="48"/>
      <c r="BD20" s="48"/>
      <c r="BE20" s="48"/>
      <c r="BF20" s="48"/>
      <c r="BG20" s="48"/>
      <c r="BH20" s="48"/>
    </row>
    <row r="21" spans="1:60" ht="15" hidden="1" customHeight="1" outlineLevel="1" x14ac:dyDescent="0.25">
      <c r="A21" s="1575">
        <f>C21*1000000/$C$16</f>
        <v>1103.4302990995604</v>
      </c>
      <c r="B21" s="1549" t="str">
        <f>'C-FCL Real'!B119</f>
        <v>Dados de Opex + Gestão do Contrato</v>
      </c>
      <c r="C21" s="1563">
        <f>SUMIF($D$15:$BG$15,1,D21:BG21)</f>
        <v>956.15172122894592</v>
      </c>
      <c r="D21" s="1559">
        <f>'C-FCL Real'!C119</f>
        <v>1.1693171075868996</v>
      </c>
      <c r="E21" s="48">
        <f>'C-FCL Real'!D119</f>
        <v>1.1693171075868996</v>
      </c>
      <c r="F21" s="48">
        <f>'C-FCL Real'!E119</f>
        <v>1.1693171075868996</v>
      </c>
      <c r="G21" s="48">
        <f>'C-FCL Real'!F119</f>
        <v>29.770117809568269</v>
      </c>
      <c r="H21" s="48">
        <f>'C-FCL Real'!G119</f>
        <v>29.770117809568269</v>
      </c>
      <c r="I21" s="48">
        <f>'C-FCL Real'!H119</f>
        <v>29.770117809568269</v>
      </c>
      <c r="J21" s="48">
        <f>'C-FCL Real'!I119</f>
        <v>29.770117809568269</v>
      </c>
      <c r="K21" s="48">
        <f>'C-FCL Real'!J119</f>
        <v>29.770117809568269</v>
      </c>
      <c r="L21" s="48">
        <f>'C-FCL Real'!K119</f>
        <v>29.770117809568269</v>
      </c>
      <c r="M21" s="48">
        <f>'C-FCL Real'!L119</f>
        <v>29.770117809568269</v>
      </c>
      <c r="N21" s="48">
        <f>'C-FCL Real'!M119</f>
        <v>29.770117809568269</v>
      </c>
      <c r="O21" s="48">
        <f>'C-FCL Real'!N119</f>
        <v>29.770117809568269</v>
      </c>
      <c r="P21" s="48">
        <f>'C-FCL Real'!O119</f>
        <v>29.770117809568269</v>
      </c>
      <c r="Q21" s="48">
        <f>'C-FCL Real'!P119</f>
        <v>29.770117809568269</v>
      </c>
      <c r="R21" s="48">
        <f>'C-FCL Real'!Q119</f>
        <v>29.770117809568269</v>
      </c>
      <c r="S21" s="48">
        <f>'C-FCL Real'!O119</f>
        <v>29.770117809568269</v>
      </c>
      <c r="T21" s="48">
        <f>'C-FCL Real'!P119</f>
        <v>29.770117809568269</v>
      </c>
      <c r="U21" s="48">
        <f>'C-FCL Real'!Q119</f>
        <v>29.770117809568269</v>
      </c>
      <c r="V21" s="48">
        <f>'C-FCL Real'!R119</f>
        <v>29.770117809568269</v>
      </c>
      <c r="W21" s="48">
        <f>'C-FCL Real'!S119</f>
        <v>29.770117809568269</v>
      </c>
      <c r="X21" s="48">
        <f>'C-FCL Real'!T119</f>
        <v>29.770117809568269</v>
      </c>
      <c r="Y21" s="48">
        <f>'C-FCL Real'!U119</f>
        <v>29.770117809568269</v>
      </c>
      <c r="Z21" s="48">
        <f>'C-FCL Real'!V119</f>
        <v>29.770117809568269</v>
      </c>
      <c r="AA21" s="48">
        <f>'C-FCL Real'!W119</f>
        <v>29.770117809568269</v>
      </c>
      <c r="AB21" s="48">
        <f>'C-FCL Real'!X119</f>
        <v>29.770117809568269</v>
      </c>
      <c r="AC21" s="48">
        <f>'C-FCL Real'!Y119</f>
        <v>29.770117809568269</v>
      </c>
      <c r="AD21" s="48">
        <f>'C-FCL Real'!Z119</f>
        <v>29.770117809568269</v>
      </c>
      <c r="AE21" s="48">
        <f>'C-FCL Real'!AA119</f>
        <v>29.770117809568269</v>
      </c>
      <c r="AF21" s="48">
        <f>'C-FCL Real'!AB119</f>
        <v>29.770117809568269</v>
      </c>
      <c r="AG21" s="48">
        <f>'C-FCL Real'!AC119</f>
        <v>29.770117809568269</v>
      </c>
      <c r="AH21" s="48">
        <f>'C-FCL Real'!AD119</f>
        <v>29.770117809568269</v>
      </c>
      <c r="AI21" s="48">
        <f>'C-FCL Real'!AE119</f>
        <v>29.770117809568269</v>
      </c>
      <c r="AJ21" s="48">
        <f>'C-FCL Real'!AF119</f>
        <v>29.770117809568269</v>
      </c>
      <c r="AK21" s="48">
        <f>'C-FCL Real'!AG119</f>
        <v>29.770117809568269</v>
      </c>
      <c r="AL21" s="48">
        <f>'C-FCL Real'!AH119</f>
        <v>29.770117809568269</v>
      </c>
      <c r="AM21" s="48">
        <f>'C-FCL Real'!AI119</f>
        <v>29.770117809568269</v>
      </c>
      <c r="AN21" s="48">
        <f>'C-FCL Real'!AJ119</f>
        <v>29.770117809568269</v>
      </c>
      <c r="AO21" s="48">
        <f>'C-FCL Real'!AK119</f>
        <v>29.770117809568269</v>
      </c>
      <c r="AP21" s="48">
        <f>'C-FCL Real'!AL119</f>
        <v>29.770117809568269</v>
      </c>
      <c r="AQ21" s="48">
        <f>'C-FCL Real'!AM119</f>
        <v>29.770117809568269</v>
      </c>
      <c r="AR21" s="48">
        <f>'C-FCL Real'!AN119</f>
        <v>29.770117809568269</v>
      </c>
      <c r="AS21" s="48">
        <f>'C-FCL Real'!AO119</f>
        <v>29.770117809568269</v>
      </c>
      <c r="AT21" s="48">
        <f>'C-FCL Real'!AP119</f>
        <v>29.770117809568269</v>
      </c>
      <c r="AU21" s="48">
        <f>'C-FCL Real'!AQ119</f>
        <v>29.770117809568269</v>
      </c>
      <c r="AV21" s="48">
        <f>'C-FCL Real'!AR119</f>
        <v>29.770117809568269</v>
      </c>
      <c r="AW21" s="48">
        <f>'C-FCL Real'!AS119</f>
        <v>29.770117809568269</v>
      </c>
      <c r="AX21" s="48">
        <f>'C-FCL Real'!AT119</f>
        <v>29.770117809568269</v>
      </c>
      <c r="AY21" s="48">
        <f>'C-FCL Real'!AU119</f>
        <v>29.770117809568269</v>
      </c>
      <c r="AZ21" s="48">
        <f>'C-FCL Real'!AV119</f>
        <v>29.770117809568269</v>
      </c>
      <c r="BA21" s="48">
        <f>'C-FCL Real'!AW119</f>
        <v>29.770117809568269</v>
      </c>
      <c r="BB21" s="48">
        <f>'C-FCL Real'!AX119</f>
        <v>29.770117809568269</v>
      </c>
      <c r="BC21" s="48">
        <f>'C-FCL Real'!AY119</f>
        <v>29.770117809568269</v>
      </c>
      <c r="BD21" s="48">
        <f>'C-FCL Real'!AZ119</f>
        <v>29.770117809568269</v>
      </c>
      <c r="BE21" s="48">
        <f>'C-FCL Real'!BA119</f>
        <v>29.770117809568269</v>
      </c>
      <c r="BF21" s="48">
        <f>'C-FCL Real'!BB119</f>
        <v>29.770117809568269</v>
      </c>
      <c r="BG21" s="48">
        <f>'C-FCL Real'!BC119</f>
        <v>29.770117809568269</v>
      </c>
      <c r="BH21" s="48">
        <f>'C-FCL Real'!BD119</f>
        <v>0</v>
      </c>
    </row>
    <row r="22" spans="1:60" ht="15" hidden="1" customHeight="1" outlineLevel="1" x14ac:dyDescent="0.25">
      <c r="A22" s="1575">
        <f>C22*1000000/$C$16</f>
        <v>942.88219751424458</v>
      </c>
      <c r="B22" s="1596" t="s">
        <v>915</v>
      </c>
      <c r="C22" s="1562">
        <f>SUMIF($D$15:$BG$15,1,D22:BG22)</f>
        <v>817.03251832495835</v>
      </c>
      <c r="D22" s="1559">
        <f t="shared" ref="D22:AJ22" si="1">NPV($C$8,D21:D21)</f>
        <v>1.0655340874675594</v>
      </c>
      <c r="E22" s="48">
        <f t="shared" si="1"/>
        <v>1.0655340874675594</v>
      </c>
      <c r="F22" s="48">
        <f t="shared" si="1"/>
        <v>1.0655340874675594</v>
      </c>
      <c r="G22" s="48">
        <f t="shared" si="1"/>
        <v>27.127863868751842</v>
      </c>
      <c r="H22" s="48">
        <f t="shared" si="1"/>
        <v>27.127863868751842</v>
      </c>
      <c r="I22" s="48">
        <f t="shared" si="1"/>
        <v>27.127863868751842</v>
      </c>
      <c r="J22" s="48">
        <f t="shared" si="1"/>
        <v>27.127863868751842</v>
      </c>
      <c r="K22" s="48">
        <f t="shared" si="1"/>
        <v>27.127863868751842</v>
      </c>
      <c r="L22" s="48">
        <f t="shared" si="1"/>
        <v>27.127863868751842</v>
      </c>
      <c r="M22" s="48">
        <f t="shared" si="1"/>
        <v>27.127863868751842</v>
      </c>
      <c r="N22" s="48">
        <f t="shared" si="1"/>
        <v>27.127863868751842</v>
      </c>
      <c r="O22" s="48">
        <f t="shared" si="1"/>
        <v>27.127863868751842</v>
      </c>
      <c r="P22" s="48">
        <f t="shared" si="1"/>
        <v>27.127863868751842</v>
      </c>
      <c r="Q22" s="48">
        <f t="shared" si="1"/>
        <v>27.127863868751842</v>
      </c>
      <c r="R22" s="48">
        <f t="shared" si="1"/>
        <v>27.127863868751842</v>
      </c>
      <c r="S22" s="48">
        <f t="shared" si="1"/>
        <v>27.127863868751842</v>
      </c>
      <c r="T22" s="48">
        <f t="shared" si="1"/>
        <v>27.127863868751842</v>
      </c>
      <c r="U22" s="48">
        <f t="shared" si="1"/>
        <v>27.127863868751842</v>
      </c>
      <c r="V22" s="48">
        <f t="shared" si="1"/>
        <v>27.127863868751842</v>
      </c>
      <c r="W22" s="48">
        <f t="shared" si="1"/>
        <v>27.127863868751842</v>
      </c>
      <c r="X22" s="48">
        <f t="shared" si="1"/>
        <v>27.127863868751842</v>
      </c>
      <c r="Y22" s="48">
        <f t="shared" si="1"/>
        <v>27.127863868751842</v>
      </c>
      <c r="Z22" s="48">
        <f t="shared" si="1"/>
        <v>27.127863868751842</v>
      </c>
      <c r="AA22" s="48">
        <f t="shared" si="1"/>
        <v>27.127863868751842</v>
      </c>
      <c r="AB22" s="48">
        <f t="shared" si="1"/>
        <v>27.127863868751842</v>
      </c>
      <c r="AC22" s="48">
        <f t="shared" si="1"/>
        <v>27.127863868751842</v>
      </c>
      <c r="AD22" s="48">
        <f t="shared" si="1"/>
        <v>27.127863868751842</v>
      </c>
      <c r="AE22" s="48">
        <f t="shared" si="1"/>
        <v>27.127863868751842</v>
      </c>
      <c r="AF22" s="48">
        <f t="shared" si="1"/>
        <v>27.127863868751842</v>
      </c>
      <c r="AG22" s="48">
        <f t="shared" si="1"/>
        <v>27.127863868751842</v>
      </c>
      <c r="AH22" s="48">
        <f t="shared" si="1"/>
        <v>27.127863868751842</v>
      </c>
      <c r="AI22" s="48">
        <f t="shared" si="1"/>
        <v>27.127863868751842</v>
      </c>
      <c r="AJ22" s="48">
        <f t="shared" si="1"/>
        <v>27.127863868751842</v>
      </c>
      <c r="AK22" s="48"/>
      <c r="AL22" s="48"/>
      <c r="AM22" s="48"/>
      <c r="AN22" s="48"/>
      <c r="AO22" s="48"/>
      <c r="AP22" s="48"/>
      <c r="AQ22" s="48"/>
      <c r="AR22" s="48"/>
      <c r="AS22" s="48"/>
      <c r="AT22" s="48"/>
      <c r="AU22" s="48"/>
      <c r="AV22" s="48"/>
      <c r="AW22" s="48"/>
      <c r="AX22" s="48"/>
      <c r="AY22" s="48"/>
      <c r="AZ22" s="48"/>
      <c r="BA22" s="48"/>
      <c r="BB22" s="48"/>
      <c r="BC22" s="48"/>
      <c r="BD22" s="48"/>
      <c r="BE22" s="48"/>
      <c r="BF22" s="48"/>
      <c r="BG22" s="48"/>
      <c r="BH22" s="48"/>
    </row>
    <row r="23" spans="1:60" ht="15" hidden="1" customHeight="1" outlineLevel="1" x14ac:dyDescent="0.25">
      <c r="A23" s="1575"/>
      <c r="B23" s="1548"/>
      <c r="C23" s="1833">
        <f>C21*1000000/C16</f>
        <v>1103.4302990995604</v>
      </c>
      <c r="D23" s="1559"/>
      <c r="E23" s="48"/>
      <c r="F23" s="48"/>
      <c r="G23" s="48"/>
      <c r="H23" s="48"/>
      <c r="I23" s="48"/>
      <c r="J23" s="48"/>
      <c r="K23" s="48"/>
      <c r="L23" s="48"/>
      <c r="M23" s="48"/>
      <c r="N23" s="48"/>
      <c r="O23" s="48"/>
      <c r="P23" s="48"/>
      <c r="Q23" s="48"/>
      <c r="R23" s="48"/>
      <c r="S23" s="48"/>
      <c r="T23" s="48"/>
      <c r="U23" s="48"/>
      <c r="V23" s="48"/>
      <c r="W23" s="48"/>
      <c r="X23" s="48"/>
      <c r="Y23" s="48"/>
      <c r="Z23" s="48"/>
      <c r="AA23" s="48"/>
      <c r="AB23" s="48"/>
      <c r="AC23" s="48"/>
      <c r="AD23" s="48"/>
      <c r="AE23" s="48"/>
      <c r="AF23" s="48"/>
      <c r="AG23" s="48"/>
      <c r="AH23" s="48"/>
      <c r="AI23" s="48"/>
      <c r="AJ23" s="48"/>
      <c r="AK23" s="48"/>
      <c r="AL23" s="48"/>
      <c r="AM23" s="48"/>
      <c r="AN23" s="48"/>
      <c r="AO23" s="48"/>
      <c r="AP23" s="48"/>
      <c r="AQ23" s="48"/>
      <c r="AR23" s="48"/>
      <c r="AS23" s="48"/>
      <c r="AT23" s="48"/>
      <c r="AU23" s="48"/>
      <c r="AV23" s="48"/>
      <c r="AW23" s="48"/>
      <c r="AX23" s="48"/>
      <c r="AY23" s="48"/>
      <c r="AZ23" s="48"/>
      <c r="BA23" s="48"/>
      <c r="BB23" s="48"/>
      <c r="BC23" s="48"/>
      <c r="BD23" s="48"/>
      <c r="BE23" s="48"/>
      <c r="BF23" s="48"/>
      <c r="BG23" s="48"/>
      <c r="BH23" s="48"/>
    </row>
    <row r="24" spans="1:60" ht="15" hidden="1" customHeight="1" outlineLevel="1" x14ac:dyDescent="0.25">
      <c r="A24" s="1575">
        <f>C24*1000000/$C$16</f>
        <v>0</v>
      </c>
      <c r="B24" s="1549" t="s">
        <v>950</v>
      </c>
      <c r="C24" s="1563">
        <f>SUMIF($D$15:$BG$15,1,D24:BG24)</f>
        <v>0</v>
      </c>
      <c r="D24" s="1559">
        <f>'C-FCL Real'!C121</f>
        <v>0</v>
      </c>
      <c r="E24" s="48">
        <f>'C-FCL Real'!D121</f>
        <v>0</v>
      </c>
      <c r="F24" s="48">
        <f>'C-FCL Real'!E121</f>
        <v>0</v>
      </c>
      <c r="G24" s="48">
        <f>'C-FCL Real'!F121</f>
        <v>0</v>
      </c>
      <c r="H24" s="48">
        <f>'C-FCL Real'!G121</f>
        <v>0</v>
      </c>
      <c r="I24" s="48">
        <f>'C-FCL Real'!H121</f>
        <v>0</v>
      </c>
      <c r="J24" s="48">
        <f>'C-FCL Real'!I121</f>
        <v>0</v>
      </c>
      <c r="K24" s="48">
        <f>'C-FCL Real'!J121</f>
        <v>0</v>
      </c>
      <c r="L24" s="48">
        <f>'C-FCL Real'!K121</f>
        <v>0</v>
      </c>
      <c r="M24" s="48">
        <f>'C-FCL Real'!L121</f>
        <v>0</v>
      </c>
      <c r="N24" s="48">
        <f>'C-FCL Real'!M121</f>
        <v>0</v>
      </c>
      <c r="O24" s="48">
        <f>'C-FCL Real'!N121</f>
        <v>0</v>
      </c>
      <c r="P24" s="48">
        <f>'C-FCL Real'!O121</f>
        <v>0</v>
      </c>
      <c r="Q24" s="48">
        <f>'C-FCL Real'!P121</f>
        <v>0</v>
      </c>
      <c r="R24" s="48">
        <f>'C-FCL Real'!Q121</f>
        <v>0</v>
      </c>
      <c r="S24" s="48">
        <f>'C-FCL Real'!O121</f>
        <v>0</v>
      </c>
      <c r="T24" s="48">
        <f>'C-FCL Real'!P121</f>
        <v>0</v>
      </c>
      <c r="U24" s="48">
        <f>'C-FCL Real'!Q121</f>
        <v>0</v>
      </c>
      <c r="V24" s="48">
        <f>'C-FCL Real'!R121</f>
        <v>0</v>
      </c>
      <c r="W24" s="48">
        <f>'C-FCL Real'!S121</f>
        <v>0</v>
      </c>
      <c r="X24" s="48">
        <f>'C-FCL Real'!T121</f>
        <v>0</v>
      </c>
      <c r="Y24" s="48">
        <f>'C-FCL Real'!U121</f>
        <v>0</v>
      </c>
      <c r="Z24" s="48">
        <f>'C-FCL Real'!V121</f>
        <v>0</v>
      </c>
      <c r="AA24" s="48">
        <f>'C-FCL Real'!W121</f>
        <v>0</v>
      </c>
      <c r="AB24" s="48">
        <f>'C-FCL Real'!X121</f>
        <v>0</v>
      </c>
      <c r="AC24" s="48">
        <f>'C-FCL Real'!Y121</f>
        <v>0</v>
      </c>
      <c r="AD24" s="48">
        <f>'C-FCL Real'!Z121</f>
        <v>0</v>
      </c>
      <c r="AE24" s="48">
        <f>'C-FCL Real'!AA121</f>
        <v>0</v>
      </c>
      <c r="AF24" s="48">
        <f>'C-FCL Real'!AB121</f>
        <v>0</v>
      </c>
      <c r="AG24" s="48">
        <f>'C-FCL Real'!AC121</f>
        <v>0</v>
      </c>
      <c r="AH24" s="48">
        <f>'C-FCL Real'!AD121</f>
        <v>0</v>
      </c>
      <c r="AI24" s="48">
        <f>'C-FCL Real'!AE121</f>
        <v>0</v>
      </c>
      <c r="AJ24" s="48">
        <f>'C-FCL Real'!AF121</f>
        <v>0</v>
      </c>
      <c r="AK24" s="48">
        <f>'C-FCL Real'!AG121</f>
        <v>0</v>
      </c>
      <c r="AL24" s="48">
        <f>'C-FCL Real'!AH121</f>
        <v>0</v>
      </c>
      <c r="AM24" s="48">
        <f>'C-FCL Real'!AI121</f>
        <v>0</v>
      </c>
      <c r="AN24" s="48">
        <f>'C-FCL Real'!AJ121</f>
        <v>0</v>
      </c>
      <c r="AO24" s="48">
        <f>'C-FCL Real'!AK121</f>
        <v>0</v>
      </c>
      <c r="AP24" s="48">
        <f>'C-FCL Real'!AL121</f>
        <v>0</v>
      </c>
      <c r="AQ24" s="48">
        <f>'C-FCL Real'!AM121</f>
        <v>0</v>
      </c>
      <c r="AR24" s="48">
        <f>'C-FCL Real'!AN121</f>
        <v>0</v>
      </c>
      <c r="AS24" s="48">
        <f>'C-FCL Real'!AO121</f>
        <v>0</v>
      </c>
      <c r="AT24" s="48">
        <f>'C-FCL Real'!AP121</f>
        <v>0</v>
      </c>
      <c r="AU24" s="48">
        <f>'C-FCL Real'!AQ121</f>
        <v>0</v>
      </c>
      <c r="AV24" s="48">
        <f>'C-FCL Real'!AR121</f>
        <v>0</v>
      </c>
      <c r="AW24" s="48">
        <f>'C-FCL Real'!AS121</f>
        <v>0</v>
      </c>
      <c r="AX24" s="48">
        <f>'C-FCL Real'!AT121</f>
        <v>0</v>
      </c>
      <c r="AY24" s="48">
        <f>'C-FCL Real'!AU121</f>
        <v>0</v>
      </c>
      <c r="AZ24" s="48">
        <f>'C-FCL Real'!AV121</f>
        <v>0</v>
      </c>
      <c r="BA24" s="48">
        <f>'C-FCL Real'!AW121</f>
        <v>0</v>
      </c>
      <c r="BB24" s="48">
        <f>'C-FCL Real'!AX121</f>
        <v>0</v>
      </c>
      <c r="BC24" s="48">
        <f>'C-FCL Real'!AY121</f>
        <v>0</v>
      </c>
      <c r="BD24" s="48">
        <f>'C-FCL Real'!AZ121</f>
        <v>0</v>
      </c>
      <c r="BE24" s="48">
        <f>'C-FCL Real'!BA121</f>
        <v>0</v>
      </c>
      <c r="BF24" s="48">
        <f>'C-FCL Real'!BB121</f>
        <v>0</v>
      </c>
      <c r="BG24" s="48">
        <f>'C-FCL Real'!BC121</f>
        <v>0</v>
      </c>
      <c r="BH24" s="48">
        <f>'C-FCL Real'!BD121</f>
        <v>0</v>
      </c>
    </row>
    <row r="25" spans="1:60" ht="15" hidden="1" customHeight="1" outlineLevel="1" x14ac:dyDescent="0.25">
      <c r="A25" s="1575">
        <f>C25*1000000/$C$16</f>
        <v>0</v>
      </c>
      <c r="B25" s="1596" t="s">
        <v>949</v>
      </c>
      <c r="C25" s="1562">
        <f>SUMIF($D$15:$BG$15,1,D25:BG25)</f>
        <v>0</v>
      </c>
      <c r="D25" s="1559">
        <f t="shared" ref="D25:AJ25" si="2">NPV($C$8,D24:D24)</f>
        <v>0</v>
      </c>
      <c r="E25" s="48">
        <f t="shared" si="2"/>
        <v>0</v>
      </c>
      <c r="F25" s="48">
        <f t="shared" si="2"/>
        <v>0</v>
      </c>
      <c r="G25" s="48">
        <f t="shared" si="2"/>
        <v>0</v>
      </c>
      <c r="H25" s="48">
        <f t="shared" si="2"/>
        <v>0</v>
      </c>
      <c r="I25" s="48">
        <f t="shared" si="2"/>
        <v>0</v>
      </c>
      <c r="J25" s="48">
        <f t="shared" si="2"/>
        <v>0</v>
      </c>
      <c r="K25" s="48">
        <f t="shared" si="2"/>
        <v>0</v>
      </c>
      <c r="L25" s="48">
        <f t="shared" si="2"/>
        <v>0</v>
      </c>
      <c r="M25" s="48">
        <f t="shared" si="2"/>
        <v>0</v>
      </c>
      <c r="N25" s="48">
        <f t="shared" si="2"/>
        <v>0</v>
      </c>
      <c r="O25" s="48">
        <f t="shared" si="2"/>
        <v>0</v>
      </c>
      <c r="P25" s="48">
        <f t="shared" si="2"/>
        <v>0</v>
      </c>
      <c r="Q25" s="48">
        <f t="shared" si="2"/>
        <v>0</v>
      </c>
      <c r="R25" s="48">
        <f t="shared" si="2"/>
        <v>0</v>
      </c>
      <c r="S25" s="48">
        <f t="shared" si="2"/>
        <v>0</v>
      </c>
      <c r="T25" s="48">
        <f t="shared" si="2"/>
        <v>0</v>
      </c>
      <c r="U25" s="48">
        <f t="shared" si="2"/>
        <v>0</v>
      </c>
      <c r="V25" s="48">
        <f t="shared" si="2"/>
        <v>0</v>
      </c>
      <c r="W25" s="48">
        <f t="shared" si="2"/>
        <v>0</v>
      </c>
      <c r="X25" s="48">
        <f t="shared" si="2"/>
        <v>0</v>
      </c>
      <c r="Y25" s="48">
        <f t="shared" si="2"/>
        <v>0</v>
      </c>
      <c r="Z25" s="48">
        <f t="shared" si="2"/>
        <v>0</v>
      </c>
      <c r="AA25" s="48">
        <f t="shared" si="2"/>
        <v>0</v>
      </c>
      <c r="AB25" s="48">
        <f t="shared" si="2"/>
        <v>0</v>
      </c>
      <c r="AC25" s="48">
        <f t="shared" si="2"/>
        <v>0</v>
      </c>
      <c r="AD25" s="48">
        <f t="shared" si="2"/>
        <v>0</v>
      </c>
      <c r="AE25" s="48">
        <f t="shared" si="2"/>
        <v>0</v>
      </c>
      <c r="AF25" s="48">
        <f t="shared" si="2"/>
        <v>0</v>
      </c>
      <c r="AG25" s="48">
        <f t="shared" si="2"/>
        <v>0</v>
      </c>
      <c r="AH25" s="48">
        <f t="shared" si="2"/>
        <v>0</v>
      </c>
      <c r="AI25" s="48">
        <f t="shared" si="2"/>
        <v>0</v>
      </c>
      <c r="AJ25" s="48">
        <f t="shared" si="2"/>
        <v>0</v>
      </c>
      <c r="AK25" s="48"/>
      <c r="AL25" s="48"/>
      <c r="AM25" s="48"/>
      <c r="AN25" s="48"/>
      <c r="AO25" s="48"/>
      <c r="AP25" s="48"/>
      <c r="AQ25" s="48"/>
      <c r="AR25" s="48"/>
      <c r="AS25" s="48"/>
      <c r="AT25" s="48"/>
      <c r="AU25" s="48"/>
      <c r="AV25" s="48"/>
      <c r="AW25" s="48"/>
      <c r="AX25" s="48"/>
      <c r="AY25" s="48"/>
      <c r="AZ25" s="48"/>
      <c r="BA25" s="48"/>
      <c r="BB25" s="48"/>
      <c r="BC25" s="48"/>
      <c r="BD25" s="48"/>
      <c r="BE25" s="48"/>
      <c r="BF25" s="48"/>
      <c r="BG25" s="48"/>
      <c r="BH25" s="48"/>
    </row>
    <row r="26" spans="1:60" ht="15" hidden="1" customHeight="1" outlineLevel="1" x14ac:dyDescent="0.25">
      <c r="A26" s="1575"/>
      <c r="B26" s="1548"/>
      <c r="C26" s="1562"/>
      <c r="D26" s="1559"/>
      <c r="E26" s="48"/>
      <c r="F26" s="48"/>
      <c r="G26" s="48"/>
      <c r="H26" s="48"/>
      <c r="I26" s="48"/>
      <c r="J26" s="48"/>
      <c r="K26" s="48"/>
      <c r="L26" s="48"/>
      <c r="M26" s="48"/>
      <c r="N26" s="48"/>
      <c r="O26" s="48"/>
      <c r="P26" s="48"/>
      <c r="Q26" s="48"/>
      <c r="R26" s="48"/>
      <c r="S26" s="48"/>
      <c r="T26" s="48"/>
      <c r="U26" s="48"/>
      <c r="V26" s="48"/>
      <c r="W26" s="48"/>
      <c r="X26" s="48"/>
      <c r="Y26" s="48"/>
      <c r="Z26" s="48"/>
      <c r="AA26" s="48"/>
      <c r="AB26" s="48"/>
      <c r="AC26" s="48"/>
      <c r="AD26" s="48"/>
      <c r="AE26" s="48"/>
      <c r="AF26" s="48"/>
      <c r="AG26" s="48"/>
      <c r="AH26" s="48"/>
      <c r="AI26" s="48"/>
      <c r="AJ26" s="48"/>
      <c r="AK26" s="48"/>
      <c r="AL26" s="48"/>
      <c r="AM26" s="48"/>
      <c r="AN26" s="48"/>
      <c r="AO26" s="48"/>
      <c r="AP26" s="48"/>
      <c r="AQ26" s="48"/>
      <c r="AR26" s="48"/>
      <c r="AS26" s="48"/>
      <c r="AT26" s="48"/>
      <c r="AU26" s="48"/>
      <c r="AV26" s="48"/>
      <c r="AW26" s="48"/>
      <c r="AX26" s="48"/>
      <c r="AY26" s="48"/>
      <c r="AZ26" s="48"/>
      <c r="BA26" s="48"/>
      <c r="BB26" s="48"/>
      <c r="BC26" s="48"/>
      <c r="BD26" s="48"/>
      <c r="BE26" s="48"/>
      <c r="BF26" s="48"/>
      <c r="BG26" s="48"/>
      <c r="BH26" s="48"/>
    </row>
    <row r="27" spans="1:60" ht="15" hidden="1" customHeight="1" outlineLevel="1" x14ac:dyDescent="0.25">
      <c r="A27" s="1575">
        <f>C27*1000000/$C$16</f>
        <v>1197.6781996295149</v>
      </c>
      <c r="B27" s="1549" t="str">
        <f>'C-FCL Real'!B148</f>
        <v>Dados de Receitas Diretas</v>
      </c>
      <c r="C27" s="1563">
        <f>SUMIF($D$15:$BG$15,1,D27:BG27)</f>
        <v>1037.8200353829689</v>
      </c>
      <c r="D27" s="1559">
        <f>'C-FCL Real'!C148-D30</f>
        <v>27.577259153389349</v>
      </c>
      <c r="E27" s="48">
        <f>'C-FCL Real'!D148-E30</f>
        <v>27.706872271410276</v>
      </c>
      <c r="F27" s="48">
        <f>'C-FCL Real'!E148-F30</f>
        <v>27.837094571085895</v>
      </c>
      <c r="G27" s="48">
        <f>'C-FCL Real'!F148-G30</f>
        <v>27.967928915569999</v>
      </c>
      <c r="H27" s="48">
        <f>'C-FCL Real'!G148-H30</f>
        <v>28.099378181473181</v>
      </c>
      <c r="I27" s="48">
        <f>'C-FCL Real'!H148-I30</f>
        <v>28.231445258926101</v>
      </c>
      <c r="J27" s="48">
        <f>'C-FCL Real'!I148-J30</f>
        <v>28.364133051643051</v>
      </c>
      <c r="K27" s="48">
        <f>'C-FCL Real'!J148-K30</f>
        <v>28.49744447698577</v>
      </c>
      <c r="L27" s="48">
        <f>'C-FCL Real'!K148-L30</f>
        <v>28.631382466027603</v>
      </c>
      <c r="M27" s="48">
        <f>'C-FCL Real'!L148-M30</f>
        <v>28.765949963617931</v>
      </c>
      <c r="N27" s="48">
        <f>'C-FCL Real'!M148-N30</f>
        <v>28.901149928446937</v>
      </c>
      <c r="O27" s="48">
        <f>'C-FCL Real'!N148-O30</f>
        <v>29.036985333110636</v>
      </c>
      <c r="P27" s="48">
        <f>'C-FCL Real'!O148-P30</f>
        <v>29.173459164176251</v>
      </c>
      <c r="Q27" s="48">
        <f>'C-FCL Real'!P148-Q30</f>
        <v>29.310574422247871</v>
      </c>
      <c r="R27" s="48">
        <f>'C-FCL Real'!Q148-R30</f>
        <v>29.448334122032438</v>
      </c>
      <c r="S27" s="48">
        <f>'C-FCL Real'!O148-S30</f>
        <v>29.173459164176251</v>
      </c>
      <c r="T27" s="48">
        <f>'C-FCL Real'!P148-T30</f>
        <v>29.310574422247871</v>
      </c>
      <c r="U27" s="48">
        <f>'C-FCL Real'!Q148-U30</f>
        <v>29.448334122032438</v>
      </c>
      <c r="V27" s="48">
        <f>'C-FCL Real'!R148-V30</f>
        <v>29.586741292406003</v>
      </c>
      <c r="W27" s="48">
        <f>'C-FCL Real'!S148-W30</f>
        <v>29.725798976480302</v>
      </c>
      <c r="X27" s="48">
        <f>'C-FCL Real'!T148-X30</f>
        <v>29.865510231669752</v>
      </c>
      <c r="Y27" s="48">
        <f>'C-FCL Real'!U148-Y30</f>
        <v>30.005878129758599</v>
      </c>
      <c r="Z27" s="48">
        <f>'C-FCL Real'!V148-Z30</f>
        <v>30.146905756968472</v>
      </c>
      <c r="AA27" s="48">
        <f>'C-FCL Real'!W148-AA30</f>
        <v>30.288596214026221</v>
      </c>
      <c r="AB27" s="48">
        <f>'C-FCL Real'!X148-AB30</f>
        <v>30.43095261623214</v>
      </c>
      <c r="AC27" s="48">
        <f>'C-FCL Real'!Y148-AC30</f>
        <v>30.573978093528435</v>
      </c>
      <c r="AD27" s="48">
        <f>'C-FCL Real'!Z148-AD30</f>
        <v>30.717675790568009</v>
      </c>
      <c r="AE27" s="48">
        <f>'C-FCL Real'!AA148-AE30</f>
        <v>30.862048866783685</v>
      </c>
      <c r="AF27" s="48">
        <f>'C-FCL Real'!AB148-AF30</f>
        <v>31.007100496457557</v>
      </c>
      <c r="AG27" s="48">
        <f>'C-FCL Real'!AC148-AG30</f>
        <v>31.152833868790911</v>
      </c>
      <c r="AH27" s="48">
        <f>'C-FCL Real'!AD148-AH30</f>
        <v>31.299252187974222</v>
      </c>
      <c r="AI27" s="48">
        <f>'C-FCL Real'!AE148-AI30</f>
        <v>31.446358673257706</v>
      </c>
      <c r="AJ27" s="48">
        <f>'C-FCL Real'!AF148-AJ30</f>
        <v>31.594156559022007</v>
      </c>
      <c r="AK27" s="48">
        <f>'C-FCL Real'!AG148-AK30</f>
        <v>31.742649094849408</v>
      </c>
      <c r="AL27" s="48">
        <f>'C-FCL Real'!AH148-AL30</f>
        <v>31.891839545595197</v>
      </c>
      <c r="AM27" s="48">
        <f>'C-FCL Real'!AI148-AM30</f>
        <v>32.041731191459498</v>
      </c>
      <c r="AN27" s="48">
        <f>'C-FCL Real'!AJ148-AN30</f>
        <v>32.192327328059356</v>
      </c>
      <c r="AO27" s="48">
        <f>'C-FCL Real'!AK148-AO30</f>
        <v>32.343631266501227</v>
      </c>
      <c r="AP27" s="48">
        <f>'C-FCL Real'!AL148-AP30</f>
        <v>32.495646333453784</v>
      </c>
      <c r="AQ27" s="48">
        <f>'C-FCL Real'!AM148-AQ30</f>
        <v>32.648375871221006</v>
      </c>
      <c r="AR27" s="48">
        <f>'C-FCL Real'!AN148-AR30</f>
        <v>32.801823237815746</v>
      </c>
      <c r="AS27" s="48">
        <f>'C-FCL Real'!AO148-AS30</f>
        <v>32.955991807033485</v>
      </c>
      <c r="AT27" s="48">
        <f>'C-FCL Real'!AP148-AT30</f>
        <v>33.110884968526541</v>
      </c>
      <c r="AU27" s="48">
        <f>'C-FCL Real'!AQ148-AU30</f>
        <v>33.266506127878607</v>
      </c>
      <c r="AV27" s="48">
        <f>'C-FCL Real'!AR148-AV30</f>
        <v>33.422858706679641</v>
      </c>
      <c r="AW27" s="48">
        <f>'C-FCL Real'!AS148-AW30</f>
        <v>33.579946142601031</v>
      </c>
      <c r="AX27" s="48">
        <f>'C-FCL Real'!AT148-AX30</f>
        <v>33.737771889471254</v>
      </c>
      <c r="AY27" s="48">
        <f>'C-FCL Real'!AU148-AY30</f>
        <v>33.896339417351761</v>
      </c>
      <c r="AZ27" s="48">
        <f>'C-FCL Real'!AV148-AZ30</f>
        <v>34.055652212613317</v>
      </c>
      <c r="BA27" s="48">
        <f>'C-FCL Real'!AW148-BA30</f>
        <v>34.215713778012606</v>
      </c>
      <c r="BB27" s="48">
        <f>'C-FCL Real'!AX148-BB30</f>
        <v>34.37652763276926</v>
      </c>
      <c r="BC27" s="48">
        <f>'C-FCL Real'!AY148-BC30</f>
        <v>34.538097312643266</v>
      </c>
      <c r="BD27" s="48">
        <f>'C-FCL Real'!AZ148-BD30</f>
        <v>34.700426370012686</v>
      </c>
      <c r="BE27" s="48">
        <f>'C-FCL Real'!BA148-BE30</f>
        <v>34.863518373951749</v>
      </c>
      <c r="BF27" s="48">
        <f>'C-FCL Real'!BB148-BF30</f>
        <v>35.027376910309322</v>
      </c>
      <c r="BG27" s="48">
        <f>'C-FCL Real'!BC148-BG30</f>
        <v>35.192005581787775</v>
      </c>
      <c r="BH27" s="48">
        <f>'C-FCL Real'!BD148-BH30</f>
        <v>0</v>
      </c>
    </row>
    <row r="28" spans="1:60" ht="15" hidden="1" customHeight="1" outlineLevel="1" x14ac:dyDescent="0.25">
      <c r="A28" s="1575">
        <f>C28*1000000/$C$16</f>
        <v>1024.4595611827144</v>
      </c>
      <c r="B28" s="1596" t="s">
        <v>916</v>
      </c>
      <c r="C28" s="1562">
        <f>SUMIF($D$15:$BG$15,1,D28:BG28)</f>
        <v>887.72147507064335</v>
      </c>
      <c r="D28" s="1559">
        <f t="shared" ref="D28:AJ28" si="3">NPV($C$8,D27:D27)</f>
        <v>25.129632908136823</v>
      </c>
      <c r="E28" s="48">
        <f t="shared" si="3"/>
        <v>25.247742182805066</v>
      </c>
      <c r="F28" s="48">
        <f t="shared" si="3"/>
        <v>25.366406571064239</v>
      </c>
      <c r="G28" s="48">
        <f t="shared" si="3"/>
        <v>25.485628681948242</v>
      </c>
      <c r="H28" s="48">
        <f t="shared" si="3"/>
        <v>25.6054111367534</v>
      </c>
      <c r="I28" s="48">
        <f t="shared" si="3"/>
        <v>25.725756569096138</v>
      </c>
      <c r="J28" s="48">
        <f t="shared" si="3"/>
        <v>25.846667624970888</v>
      </c>
      <c r="K28" s="48">
        <f t="shared" si="3"/>
        <v>25.968146962808248</v>
      </c>
      <c r="L28" s="48">
        <f t="shared" si="3"/>
        <v>26.090197253533447</v>
      </c>
      <c r="M28" s="48">
        <f t="shared" si="3"/>
        <v>26.212821180625053</v>
      </c>
      <c r="N28" s="48">
        <f t="shared" si="3"/>
        <v>26.336021440173994</v>
      </c>
      <c r="O28" s="48">
        <f t="shared" si="3"/>
        <v>26.459800740942807</v>
      </c>
      <c r="P28" s="48">
        <f t="shared" si="3"/>
        <v>26.584161804425236</v>
      </c>
      <c r="Q28" s="48">
        <f t="shared" si="3"/>
        <v>26.709107364906025</v>
      </c>
      <c r="R28" s="48">
        <f t="shared" si="3"/>
        <v>26.834640169521087</v>
      </c>
      <c r="S28" s="48">
        <f t="shared" si="3"/>
        <v>26.584161804425236</v>
      </c>
      <c r="T28" s="48">
        <f t="shared" si="3"/>
        <v>26.709107364906025</v>
      </c>
      <c r="U28" s="48">
        <f t="shared" si="3"/>
        <v>26.834640169521087</v>
      </c>
      <c r="V28" s="48">
        <f t="shared" si="3"/>
        <v>26.960762978317845</v>
      </c>
      <c r="W28" s="48">
        <f t="shared" si="3"/>
        <v>27.087478564315933</v>
      </c>
      <c r="X28" s="48">
        <f t="shared" si="3"/>
        <v>27.214789713568212</v>
      </c>
      <c r="Y28" s="48">
        <f t="shared" si="3"/>
        <v>27.342699225221981</v>
      </c>
      <c r="Z28" s="48">
        <f t="shared" si="3"/>
        <v>27.47120991158053</v>
      </c>
      <c r="AA28" s="48">
        <f t="shared" si="3"/>
        <v>27.600324598164956</v>
      </c>
      <c r="AB28" s="48">
        <f t="shared" si="3"/>
        <v>27.730046123776329</v>
      </c>
      <c r="AC28" s="48">
        <f t="shared" si="3"/>
        <v>27.860377340558081</v>
      </c>
      <c r="AD28" s="48">
        <f t="shared" si="3"/>
        <v>27.991321114058696</v>
      </c>
      <c r="AE28" s="48">
        <f t="shared" si="3"/>
        <v>28.122880323294776</v>
      </c>
      <c r="AF28" s="48">
        <f t="shared" si="3"/>
        <v>28.255057860814251</v>
      </c>
      <c r="AG28" s="48">
        <f t="shared" si="3"/>
        <v>28.38785663276008</v>
      </c>
      <c r="AH28" s="48">
        <f t="shared" si="3"/>
        <v>28.521279558934047</v>
      </c>
      <c r="AI28" s="48">
        <f t="shared" si="3"/>
        <v>28.655329572861042</v>
      </c>
      <c r="AJ28" s="48">
        <f t="shared" si="3"/>
        <v>28.790009621853482</v>
      </c>
      <c r="AK28" s="48"/>
      <c r="AL28" s="48"/>
      <c r="AM28" s="48"/>
      <c r="AN28" s="48"/>
      <c r="AO28" s="48"/>
      <c r="AP28" s="48"/>
      <c r="AQ28" s="48"/>
      <c r="AR28" s="48"/>
      <c r="AS28" s="48"/>
      <c r="AT28" s="48"/>
      <c r="AU28" s="48"/>
      <c r="AV28" s="48"/>
      <c r="AW28" s="48"/>
      <c r="AX28" s="48"/>
      <c r="AY28" s="48"/>
      <c r="AZ28" s="48"/>
      <c r="BA28" s="48"/>
      <c r="BB28" s="48"/>
      <c r="BC28" s="48"/>
      <c r="BD28" s="48"/>
      <c r="BE28" s="48"/>
      <c r="BF28" s="48"/>
      <c r="BG28" s="48"/>
      <c r="BH28" s="48"/>
    </row>
    <row r="29" spans="1:60" ht="15" hidden="1" customHeight="1" outlineLevel="1" x14ac:dyDescent="0.25">
      <c r="A29" s="1575"/>
      <c r="B29" s="749"/>
      <c r="C29" s="1562"/>
      <c r="D29" s="1559"/>
      <c r="E29" s="48"/>
      <c r="F29" s="48"/>
      <c r="G29" s="48"/>
      <c r="H29" s="48"/>
      <c r="I29" s="48"/>
      <c r="J29" s="48"/>
      <c r="K29" s="48"/>
      <c r="L29" s="48"/>
      <c r="M29" s="48"/>
      <c r="N29" s="48"/>
      <c r="O29" s="48"/>
      <c r="P29" s="48"/>
      <c r="Q29" s="48"/>
      <c r="R29" s="48"/>
      <c r="S29" s="48"/>
      <c r="T29" s="48"/>
      <c r="U29" s="48"/>
      <c r="V29" s="48"/>
      <c r="W29" s="48"/>
      <c r="X29" s="48"/>
      <c r="Y29" s="48"/>
      <c r="Z29" s="48"/>
      <c r="AA29" s="48"/>
      <c r="AB29" s="48"/>
      <c r="AC29" s="48"/>
      <c r="AD29" s="48"/>
      <c r="AE29" s="48"/>
      <c r="AF29" s="48"/>
      <c r="AG29" s="48"/>
      <c r="AH29" s="48"/>
      <c r="AI29" s="48"/>
      <c r="AJ29" s="48"/>
      <c r="AK29" s="48"/>
      <c r="AL29" s="48"/>
      <c r="AM29" s="48"/>
      <c r="AN29" s="48"/>
      <c r="AO29" s="48"/>
      <c r="AP29" s="48"/>
      <c r="AQ29" s="48"/>
      <c r="AR29" s="48"/>
      <c r="AS29" s="48"/>
      <c r="AT29" s="48"/>
      <c r="AU29" s="48"/>
      <c r="AV29" s="48"/>
      <c r="AW29" s="48"/>
      <c r="AX29" s="48"/>
      <c r="AY29" s="48"/>
      <c r="AZ29" s="48"/>
      <c r="BA29" s="48"/>
      <c r="BB29" s="48"/>
      <c r="BC29" s="48"/>
      <c r="BD29" s="48"/>
      <c r="BE29" s="48"/>
      <c r="BF29" s="48"/>
      <c r="BG29" s="48"/>
      <c r="BH29" s="48"/>
    </row>
    <row r="30" spans="1:60" ht="15" hidden="1" customHeight="1" outlineLevel="1" x14ac:dyDescent="0.25">
      <c r="A30" s="1575">
        <f>C30*1000000/$C$16</f>
        <v>116.1964950456787</v>
      </c>
      <c r="B30" s="1549" t="str">
        <f>'C-FCL Real'!B149</f>
        <v>Receita do Ente Público pela disposição do RPU</v>
      </c>
      <c r="C30" s="1563">
        <f>SUMIF($D$15:$BG$15,1,D30:BG30)</f>
        <v>100.68735544905668</v>
      </c>
      <c r="D30" s="1559">
        <f>'C-FCL Real'!C149</f>
        <v>2.6754940163237793</v>
      </c>
      <c r="E30" s="48">
        <f>'C-FCL Real'!D149</f>
        <v>2.6880688382005009</v>
      </c>
      <c r="F30" s="48">
        <f>'C-FCL Real'!E149</f>
        <v>2.7007027617400432</v>
      </c>
      <c r="G30" s="48">
        <f>'C-FCL Real'!F149</f>
        <v>2.7133960647202211</v>
      </c>
      <c r="H30" s="48">
        <f>'C-FCL Real'!G149</f>
        <v>2.7261490262244061</v>
      </c>
      <c r="I30" s="48">
        <f>'C-FCL Real'!H149</f>
        <v>2.7389619266476606</v>
      </c>
      <c r="J30" s="48">
        <f>'C-FCL Real'!I149</f>
        <v>2.7518350477029045</v>
      </c>
      <c r="K30" s="48">
        <f>'C-FCL Real'!J149</f>
        <v>2.7647686724271079</v>
      </c>
      <c r="L30" s="48">
        <f>'C-FCL Real'!K149</f>
        <v>2.777763085187515</v>
      </c>
      <c r="M30" s="48">
        <f>'C-FCL Real'!L149</f>
        <v>2.7908185716878959</v>
      </c>
      <c r="N30" s="48">
        <f>'C-FCL Real'!M149</f>
        <v>2.8039354189748287</v>
      </c>
      <c r="O30" s="48">
        <f>'C-FCL Real'!N149</f>
        <v>2.8171139154440104</v>
      </c>
      <c r="P30" s="48">
        <f>'C-FCL Real'!O149</f>
        <v>2.8303543508465969</v>
      </c>
      <c r="Q30" s="48">
        <f>'C-FCL Real'!P149</f>
        <v>2.8436570162955759</v>
      </c>
      <c r="R30" s="48">
        <f>'C-FCL Real'!Q149</f>
        <v>2.8570222042721647</v>
      </c>
      <c r="S30" s="48">
        <f>'C-FCL Real'!O149</f>
        <v>2.8303543508465969</v>
      </c>
      <c r="T30" s="48">
        <f>'C-FCL Real'!P149</f>
        <v>2.8436570162955759</v>
      </c>
      <c r="U30" s="48">
        <f>'C-FCL Real'!Q149</f>
        <v>2.8570222042721647</v>
      </c>
      <c r="V30" s="48">
        <f>'C-FCL Real'!R149</f>
        <v>2.8704502086322439</v>
      </c>
      <c r="W30" s="48">
        <f>'C-FCL Real'!S149</f>
        <v>2.8839413246128154</v>
      </c>
      <c r="X30" s="48">
        <f>'C-FCL Real'!T149</f>
        <v>2.8974958488384952</v>
      </c>
      <c r="Y30" s="48">
        <f>'C-FCL Real'!U149</f>
        <v>2.9111140793280361</v>
      </c>
      <c r="Z30" s="48">
        <f>'C-FCL Real'!V149</f>
        <v>2.9247963155008776</v>
      </c>
      <c r="AA30" s="48">
        <f>'C-FCL Real'!W149</f>
        <v>2.9385428581837316</v>
      </c>
      <c r="AB30" s="48">
        <f>'C-FCL Real'!X149</f>
        <v>2.9523540096171947</v>
      </c>
      <c r="AC30" s="48">
        <f>'C-FCL Real'!Y149</f>
        <v>2.9662300734623952</v>
      </c>
      <c r="AD30" s="48">
        <f>'C-FCL Real'!Z149</f>
        <v>2.980171354807668</v>
      </c>
      <c r="AE30" s="48">
        <f>'C-FCL Real'!AA149</f>
        <v>2.9941781601752639</v>
      </c>
      <c r="AF30" s="48">
        <f>'C-FCL Real'!AB149</f>
        <v>3.0082507975280874</v>
      </c>
      <c r="AG30" s="48">
        <f>'C-FCL Real'!AC149</f>
        <v>3.0223895762764692</v>
      </c>
      <c r="AH30" s="48">
        <f>'C-FCL Real'!AD149</f>
        <v>3.0365948072849682</v>
      </c>
      <c r="AI30" s="48">
        <f>'C-FCL Real'!AE149</f>
        <v>3.0508668028792072</v>
      </c>
      <c r="AJ30" s="48">
        <f>'C-FCL Real'!AF149</f>
        <v>3.065205876852739</v>
      </c>
      <c r="AK30" s="48">
        <f>'C-FCL Real'!AG149</f>
        <v>3.0796123444739467</v>
      </c>
      <c r="AL30" s="48">
        <f>'C-FCL Real'!AH149</f>
        <v>3.0940865224929741</v>
      </c>
      <c r="AM30" s="48">
        <f>'C-FCL Real'!AI149</f>
        <v>3.1086287291486907</v>
      </c>
      <c r="AN30" s="48">
        <f>'C-FCL Real'!AJ149</f>
        <v>3.1232392841756895</v>
      </c>
      <c r="AO30" s="48">
        <f>'C-FCL Real'!AK149</f>
        <v>3.1379185088113148</v>
      </c>
      <c r="AP30" s="48">
        <f>'C-FCL Real'!AL149</f>
        <v>3.1526667258027277</v>
      </c>
      <c r="AQ30" s="48">
        <f>'C-FCL Real'!AM149</f>
        <v>3.1674842594140005</v>
      </c>
      <c r="AR30" s="48">
        <f>'C-FCL Real'!AN149</f>
        <v>3.1823714354332462</v>
      </c>
      <c r="AS30" s="48">
        <f>'C-FCL Real'!AO149</f>
        <v>3.1973285811797822</v>
      </c>
      <c r="AT30" s="48">
        <f>'C-FCL Real'!AP149</f>
        <v>3.212356025511327</v>
      </c>
      <c r="AU30" s="48">
        <f>'C-FCL Real'!AQ149</f>
        <v>3.2274540988312301</v>
      </c>
      <c r="AV30" s="48">
        <f>'C-FCL Real'!AR149</f>
        <v>3.2426231330957367</v>
      </c>
      <c r="AW30" s="48">
        <f>'C-FCL Real'!AS149</f>
        <v>3.2578634618212865</v>
      </c>
      <c r="AX30" s="48">
        <f>'C-FCL Real'!AT149</f>
        <v>3.2731754200918464</v>
      </c>
      <c r="AY30" s="48">
        <f>'C-FCL Real'!AU149</f>
        <v>3.288559344566278</v>
      </c>
      <c r="AZ30" s="48">
        <f>'C-FCL Real'!AV149</f>
        <v>3.304015573485739</v>
      </c>
      <c r="BA30" s="48">
        <f>'C-FCL Real'!AW149</f>
        <v>3.3195444466811219</v>
      </c>
      <c r="BB30" s="48">
        <f>'C-FCL Real'!AX149</f>
        <v>3.3351463055805231</v>
      </c>
      <c r="BC30" s="48">
        <f>'C-FCL Real'!AY149</f>
        <v>3.3508214932167513</v>
      </c>
      <c r="BD30" s="48">
        <f>'C-FCL Real'!AZ149</f>
        <v>3.3665703542348697</v>
      </c>
      <c r="BE30" s="48">
        <f>'C-FCL Real'!BA149</f>
        <v>3.3823932348997734</v>
      </c>
      <c r="BF30" s="48">
        <f>'C-FCL Real'!BB149</f>
        <v>3.3982904831038021</v>
      </c>
      <c r="BG30" s="48">
        <f>'C-FCL Real'!BC149</f>
        <v>3.4142624483743895</v>
      </c>
      <c r="BH30" s="48">
        <f>'C-FCL Real'!BD149</f>
        <v>0</v>
      </c>
    </row>
    <row r="31" spans="1:60" ht="15" hidden="1" customHeight="1" outlineLevel="1" x14ac:dyDescent="0.25">
      <c r="A31" s="1575">
        <f>C31*1000000/$C$16</f>
        <v>99.391147273356395</v>
      </c>
      <c r="B31" s="1596" t="s">
        <v>917</v>
      </c>
      <c r="C31" s="1562">
        <f>SUMIF($D$15:$BG$15,1,D31:BG31)</f>
        <v>86.125074341251818</v>
      </c>
      <c r="D31" s="1559">
        <f t="shared" ref="D31:AJ31" si="4">NPV($C$8,D30:D30)</f>
        <v>2.4380299037030979</v>
      </c>
      <c r="E31" s="48">
        <f t="shared" si="4"/>
        <v>2.4494886442505024</v>
      </c>
      <c r="F31" s="48">
        <f t="shared" si="4"/>
        <v>2.4610012408784794</v>
      </c>
      <c r="G31" s="48">
        <f t="shared" si="4"/>
        <v>2.4725679467106079</v>
      </c>
      <c r="H31" s="48">
        <f t="shared" si="4"/>
        <v>2.4841890160601481</v>
      </c>
      <c r="I31" s="48">
        <f t="shared" si="4"/>
        <v>2.4958647044356304</v>
      </c>
      <c r="J31" s="48">
        <f t="shared" si="4"/>
        <v>2.5075952685464777</v>
      </c>
      <c r="K31" s="48">
        <f t="shared" si="4"/>
        <v>2.5193809663086459</v>
      </c>
      <c r="L31" s="48">
        <f t="shared" si="4"/>
        <v>2.5312220568502966</v>
      </c>
      <c r="M31" s="48">
        <f t="shared" si="4"/>
        <v>2.5431188005174925</v>
      </c>
      <c r="N31" s="48">
        <f t="shared" si="4"/>
        <v>2.5550714588799242</v>
      </c>
      <c r="O31" s="48">
        <f t="shared" si="4"/>
        <v>2.5670802947366598</v>
      </c>
      <c r="P31" s="48">
        <f t="shared" si="4"/>
        <v>2.5791455721219219</v>
      </c>
      <c r="Q31" s="48">
        <f t="shared" si="4"/>
        <v>2.5912675563108949</v>
      </c>
      <c r="R31" s="48">
        <f t="shared" si="4"/>
        <v>2.6034465138255558</v>
      </c>
      <c r="S31" s="48">
        <f t="shared" si="4"/>
        <v>2.5791455721219219</v>
      </c>
      <c r="T31" s="48">
        <f t="shared" si="4"/>
        <v>2.5912675563108949</v>
      </c>
      <c r="U31" s="48">
        <f t="shared" si="4"/>
        <v>2.6034465138255558</v>
      </c>
      <c r="V31" s="48">
        <f t="shared" si="4"/>
        <v>2.615682712440536</v>
      </c>
      <c r="W31" s="48">
        <f t="shared" si="4"/>
        <v>2.6279764211890062</v>
      </c>
      <c r="X31" s="48">
        <f t="shared" si="4"/>
        <v>2.6403279103685944</v>
      </c>
      <c r="Y31" s="48">
        <f t="shared" si="4"/>
        <v>2.6527374515473268</v>
      </c>
      <c r="Z31" s="48">
        <f t="shared" si="4"/>
        <v>2.6652053175695989</v>
      </c>
      <c r="AA31" s="48">
        <f t="shared" si="4"/>
        <v>2.677731782562176</v>
      </c>
      <c r="AB31" s="48">
        <f t="shared" si="4"/>
        <v>2.6903171219402178</v>
      </c>
      <c r="AC31" s="48">
        <f t="shared" si="4"/>
        <v>2.7029616124133362</v>
      </c>
      <c r="AD31" s="48">
        <f t="shared" si="4"/>
        <v>2.7156655319916787</v>
      </c>
      <c r="AE31" s="48">
        <f t="shared" si="4"/>
        <v>2.7284291599920394</v>
      </c>
      <c r="AF31" s="48">
        <f t="shared" si="4"/>
        <v>2.7412527770440018</v>
      </c>
      <c r="AG31" s="48">
        <f t="shared" si="4"/>
        <v>2.7541366650961083</v>
      </c>
      <c r="AH31" s="48">
        <f t="shared" si="4"/>
        <v>2.7670811074220598</v>
      </c>
      <c r="AI31" s="48">
        <f t="shared" si="4"/>
        <v>2.7800863886269429</v>
      </c>
      <c r="AJ31" s="48">
        <f t="shared" si="4"/>
        <v>2.7931527946534893</v>
      </c>
      <c r="AK31" s="48"/>
      <c r="AL31" s="48"/>
      <c r="AM31" s="48"/>
      <c r="AN31" s="48"/>
      <c r="AO31" s="48"/>
      <c r="AP31" s="48"/>
      <c r="AQ31" s="48"/>
      <c r="AR31" s="48"/>
      <c r="AS31" s="48"/>
      <c r="AT31" s="48"/>
      <c r="AU31" s="48"/>
      <c r="AV31" s="48"/>
      <c r="AW31" s="48"/>
      <c r="AX31" s="48"/>
      <c r="AY31" s="48"/>
      <c r="AZ31" s="48"/>
      <c r="BA31" s="48"/>
      <c r="BB31" s="48"/>
      <c r="BC31" s="48"/>
      <c r="BD31" s="48"/>
      <c r="BE31" s="48"/>
      <c r="BF31" s="48"/>
      <c r="BG31" s="48"/>
      <c r="BH31" s="48"/>
    </row>
    <row r="32" spans="1:60" ht="15" hidden="1" customHeight="1" outlineLevel="1" x14ac:dyDescent="0.25">
      <c r="A32" s="1575"/>
      <c r="B32" s="749"/>
      <c r="C32" s="1562"/>
      <c r="D32" s="1559"/>
      <c r="E32" s="48"/>
      <c r="F32" s="48"/>
      <c r="G32" s="48"/>
      <c r="H32" s="48"/>
      <c r="I32" s="48"/>
      <c r="J32" s="48"/>
      <c r="K32" s="48"/>
      <c r="L32" s="48"/>
      <c r="M32" s="48"/>
      <c r="N32" s="48"/>
      <c r="O32" s="48"/>
      <c r="P32" s="48"/>
      <c r="Q32" s="48"/>
      <c r="R32" s="48"/>
      <c r="S32" s="48"/>
      <c r="T32" s="48"/>
      <c r="U32" s="48"/>
      <c r="V32" s="48"/>
      <c r="W32" s="48"/>
      <c r="X32" s="48"/>
      <c r="Y32" s="48"/>
      <c r="Z32" s="48"/>
      <c r="AA32" s="48"/>
      <c r="AB32" s="48"/>
      <c r="AC32" s="48"/>
      <c r="AD32" s="48"/>
      <c r="AE32" s="48"/>
      <c r="AF32" s="48"/>
      <c r="AG32" s="48"/>
      <c r="AH32" s="48"/>
      <c r="AI32" s="48"/>
      <c r="AJ32" s="48"/>
      <c r="AK32" s="48"/>
      <c r="AL32" s="48"/>
      <c r="AM32" s="48"/>
      <c r="AN32" s="48"/>
      <c r="AO32" s="48"/>
      <c r="AP32" s="48"/>
      <c r="AQ32" s="48"/>
      <c r="AR32" s="48"/>
      <c r="AS32" s="48"/>
      <c r="AT32" s="48"/>
      <c r="AU32" s="48"/>
      <c r="AV32" s="48"/>
      <c r="AW32" s="48"/>
      <c r="AX32" s="48"/>
      <c r="AY32" s="48"/>
      <c r="AZ32" s="48"/>
      <c r="BA32" s="48"/>
      <c r="BB32" s="48"/>
      <c r="BC32" s="48"/>
      <c r="BD32" s="48"/>
      <c r="BE32" s="48"/>
      <c r="BF32" s="48"/>
      <c r="BG32" s="48"/>
      <c r="BH32" s="48"/>
    </row>
    <row r="33" spans="1:60" ht="15" hidden="1" customHeight="1" outlineLevel="1" x14ac:dyDescent="0.25">
      <c r="A33" s="1575">
        <f>C33*1000000/$C$16</f>
        <v>-1.6580801619163081</v>
      </c>
      <c r="B33" s="1549" t="s">
        <v>910</v>
      </c>
      <c r="C33" s="1563">
        <f>SUMIF($D$15:$BG$15,1,D33:BG33)</f>
        <v>-1.4367705889946762</v>
      </c>
      <c r="D33" s="1559">
        <f>'C-FCL Real'!C153</f>
        <v>-17.764188219097871</v>
      </c>
      <c r="E33" s="48">
        <f>'C-FCL Real'!D153</f>
        <v>-43.868042934871056</v>
      </c>
      <c r="F33" s="48">
        <f>'C-FCL Real'!E153</f>
        <v>-34.482668748716435</v>
      </c>
      <c r="G33" s="48">
        <f>'C-FCL Real'!F153</f>
        <v>0.91120717072195134</v>
      </c>
      <c r="H33" s="48">
        <f>'C-FCL Real'!G153</f>
        <v>1.0554093981293171</v>
      </c>
      <c r="I33" s="48">
        <f>'C-FCL Real'!H153</f>
        <v>1.2002893760054931</v>
      </c>
      <c r="J33" s="48">
        <f>'C-FCL Real'!I153</f>
        <v>1.3458502897776867</v>
      </c>
      <c r="K33" s="48">
        <f>'C-FCL Real'!J153</f>
        <v>1.4920953398446102</v>
      </c>
      <c r="L33" s="48">
        <f>'C-FCL Real'!K153</f>
        <v>1.6390277416468493</v>
      </c>
      <c r="M33" s="48">
        <f>'C-FCL Real'!L153</f>
        <v>1.7866507257375588</v>
      </c>
      <c r="N33" s="48">
        <f>'C-FCL Real'!M153</f>
        <v>1.9349675378534954</v>
      </c>
      <c r="O33" s="48">
        <f>'C-FCL Real'!N153</f>
        <v>2.0839814389863776</v>
      </c>
      <c r="P33" s="48">
        <f>'C-FCL Real'!O153</f>
        <v>2.2336957054545792</v>
      </c>
      <c r="Q33" s="48">
        <f>'C-FCL Real'!P153</f>
        <v>2.3841136289751788</v>
      </c>
      <c r="R33" s="48">
        <f>'C-FCL Real'!Q153</f>
        <v>2.5352385167363352</v>
      </c>
      <c r="S33" s="48">
        <f>'C-FCL Real'!O153</f>
        <v>2.2336957054545792</v>
      </c>
      <c r="T33" s="48">
        <f>'C-FCL Real'!P153</f>
        <v>2.3841136289751788</v>
      </c>
      <c r="U33" s="48">
        <f>'C-FCL Real'!Q153</f>
        <v>2.5352385167363352</v>
      </c>
      <c r="V33" s="48">
        <f>'C-FCL Real'!R153</f>
        <v>2.6870736914699762</v>
      </c>
      <c r="W33" s="48">
        <f>'C-FCL Real'!S153</f>
        <v>2.8396224915248496</v>
      </c>
      <c r="X33" s="48">
        <f>'C-FCL Real'!T153</f>
        <v>2.9928882709399787</v>
      </c>
      <c r="Y33" s="48">
        <f>'C-FCL Real'!U153</f>
        <v>3.1468743995183672</v>
      </c>
      <c r="Z33" s="48">
        <f>'C-FCL Real'!V153</f>
        <v>3.3015842629010805</v>
      </c>
      <c r="AA33" s="48">
        <f>'C-FCL Real'!W153</f>
        <v>3.4570212626416819</v>
      </c>
      <c r="AB33" s="48">
        <f>'C-FCL Real'!X153</f>
        <v>3.6131888162810668</v>
      </c>
      <c r="AC33" s="48">
        <f>'C-FCL Real'!Y153</f>
        <v>3.7700903574225606</v>
      </c>
      <c r="AD33" s="48">
        <f>'C-FCL Real'!Z153</f>
        <v>3.9277293358074061</v>
      </c>
      <c r="AE33" s="48">
        <f>'C-FCL Real'!AA153</f>
        <v>4.0861092173906783</v>
      </c>
      <c r="AF33" s="48">
        <f>'C-FCL Real'!AB153</f>
        <v>4.2452334844173762</v>
      </c>
      <c r="AG33" s="48">
        <f>'C-FCL Real'!AC153</f>
        <v>4.4051056354991118</v>
      </c>
      <c r="AH33" s="48">
        <f>'C-FCL Real'!AD153</f>
        <v>4.5657291856909197</v>
      </c>
      <c r="AI33" s="48">
        <f>'C-FCL Real'!AE153</f>
        <v>4.7271076665686422</v>
      </c>
      <c r="AJ33" s="48">
        <f>'C-FCL Real'!AF153</f>
        <v>4.8892446263064784</v>
      </c>
      <c r="AK33" s="48">
        <f>'C-FCL Real'!AG153</f>
        <v>5.0521436297550864</v>
      </c>
      <c r="AL33" s="48">
        <f>'C-FCL Real'!AH153</f>
        <v>5.2158082585198997</v>
      </c>
      <c r="AM33" s="48">
        <f>'C-FCL Real'!AI153</f>
        <v>5.3802421110399195</v>
      </c>
      <c r="AN33" s="48">
        <f>'C-FCL Real'!AJ153</f>
        <v>5.5454488026667761</v>
      </c>
      <c r="AO33" s="48">
        <f>'C-FCL Real'!AK153</f>
        <v>5.7114319657442749</v>
      </c>
      <c r="AP33" s="48">
        <f>'C-FCL Real'!AL153</f>
        <v>5.8781952496882397</v>
      </c>
      <c r="AQ33" s="48">
        <f>'C-FCL Real'!AM153</f>
        <v>6.04574232106674</v>
      </c>
      <c r="AR33" s="48">
        <f>'C-FCL Real'!AN153</f>
        <v>6.2140768636807238</v>
      </c>
      <c r="AS33" s="48">
        <f>'C-FCL Real'!AO153</f>
        <v>6.3832025786449975</v>
      </c>
      <c r="AT33" s="48">
        <f>'C-FCL Real'!AP153</f>
        <v>6.5531231844695981</v>
      </c>
      <c r="AU33" s="48">
        <f>'C-FCL Real'!AQ153</f>
        <v>6.7238424171415687</v>
      </c>
      <c r="AV33" s="48">
        <f>'C-FCL Real'!AR153</f>
        <v>6.8953640302071051</v>
      </c>
      <c r="AW33" s="48">
        <f>'C-FCL Real'!AS153</f>
        <v>7.0676917948540492</v>
      </c>
      <c r="AX33" s="48">
        <f>'C-FCL Real'!AT153</f>
        <v>7.2408294999948311</v>
      </c>
      <c r="AY33" s="48">
        <f>'C-FCL Real'!AU153</f>
        <v>7.4147809523497727</v>
      </c>
      <c r="AZ33" s="48">
        <f>'C-FCL Real'!AV153</f>
        <v>7.5895499765307903</v>
      </c>
      <c r="BA33" s="48">
        <f>'C-FCL Real'!AW153</f>
        <v>7.7651404151254582</v>
      </c>
      <c r="BB33" s="48">
        <f>'C-FCL Real'!AX153</f>
        <v>7.9415561287815137</v>
      </c>
      <c r="BC33" s="48">
        <f>'C-FCL Real'!AY153</f>
        <v>8.1188009962917462</v>
      </c>
      <c r="BD33" s="48">
        <f>'C-FCL Real'!AZ153</f>
        <v>8.296878914679283</v>
      </c>
      <c r="BE33" s="48">
        <f>'C-FCL Real'!BA153</f>
        <v>8.4757937992832524</v>
      </c>
      <c r="BF33" s="48">
        <f>'C-FCL Real'!BB153</f>
        <v>8.6555495838448522</v>
      </c>
      <c r="BG33" s="48">
        <f>'C-FCL Real'!BC153</f>
        <v>8.8361502205938933</v>
      </c>
      <c r="BH33" s="48">
        <f>'C-FCL Real'!BD153</f>
        <v>0</v>
      </c>
    </row>
    <row r="34" spans="1:60" ht="15" hidden="1" customHeight="1" outlineLevel="1" x14ac:dyDescent="0.25">
      <c r="A34" s="1575">
        <f>C34*1000000/$C$16</f>
        <v>-12.308758729714935</v>
      </c>
      <c r="B34" s="1596" t="s">
        <v>918</v>
      </c>
      <c r="C34" s="1562">
        <f>SUMIF($D$15:$BG$15,1,D34:BG34)</f>
        <v>-10.665867028676589</v>
      </c>
      <c r="D34" s="1559">
        <f t="shared" ref="D34:AJ34" si="5">NPV($C$8,D33:D33)</f>
        <v>-16.187523436393178</v>
      </c>
      <c r="E34" s="48">
        <f t="shared" si="5"/>
        <v>-39.974524270886697</v>
      </c>
      <c r="F34" s="48">
        <f t="shared" si="5"/>
        <v>-31.422151219898339</v>
      </c>
      <c r="G34" s="48">
        <f t="shared" si="5"/>
        <v>0.83033275990700872</v>
      </c>
      <c r="H34" s="48">
        <f t="shared" si="5"/>
        <v>0.96173628406170697</v>
      </c>
      <c r="I34" s="48">
        <f t="shared" si="5"/>
        <v>1.0937574047799281</v>
      </c>
      <c r="J34" s="48">
        <f t="shared" si="5"/>
        <v>1.2263990247655248</v>
      </c>
      <c r="K34" s="48">
        <f t="shared" si="5"/>
        <v>1.3596640603650541</v>
      </c>
      <c r="L34" s="48">
        <f t="shared" si="5"/>
        <v>1.4935554416319021</v>
      </c>
      <c r="M34" s="48">
        <f t="shared" si="5"/>
        <v>1.6280761123907044</v>
      </c>
      <c r="N34" s="48">
        <f t="shared" si="5"/>
        <v>1.7632290303020735</v>
      </c>
      <c r="O34" s="48">
        <f t="shared" si="5"/>
        <v>1.8990171669276268</v>
      </c>
      <c r="P34" s="48">
        <f t="shared" si="5"/>
        <v>2.0354435077953155</v>
      </c>
      <c r="Q34" s="48">
        <f t="shared" si="5"/>
        <v>2.1725110524650799</v>
      </c>
      <c r="R34" s="48">
        <f t="shared" si="5"/>
        <v>2.3102228145948018</v>
      </c>
      <c r="S34" s="48">
        <f t="shared" si="5"/>
        <v>2.0354435077953155</v>
      </c>
      <c r="T34" s="48">
        <f t="shared" si="5"/>
        <v>2.1725110524650799</v>
      </c>
      <c r="U34" s="48">
        <f t="shared" si="5"/>
        <v>2.3102228145948018</v>
      </c>
      <c r="V34" s="48">
        <f t="shared" si="5"/>
        <v>2.4485818220065396</v>
      </c>
      <c r="W34" s="48">
        <f t="shared" si="5"/>
        <v>2.5875911167530981</v>
      </c>
      <c r="X34" s="48">
        <f t="shared" si="5"/>
        <v>2.7272537551849636</v>
      </c>
      <c r="Y34" s="48">
        <f t="shared" si="5"/>
        <v>2.8675728080174663</v>
      </c>
      <c r="Z34" s="48">
        <f t="shared" si="5"/>
        <v>3.0085513603982874</v>
      </c>
      <c r="AA34" s="48">
        <f t="shared" si="5"/>
        <v>3.1501925119752889</v>
      </c>
      <c r="AB34" s="48">
        <f t="shared" si="5"/>
        <v>3.2924993769647046</v>
      </c>
      <c r="AC34" s="48">
        <f t="shared" si="5"/>
        <v>3.4354750842195743</v>
      </c>
      <c r="AD34" s="48">
        <f t="shared" si="5"/>
        <v>3.5791227772985295</v>
      </c>
      <c r="AE34" s="48">
        <f t="shared" si="5"/>
        <v>3.7234456145349721</v>
      </c>
      <c r="AF34" s="48">
        <f t="shared" si="5"/>
        <v>3.8684467691064119</v>
      </c>
      <c r="AG34" s="48">
        <f t="shared" si="5"/>
        <v>4.0141294291043481</v>
      </c>
      <c r="AH34" s="48">
        <f t="shared" si="5"/>
        <v>4.1604967976042646</v>
      </c>
      <c r="AI34" s="48">
        <f t="shared" si="5"/>
        <v>4.3075520927361426</v>
      </c>
      <c r="AJ34" s="48">
        <f t="shared" si="5"/>
        <v>4.4552985477551292</v>
      </c>
      <c r="AK34" s="48"/>
      <c r="AL34" s="48"/>
      <c r="AM34" s="48"/>
      <c r="AN34" s="48"/>
      <c r="AO34" s="48"/>
      <c r="AP34" s="48"/>
      <c r="AQ34" s="48"/>
      <c r="AR34" s="48"/>
      <c r="AS34" s="48"/>
      <c r="AT34" s="48"/>
      <c r="AU34" s="48"/>
      <c r="AV34" s="48"/>
      <c r="AW34" s="48"/>
      <c r="AX34" s="48"/>
      <c r="AY34" s="48"/>
      <c r="AZ34" s="48"/>
      <c r="BA34" s="48"/>
      <c r="BB34" s="48"/>
      <c r="BC34" s="48"/>
      <c r="BD34" s="48"/>
      <c r="BE34" s="48"/>
      <c r="BF34" s="48"/>
      <c r="BG34" s="48"/>
      <c r="BH34" s="48"/>
    </row>
    <row r="35" spans="1:60" ht="15" hidden="1" customHeight="1" outlineLevel="1" x14ac:dyDescent="0.25">
      <c r="A35" s="1575"/>
      <c r="B35" s="749"/>
      <c r="C35" s="1564"/>
      <c r="D35" s="1559"/>
      <c r="E35" s="48"/>
      <c r="F35" s="48"/>
      <c r="G35" s="48"/>
      <c r="H35" s="48"/>
      <c r="I35" s="48"/>
      <c r="J35" s="48"/>
      <c r="K35" s="48"/>
      <c r="L35" s="48"/>
      <c r="M35" s="48"/>
      <c r="N35" s="48"/>
      <c r="O35" s="48"/>
      <c r="P35" s="48"/>
      <c r="Q35" s="48"/>
      <c r="R35" s="48"/>
      <c r="S35" s="48"/>
      <c r="T35" s="48"/>
      <c r="U35" s="48"/>
      <c r="V35" s="48"/>
      <c r="W35" s="48"/>
      <c r="X35" s="48"/>
      <c r="Y35" s="48"/>
      <c r="Z35" s="48"/>
      <c r="AA35" s="48"/>
      <c r="AB35" s="48"/>
      <c r="AC35" s="48"/>
      <c r="AD35" s="48"/>
      <c r="AE35" s="48"/>
      <c r="AF35" s="48"/>
      <c r="AG35" s="48"/>
      <c r="AH35" s="48"/>
      <c r="AI35" s="48"/>
      <c r="AJ35" s="48"/>
      <c r="AK35" s="48"/>
      <c r="AL35" s="48"/>
      <c r="AM35" s="48"/>
      <c r="AN35" s="48"/>
      <c r="AO35" s="48"/>
      <c r="AP35" s="48"/>
      <c r="AQ35" s="48"/>
      <c r="AR35" s="48"/>
      <c r="AS35" s="48"/>
      <c r="AT35" s="48"/>
      <c r="AU35" s="48"/>
      <c r="AV35" s="48"/>
      <c r="AW35" s="48"/>
      <c r="AX35" s="48"/>
      <c r="AY35" s="48"/>
      <c r="AZ35" s="48"/>
      <c r="BA35" s="48"/>
      <c r="BB35" s="48"/>
      <c r="BC35" s="48"/>
      <c r="BD35" s="48"/>
      <c r="BE35" s="48"/>
      <c r="BF35" s="48"/>
      <c r="BG35" s="48"/>
      <c r="BH35" s="48"/>
    </row>
    <row r="36" spans="1:60" ht="15" hidden="1" customHeight="1" outlineLevel="1" x14ac:dyDescent="0.25">
      <c r="A36" s="1575">
        <f>C36*1000000/$C$16</f>
        <v>37.148961652503665</v>
      </c>
      <c r="B36" s="1550" t="s">
        <v>920</v>
      </c>
      <c r="C36" s="1563">
        <f>SUMIF($D$15:$BG$15,1,D36:BG36)</f>
        <v>32.190563966654842</v>
      </c>
      <c r="D36" s="1559">
        <f>IF(D33&gt;0,D33*0.34,0)</f>
        <v>0</v>
      </c>
      <c r="E36" s="48">
        <f t="shared" ref="E36:BG36" si="6">IF(E33&gt;0,E33*0.34,0)</f>
        <v>0</v>
      </c>
      <c r="F36" s="48">
        <f t="shared" si="6"/>
        <v>0</v>
      </c>
      <c r="G36" s="48">
        <f t="shared" si="6"/>
        <v>0.30981043804546349</v>
      </c>
      <c r="H36" s="48">
        <f t="shared" si="6"/>
        <v>0.35883919536396786</v>
      </c>
      <c r="I36" s="48">
        <f t="shared" si="6"/>
        <v>0.40809838784186769</v>
      </c>
      <c r="J36" s="48">
        <f t="shared" si="6"/>
        <v>0.45758909852441354</v>
      </c>
      <c r="K36" s="48">
        <f t="shared" si="6"/>
        <v>0.50731241554716755</v>
      </c>
      <c r="L36" s="48">
        <f t="shared" si="6"/>
        <v>0.55726943215992875</v>
      </c>
      <c r="M36" s="48">
        <f t="shared" si="6"/>
        <v>0.60746124675077007</v>
      </c>
      <c r="N36" s="48">
        <f t="shared" si="6"/>
        <v>0.6578889628701885</v>
      </c>
      <c r="O36" s="48">
        <f t="shared" si="6"/>
        <v>0.70855368925536844</v>
      </c>
      <c r="P36" s="48">
        <f>IF(P33&gt;0,P33*0.34,0)</f>
        <v>0.75945653985455697</v>
      </c>
      <c r="Q36" s="48">
        <f>IF(Q33&gt;0,Q33*0.34,0)</f>
        <v>0.81059863385156083</v>
      </c>
      <c r="R36" s="48">
        <f>IF(R33&gt;0,R33*0.34,0)</f>
        <v>0.86198109569035397</v>
      </c>
      <c r="S36" s="48">
        <f t="shared" si="6"/>
        <v>0.75945653985455697</v>
      </c>
      <c r="T36" s="48">
        <f t="shared" si="6"/>
        <v>0.81059863385156083</v>
      </c>
      <c r="U36" s="48">
        <f t="shared" si="6"/>
        <v>0.86198109569035397</v>
      </c>
      <c r="V36" s="48">
        <f t="shared" si="6"/>
        <v>0.91360505509979195</v>
      </c>
      <c r="W36" s="48">
        <f t="shared" si="6"/>
        <v>0.96547164711844891</v>
      </c>
      <c r="X36" s="48">
        <f t="shared" si="6"/>
        <v>1.0175820121195929</v>
      </c>
      <c r="Y36" s="48">
        <f t="shared" si="6"/>
        <v>1.069937295836245</v>
      </c>
      <c r="Z36" s="48">
        <f t="shared" si="6"/>
        <v>1.1225386493863674</v>
      </c>
      <c r="AA36" s="48">
        <f t="shared" si="6"/>
        <v>1.175387229298172</v>
      </c>
      <c r="AB36" s="48">
        <f t="shared" si="6"/>
        <v>1.2284841975355627</v>
      </c>
      <c r="AC36" s="48">
        <f t="shared" si="6"/>
        <v>1.2818307215236706</v>
      </c>
      <c r="AD36" s="48">
        <f t="shared" si="6"/>
        <v>1.3354279741745181</v>
      </c>
      <c r="AE36" s="48">
        <f t="shared" si="6"/>
        <v>1.3892771339128307</v>
      </c>
      <c r="AF36" s="48">
        <f t="shared" si="6"/>
        <v>1.4433793847019081</v>
      </c>
      <c r="AG36" s="48">
        <f t="shared" si="6"/>
        <v>1.4977359160696981</v>
      </c>
      <c r="AH36" s="48">
        <f t="shared" si="6"/>
        <v>1.5523479231349129</v>
      </c>
      <c r="AI36" s="48">
        <f t="shared" si="6"/>
        <v>1.6072166066333384</v>
      </c>
      <c r="AJ36" s="48">
        <f t="shared" si="6"/>
        <v>1.6623431729442029</v>
      </c>
      <c r="AK36" s="48">
        <f t="shared" si="6"/>
        <v>1.7177288341167294</v>
      </c>
      <c r="AL36" s="48">
        <f t="shared" si="6"/>
        <v>1.7733748078967659</v>
      </c>
      <c r="AM36" s="48">
        <f t="shared" si="6"/>
        <v>1.8292823177535726</v>
      </c>
      <c r="AN36" s="48">
        <f t="shared" si="6"/>
        <v>1.8854525929067041</v>
      </c>
      <c r="AO36" s="48">
        <f t="shared" si="6"/>
        <v>1.9418868683530537</v>
      </c>
      <c r="AP36" s="48">
        <f t="shared" si="6"/>
        <v>1.9985863848940015</v>
      </c>
      <c r="AQ36" s="48">
        <f t="shared" si="6"/>
        <v>2.0555523891626919</v>
      </c>
      <c r="AR36" s="48">
        <f t="shared" si="6"/>
        <v>2.1127861336514462</v>
      </c>
      <c r="AS36" s="48">
        <f t="shared" si="6"/>
        <v>2.1702888767392992</v>
      </c>
      <c r="AT36" s="48">
        <f t="shared" si="6"/>
        <v>2.2280618827196634</v>
      </c>
      <c r="AU36" s="48">
        <f t="shared" si="6"/>
        <v>2.2861064218281335</v>
      </c>
      <c r="AV36" s="48">
        <f t="shared" si="6"/>
        <v>2.3444237702704158</v>
      </c>
      <c r="AW36" s="48">
        <f t="shared" si="6"/>
        <v>2.403015210250377</v>
      </c>
      <c r="AX36" s="48">
        <f t="shared" si="6"/>
        <v>2.4618820299982427</v>
      </c>
      <c r="AY36" s="48">
        <f t="shared" si="6"/>
        <v>2.5210255237989228</v>
      </c>
      <c r="AZ36" s="48">
        <f t="shared" si="6"/>
        <v>2.5804469920204687</v>
      </c>
      <c r="BA36" s="48">
        <f t="shared" si="6"/>
        <v>2.6401477411426559</v>
      </c>
      <c r="BB36" s="48">
        <f t="shared" si="6"/>
        <v>2.7001290837857148</v>
      </c>
      <c r="BC36" s="48">
        <f t="shared" si="6"/>
        <v>2.760392338739194</v>
      </c>
      <c r="BD36" s="48">
        <f t="shared" si="6"/>
        <v>2.8209388309909564</v>
      </c>
      <c r="BE36" s="48">
        <f t="shared" si="6"/>
        <v>2.8817698917563059</v>
      </c>
      <c r="BF36" s="48">
        <f t="shared" si="6"/>
        <v>2.9428868585072498</v>
      </c>
      <c r="BG36" s="48">
        <f t="shared" si="6"/>
        <v>3.004291075001924</v>
      </c>
      <c r="BH36" s="48">
        <f>BH33*0.34</f>
        <v>0</v>
      </c>
    </row>
    <row r="37" spans="1:60" ht="15" hidden="1" customHeight="1" outlineLevel="1" x14ac:dyDescent="0.25">
      <c r="A37" s="1575">
        <f>C37*1000000/$C$16</f>
        <v>30.180530422233375</v>
      </c>
      <c r="B37" s="1596" t="s">
        <v>919</v>
      </c>
      <c r="C37" s="1562">
        <f>SUMIF($D$15:$BG$15,1,D37:BG37)</f>
        <v>26.152232845490566</v>
      </c>
      <c r="D37" s="1559">
        <f t="shared" ref="D37:AJ37" si="7">NPV($C$8,D36:D36)</f>
        <v>0</v>
      </c>
      <c r="E37" s="48">
        <f t="shared" si="7"/>
        <v>0</v>
      </c>
      <c r="F37" s="48">
        <f t="shared" si="7"/>
        <v>0</v>
      </c>
      <c r="G37" s="48">
        <f t="shared" si="7"/>
        <v>0.28231313836838301</v>
      </c>
      <c r="H37" s="48">
        <f t="shared" si="7"/>
        <v>0.32699033658098037</v>
      </c>
      <c r="I37" s="48">
        <f t="shared" si="7"/>
        <v>0.37187751762517562</v>
      </c>
      <c r="J37" s="48">
        <f t="shared" si="7"/>
        <v>0.41697566842027844</v>
      </c>
      <c r="K37" s="48">
        <f t="shared" si="7"/>
        <v>0.46228578052411845</v>
      </c>
      <c r="L37" s="48">
        <f t="shared" si="7"/>
        <v>0.50780885015484667</v>
      </c>
      <c r="M37" s="48">
        <f t="shared" si="7"/>
        <v>0.55354587821283951</v>
      </c>
      <c r="N37" s="48">
        <f t="shared" si="7"/>
        <v>0.59949787030270507</v>
      </c>
      <c r="O37" s="48">
        <f t="shared" si="7"/>
        <v>0.64566583675539313</v>
      </c>
      <c r="P37" s="48">
        <f t="shared" si="7"/>
        <v>0.69205079265040736</v>
      </c>
      <c r="Q37" s="48">
        <f t="shared" si="7"/>
        <v>0.73865375783812726</v>
      </c>
      <c r="R37" s="48">
        <f t="shared" si="7"/>
        <v>0.7854757569622326</v>
      </c>
      <c r="S37" s="48">
        <f t="shared" si="7"/>
        <v>0.69205079265040736</v>
      </c>
      <c r="T37" s="48">
        <f t="shared" si="7"/>
        <v>0.73865375783812726</v>
      </c>
      <c r="U37" s="48">
        <f t="shared" si="7"/>
        <v>0.7854757569622326</v>
      </c>
      <c r="V37" s="48">
        <f t="shared" si="7"/>
        <v>0.83251781948222348</v>
      </c>
      <c r="W37" s="48">
        <f t="shared" si="7"/>
        <v>0.8797809796960534</v>
      </c>
      <c r="X37" s="48">
        <f t="shared" si="7"/>
        <v>0.92726627676288764</v>
      </c>
      <c r="Y37" s="48">
        <f t="shared" si="7"/>
        <v>0.97497475472593864</v>
      </c>
      <c r="Z37" s="48">
        <f t="shared" si="7"/>
        <v>1.0229074625354178</v>
      </c>
      <c r="AA37" s="48">
        <f t="shared" si="7"/>
        <v>1.0710654540715983</v>
      </c>
      <c r="AB37" s="48">
        <f t="shared" si="7"/>
        <v>1.1194497881679997</v>
      </c>
      <c r="AC37" s="48">
        <f t="shared" si="7"/>
        <v>1.1680615286346552</v>
      </c>
      <c r="AD37" s="48">
        <f t="shared" si="7"/>
        <v>1.2169017442815</v>
      </c>
      <c r="AE37" s="48">
        <f t="shared" si="7"/>
        <v>1.2659715089418906</v>
      </c>
      <c r="AF37" s="48">
        <f t="shared" si="7"/>
        <v>1.3152719014961802</v>
      </c>
      <c r="AG37" s="48">
        <f t="shared" si="7"/>
        <v>1.3648040058954787</v>
      </c>
      <c r="AH37" s="48">
        <f t="shared" si="7"/>
        <v>1.41456891118545</v>
      </c>
      <c r="AI37" s="48">
        <f t="shared" si="7"/>
        <v>1.4645677115302884</v>
      </c>
      <c r="AJ37" s="48">
        <f t="shared" si="7"/>
        <v>1.5148015062367441</v>
      </c>
      <c r="AK37" s="48"/>
      <c r="AL37" s="48"/>
      <c r="AM37" s="48"/>
      <c r="AN37" s="48"/>
      <c r="AO37" s="48"/>
      <c r="AP37" s="48"/>
      <c r="AQ37" s="48"/>
      <c r="AR37" s="48"/>
      <c r="AS37" s="48"/>
      <c r="AT37" s="48"/>
      <c r="AU37" s="48"/>
      <c r="AV37" s="48"/>
      <c r="AW37" s="48"/>
      <c r="AX37" s="48"/>
      <c r="AY37" s="48"/>
      <c r="AZ37" s="48"/>
      <c r="BA37" s="48"/>
      <c r="BB37" s="48"/>
      <c r="BC37" s="48"/>
      <c r="BD37" s="48"/>
      <c r="BE37" s="48"/>
      <c r="BF37" s="48"/>
      <c r="BG37" s="48"/>
      <c r="BH37" s="48"/>
    </row>
    <row r="38" spans="1:60" ht="15" hidden="1" customHeight="1" outlineLevel="1" x14ac:dyDescent="0.25">
      <c r="A38" s="1575"/>
      <c r="B38" s="749"/>
      <c r="C38" s="1562"/>
      <c r="D38" s="1559"/>
      <c r="E38" s="48"/>
      <c r="F38" s="48"/>
      <c r="G38" s="48"/>
      <c r="H38" s="48"/>
      <c r="I38" s="48"/>
      <c r="J38" s="48"/>
      <c r="K38" s="48"/>
      <c r="L38" s="48"/>
      <c r="M38" s="48"/>
      <c r="N38" s="48"/>
      <c r="O38" s="48"/>
      <c r="P38" s="48"/>
      <c r="Q38" s="48"/>
      <c r="R38" s="48"/>
      <c r="S38" s="48"/>
      <c r="T38" s="48"/>
      <c r="U38" s="48"/>
      <c r="V38" s="48"/>
      <c r="W38" s="48"/>
      <c r="X38" s="48"/>
      <c r="Y38" s="48"/>
      <c r="Z38" s="48"/>
      <c r="AA38" s="48"/>
      <c r="AB38" s="48"/>
      <c r="AC38" s="48"/>
      <c r="AD38" s="48"/>
      <c r="AE38" s="48"/>
      <c r="AF38" s="48"/>
      <c r="AG38" s="48"/>
      <c r="AH38" s="48"/>
      <c r="AI38" s="48"/>
      <c r="AJ38" s="48"/>
      <c r="AK38" s="48"/>
      <c r="AL38" s="48"/>
      <c r="AM38" s="48"/>
      <c r="AN38" s="48"/>
      <c r="AO38" s="48"/>
      <c r="AP38" s="48"/>
      <c r="AQ38" s="48"/>
      <c r="AR38" s="48"/>
      <c r="AS38" s="48"/>
      <c r="AT38" s="48"/>
      <c r="AU38" s="48"/>
      <c r="AV38" s="48"/>
      <c r="AW38" s="48"/>
      <c r="AX38" s="48"/>
      <c r="AY38" s="48"/>
      <c r="AZ38" s="48"/>
      <c r="BA38" s="48"/>
      <c r="BB38" s="48"/>
      <c r="BC38" s="48"/>
      <c r="BD38" s="48"/>
      <c r="BE38" s="48"/>
      <c r="BF38" s="48"/>
      <c r="BG38" s="48"/>
      <c r="BH38" s="48"/>
    </row>
    <row r="39" spans="1:60" ht="15" hidden="1" customHeight="1" outlineLevel="1" x14ac:dyDescent="0.25">
      <c r="A39" s="1575">
        <f>C39*1000000/$C$16</f>
        <v>-38.807041814419982</v>
      </c>
      <c r="B39" s="1549" t="s">
        <v>908</v>
      </c>
      <c r="C39" s="1563">
        <f>SUMIF($D$15:$BG$15,1,D39:BG39)</f>
        <v>-33.627334555649526</v>
      </c>
      <c r="D39" s="1559">
        <f>'C-FCL Real'!C156</f>
        <v>-17.764188219097871</v>
      </c>
      <c r="E39" s="48">
        <f>'C-FCL Real'!D156</f>
        <v>-43.868042934871056</v>
      </c>
      <c r="F39" s="48">
        <f>'C-FCL Real'!E156</f>
        <v>-34.482668748716435</v>
      </c>
      <c r="G39" s="48">
        <f>'C-FCL Real'!F156</f>
        <v>0.60139673267648797</v>
      </c>
      <c r="H39" s="48">
        <f>'C-FCL Real'!G156</f>
        <v>0.69657020276534931</v>
      </c>
      <c r="I39" s="48">
        <f>'C-FCL Real'!H156</f>
        <v>0.79219098816362554</v>
      </c>
      <c r="J39" s="48">
        <f>'C-FCL Real'!I156</f>
        <v>0.8882611912532733</v>
      </c>
      <c r="K39" s="48">
        <f>'C-FCL Real'!J156</f>
        <v>0.98478292429744274</v>
      </c>
      <c r="L39" s="48">
        <f>'C-FCL Real'!K156</f>
        <v>1.0817583094869205</v>
      </c>
      <c r="M39" s="48">
        <f>'C-FCL Real'!L156</f>
        <v>1.1791894789867889</v>
      </c>
      <c r="N39" s="48">
        <f>'C-FCL Real'!M156</f>
        <v>1.2770785749833071</v>
      </c>
      <c r="O39" s="48">
        <f>'C-FCL Real'!N156</f>
        <v>1.3754277497310092</v>
      </c>
      <c r="P39" s="48">
        <f>'C-FCL Real'!O156</f>
        <v>1.4742391656000224</v>
      </c>
      <c r="Q39" s="48">
        <f>'C-FCL Real'!P156</f>
        <v>1.573514995123618</v>
      </c>
      <c r="R39" s="48">
        <f>'C-FCL Real'!Q156</f>
        <v>1.6732574210459812</v>
      </c>
      <c r="S39" s="48">
        <f>'C-FCL Real'!O156</f>
        <v>1.4742391656000224</v>
      </c>
      <c r="T39" s="48">
        <f>'C-FCL Real'!P156</f>
        <v>1.573514995123618</v>
      </c>
      <c r="U39" s="48">
        <f>'C-FCL Real'!Q156</f>
        <v>1.6732574210459812</v>
      </c>
      <c r="V39" s="48">
        <f>'C-FCL Real'!R156</f>
        <v>1.7734686363701844</v>
      </c>
      <c r="W39" s="48">
        <f>'C-FCL Real'!S156</f>
        <v>1.8741508444064008</v>
      </c>
      <c r="X39" s="48">
        <f>'C-FCL Real'!T156</f>
        <v>1.975306258820386</v>
      </c>
      <c r="Y39" s="48">
        <f>'C-FCL Real'!U156</f>
        <v>2.0769371036821225</v>
      </c>
      <c r="Z39" s="48">
        <f>'C-FCL Real'!V156</f>
        <v>2.1790456135147132</v>
      </c>
      <c r="AA39" s="48">
        <f>'C-FCL Real'!W156</f>
        <v>2.2816340333435101</v>
      </c>
      <c r="AB39" s="48">
        <f>'C-FCL Real'!X156</f>
        <v>2.3847046187455043</v>
      </c>
      <c r="AC39" s="48">
        <f>'C-FCL Real'!Y156</f>
        <v>2.4882596358988902</v>
      </c>
      <c r="AD39" s="48">
        <f>'C-FCL Real'!Z156</f>
        <v>2.592301361632888</v>
      </c>
      <c r="AE39" s="48">
        <f>'C-FCL Real'!AA156</f>
        <v>2.6968320834778479</v>
      </c>
      <c r="AF39" s="48">
        <f>'C-FCL Real'!AB156</f>
        <v>2.8018540997154684</v>
      </c>
      <c r="AG39" s="48">
        <f>'C-FCL Real'!AC156</f>
        <v>2.9073697194294139</v>
      </c>
      <c r="AH39" s="48">
        <f>'C-FCL Real'!AD156</f>
        <v>3.013381262556007</v>
      </c>
      <c r="AI39" s="48">
        <f>'C-FCL Real'!AE156</f>
        <v>3.1198910599353038</v>
      </c>
      <c r="AJ39" s="48">
        <f>'C-FCL Real'!AF156</f>
        <v>3.226901453362276</v>
      </c>
      <c r="AK39" s="48">
        <f>'C-FCL Real'!AG156</f>
        <v>3.3344147956383572</v>
      </c>
      <c r="AL39" s="48">
        <f>'C-FCL Real'!AH156</f>
        <v>3.4424334506231338</v>
      </c>
      <c r="AM39" s="48">
        <f>'C-FCL Real'!AI156</f>
        <v>3.550959793286347</v>
      </c>
      <c r="AN39" s="48">
        <f>'C-FCL Real'!AJ156</f>
        <v>3.6599962097600724</v>
      </c>
      <c r="AO39" s="48">
        <f>'C-FCL Real'!AK156</f>
        <v>3.7695450973912217</v>
      </c>
      <c r="AP39" s="48">
        <f>'C-FCL Real'!AL156</f>
        <v>3.8796088647942382</v>
      </c>
      <c r="AQ39" s="48">
        <f>'C-FCL Real'!AM156</f>
        <v>3.9901899319040486</v>
      </c>
      <c r="AR39" s="48">
        <f>'C-FCL Real'!AN156</f>
        <v>4.1012907300292776</v>
      </c>
      <c r="AS39" s="48">
        <f>'C-FCL Real'!AO156</f>
        <v>4.2129137019056984</v>
      </c>
      <c r="AT39" s="48">
        <f>'C-FCL Real'!AP156</f>
        <v>4.3250613017499351</v>
      </c>
      <c r="AU39" s="48">
        <f>'C-FCL Real'!AQ156</f>
        <v>4.4377359953134352</v>
      </c>
      <c r="AV39" s="48">
        <f>'C-FCL Real'!AR156</f>
        <v>4.5509402599366897</v>
      </c>
      <c r="AW39" s="48">
        <f>'C-FCL Real'!AS156</f>
        <v>4.6646765846036731</v>
      </c>
      <c r="AX39" s="48">
        <f>'C-FCL Real'!AT156</f>
        <v>4.7789474699965888</v>
      </c>
      <c r="AY39" s="48">
        <f>'C-FCL Real'!AU156</f>
        <v>4.8937554285508504</v>
      </c>
      <c r="AZ39" s="48">
        <f>'C-FCL Real'!AV156</f>
        <v>5.0091029845103217</v>
      </c>
      <c r="BA39" s="48">
        <f>'C-FCL Real'!AW156</f>
        <v>5.1249926739828027</v>
      </c>
      <c r="BB39" s="48">
        <f>'C-FCL Real'!AX156</f>
        <v>5.2414270449957989</v>
      </c>
      <c r="BC39" s="48">
        <f>'C-FCL Real'!AY156</f>
        <v>5.3584086575525527</v>
      </c>
      <c r="BD39" s="48">
        <f>'C-FCL Real'!AZ156</f>
        <v>5.475940083688327</v>
      </c>
      <c r="BE39" s="48">
        <f>'C-FCL Real'!BA156</f>
        <v>5.5940239075269469</v>
      </c>
      <c r="BF39" s="48">
        <f>'C-FCL Real'!BB156</f>
        <v>5.7126627253376023</v>
      </c>
      <c r="BG39" s="48">
        <f>'C-FCL Real'!BC156</f>
        <v>5.8318591455919702</v>
      </c>
      <c r="BH39" s="48">
        <f>'C-FCL Real'!BD156</f>
        <v>0</v>
      </c>
    </row>
    <row r="40" spans="1:60" ht="15" hidden="1" customHeight="1" outlineLevel="1" x14ac:dyDescent="0.25">
      <c r="A40" s="1575">
        <f>C40*1000000/$C$16</f>
        <v>-38.982797878532111</v>
      </c>
      <c r="B40" s="1596" t="s">
        <v>921</v>
      </c>
      <c r="C40" s="1562">
        <f>SUMIF($D$15:$BG$15,1,D40:BG40)</f>
        <v>-33.779631862832744</v>
      </c>
      <c r="D40" s="1559">
        <f t="shared" ref="D40:AK40" si="8">NPV($C$8,D39:D39)</f>
        <v>-16.187523436393178</v>
      </c>
      <c r="E40" s="48">
        <f t="shared" si="8"/>
        <v>-39.974524270886697</v>
      </c>
      <c r="F40" s="48">
        <f t="shared" si="8"/>
        <v>-31.422151219898339</v>
      </c>
      <c r="G40" s="48">
        <f t="shared" si="8"/>
        <v>0.54801962153862582</v>
      </c>
      <c r="H40" s="48">
        <f t="shared" si="8"/>
        <v>0.63474594748072655</v>
      </c>
      <c r="I40" s="48">
        <f t="shared" si="8"/>
        <v>0.72187988715475271</v>
      </c>
      <c r="J40" s="48">
        <f t="shared" si="8"/>
        <v>0.80942335634524631</v>
      </c>
      <c r="K40" s="48">
        <f t="shared" si="8"/>
        <v>0.89737827984093566</v>
      </c>
      <c r="L40" s="48">
        <f t="shared" si="8"/>
        <v>0.98574659147705546</v>
      </c>
      <c r="M40" s="48">
        <f t="shared" si="8"/>
        <v>1.0745302341778649</v>
      </c>
      <c r="N40" s="48">
        <f t="shared" si="8"/>
        <v>1.1637311599993687</v>
      </c>
      <c r="O40" s="48">
        <f t="shared" si="8"/>
        <v>1.2533513301722337</v>
      </c>
      <c r="P40" s="48">
        <f t="shared" si="8"/>
        <v>1.3433927151449085</v>
      </c>
      <c r="Q40" s="48">
        <f t="shared" si="8"/>
        <v>1.433857294626953</v>
      </c>
      <c r="R40" s="48">
        <f t="shared" si="8"/>
        <v>1.524747057632569</v>
      </c>
      <c r="S40" s="48">
        <f t="shared" si="8"/>
        <v>1.3433927151449085</v>
      </c>
      <c r="T40" s="48">
        <f t="shared" si="8"/>
        <v>1.433857294626953</v>
      </c>
      <c r="U40" s="48">
        <f t="shared" si="8"/>
        <v>1.524747057632569</v>
      </c>
      <c r="V40" s="48">
        <f t="shared" si="8"/>
        <v>1.616064002524316</v>
      </c>
      <c r="W40" s="48">
        <f t="shared" si="8"/>
        <v>1.7078101370570447</v>
      </c>
      <c r="X40" s="48">
        <f t="shared" si="8"/>
        <v>1.799987478422076</v>
      </c>
      <c r="Y40" s="48">
        <f t="shared" si="8"/>
        <v>1.8925980532915279</v>
      </c>
      <c r="Z40" s="48">
        <f t="shared" si="8"/>
        <v>1.9856438978628699</v>
      </c>
      <c r="AA40" s="48">
        <f t="shared" si="8"/>
        <v>2.0791270579036909</v>
      </c>
      <c r="AB40" s="48">
        <f t="shared" si="8"/>
        <v>2.1730495887967054</v>
      </c>
      <c r="AC40" s="48">
        <f t="shared" si="8"/>
        <v>2.2674135555849193</v>
      </c>
      <c r="AD40" s="48">
        <f t="shared" si="8"/>
        <v>2.3622210330170295</v>
      </c>
      <c r="AE40" s="48">
        <f t="shared" si="8"/>
        <v>2.4574741055930818</v>
      </c>
      <c r="AF40" s="48">
        <f t="shared" si="8"/>
        <v>2.5531748676102319</v>
      </c>
      <c r="AG40" s="48">
        <f t="shared" si="8"/>
        <v>2.6493254232088703</v>
      </c>
      <c r="AH40" s="48">
        <f t="shared" si="8"/>
        <v>2.7459278864188148</v>
      </c>
      <c r="AI40" s="48">
        <f t="shared" si="8"/>
        <v>2.8429843812058539</v>
      </c>
      <c r="AJ40" s="48">
        <f t="shared" si="8"/>
        <v>2.9404970415183853</v>
      </c>
      <c r="AK40" s="48">
        <f t="shared" si="8"/>
        <v>3.038468011334388</v>
      </c>
      <c r="AL40" s="48"/>
      <c r="AM40" s="48"/>
      <c r="AN40" s="48"/>
      <c r="AO40" s="48"/>
      <c r="AP40" s="48"/>
      <c r="AQ40" s="48"/>
      <c r="AR40" s="48"/>
      <c r="AS40" s="48"/>
      <c r="AT40" s="48"/>
      <c r="AU40" s="48"/>
      <c r="AV40" s="48"/>
      <c r="AW40" s="48"/>
      <c r="AX40" s="48"/>
      <c r="AY40" s="48"/>
      <c r="AZ40" s="48"/>
      <c r="BA40" s="48"/>
      <c r="BB40" s="48"/>
      <c r="BC40" s="48"/>
      <c r="BD40" s="48"/>
      <c r="BE40" s="48"/>
      <c r="BF40" s="48"/>
      <c r="BG40" s="48"/>
      <c r="BH40" s="48"/>
    </row>
    <row r="41" spans="1:60" ht="15" hidden="1" customHeight="1" outlineLevel="1" x14ac:dyDescent="0.25">
      <c r="A41" s="35"/>
      <c r="B41" s="749"/>
      <c r="C41" s="1562"/>
      <c r="D41" s="1559"/>
      <c r="E41" s="48"/>
      <c r="F41" s="48"/>
      <c r="G41" s="48"/>
      <c r="H41" s="48"/>
      <c r="I41" s="48"/>
      <c r="J41" s="48"/>
      <c r="K41" s="48"/>
      <c r="L41" s="48"/>
      <c r="M41" s="48"/>
      <c r="N41" s="48"/>
      <c r="O41" s="48"/>
      <c r="P41" s="48"/>
      <c r="Q41" s="48"/>
      <c r="R41" s="48"/>
      <c r="S41" s="48"/>
      <c r="T41" s="48"/>
      <c r="U41" s="48"/>
      <c r="V41" s="48"/>
      <c r="W41" s="48"/>
      <c r="X41" s="48"/>
      <c r="Y41" s="48"/>
      <c r="Z41" s="48"/>
      <c r="AA41" s="48"/>
      <c r="AB41" s="48"/>
      <c r="AC41" s="48"/>
      <c r="AD41" s="48"/>
      <c r="AE41" s="48"/>
      <c r="AF41" s="48"/>
      <c r="AG41" s="48"/>
      <c r="AH41" s="48"/>
      <c r="AI41" s="48"/>
      <c r="AJ41" s="48"/>
      <c r="AK41" s="48"/>
      <c r="AL41" s="48"/>
      <c r="AM41" s="48"/>
      <c r="AN41" s="48"/>
      <c r="AO41" s="48"/>
      <c r="AP41" s="48"/>
      <c r="AQ41" s="48"/>
      <c r="AR41" s="48"/>
      <c r="AS41" s="48"/>
      <c r="AT41" s="48"/>
      <c r="AU41" s="48"/>
      <c r="AV41" s="48"/>
      <c r="AW41" s="48"/>
      <c r="AX41" s="48"/>
      <c r="AY41" s="48"/>
      <c r="AZ41" s="48"/>
      <c r="BA41" s="48"/>
      <c r="BB41" s="48"/>
      <c r="BC41" s="48"/>
      <c r="BD41" s="48"/>
      <c r="BE41" s="48"/>
      <c r="BF41" s="48"/>
      <c r="BG41" s="48"/>
      <c r="BH41" s="48"/>
    </row>
    <row r="42" spans="1:60" ht="15" hidden="1" customHeight="1" outlineLevel="1" x14ac:dyDescent="0.25">
      <c r="A42" s="1575">
        <f>A24+A27+A30</f>
        <v>1313.8746946751935</v>
      </c>
      <c r="B42" s="1548" t="s">
        <v>909</v>
      </c>
      <c r="C42" s="1562"/>
      <c r="D42" s="1559">
        <f>'C-FCL Real'!C157</f>
        <v>-17.764188219097871</v>
      </c>
      <c r="E42" s="48">
        <f>'C-FCL Real'!D157</f>
        <v>-61.632231153968931</v>
      </c>
      <c r="F42" s="48">
        <f>'C-FCL Real'!E157</f>
        <v>-96.114899902685366</v>
      </c>
      <c r="G42" s="48">
        <f>'C-FCL Real'!F157</f>
        <v>-95.513503170008875</v>
      </c>
      <c r="H42" s="48">
        <f>'C-FCL Real'!G157</f>
        <v>-94.816932967243531</v>
      </c>
      <c r="I42" s="48">
        <f>'C-FCL Real'!H157</f>
        <v>-94.024741979079906</v>
      </c>
      <c r="J42" s="48">
        <f>'C-FCL Real'!I157</f>
        <v>-93.136480787826628</v>
      </c>
      <c r="K42" s="48">
        <f>'C-FCL Real'!J157</f>
        <v>-92.151697863529179</v>
      </c>
      <c r="L42" s="48">
        <f>'C-FCL Real'!K157</f>
        <v>-91.069939554042264</v>
      </c>
      <c r="M42" s="48">
        <f>'C-FCL Real'!L157</f>
        <v>-89.890750075055479</v>
      </c>
      <c r="N42" s="48">
        <f>'C-FCL Real'!M157</f>
        <v>-88.613671500072172</v>
      </c>
      <c r="O42" s="48">
        <f>'C-FCL Real'!N157</f>
        <v>-87.238243750341169</v>
      </c>
      <c r="P42" s="48">
        <f>'C-FCL Real'!O157</f>
        <v>-85.764004584741144</v>
      </c>
      <c r="Q42" s="48">
        <f>'C-FCL Real'!P157</f>
        <v>-84.190489589617528</v>
      </c>
      <c r="R42" s="48">
        <f>'C-FCL Real'!Q157</f>
        <v>-82.517232168571553</v>
      </c>
      <c r="S42" s="48">
        <f>'C-FCL Real'!O157</f>
        <v>-85.764004584741144</v>
      </c>
      <c r="T42" s="48">
        <f>'C-FCL Real'!P157</f>
        <v>-84.190489589617528</v>
      </c>
      <c r="U42" s="48">
        <f>'C-FCL Real'!Q157</f>
        <v>-82.517232168571553</v>
      </c>
      <c r="V42" s="48">
        <f>'C-FCL Real'!R157</f>
        <v>-80.74376353220137</v>
      </c>
      <c r="W42" s="48">
        <f>'C-FCL Real'!S157</f>
        <v>-78.869612687794969</v>
      </c>
      <c r="X42" s="48">
        <f>'C-FCL Real'!T157</f>
        <v>-76.894306428974588</v>
      </c>
      <c r="Y42" s="48">
        <f>'C-FCL Real'!U157</f>
        <v>-74.817369325292461</v>
      </c>
      <c r="Z42" s="48">
        <f>'C-FCL Real'!V157</f>
        <v>-72.638323711777744</v>
      </c>
      <c r="AA42" s="48">
        <f>'C-FCL Real'!W157</f>
        <v>-70.356689678434236</v>
      </c>
      <c r="AB42" s="48">
        <f>'C-FCL Real'!X157</f>
        <v>-67.971985059688734</v>
      </c>
      <c r="AC42" s="48">
        <f>'C-FCL Real'!Y157</f>
        <v>-65.483725423789849</v>
      </c>
      <c r="AD42" s="48">
        <f>'C-FCL Real'!Z157</f>
        <v>-62.891424062156958</v>
      </c>
      <c r="AE42" s="48">
        <f>'C-FCL Real'!AA157</f>
        <v>-60.194591978679107</v>
      </c>
      <c r="AF42" s="48">
        <f>'C-FCL Real'!AB157</f>
        <v>-57.392737878963636</v>
      </c>
      <c r="AG42" s="48">
        <f>'C-FCL Real'!AC157</f>
        <v>-54.485368159534225</v>
      </c>
      <c r="AH42" s="48">
        <f>'C-FCL Real'!AD157</f>
        <v>-51.471986896978215</v>
      </c>
      <c r="AI42" s="48">
        <f>'C-FCL Real'!AE157</f>
        <v>-48.35209583704291</v>
      </c>
      <c r="AJ42" s="48">
        <f>'C-FCL Real'!AF157</f>
        <v>-45.125194383680636</v>
      </c>
      <c r="AK42" s="48">
        <f>'C-FCL Real'!AG157</f>
        <v>-41.790779588042277</v>
      </c>
      <c r="AL42" s="48">
        <f>'C-FCL Real'!AH157</f>
        <v>-38.348346137419142</v>
      </c>
      <c r="AM42" s="48">
        <f>'C-FCL Real'!AI157</f>
        <v>-34.797386344132796</v>
      </c>
      <c r="AN42" s="48">
        <f>'C-FCL Real'!AJ157</f>
        <v>-31.137390134372723</v>
      </c>
      <c r="AO42" s="48">
        <f>'C-FCL Real'!AK157</f>
        <v>-27.3678450369815</v>
      </c>
      <c r="AP42" s="48">
        <f>'C-FCL Real'!AL157</f>
        <v>-23.488236172187261</v>
      </c>
      <c r="AQ42" s="48">
        <f>'C-FCL Real'!AM157</f>
        <v>-19.498046240283212</v>
      </c>
      <c r="AR42" s="48">
        <f>'C-FCL Real'!AN157</f>
        <v>-15.396755510253936</v>
      </c>
      <c r="AS42" s="48">
        <f>'C-FCL Real'!AO157</f>
        <v>-11.183841808348237</v>
      </c>
      <c r="AT42" s="48">
        <f>'C-FCL Real'!AP157</f>
        <v>-6.8587805065983023</v>
      </c>
      <c r="AU42" s="48">
        <f>'C-FCL Real'!AQ157</f>
        <v>-2.4210445112848671</v>
      </c>
      <c r="AV42" s="48">
        <f>'C-FCL Real'!AR157</f>
        <v>2.1298957486518226</v>
      </c>
      <c r="AW42" s="48">
        <f>'C-FCL Real'!AS157</f>
        <v>6.7945723332554957</v>
      </c>
      <c r="AX42" s="48">
        <f>'C-FCL Real'!AT157</f>
        <v>11.573519803252085</v>
      </c>
      <c r="AY42" s="48">
        <f>'C-FCL Real'!AU157</f>
        <v>16.467275231802937</v>
      </c>
      <c r="AZ42" s="48">
        <f>'C-FCL Real'!AV157</f>
        <v>21.476378216313257</v>
      </c>
      <c r="BA42" s="48">
        <f>'C-FCL Real'!AW157</f>
        <v>26.60137089029606</v>
      </c>
      <c r="BB42" s="48">
        <f>'C-FCL Real'!AX157</f>
        <v>31.842797935291859</v>
      </c>
      <c r="BC42" s="48">
        <f>'C-FCL Real'!AY157</f>
        <v>37.201206592844414</v>
      </c>
      <c r="BD42" s="48">
        <f>'C-FCL Real'!AZ157</f>
        <v>42.677146676532743</v>
      </c>
      <c r="BE42" s="48">
        <f>'C-FCL Real'!BA157</f>
        <v>48.271170584059689</v>
      </c>
      <c r="BF42" s="48">
        <f>'C-FCL Real'!BB157</f>
        <v>53.983833309397291</v>
      </c>
      <c r="BG42" s="48">
        <f>'C-FCL Real'!BC157</f>
        <v>59.815692454989261</v>
      </c>
      <c r="BH42" s="48">
        <f>'C-FCL Real'!BD157</f>
        <v>0</v>
      </c>
    </row>
    <row r="43" spans="1:60" ht="15" hidden="1" customHeight="1" outlineLevel="1" x14ac:dyDescent="0.25">
      <c r="A43" s="1575">
        <f>A18+A21+A36</f>
        <v>1352.6817364896137</v>
      </c>
      <c r="B43" s="1548" t="s">
        <v>948</v>
      </c>
      <c r="C43" s="1564">
        <f>'R&amp;C-Painel de Controle'!D32</f>
        <v>35</v>
      </c>
      <c r="D43" s="1551" t="s">
        <v>260</v>
      </c>
    </row>
    <row r="44" spans="1:60" ht="15" hidden="1" customHeight="1" outlineLevel="1" x14ac:dyDescent="0.25">
      <c r="A44" s="1575">
        <f>A42-A43</f>
        <v>-38.807041814420245</v>
      </c>
      <c r="B44" s="1548" t="s">
        <v>930</v>
      </c>
      <c r="C44" s="33"/>
      <c r="D44" s="749"/>
      <c r="F44" s="1498"/>
      <c r="G44" s="1498"/>
    </row>
    <row r="45" spans="1:60" ht="15" hidden="1" customHeight="1" outlineLevel="1" x14ac:dyDescent="0.25">
      <c r="A45" s="1575"/>
      <c r="B45" s="1836" t="s">
        <v>1030</v>
      </c>
      <c r="C45" s="1837">
        <v>160</v>
      </c>
      <c r="D45" s="1838" t="s">
        <v>293</v>
      </c>
      <c r="E45" s="1839"/>
      <c r="F45" s="1840"/>
      <c r="G45" s="1840"/>
      <c r="H45" s="1839"/>
    </row>
    <row r="46" spans="1:60" ht="15" hidden="1" customHeight="1" outlineLevel="1" x14ac:dyDescent="0.25">
      <c r="B46" s="1501" t="s">
        <v>927</v>
      </c>
      <c r="C46" s="1563">
        <f>F46*$C$16/1000000</f>
        <v>1037.8200353829689</v>
      </c>
      <c r="D46" s="1518" t="s">
        <v>967</v>
      </c>
      <c r="E46" s="1518"/>
      <c r="F46" s="1534">
        <f>A27</f>
        <v>1197.6781996295149</v>
      </c>
      <c r="G46" s="1518" t="s">
        <v>293</v>
      </c>
      <c r="H46" s="1518"/>
    </row>
    <row r="47" spans="1:60" ht="15" hidden="1" customHeight="1" outlineLevel="1" x14ac:dyDescent="0.25">
      <c r="B47" s="1618" t="s">
        <v>928</v>
      </c>
      <c r="C47" s="1619">
        <f>F47*$C$16/1000000</f>
        <v>0</v>
      </c>
      <c r="D47" s="1620" t="s">
        <v>967</v>
      </c>
      <c r="E47" s="1620"/>
      <c r="F47" s="1621">
        <f>A24</f>
        <v>0</v>
      </c>
      <c r="G47" s="1620" t="s">
        <v>293</v>
      </c>
      <c r="H47" s="1620"/>
    </row>
    <row r="48" spans="1:60" ht="15" hidden="1" customHeight="1" outlineLevel="1" thickBot="1" x14ac:dyDescent="0.3">
      <c r="B48" s="1501" t="s">
        <v>929</v>
      </c>
      <c r="C48" s="1563">
        <f>F48*$C$16/1000000</f>
        <v>100.68735544905668</v>
      </c>
      <c r="D48" s="1518" t="s">
        <v>967</v>
      </c>
      <c r="E48" s="1518"/>
      <c r="F48" s="1534">
        <f>A30</f>
        <v>116.1964950456787</v>
      </c>
      <c r="G48" s="1518" t="s">
        <v>293</v>
      </c>
      <c r="H48" s="1518"/>
    </row>
    <row r="49" spans="1:8" s="39" customFormat="1" ht="15" hidden="1" customHeight="1" outlineLevel="1" thickTop="1" x14ac:dyDescent="0.25">
      <c r="B49" s="1519" t="s">
        <v>931</v>
      </c>
      <c r="C49" s="1536">
        <f>C46+C47+C48</f>
        <v>1138.5073908320255</v>
      </c>
      <c r="D49" s="1520" t="s">
        <v>967</v>
      </c>
      <c r="E49" s="1520"/>
      <c r="F49" s="1521">
        <f>F46+F47+F48</f>
        <v>1313.8746946751935</v>
      </c>
      <c r="G49" s="1520" t="s">
        <v>293</v>
      </c>
      <c r="H49" s="1520"/>
    </row>
    <row r="50" spans="1:8" ht="15" hidden="1" customHeight="1" outlineLevel="1" x14ac:dyDescent="0.25">
      <c r="B50" s="1618" t="s">
        <v>933</v>
      </c>
      <c r="C50" s="1619">
        <f>F50*$C$16/1000000</f>
        <v>1139.9441614210202</v>
      </c>
      <c r="D50" s="1620" t="s">
        <v>967</v>
      </c>
      <c r="E50" s="1620"/>
      <c r="F50" s="1621">
        <f>A18+A21</f>
        <v>1315.5327748371101</v>
      </c>
      <c r="G50" s="1620" t="s">
        <v>293</v>
      </c>
      <c r="H50" s="1620"/>
    </row>
    <row r="51" spans="1:8" ht="15" hidden="1" customHeight="1" outlineLevel="1" x14ac:dyDescent="0.25">
      <c r="B51" s="1501" t="s">
        <v>934</v>
      </c>
      <c r="C51" s="1574">
        <f>F51*$C$16/1000000</f>
        <v>32.190563966654842</v>
      </c>
      <c r="D51" s="1518" t="s">
        <v>967</v>
      </c>
      <c r="E51" s="1518"/>
      <c r="F51" s="1535">
        <f>A36</f>
        <v>37.148961652503665</v>
      </c>
      <c r="G51" s="1518" t="s">
        <v>293</v>
      </c>
      <c r="H51" s="1518"/>
    </row>
    <row r="52" spans="1:8" s="1499" customFormat="1" ht="15" hidden="1" customHeight="1" outlineLevel="1" thickBot="1" x14ac:dyDescent="0.3">
      <c r="B52" s="1554"/>
      <c r="C52" s="1573"/>
      <c r="D52" s="1529"/>
      <c r="E52" s="1529"/>
      <c r="F52" s="1529"/>
      <c r="G52" s="1529"/>
      <c r="H52" s="1529"/>
    </row>
    <row r="53" spans="1:8" s="42" customFormat="1" ht="15" hidden="1" customHeight="1" outlineLevel="1" thickTop="1" x14ac:dyDescent="0.25">
      <c r="B53" s="1592" t="s">
        <v>932</v>
      </c>
      <c r="C53" s="1593">
        <f>C49-C50-C51</f>
        <v>-33.627334555649547</v>
      </c>
      <c r="D53" s="1594" t="s">
        <v>967</v>
      </c>
      <c r="E53" s="1594"/>
      <c r="F53" s="1595">
        <f>F49-F50-F51</f>
        <v>-38.807041814420252</v>
      </c>
      <c r="G53" s="1594" t="s">
        <v>293</v>
      </c>
      <c r="H53" s="1594"/>
    </row>
    <row r="54" spans="1:8" ht="15" customHeight="1" thickTop="1" thickBot="1" x14ac:dyDescent="0.3">
      <c r="A54" s="1575"/>
      <c r="D54" s="749"/>
      <c r="F54" s="1498"/>
      <c r="G54" s="1498"/>
    </row>
    <row r="55" spans="1:8" s="1528" customFormat="1" ht="25.15" customHeight="1" collapsed="1" thickTop="1" thickBot="1" x14ac:dyDescent="0.3">
      <c r="B55" s="2932" t="s">
        <v>988</v>
      </c>
      <c r="C55" s="2933"/>
      <c r="D55" s="2933"/>
      <c r="E55" s="2933"/>
      <c r="F55" s="2933"/>
      <c r="G55" s="2933"/>
      <c r="H55" s="2934"/>
    </row>
    <row r="56" spans="1:8" s="1499" customFormat="1" ht="15" hidden="1" customHeight="1" outlineLevel="1" thickTop="1" x14ac:dyDescent="0.25">
      <c r="B56" s="1552"/>
      <c r="C56" s="1565"/>
      <c r="D56" s="1508"/>
      <c r="E56" s="1508"/>
      <c r="F56" s="1509"/>
      <c r="G56" s="1508"/>
      <c r="H56" s="1510"/>
    </row>
    <row r="57" spans="1:8" s="42" customFormat="1" ht="15" hidden="1" customHeight="1" outlineLevel="1" x14ac:dyDescent="0.25">
      <c r="B57" s="1511" t="s">
        <v>923</v>
      </c>
      <c r="C57" s="1523">
        <f>C58*C59</f>
        <v>3305389.2086302396</v>
      </c>
      <c r="D57" s="1512" t="s">
        <v>922</v>
      </c>
      <c r="E57" s="1512"/>
      <c r="F57" s="1513">
        <f>C57/'R&amp;C-Painel de Controle'!$D$8</f>
        <v>143.55279378736014</v>
      </c>
      <c r="G57" s="1512" t="s">
        <v>293</v>
      </c>
      <c r="H57" s="1514">
        <f>F57/$F$99</f>
        <v>0.16793308742252747</v>
      </c>
    </row>
    <row r="58" spans="1:8" s="1499" customFormat="1" ht="15" hidden="1" customHeight="1" outlineLevel="1" x14ac:dyDescent="0.25">
      <c r="B58" s="1507" t="s">
        <v>940</v>
      </c>
      <c r="C58" s="1566">
        <f>('R&amp;C-Painel de Controle'!D8-'R&amp;C-Painel de Controle'!D9)</f>
        <v>18461.796560999999</v>
      </c>
      <c r="D58" s="1508" t="s">
        <v>249</v>
      </c>
      <c r="E58" s="1508"/>
      <c r="F58" s="1509"/>
      <c r="G58" s="1508"/>
      <c r="H58" s="1510"/>
    </row>
    <row r="59" spans="1:8" s="1499" customFormat="1" ht="15" hidden="1" customHeight="1" outlineLevel="1" x14ac:dyDescent="0.25">
      <c r="B59" s="1524" t="s">
        <v>941</v>
      </c>
      <c r="C59" s="1567">
        <f>IF('R-Definição'!E121="Novo",(('R&amp;C-Painel de Controle'!L73*'C-Dados RT Simplif.'!C105+'R&amp;C-Painel de Controle'!P73*'C-Dados RT Simplif.'!C105*'C-Dados RT Simplif.'!C7)/('C-Dados RT Simplif.'!C7*'C-Dados RT Simplif.'!C105)),('R&amp;C-Painel de Controle'!D88+'R&amp;C-Painel de Controle'!D89))</f>
        <v>179.03941242710781</v>
      </c>
      <c r="D59" s="1525" t="s">
        <v>293</v>
      </c>
      <c r="E59" s="1525"/>
      <c r="F59" s="1526"/>
      <c r="G59" s="1525"/>
      <c r="H59" s="1527"/>
    </row>
    <row r="60" spans="1:8" s="1499" customFormat="1" ht="15" hidden="1" customHeight="1" outlineLevel="1" x14ac:dyDescent="0.25">
      <c r="B60" s="1553"/>
      <c r="C60" s="1568"/>
      <c r="D60" s="1503"/>
      <c r="E60" s="1503"/>
      <c r="F60" s="1504"/>
      <c r="G60" s="1503"/>
      <c r="H60" s="1505"/>
    </row>
    <row r="61" spans="1:8" s="42" customFormat="1" ht="15" hidden="1" customHeight="1" outlineLevel="1" x14ac:dyDescent="0.25">
      <c r="B61" s="1501" t="s">
        <v>942</v>
      </c>
      <c r="C61" s="1597">
        <f>IF(C68="Sim",(C62*C71+C63*C72+C64*C73+C65*C74+C66*C76+C67*C75)*C69*((1-C93)+(1-C70)*(1-C89)),0)</f>
        <v>767341.4725774707</v>
      </c>
      <c r="D61" s="1598" t="s">
        <v>922</v>
      </c>
      <c r="E61" s="1598"/>
      <c r="F61" s="1599">
        <f>C61/'R&amp;C-Painel de Controle'!$D$8</f>
        <v>33.325579901391094</v>
      </c>
      <c r="G61" s="1598" t="s">
        <v>293</v>
      </c>
      <c r="H61" s="1600">
        <f>F61/$F$99</f>
        <v>3.8985430902003841E-2</v>
      </c>
    </row>
    <row r="62" spans="1:8" s="1499" customFormat="1" ht="15" hidden="1" customHeight="1" outlineLevel="1" x14ac:dyDescent="0.25">
      <c r="B62" s="1502" t="str">
        <f>'R&amp;C-Painel de Controle'!J36</f>
        <v>Mat. Recicl.: Papel/Papelão — Triagem Mecanizada</v>
      </c>
      <c r="C62" s="1569">
        <f>'R&amp;C-Painel de Controle'!L36</f>
        <v>91.977265502687175</v>
      </c>
      <c r="D62" s="1503" t="s">
        <v>249</v>
      </c>
      <c r="E62" s="1503"/>
      <c r="F62" s="1504"/>
      <c r="G62" s="1503"/>
      <c r="H62" s="1505"/>
    </row>
    <row r="63" spans="1:8" s="1499" customFormat="1" ht="15" hidden="1" customHeight="1" outlineLevel="1" x14ac:dyDescent="0.25">
      <c r="B63" s="1507" t="str">
        <f>'R&amp;C-Painel de Controle'!J37</f>
        <v>Mat. Recicl.: Plástico Filme — Triagem Mecanizada</v>
      </c>
      <c r="C63" s="1566">
        <f>'R&amp;C-Painel de Controle'!L37</f>
        <v>62.488371219382891</v>
      </c>
      <c r="D63" s="1508" t="s">
        <v>249</v>
      </c>
      <c r="E63" s="1508"/>
      <c r="F63" s="1509"/>
      <c r="G63" s="1508"/>
      <c r="H63" s="1510"/>
    </row>
    <row r="64" spans="1:8" s="1499" customFormat="1" ht="15" hidden="1" customHeight="1" outlineLevel="1" x14ac:dyDescent="0.25">
      <c r="B64" s="1507" t="str">
        <f>'R&amp;C-Painel de Controle'!J38</f>
        <v>Mat. Recicl.: Plástico Rígido — Triagem Mecanizada</v>
      </c>
      <c r="C64" s="1566">
        <f>'R&amp;C-Painel de Controle'!L38</f>
        <v>32.29736040552374</v>
      </c>
      <c r="D64" s="1508" t="s">
        <v>249</v>
      </c>
      <c r="E64" s="1508"/>
      <c r="F64" s="1509"/>
      <c r="G64" s="1508"/>
      <c r="H64" s="1510"/>
    </row>
    <row r="65" spans="2:8" s="1499" customFormat="1" ht="15" hidden="1" customHeight="1" outlineLevel="1" x14ac:dyDescent="0.25">
      <c r="B65" s="1507" t="str">
        <f>'R&amp;C-Painel de Controle'!J39</f>
        <v>Mat. Recicl.: Vidros — Triagem Mecânica</v>
      </c>
      <c r="C65" s="1566">
        <f>'R&amp;C-Painel de Controle'!L39</f>
        <v>16.850796733316727</v>
      </c>
      <c r="D65" s="1508" t="s">
        <v>249</v>
      </c>
      <c r="E65" s="1508"/>
      <c r="F65" s="1509"/>
      <c r="G65" s="1508"/>
      <c r="H65" s="1510"/>
    </row>
    <row r="66" spans="2:8" s="1499" customFormat="1" ht="15" hidden="1" customHeight="1" outlineLevel="1" x14ac:dyDescent="0.25">
      <c r="B66" s="1507" t="str">
        <f>'R&amp;C-Painel de Controle'!J40</f>
        <v>Mat. Recicl.: Metais Não Ferrosos — Triagem Mecanizada</v>
      </c>
      <c r="C66" s="1566">
        <f>'R&amp;C-Painel de Controle'!L40+'R&amp;C-Painel de Controle'!L42</f>
        <v>121.18584814032985</v>
      </c>
      <c r="D66" s="1508" t="s">
        <v>249</v>
      </c>
      <c r="E66" s="1508"/>
      <c r="F66" s="1509"/>
      <c r="G66" s="1508"/>
      <c r="H66" s="1510"/>
    </row>
    <row r="67" spans="2:8" s="1499" customFormat="1" ht="15" hidden="1" customHeight="1" outlineLevel="1" x14ac:dyDescent="0.25">
      <c r="B67" s="1507" t="str">
        <f>'R&amp;C-Painel de Controle'!J41</f>
        <v>Mat. Recicl.: Metais Ferrosos — Triagem Mecanizada</v>
      </c>
      <c r="C67" s="1566">
        <f>'R&amp;C-Painel de Controle'!L41+'R&amp;C-Painel de Controle'!L43</f>
        <v>464.54575120459776</v>
      </c>
      <c r="D67" s="1508" t="s">
        <v>249</v>
      </c>
      <c r="E67" s="1508"/>
      <c r="F67" s="1509"/>
      <c r="G67" s="1508"/>
      <c r="H67" s="1510"/>
    </row>
    <row r="68" spans="2:8" s="1499" customFormat="1" ht="15" hidden="1" customHeight="1" outlineLevel="1" x14ac:dyDescent="0.25">
      <c r="B68" s="1507" t="str">
        <f>'R&amp;C-Painel de Controle'!B98</f>
        <v>Doação Receitas Venda Materiais Recicláveis</v>
      </c>
      <c r="C68" s="1566" t="str">
        <f>'R&amp;C-Painel de Controle'!D98</f>
        <v>Sim</v>
      </c>
      <c r="D68" s="1508" t="s">
        <v>357</v>
      </c>
      <c r="E68" s="1508"/>
      <c r="F68" s="1509"/>
      <c r="G68" s="1508"/>
      <c r="H68" s="1510"/>
    </row>
    <row r="69" spans="2:8" s="1499" customFormat="1" ht="15" hidden="1" customHeight="1" outlineLevel="1" x14ac:dyDescent="0.25">
      <c r="B69" s="1507" t="str">
        <f>'R&amp;C-Painel de Controle'!B99</f>
        <v>% Doação das Receitas aos Catadores</v>
      </c>
      <c r="C69" s="1570">
        <f>'R&amp;C-Painel de Controle'!D99</f>
        <v>1</v>
      </c>
      <c r="D69" s="1508" t="s">
        <v>194</v>
      </c>
      <c r="E69" s="1508"/>
      <c r="F69" s="1509"/>
      <c r="G69" s="1508"/>
      <c r="H69" s="1510"/>
    </row>
    <row r="70" spans="2:8" s="1499" customFormat="1" ht="15" hidden="1" customHeight="1" outlineLevel="1" x14ac:dyDescent="0.25">
      <c r="B70" s="1507" t="str">
        <f>'R&amp;C-Painel de Controle'!B100</f>
        <v>% Venda Matetriais Reciclávevis fora do Estado</v>
      </c>
      <c r="C70" s="1570">
        <f>'R&amp;C-Painel de Controle'!D100</f>
        <v>0.25</v>
      </c>
      <c r="D70" s="1508" t="s">
        <v>194</v>
      </c>
      <c r="E70" s="1508"/>
      <c r="F70" s="1509"/>
      <c r="G70" s="1508"/>
      <c r="H70" s="1510"/>
    </row>
    <row r="71" spans="2:8" s="1499" customFormat="1" ht="15" hidden="1" customHeight="1" outlineLevel="1" x14ac:dyDescent="0.25">
      <c r="B71" s="1507" t="str">
        <f>'R&amp;C-Painel de Controle'!B101</f>
        <v>Preço Médio Bruto — Venda (FOB): Papel/Papelão</v>
      </c>
      <c r="C71" s="1566">
        <f>'R&amp;C-Painel de Controle'!D101</f>
        <v>300</v>
      </c>
      <c r="D71" s="1508" t="s">
        <v>293</v>
      </c>
      <c r="E71" s="1508"/>
      <c r="F71" s="1509"/>
      <c r="G71" s="1508"/>
      <c r="H71" s="1510"/>
    </row>
    <row r="72" spans="2:8" s="1499" customFormat="1" ht="15" hidden="1" customHeight="1" outlineLevel="1" x14ac:dyDescent="0.25">
      <c r="B72" s="1507" t="str">
        <f>'R&amp;C-Painel de Controle'!B102</f>
        <v>Preço Médio Bruto — Venda (FOB): Plástico Filme</v>
      </c>
      <c r="C72" s="1566">
        <f>'R&amp;C-Painel de Controle'!D102</f>
        <v>750</v>
      </c>
      <c r="D72" s="1508" t="s">
        <v>293</v>
      </c>
      <c r="E72" s="1508"/>
      <c r="F72" s="1509"/>
      <c r="G72" s="1508"/>
      <c r="H72" s="1510"/>
    </row>
    <row r="73" spans="2:8" s="1499" customFormat="1" ht="15" hidden="1" customHeight="1" outlineLevel="1" x14ac:dyDescent="0.25">
      <c r="B73" s="1507" t="str">
        <f>'R&amp;C-Painel de Controle'!B103</f>
        <v>Preço Médio Bruto — Venda (FOB): Plástico Rígido</v>
      </c>
      <c r="C73" s="1566">
        <f>'R&amp;C-Painel de Controle'!D103</f>
        <v>1250</v>
      </c>
      <c r="D73" s="1508" t="s">
        <v>293</v>
      </c>
      <c r="E73" s="1508"/>
      <c r="F73" s="1509"/>
      <c r="G73" s="1508"/>
      <c r="H73" s="1510"/>
    </row>
    <row r="74" spans="2:8" s="1499" customFormat="1" ht="15" hidden="1" customHeight="1" outlineLevel="1" x14ac:dyDescent="0.25">
      <c r="B74" s="1507" t="str">
        <f>'R&amp;C-Painel de Controle'!B104</f>
        <v>Preço Médio Bruto — Venda(FOB): Vidros</v>
      </c>
      <c r="C74" s="1566">
        <f>'R&amp;C-Painel de Controle'!D104</f>
        <v>50</v>
      </c>
      <c r="D74" s="1508" t="s">
        <v>293</v>
      </c>
      <c r="E74" s="1508"/>
      <c r="F74" s="1509"/>
      <c r="G74" s="1508"/>
      <c r="H74" s="1510"/>
    </row>
    <row r="75" spans="2:8" s="1499" customFormat="1" ht="15" hidden="1" customHeight="1" outlineLevel="1" x14ac:dyDescent="0.25">
      <c r="B75" s="1507" t="str">
        <f>'R&amp;C-Painel de Controle'!B105</f>
        <v>Preço Médio Bruto — Venda (FOB): Metais Ferrosos</v>
      </c>
      <c r="C75" s="1566">
        <f>'R&amp;C-Painel de Controle'!D105</f>
        <v>570</v>
      </c>
      <c r="D75" s="1508" t="s">
        <v>293</v>
      </c>
      <c r="E75" s="1508"/>
      <c r="F75" s="1509"/>
      <c r="G75" s="1508"/>
      <c r="H75" s="1510"/>
    </row>
    <row r="76" spans="2:8" s="1499" customFormat="1" ht="15" hidden="1" customHeight="1" outlineLevel="1" x14ac:dyDescent="0.25">
      <c r="B76" s="1507" t="str">
        <f>'R&amp;C-Painel de Controle'!B106</f>
        <v>Preço Médio Bruto — Venda (FOB): Metais Não Ferrosos</v>
      </c>
      <c r="C76" s="1566">
        <f>'R&amp;C-Painel de Controle'!D106</f>
        <v>900</v>
      </c>
      <c r="D76" s="1508" t="s">
        <v>293</v>
      </c>
      <c r="E76" s="1508"/>
      <c r="F76" s="1509"/>
      <c r="G76" s="1508"/>
      <c r="H76" s="1510"/>
    </row>
    <row r="77" spans="2:8" s="1499" customFormat="1" ht="15" hidden="1" customHeight="1" outlineLevel="1" x14ac:dyDescent="0.25">
      <c r="B77" s="1552"/>
      <c r="C77" s="1565"/>
      <c r="D77" s="1508"/>
      <c r="E77" s="1508"/>
      <c r="F77" s="1509"/>
      <c r="G77" s="1508"/>
      <c r="H77" s="1510"/>
    </row>
    <row r="78" spans="2:8" ht="15" hidden="1" customHeight="1" outlineLevel="1" x14ac:dyDescent="0.25">
      <c r="B78" s="1501" t="s">
        <v>935</v>
      </c>
      <c r="C78" s="1597">
        <f>(IF('C-Triagem Mec'!$E$7="SIM",'C-Triagem Mec'!$E$27*'C-Triagem Mec'!$H$2,IF('C-Triagem Mec'!$I$7="SIM",'C-Triagem Mec'!$I$27*'C-Triagem Mec'!$H$2,IF('C-Triagem Mec'!$M$7="SIM",'C-Triagem Mec'!$M$27*'C-Triagem Mec'!$H$2,IF('C-Triagem Mec'!$Q$7="SIM",'C-Triagem Mec'!$Q$27*'C-Triagem Mec'!$H$2,IF('C-Triagem Mec'!$U$7="SIM",'C-Triagem Mec'!$U$27*'C-Triagem Mec'!$H$2,0)))))+IF('C-Produção CDR-TM'!$E$7="SIM",'C-Produção CDR-TM'!$E$27*'C-Produção CDR-TM'!$H$2,IF('C-Produção CDR-TM'!$I$7="SIM",'C-Produção CDR-TM'!$I$27*'C-Produção CDR-TM'!$H$2,IF('C-Produção CDR-TM'!$M$7="SIM",'C-Produção CDR-TM'!$M$27*'C-Produção CDR-TM'!$H$2,IF('C-Produção CDR-TM'!$Q$7="SIM",'C-Produção CDR-TM'!$Q$27*'C-Produção CDR-TM'!$H$2,IF('C-Produção CDR-TM'!$U$7="SIM",'C-Produção CDR-TM'!$U$27*'C-Produção CDR-TM'!$H$2,0)))))+IF('C-Produção CDR-TMB'!$E$7="SIM",'C-Produção CDR-TMB'!$E$27*'C-Produção CDR-TMB'!$H$2,IF('C-Produção CDR-TMB'!$I$7="SIM",'C-Produção CDR-TMB'!$I$27*'C-Produção CDR-TMB'!$H$2,IF('C-Produção CDR-TMB'!$M$7="SIM",'C-Produção CDR-TMB'!$M$27*'C-Produção CDR-TMB'!$H$2,IF('C-Produção CDR-TMB'!$Q$7="SIM",'C-Produção CDR-TMB'!$Q$27*'C-Produção CDR-TMB'!$H$2,IF('C-Produção CDR-TMB'!$U$7="SIM",'C-Produção CDR-TMB'!$U$27*'C-Produção CDR-TMB'!$H$2,0)))))+IF('C-Biodigestão'!$E$7="SIM",'C-Biodigestão'!$E$30*'C-Biodigestão'!$H$2,IF('C-Biodigestão'!$I$7="SIM",'C-Biodigestão'!$I$30*'C-Biodigestão'!$H$2,IF('C-Biodigestão'!$M$7="SIM",'C-Biodigestão'!$M$30*'C-Biodigestão'!$H$2,IF('C-Biodigestão'!$Q$7="SIM",'C-Biodigestão'!$Q$30*'C-Biodigestão'!$H$2,IF('C-Biodigestão'!$U$7="SIM",'C-Biodigestão'!$U$30*'C-Biodigestão'!$H$2,0)))))+IF('C-Compostagem'!$E$7="SIM",'C-Compostagem'!$E$27*'C-Compostagem'!$H$2,IF('C-Compostagem'!$I$7="SIM",'C-Compostagem'!$I$27*'C-Compostagem'!$H$2,IF('C-Compostagem'!$M$7="SIM",'C-Compostagem'!$M$27*'C-Compostagem'!$H$2,IF('C-Compostagem'!$Q$7="SIM",'C-Compostagem'!$Q$27*'C-Compostagem'!$H$2,IF('C-Compostagem'!$U$7="SIM",'C-Compostagem'!$U$27*'C-Compostagem'!$H$2,0)))))+IF('C-Incineração'!$E$7="SIM",'C-Incineração'!$E$29*'C-Incineração'!$H$2,IF('C-Incineração'!$I$7="SIM",'C-Incineração'!$I$29*'C-Incineração'!$H$2,IF('C-Incineração'!$M$7="SIM",'C-Incineração'!$M$29*'C-Incineração'!$H$2,IF('C-Incineração'!$Q$7="SIM",'C-Incineração'!$Q$29*'C-Incineração'!$H$2,IF('C-Incineração'!$U$7="SIM",'C-Incineração'!$U$29*'C-Incineração'!$H$2,0)))))+IF('C-Aterro Sanitário'!$E$7="SIM",'C-Aterro Sanitário'!$E$26*1000000,IF('C-Aterro Sanitário'!$I$7="SIM",'C-Aterro Sanitário'!$I$26*1000000,IF('C-Aterro Sanitário'!$M$7="SIM",'C-Aterro Sanitário'!$M$26*1000000,IF('C-Aterro Sanitário'!$Q$7="SIM",'C-Aterro Sanitário'!$Q$26*1000000,IF('C-Aterro Sanitário'!$U$7="SIM",'C-Aterro Sanitário'!$U$26*1000000,0))))))/2.4*1</f>
        <v>4140338.6866181856</v>
      </c>
      <c r="D78" s="1518" t="s">
        <v>922</v>
      </c>
      <c r="E78" s="1518"/>
      <c r="F78" s="1535">
        <f>C78/'R&amp;C-Painel de Controle'!$D$8</f>
        <v>179.81458405505984</v>
      </c>
      <c r="G78" s="1518" t="s">
        <v>293</v>
      </c>
      <c r="H78" s="1601">
        <f>F78/$F$99</f>
        <v>0.21035340007867276</v>
      </c>
    </row>
    <row r="79" spans="2:8" ht="15" hidden="1" customHeight="1" outlineLevel="1" x14ac:dyDescent="0.25">
      <c r="B79" s="1501" t="s">
        <v>936</v>
      </c>
      <c r="C79" s="1597">
        <f>(IF('C-Triagem Mec'!$E$7="SIM",'C-Triagem Mec'!$E$27*'C-Triagem Mec'!$H$2,IF('C-Triagem Mec'!$I$7="SIM",'C-Triagem Mec'!$I$27*'C-Triagem Mec'!$H$2,IF('C-Triagem Mec'!$M$7="SIM",'C-Triagem Mec'!$M$27*'C-Triagem Mec'!$H$2,IF('C-Triagem Mec'!$Q$7="SIM",'C-Triagem Mec'!$Q$27*'C-Triagem Mec'!$H$2,IF('C-Triagem Mec'!$U$7="SIM",'C-Triagem Mec'!$U$27*'C-Triagem Mec'!$H$2,0)))))+IF('C-Produção CDR-TM'!$E$7="SIM",'C-Produção CDR-TM'!$E$27*'C-Produção CDR-TM'!$H$2,IF('C-Produção CDR-TM'!$I$7="SIM",'C-Produção CDR-TM'!$I$27*'C-Produção CDR-TM'!$H$2,IF('C-Produção CDR-TM'!$M$7="SIM",'C-Produção CDR-TM'!$M$27*'C-Produção CDR-TM'!$H$2,IF('C-Produção CDR-TM'!$Q$7="SIM",'C-Produção CDR-TM'!$Q$27*'C-Produção CDR-TM'!$H$2,IF('C-Produção CDR-TM'!$U$7="SIM",'C-Produção CDR-TM'!$U$27*'C-Produção CDR-TM'!$H$2,0)))))+IF('C-Produção CDR-TMB'!$E$7="SIM",'C-Produção CDR-TMB'!$E$27*'C-Produção CDR-TMB'!$H$2,IF('C-Produção CDR-TMB'!$I$7="SIM",'C-Produção CDR-TMB'!$I$27*'C-Produção CDR-TMB'!$H$2,IF('C-Produção CDR-TMB'!$M$7="SIM",'C-Produção CDR-TMB'!$M$27*'C-Produção CDR-TMB'!$H$2,IF('C-Produção CDR-TMB'!$Q$7="SIM",'C-Produção CDR-TMB'!$Q$27*'C-Produção CDR-TMB'!$H$2,IF('C-Produção CDR-TMB'!$U$7="SIM",'C-Produção CDR-TMB'!$U$27*'C-Produção CDR-TMB'!$H$2,0)))))+IF('C-Biodigestão'!$E$7="SIM",'C-Biodigestão'!$E$30*'C-Biodigestão'!$H$2,IF('C-Biodigestão'!$I$7="SIM",'C-Biodigestão'!$I$30*'C-Biodigestão'!$H$2,IF('C-Biodigestão'!$M$7="SIM",'C-Biodigestão'!$M$30*'C-Biodigestão'!$H$2,IF('C-Biodigestão'!$Q$7="SIM",'C-Biodigestão'!$Q$30*'C-Biodigestão'!$H$2,IF('C-Biodigestão'!$U$7="SIM",'C-Biodigestão'!$U$30*'C-Biodigestão'!$H$2,0)))))+IF('C-Compostagem'!$E$7="SIM",'C-Compostagem'!$E$27*'C-Compostagem'!$H$2,IF('C-Compostagem'!$I$7="SIM",'C-Compostagem'!$I$27*'C-Compostagem'!$H$2,IF('C-Compostagem'!$M$7="SIM",'C-Compostagem'!$M$27*'C-Compostagem'!$H$2,IF('C-Compostagem'!$Q$7="SIM",'C-Compostagem'!$Q$27*'C-Compostagem'!$H$2,IF('C-Compostagem'!$U$7="SIM",'C-Compostagem'!$U$27*'C-Compostagem'!$H$2,0)))))+IF('C-Incineração'!$E$7="SIM",'C-Incineração'!$E$29*'C-Incineração'!$H$2,IF('C-Incineração'!$I$7="SIM",'C-Incineração'!$I$29*'C-Incineração'!$H$2,IF('C-Incineração'!$M$7="SIM",'C-Incineração'!$M$29*'C-Incineração'!$H$2,IF('C-Incineração'!$Q$7="SIM",'C-Incineração'!$Q$29*'C-Incineração'!$H$2,IF('C-Incineração'!$U$7="SIM",'C-Incineração'!$U$29*'C-Incineração'!$H$2,0)))))+IF('C-Aterro Sanitário'!$E$7="SIM",'C-Aterro Sanitário'!$E$26*1000000,IF('C-Aterro Sanitário'!$I$7="SIM",'C-Aterro Sanitário'!$I$26*1000000,IF('C-Aterro Sanitário'!$M$7="SIM",'C-Aterro Sanitário'!$M$26*1000000,IF('C-Aterro Sanitário'!$Q$7="SIM",'C-Aterro Sanitário'!$Q$26*1000000,IF('C-Aterro Sanitário'!$U$7="SIM",'C-Aterro Sanitário'!$U$26*1000000,0))))))/2.4*1.4</f>
        <v>5796474.1612654598</v>
      </c>
      <c r="D79" s="1518" t="s">
        <v>922</v>
      </c>
      <c r="E79" s="1518"/>
      <c r="F79" s="1535">
        <f>C79/'R&amp;C-Painel de Controle'!$D$8</f>
        <v>251.74041767708377</v>
      </c>
      <c r="G79" s="1518" t="s">
        <v>293</v>
      </c>
      <c r="H79" s="1601">
        <f>F79/$F$99</f>
        <v>0.29449476011014186</v>
      </c>
    </row>
    <row r="80" spans="2:8" s="1499" customFormat="1" ht="15" hidden="1" customHeight="1" outlineLevel="1" x14ac:dyDescent="0.25">
      <c r="B80" s="1552"/>
      <c r="C80" s="1565"/>
      <c r="D80" s="1508"/>
      <c r="E80" s="1508"/>
      <c r="F80" s="1509"/>
      <c r="G80" s="1508"/>
      <c r="H80" s="1510"/>
    </row>
    <row r="81" spans="2:8" ht="15" hidden="1" customHeight="1" outlineLevel="1" x14ac:dyDescent="0.25">
      <c r="B81" s="1602" t="s">
        <v>937</v>
      </c>
      <c r="C81" s="1603">
        <f>(C82*C83+C84*C85)*C86</f>
        <v>1764008.9311786082</v>
      </c>
      <c r="D81" s="1604" t="s">
        <v>922</v>
      </c>
      <c r="E81" s="1604"/>
      <c r="F81" s="1605">
        <f>C81/'R&amp;C-Painel de Controle'!$D$8</f>
        <v>76.610769368815937</v>
      </c>
      <c r="G81" s="1604" t="s">
        <v>293</v>
      </c>
      <c r="H81" s="1606">
        <f>F81/$F$99</f>
        <v>8.9621962000806882E-2</v>
      </c>
    </row>
    <row r="82" spans="2:8" ht="15" hidden="1" customHeight="1" outlineLevel="1" x14ac:dyDescent="0.25">
      <c r="B82" s="1515" t="s">
        <v>943</v>
      </c>
      <c r="C82" s="1543">
        <f>'R&amp;C-Painel de Controle'!D8</f>
        <v>23025.599999999999</v>
      </c>
      <c r="D82" s="1499" t="s">
        <v>249</v>
      </c>
      <c r="E82" s="1499"/>
      <c r="F82" s="1530"/>
      <c r="G82" s="1499"/>
      <c r="H82" s="1531"/>
    </row>
    <row r="83" spans="2:8" ht="15" hidden="1" customHeight="1" outlineLevel="1" x14ac:dyDescent="0.25">
      <c r="B83" s="1515" t="s">
        <v>944</v>
      </c>
      <c r="C83" s="1543">
        <f>'R&amp;C-Painel de Controle'!D33</f>
        <v>1396.7092707049733</v>
      </c>
      <c r="D83" s="1499" t="s">
        <v>293</v>
      </c>
      <c r="E83" s="1499"/>
      <c r="F83" s="1530"/>
      <c r="G83" s="1499"/>
      <c r="H83" s="1531"/>
    </row>
    <row r="84" spans="2:8" ht="15" hidden="1" customHeight="1" outlineLevel="1" x14ac:dyDescent="0.25">
      <c r="B84" s="1515" t="s">
        <v>945</v>
      </c>
      <c r="C84" s="1543">
        <f>'R&amp;C-Painel de Controle'!D31*312</f>
        <v>18720</v>
      </c>
      <c r="D84" s="1499" t="s">
        <v>249</v>
      </c>
      <c r="E84" s="1499"/>
      <c r="F84" s="1530"/>
      <c r="G84" s="1499"/>
      <c r="H84" s="1531"/>
    </row>
    <row r="85" spans="2:8" ht="15" hidden="1" customHeight="1" outlineLevel="1" x14ac:dyDescent="0.25">
      <c r="B85" s="1515" t="s">
        <v>946</v>
      </c>
      <c r="C85" s="1543">
        <f>'R&amp;C-Painel de Controle'!H31</f>
        <v>166.67252350575487</v>
      </c>
      <c r="D85" s="1499" t="s">
        <v>293</v>
      </c>
      <c r="E85" s="1499"/>
      <c r="F85" s="1530"/>
      <c r="G85" s="1499"/>
      <c r="H85" s="1531"/>
    </row>
    <row r="86" spans="2:8" ht="15" hidden="1" customHeight="1" outlineLevel="1" x14ac:dyDescent="0.25">
      <c r="B86" s="1516" t="s">
        <v>947</v>
      </c>
      <c r="C86" s="1571">
        <f>'C-FCL Real'!C10</f>
        <v>0.05</v>
      </c>
      <c r="D86" s="1517" t="s">
        <v>194</v>
      </c>
      <c r="E86" s="1517"/>
      <c r="F86" s="1532"/>
      <c r="G86" s="1517"/>
      <c r="H86" s="1533"/>
    </row>
    <row r="87" spans="2:8" s="1499" customFormat="1" ht="15" hidden="1" customHeight="1" outlineLevel="1" x14ac:dyDescent="0.25">
      <c r="B87" s="1552"/>
      <c r="C87" s="1565"/>
      <c r="D87" s="1508"/>
      <c r="E87" s="1508"/>
      <c r="F87" s="1509"/>
      <c r="G87" s="1508"/>
      <c r="H87" s="1510"/>
    </row>
    <row r="88" spans="2:8" ht="15" hidden="1" customHeight="1" outlineLevel="1" x14ac:dyDescent="0.25">
      <c r="B88" s="1602" t="s">
        <v>938</v>
      </c>
      <c r="C88" s="1603">
        <f>(C62*C71+C63*C72+C64*C73+C65*C74+C66*C76+C67*C75)*C89*C90</f>
        <v>14685.961197654944</v>
      </c>
      <c r="D88" s="1604" t="s">
        <v>922</v>
      </c>
      <c r="E88" s="1604"/>
      <c r="F88" s="1605">
        <f>C88/'R&amp;C-Painel de Controle'!$D$8</f>
        <v>0.63781014165341821</v>
      </c>
      <c r="G88" s="1604" t="s">
        <v>293</v>
      </c>
      <c r="H88" s="1606">
        <f>F88/$F$99</f>
        <v>7.4613264884217892E-4</v>
      </c>
    </row>
    <row r="89" spans="2:8" ht="15" hidden="1" customHeight="1" outlineLevel="1" x14ac:dyDescent="0.25">
      <c r="B89" s="1516" t="s">
        <v>966</v>
      </c>
      <c r="C89" s="1571">
        <f>'C-FCL Real'!C11</f>
        <v>0.12</v>
      </c>
      <c r="D89" s="1517" t="s">
        <v>194</v>
      </c>
      <c r="E89" s="1517"/>
      <c r="F89" s="1532"/>
      <c r="G89" s="1517"/>
      <c r="H89" s="1533"/>
    </row>
    <row r="90" spans="2:8" ht="15" hidden="1" customHeight="1" outlineLevel="1" x14ac:dyDescent="0.25">
      <c r="B90" s="1516" t="str">
        <f>'R&amp;C-Painel de Controle'!B100</f>
        <v>% Venda Matetriais Reciclávevis fora do Estado</v>
      </c>
      <c r="C90" s="1571">
        <f>'R&amp;C-Painel de Controle'!D100</f>
        <v>0.25</v>
      </c>
      <c r="D90" s="1517" t="s">
        <v>194</v>
      </c>
      <c r="E90" s="1517"/>
      <c r="F90" s="1532"/>
      <c r="G90" s="1517"/>
      <c r="H90" s="1533"/>
    </row>
    <row r="91" spans="2:8" s="1499" customFormat="1" ht="15" hidden="1" customHeight="1" outlineLevel="1" x14ac:dyDescent="0.25">
      <c r="B91" s="1552"/>
      <c r="C91" s="1565"/>
      <c r="D91" s="1508"/>
      <c r="E91" s="1508"/>
      <c r="F91" s="1509"/>
      <c r="G91" s="1508"/>
      <c r="H91" s="1510"/>
    </row>
    <row r="92" spans="2:8" ht="15" hidden="1" customHeight="1" outlineLevel="1" x14ac:dyDescent="0.25">
      <c r="B92" s="1602" t="s">
        <v>939</v>
      </c>
      <c r="C92" s="1603">
        <f>'R&amp;C-Painel de Controle'!D33*'R&amp;C-Painel de Controle'!D8*(C93)+C36*1000000/'R&amp;C-Painel de Controle'!D32</f>
        <v>3894536.7800251408</v>
      </c>
      <c r="D92" s="1604" t="s">
        <v>922</v>
      </c>
      <c r="E92" s="1607"/>
      <c r="F92" s="1608">
        <f>C92/'R&amp;C-Painel de Controle'!$D$8</f>
        <v>169.13942655240868</v>
      </c>
      <c r="G92" s="1607" t="s">
        <v>293</v>
      </c>
      <c r="H92" s="1609">
        <f>F92/$F$99</f>
        <v>0.19786522683700494</v>
      </c>
    </row>
    <row r="93" spans="2:8" ht="15" hidden="1" customHeight="1" outlineLevel="1" x14ac:dyDescent="0.25">
      <c r="B93" s="1516" t="s">
        <v>976</v>
      </c>
      <c r="C93" s="1572">
        <v>9.2499999999999999E-2</v>
      </c>
      <c r="D93" s="1517" t="s">
        <v>194</v>
      </c>
      <c r="E93" s="1517"/>
      <c r="F93" s="1532"/>
      <c r="G93" s="1517"/>
      <c r="H93" s="1533"/>
    </row>
    <row r="94" spans="2:8" ht="15" hidden="1" customHeight="1" outlineLevel="1" x14ac:dyDescent="0.25">
      <c r="B94" s="1515" t="s">
        <v>943</v>
      </c>
      <c r="C94" s="1543">
        <f>C82</f>
        <v>23025.599999999999</v>
      </c>
      <c r="D94" s="1499" t="s">
        <v>249</v>
      </c>
      <c r="E94" s="1499"/>
      <c r="F94" s="1530"/>
      <c r="G94" s="1499"/>
      <c r="H94" s="1531"/>
    </row>
    <row r="95" spans="2:8" ht="15" hidden="1" customHeight="1" outlineLevel="1" x14ac:dyDescent="0.25">
      <c r="B95" s="1515" t="s">
        <v>944</v>
      </c>
      <c r="C95" s="1543">
        <f>C83</f>
        <v>1396.7092707049733</v>
      </c>
      <c r="D95" s="1499" t="s">
        <v>293</v>
      </c>
      <c r="E95" s="1499"/>
      <c r="F95" s="1530"/>
      <c r="G95" s="1499"/>
      <c r="H95" s="1531"/>
    </row>
    <row r="96" spans="2:8" ht="15" hidden="1" customHeight="1" outlineLevel="1" x14ac:dyDescent="0.25">
      <c r="B96" s="1515" t="s">
        <v>945</v>
      </c>
      <c r="C96" s="1543">
        <f>C84</f>
        <v>18720</v>
      </c>
      <c r="D96" s="1499" t="s">
        <v>249</v>
      </c>
      <c r="E96" s="1499"/>
      <c r="F96" s="1530"/>
      <c r="G96" s="1499"/>
      <c r="H96" s="1531"/>
    </row>
    <row r="97" spans="2:8" ht="15" hidden="1" customHeight="1" outlineLevel="1" x14ac:dyDescent="0.25">
      <c r="B97" s="1515" t="s">
        <v>946</v>
      </c>
      <c r="C97" s="1543">
        <f>C85</f>
        <v>166.67252350575487</v>
      </c>
      <c r="D97" s="1499" t="s">
        <v>293</v>
      </c>
      <c r="E97" s="1499"/>
      <c r="F97" s="1530"/>
      <c r="G97" s="1499"/>
      <c r="H97" s="1531"/>
    </row>
    <row r="98" spans="2:8" s="1499" customFormat="1" ht="15" hidden="1" customHeight="1" outlineLevel="1" thickBot="1" x14ac:dyDescent="0.3">
      <c r="B98" s="1554"/>
      <c r="C98" s="1573"/>
      <c r="D98" s="1529"/>
      <c r="E98" s="1529"/>
      <c r="F98" s="1529"/>
      <c r="G98" s="1529"/>
      <c r="H98" s="1529"/>
    </row>
    <row r="99" spans="2:8" s="39" customFormat="1" ht="15" hidden="1" customHeight="1" outlineLevel="1" thickTop="1" x14ac:dyDescent="0.25">
      <c r="B99" s="1610" t="s">
        <v>926</v>
      </c>
      <c r="C99" s="1611">
        <f>C57+C61+C78+C79+C81+C88+C92</f>
        <v>19682775.20149276</v>
      </c>
      <c r="D99" s="1612" t="s">
        <v>922</v>
      </c>
      <c r="E99" s="1613"/>
      <c r="F99" s="1614">
        <f>C99/'R&amp;C-Painel de Controle'!$D$8</f>
        <v>854.82138148377294</v>
      </c>
      <c r="G99" s="1613" t="s">
        <v>293</v>
      </c>
      <c r="H99" s="1615">
        <f>F99/$F$99</f>
        <v>1</v>
      </c>
    </row>
    <row r="100" spans="2:8" ht="15" customHeight="1" thickTop="1" thickBot="1" x14ac:dyDescent="0.3">
      <c r="D100" s="1499"/>
      <c r="E100" s="1499"/>
      <c r="F100" s="1499"/>
      <c r="G100" s="1499"/>
      <c r="H100" s="1499"/>
    </row>
    <row r="101" spans="2:8" ht="25.15" customHeight="1" collapsed="1" thickTop="1" thickBot="1" x14ac:dyDescent="0.3">
      <c r="B101" s="2932" t="s">
        <v>989</v>
      </c>
      <c r="C101" s="2933"/>
      <c r="D101" s="2933"/>
      <c r="E101" s="2933"/>
      <c r="F101" s="2933"/>
      <c r="G101" s="2933"/>
      <c r="H101" s="2934"/>
    </row>
    <row r="102" spans="2:8" ht="15" hidden="1" customHeight="1" outlineLevel="1" thickTop="1" x14ac:dyDescent="0.25">
      <c r="B102" s="1664" t="s">
        <v>241</v>
      </c>
      <c r="C102" s="1623">
        <f>'R&amp;C-Painel de Controle'!D6</f>
        <v>411597</v>
      </c>
      <c r="D102" s="1499" t="s">
        <v>242</v>
      </c>
      <c r="F102" s="37"/>
      <c r="G102" s="1522"/>
    </row>
    <row r="103" spans="2:8" ht="15" hidden="1" customHeight="1" outlineLevel="1" x14ac:dyDescent="0.25">
      <c r="B103" s="1622" t="s">
        <v>975</v>
      </c>
      <c r="C103" s="1623">
        <f>'R&amp;C-Painel de Controle'!D8</f>
        <v>23025.599999999999</v>
      </c>
      <c r="D103" s="1624" t="s">
        <v>249</v>
      </c>
      <c r="E103" s="1625"/>
      <c r="F103" s="1625"/>
      <c r="G103" s="1625"/>
      <c r="H103" s="1625"/>
    </row>
    <row r="104" spans="2:8" ht="15" hidden="1" customHeight="1" outlineLevel="1" x14ac:dyDescent="0.25">
      <c r="B104" s="1622" t="s">
        <v>975</v>
      </c>
      <c r="C104" s="1623">
        <f>C103/312</f>
        <v>73.8</v>
      </c>
      <c r="D104" s="1624" t="s">
        <v>21</v>
      </c>
      <c r="E104" s="1625"/>
      <c r="F104" s="1625"/>
      <c r="G104" s="1625"/>
      <c r="H104" s="1625"/>
    </row>
    <row r="105" spans="2:8" ht="15" hidden="1" customHeight="1" outlineLevel="1" x14ac:dyDescent="0.25">
      <c r="B105" s="1626" t="s">
        <v>977</v>
      </c>
      <c r="C105" s="1623">
        <f>'R&amp;C-Painel de Controle'!D48</f>
        <v>24964.143308617382</v>
      </c>
      <c r="D105" s="1624" t="s">
        <v>249</v>
      </c>
      <c r="E105" s="1625"/>
      <c r="F105" s="1625"/>
      <c r="G105" s="1625"/>
      <c r="H105" s="1625"/>
    </row>
    <row r="106" spans="2:8" ht="15" hidden="1" customHeight="1" outlineLevel="1" x14ac:dyDescent="0.25">
      <c r="B106" s="1626" t="s">
        <v>992</v>
      </c>
      <c r="C106" s="1623">
        <f>C105/312</f>
        <v>80.013279835312119</v>
      </c>
      <c r="D106" s="1624" t="s">
        <v>21</v>
      </c>
      <c r="E106" s="1625"/>
      <c r="F106" s="1625"/>
      <c r="G106" s="1625"/>
      <c r="H106" s="1625"/>
    </row>
    <row r="107" spans="2:8" ht="15" hidden="1" customHeight="1" outlineLevel="1" x14ac:dyDescent="0.25">
      <c r="B107" s="1626" t="s">
        <v>1000</v>
      </c>
      <c r="C107" s="1663">
        <f>'R-Entrada'!E26/100</f>
        <v>0.48399999999999999</v>
      </c>
      <c r="D107" s="1624" t="s">
        <v>194</v>
      </c>
      <c r="E107" s="1625"/>
      <c r="F107" s="1625"/>
      <c r="G107" s="1625"/>
      <c r="H107" s="1625"/>
    </row>
    <row r="108" spans="2:8" ht="15" hidden="1" customHeight="1" outlineLevel="1" x14ac:dyDescent="0.25">
      <c r="B108" s="1627" t="s">
        <v>984</v>
      </c>
      <c r="C108" s="1628">
        <f>((IF('C-Triagem Mec'!$E$7="SIM",'C-Triagem Mec'!$E$33*'C-Triagem Mec'!$H$2,IF('C-Triagem Mec'!$I$7="SIM",'C-Triagem Mec'!$I$33*'C-Triagem Mec'!$H$2,IF('C-Triagem Mec'!$M$7="SIM",'C-Triagem Mec'!$M$33*'C-Triagem Mec'!$H$2,IF('C-Triagem Mec'!$Q$7="SIM",'C-Triagem Mec'!$Q$33*'C-Triagem Mec'!$H$2,IF('C-Triagem Mec'!$U$7="SIM",'C-Triagem Mec'!$U$33*'C-Triagem Mec'!$H$2,0)))))+IF('C-Produção CDR-TM'!$E$7="SIM",'C-Produção CDR-TM'!$E$33*'C-Produção CDR-TM'!$H$2,IF('C-Produção CDR-TM'!$I$7="SIM",'C-Produção CDR-TM'!$I$33*'C-Produção CDR-TM'!$H$2,IF('C-Produção CDR-TM'!$M$7="SIM",'C-Produção CDR-TM'!$M$33*'C-Produção CDR-TM'!$H$2,IF('C-Produção CDR-TM'!$Q$7="SIM",'C-Produção CDR-TM'!$Q$33*'C-Produção CDR-TM'!$H$2,IF('C-Produção CDR-TM'!$U$7="SIM",'C-Produção CDR-TM'!$U$27*'C-Produção CDR-TM'!$H$2,0)))))+IF('C-Produção CDR-TMB'!$E$7="SIM",'C-Produção CDR-TMB'!$E$27*'C-Produção CDR-TMB'!$H$2,IF('C-Produção CDR-TMB'!$I$7="SIM",'C-Produção CDR-TMB'!$I$27*'C-Produção CDR-TMB'!$H$2,IF('C-Produção CDR-TMB'!$M$7="SIM",'C-Produção CDR-TMB'!$M$27*'C-Produção CDR-TMB'!$H$2,IF('C-Produção CDR-TMB'!$Q$7="SIM",'C-Produção CDR-TMB'!$Q$33*'C-Produção CDR-TMB'!$H$2,IF('C-Produção CDR-TMB'!$U$7="SIM",'C-Produção CDR-TMB'!$U$33*'C-Produção CDR-TMB'!$H$2,0)))))+IF('C-Biodigestão'!$E$7="SIM",'C-Biodigestão'!$E$36*'C-Biodigestão'!$H$2,IF('C-Biodigestão'!$I$7="SIM",'C-Biodigestão'!$I$36*'C-Biodigestão'!$H$2,IF('C-Biodigestão'!$M$7="SIM",'C-Biodigestão'!$M$36*'C-Biodigestão'!$H$2,IF('C-Biodigestão'!$Q$7="SIM",'C-Biodigestão'!$Q$36*'C-Biodigestão'!$H$2,IF('C-Biodigestão'!$U$7="SIM",'C-Biodigestão'!$U$36*'C-Biodigestão'!$H$2,0)))))+IF('C-Compostagem'!$E$7="SIM",'C-Compostagem'!$E$33*'C-Compostagem'!$H$2,IF('C-Compostagem'!$I$7="SIM",'C-Compostagem'!$I$33*'C-Compostagem'!$H$2,IF('C-Compostagem'!$M$7="SIM",'C-Compostagem'!$M$33*'C-Compostagem'!$H$2,IF('C-Compostagem'!$Q$7="SIM",'C-Compostagem'!$Q$33*'C-Compostagem'!$H$2,IF('C-Compostagem'!$U$7="SIM",'C-Compostagem'!$U$33*'C-Compostagem'!$H$2,0)))))+IF('C-Incineração'!$E$7="SIM",'C-Incineração'!$E$35*'C-Incineração'!$H$2,IF('C-Incineração'!$I$7="SIM",'C-Incineração'!$I$35*'C-Incineração'!$H$2,IF('C-Incineração'!$M$7="SIM",'C-Incineração'!$M$35*'C-Incineração'!$H$2,IF('C-Incineração'!$Q$7="SIM",'C-Incineração'!$Q$35*'C-Incineração'!$H$2,IF('C-Incineração'!$U$7="SIM",'C-Incineração'!$U$35*'C-Incineração'!$H$2,0)))))))/1000</f>
        <v>3448.6227150977188</v>
      </c>
      <c r="D108" s="1629" t="s">
        <v>257</v>
      </c>
      <c r="E108" s="1625"/>
      <c r="F108" s="1625"/>
      <c r="G108" s="1625"/>
      <c r="H108" s="1625"/>
    </row>
    <row r="109" spans="2:8" ht="15" hidden="1" customHeight="1" outlineLevel="1" x14ac:dyDescent="0.25">
      <c r="B109" s="1627" t="s">
        <v>985</v>
      </c>
      <c r="C109" s="1630">
        <f>'R&amp;C-Painel de Controle'!D68</f>
        <v>0</v>
      </c>
      <c r="D109" s="1631" t="s">
        <v>282</v>
      </c>
      <c r="E109" s="1625"/>
      <c r="F109" s="1625"/>
      <c r="G109" s="1625"/>
      <c r="H109" s="1625"/>
    </row>
    <row r="110" spans="2:8" ht="15" hidden="1" customHeight="1" outlineLevel="1" thickBot="1" x14ac:dyDescent="0.3">
      <c r="B110" s="1664" t="s">
        <v>1031</v>
      </c>
      <c r="C110" s="1841">
        <f>C103*1000/C102/365</f>
        <v>0.15326602384477622</v>
      </c>
      <c r="D110" s="1499" t="s">
        <v>1032</v>
      </c>
    </row>
    <row r="111" spans="2:8" ht="15" hidden="1" customHeight="1" outlineLevel="1" thickTop="1" x14ac:dyDescent="0.25">
      <c r="B111" s="1576" t="s">
        <v>978</v>
      </c>
      <c r="C111" s="1588"/>
      <c r="D111" s="1577"/>
      <c r="E111" s="1577"/>
      <c r="F111" s="1577"/>
      <c r="G111" s="1577"/>
      <c r="H111" s="1577"/>
    </row>
    <row r="112" spans="2:8" s="1499" customFormat="1" ht="15" hidden="1" customHeight="1" outlineLevel="1" x14ac:dyDescent="0.25">
      <c r="B112" s="1632"/>
      <c r="C112" s="1636">
        <f>'R-Resumo Bal. Massa'!G51</f>
        <v>56.838930418633758</v>
      </c>
      <c r="D112" s="1633" t="s">
        <v>971</v>
      </c>
      <c r="E112" s="1634"/>
      <c r="F112" s="1634"/>
      <c r="G112" s="1634"/>
      <c r="H112" s="1634"/>
    </row>
    <row r="113" spans="2:8" ht="15" hidden="1" customHeight="1" outlineLevel="1" x14ac:dyDescent="0.25">
      <c r="B113" s="1548"/>
      <c r="C113" s="1563">
        <f>C112*312*$C$106/$C$104/1000</f>
        <v>19.226764288337463</v>
      </c>
      <c r="D113" s="1578" t="s">
        <v>969</v>
      </c>
      <c r="E113" s="749"/>
      <c r="F113" s="749"/>
      <c r="G113" s="749"/>
      <c r="H113" s="749"/>
    </row>
    <row r="114" spans="2:8" ht="15" hidden="1" customHeight="1" outlineLevel="1" x14ac:dyDescent="0.25">
      <c r="B114" s="1583" t="s">
        <v>979</v>
      </c>
      <c r="C114" s="1589"/>
      <c r="D114" s="1584"/>
      <c r="E114" s="1584"/>
      <c r="F114" s="1584"/>
      <c r="G114" s="1584"/>
      <c r="H114" s="1584"/>
    </row>
    <row r="115" spans="2:8" s="1499" customFormat="1" ht="15" hidden="1" customHeight="1" outlineLevel="1" x14ac:dyDescent="0.25">
      <c r="B115" s="1632"/>
      <c r="C115" s="1636">
        <f>'R-Resumo Bal. Massa'!G49</f>
        <v>14.627575124999996</v>
      </c>
      <c r="D115" s="1633" t="s">
        <v>971</v>
      </c>
      <c r="E115" s="1634"/>
      <c r="F115" s="1634"/>
      <c r="G115" s="1634"/>
      <c r="H115" s="1634"/>
    </row>
    <row r="116" spans="2:8" ht="15" hidden="1" customHeight="1" outlineLevel="1" x14ac:dyDescent="0.25">
      <c r="B116" s="1585"/>
      <c r="C116" s="1563">
        <f>C115*312*$C$106/$C$104/1000</f>
        <v>4.9480336270740741</v>
      </c>
      <c r="D116" s="1586" t="s">
        <v>969</v>
      </c>
      <c r="E116" s="1587"/>
      <c r="F116" s="1587"/>
      <c r="G116" s="1587"/>
      <c r="H116" s="1587"/>
    </row>
    <row r="117" spans="2:8" ht="15" hidden="1" customHeight="1" outlineLevel="1" x14ac:dyDescent="0.25">
      <c r="B117" s="1579" t="s">
        <v>980</v>
      </c>
      <c r="C117" s="1543"/>
      <c r="D117" s="749"/>
      <c r="E117" s="749"/>
      <c r="F117" s="749"/>
      <c r="G117" s="749"/>
      <c r="H117" s="749"/>
    </row>
    <row r="118" spans="2:8" s="1499" customFormat="1" ht="15" hidden="1" customHeight="1" outlineLevel="1" x14ac:dyDescent="0.25">
      <c r="B118" s="1632"/>
      <c r="C118" s="1636">
        <f>'R-Resumo Bal. Massa'!G50</f>
        <v>2.3334944563662328</v>
      </c>
      <c r="D118" s="1633" t="s">
        <v>971</v>
      </c>
      <c r="E118" s="1634"/>
      <c r="F118" s="1634"/>
      <c r="G118" s="1634"/>
      <c r="H118" s="1634"/>
    </row>
    <row r="119" spans="2:8" ht="15" hidden="1" customHeight="1" outlineLevel="1" thickBot="1" x14ac:dyDescent="0.3">
      <c r="B119" s="1580"/>
      <c r="C119" s="1662">
        <f>C118*312*$C$106/$C$104/1000</f>
        <v>0.78934539320583808</v>
      </c>
      <c r="D119" s="1581" t="s">
        <v>969</v>
      </c>
      <c r="E119" s="1582"/>
      <c r="F119" s="1582"/>
      <c r="G119" s="1582"/>
      <c r="H119" s="1582"/>
    </row>
    <row r="120" spans="2:8" ht="15" hidden="1" customHeight="1" outlineLevel="1" thickTop="1" thickBot="1" x14ac:dyDescent="0.3">
      <c r="C120" s="1544"/>
    </row>
    <row r="121" spans="2:8" ht="15" hidden="1" customHeight="1" outlineLevel="1" thickTop="1" x14ac:dyDescent="0.25">
      <c r="B121" s="2928" t="s">
        <v>981</v>
      </c>
      <c r="C121" s="1590"/>
      <c r="D121" s="1577"/>
      <c r="E121" s="1577"/>
      <c r="F121" s="1577"/>
      <c r="G121" s="1577"/>
      <c r="H121" s="1577"/>
    </row>
    <row r="122" spans="2:8" ht="15" hidden="1" customHeight="1" outlineLevel="1" x14ac:dyDescent="0.25">
      <c r="B122" s="2926"/>
      <c r="C122" s="1637">
        <f>'R-Resumo Bal. Massa'!D64</f>
        <v>2.3334944563662328</v>
      </c>
      <c r="D122" s="1629" t="s">
        <v>971</v>
      </c>
      <c r="E122" s="1625"/>
      <c r="F122" s="1625"/>
      <c r="G122" s="1625"/>
      <c r="H122" s="1625"/>
    </row>
    <row r="123" spans="2:8" ht="15" hidden="1" customHeight="1" outlineLevel="1" x14ac:dyDescent="0.25">
      <c r="B123" s="2927"/>
      <c r="C123" s="1563">
        <f>C122*312*$C$106/$C$104/1000</f>
        <v>0.78934539320583808</v>
      </c>
      <c r="D123" s="1578" t="s">
        <v>969</v>
      </c>
      <c r="E123" s="749"/>
      <c r="F123" s="749"/>
      <c r="G123" s="749"/>
      <c r="H123" s="749"/>
    </row>
    <row r="124" spans="2:8" ht="15" hidden="1" customHeight="1" outlineLevel="1" x14ac:dyDescent="0.25">
      <c r="B124" s="2925" t="s">
        <v>987</v>
      </c>
      <c r="C124" s="1589"/>
      <c r="D124" s="1584"/>
      <c r="E124" s="1584"/>
      <c r="F124" s="1584"/>
      <c r="G124" s="1584"/>
      <c r="H124" s="1584"/>
    </row>
    <row r="125" spans="2:8" ht="15" hidden="1" customHeight="1" outlineLevel="1" x14ac:dyDescent="0.25">
      <c r="B125" s="2926"/>
      <c r="C125" s="1637">
        <f>'R-Resumo Bal. Massa'!D73</f>
        <v>0</v>
      </c>
      <c r="D125" s="1629" t="s">
        <v>971</v>
      </c>
      <c r="E125" s="1625"/>
      <c r="F125" s="1625"/>
      <c r="G125" s="1625"/>
      <c r="H125" s="1625"/>
    </row>
    <row r="126" spans="2:8" ht="15" hidden="1" customHeight="1" outlineLevel="1" x14ac:dyDescent="0.25">
      <c r="B126" s="2927"/>
      <c r="C126" s="1563">
        <f>C125*312*$C$106/$C$104/1000</f>
        <v>0</v>
      </c>
      <c r="D126" s="1578" t="s">
        <v>969</v>
      </c>
      <c r="E126" s="749"/>
      <c r="F126" s="749"/>
      <c r="G126" s="749"/>
      <c r="H126" s="749"/>
    </row>
    <row r="127" spans="2:8" ht="15" hidden="1" customHeight="1" outlineLevel="1" x14ac:dyDescent="0.25">
      <c r="B127" s="2925" t="s">
        <v>970</v>
      </c>
      <c r="C127" s="1589"/>
      <c r="D127" s="1584"/>
      <c r="E127" s="1584"/>
      <c r="F127" s="1584"/>
      <c r="G127" s="1584"/>
      <c r="H127" s="1584"/>
    </row>
    <row r="128" spans="2:8" ht="15" hidden="1" customHeight="1" outlineLevel="1" x14ac:dyDescent="0.25">
      <c r="B128" s="2926"/>
      <c r="C128" s="1637">
        <f>'R-Resumo Bal. Massa'!D69</f>
        <v>0</v>
      </c>
      <c r="D128" s="1629" t="s">
        <v>971</v>
      </c>
      <c r="E128" s="1625"/>
      <c r="F128" s="1625"/>
      <c r="G128" s="1625"/>
      <c r="H128" s="1625"/>
    </row>
    <row r="129" spans="2:8" ht="15" hidden="1" customHeight="1" outlineLevel="1" x14ac:dyDescent="0.25">
      <c r="B129" s="2927"/>
      <c r="C129" s="1563">
        <f>C128*312*$C$106/$C$104/1000</f>
        <v>0</v>
      </c>
      <c r="D129" s="1586" t="s">
        <v>969</v>
      </c>
      <c r="E129" s="1587"/>
      <c r="F129" s="1587"/>
      <c r="G129" s="1587"/>
      <c r="H129" s="1587"/>
    </row>
    <row r="130" spans="2:8" ht="15" hidden="1" customHeight="1" outlineLevel="1" x14ac:dyDescent="0.25">
      <c r="B130" s="2925" t="s">
        <v>1028</v>
      </c>
      <c r="C130" s="1830">
        <f>IF('R-Definição'!E112&gt;0,'R-Definição'!O111/'R-Definição'!E112,0)</f>
        <v>610.68265913572588</v>
      </c>
      <c r="D130" s="1551" t="s">
        <v>1027</v>
      </c>
      <c r="E130" s="749"/>
      <c r="F130" s="749"/>
      <c r="G130" s="749"/>
      <c r="H130" s="749"/>
    </row>
    <row r="131" spans="2:8" ht="15" hidden="1" customHeight="1" outlineLevel="1" x14ac:dyDescent="0.25">
      <c r="B131" s="2926"/>
      <c r="C131" s="1831">
        <f>C130*C106</f>
        <v>48862.722495999362</v>
      </c>
      <c r="D131" s="1629" t="s">
        <v>973</v>
      </c>
      <c r="E131" s="1625"/>
      <c r="F131" s="1625"/>
      <c r="G131" s="1625"/>
      <c r="H131" s="1625"/>
    </row>
    <row r="132" spans="2:8" ht="15" hidden="1" customHeight="1" outlineLevel="1" x14ac:dyDescent="0.25">
      <c r="B132" s="2927"/>
      <c r="C132" s="1616">
        <f>C130*C105/1000</f>
        <v>15245.169418751801</v>
      </c>
      <c r="D132" s="1586" t="s">
        <v>257</v>
      </c>
      <c r="E132" s="1587"/>
      <c r="F132" s="1587"/>
      <c r="G132" s="1587"/>
      <c r="H132" s="1587"/>
    </row>
    <row r="133" spans="2:8" ht="15" hidden="1" customHeight="1" outlineLevel="1" x14ac:dyDescent="0.25">
      <c r="B133" s="2925" t="s">
        <v>1029</v>
      </c>
      <c r="C133" s="1543">
        <f>IF(AND('R-Definição'!O62&gt;0,'R-Definição'!J65&gt;0),('R-Definição'!O69/('R-Definição'!O62*'R-Definição'!J65/100)),0)</f>
        <v>0</v>
      </c>
      <c r="D133" s="1551" t="s">
        <v>1027</v>
      </c>
      <c r="E133" s="749"/>
      <c r="F133" s="749"/>
      <c r="G133" s="749"/>
      <c r="H133" s="749"/>
    </row>
    <row r="134" spans="2:8" ht="15" hidden="1" customHeight="1" outlineLevel="1" x14ac:dyDescent="0.25">
      <c r="B134" s="2926"/>
      <c r="C134" s="1665">
        <f>C133*C106*C107</f>
        <v>0</v>
      </c>
      <c r="D134" s="1629" t="s">
        <v>973</v>
      </c>
      <c r="E134" s="1625"/>
      <c r="F134" s="1625"/>
      <c r="G134" s="1625"/>
      <c r="H134" s="1625"/>
    </row>
    <row r="135" spans="2:8" ht="15" hidden="1" customHeight="1" outlineLevel="1" x14ac:dyDescent="0.25">
      <c r="B135" s="2927"/>
      <c r="C135" s="1616">
        <f>C133*C105*C107/1000</f>
        <v>0</v>
      </c>
      <c r="D135" s="1586" t="s">
        <v>257</v>
      </c>
      <c r="E135" s="1587"/>
      <c r="F135" s="1587"/>
      <c r="G135" s="1587"/>
      <c r="H135" s="1587"/>
    </row>
    <row r="136" spans="2:8" ht="15" hidden="1" customHeight="1" outlineLevel="1" x14ac:dyDescent="0.25">
      <c r="B136" s="2925" t="s">
        <v>236</v>
      </c>
      <c r="C136" s="1543">
        <f>IF(AND('R-Definição'!O62&gt;0,'R-Definição'!J64&gt;0),('R-Definição'!O70/('R-Definição'!O62*'R-Definição'!J64/100)),0)</f>
        <v>0</v>
      </c>
      <c r="D136" s="1666" t="s">
        <v>1001</v>
      </c>
      <c r="E136" s="749"/>
      <c r="F136" s="749"/>
      <c r="G136" s="749"/>
      <c r="H136" s="749"/>
    </row>
    <row r="137" spans="2:8" ht="15" hidden="1" customHeight="1" outlineLevel="1" x14ac:dyDescent="0.25">
      <c r="B137" s="2926"/>
      <c r="C137" s="1665">
        <f>C136*C106*C107</f>
        <v>0</v>
      </c>
      <c r="D137" s="1629" t="s">
        <v>974</v>
      </c>
      <c r="E137" s="1625"/>
      <c r="F137" s="1625"/>
      <c r="G137" s="1625"/>
      <c r="H137" s="1625"/>
    </row>
    <row r="138" spans="2:8" ht="15" hidden="1" customHeight="1" outlineLevel="1" x14ac:dyDescent="0.25">
      <c r="B138" s="2926"/>
      <c r="C138" s="1616">
        <f>C136*C105*C107</f>
        <v>0</v>
      </c>
      <c r="D138" s="1633" t="s">
        <v>983</v>
      </c>
      <c r="E138" s="1625"/>
      <c r="F138" s="1625"/>
      <c r="G138" s="1625"/>
      <c r="H138" s="1625"/>
    </row>
    <row r="139" spans="2:8" ht="15" hidden="1" customHeight="1" outlineLevel="1" thickBot="1" x14ac:dyDescent="0.3">
      <c r="B139" s="1635" t="s">
        <v>982</v>
      </c>
      <c r="C139" s="1617">
        <f>(C138*90%)/1000</f>
        <v>0</v>
      </c>
      <c r="D139" s="1581" t="s">
        <v>986</v>
      </c>
      <c r="E139" s="1582"/>
      <c r="F139" s="1582"/>
      <c r="G139" s="1582"/>
      <c r="H139" s="1582"/>
    </row>
    <row r="140" spans="2:8" ht="15" customHeight="1" thickTop="1" x14ac:dyDescent="0.25">
      <c r="B140" s="2646" t="s">
        <v>1498</v>
      </c>
      <c r="C140" s="2647">
        <f>'R&amp;C-Painel de Controle'!D34</f>
        <v>158</v>
      </c>
    </row>
    <row r="141" spans="2:8" x14ac:dyDescent="0.25">
      <c r="B141" s="2648" t="s">
        <v>1499</v>
      </c>
      <c r="C141" s="2649">
        <f>'CO2 - Todos Resultados'!C38</f>
        <v>25410.515177629579</v>
      </c>
    </row>
    <row r="142" spans="2:8" x14ac:dyDescent="0.25">
      <c r="B142" s="2648" t="s">
        <v>1500</v>
      </c>
      <c r="C142" s="2649">
        <f>'CO2 - Todos Resultados'!J38</f>
        <v>6610.6283322570471</v>
      </c>
    </row>
  </sheetData>
  <mergeCells count="13">
    <mergeCell ref="A15:A16"/>
    <mergeCell ref="C2:H2"/>
    <mergeCell ref="B10:C11"/>
    <mergeCell ref="D10:H11"/>
    <mergeCell ref="B136:B138"/>
    <mergeCell ref="B130:B132"/>
    <mergeCell ref="B127:B129"/>
    <mergeCell ref="B124:B126"/>
    <mergeCell ref="B121:B123"/>
    <mergeCell ref="B13:H13"/>
    <mergeCell ref="B55:H55"/>
    <mergeCell ref="B101:H101"/>
    <mergeCell ref="B133:B135"/>
  </mergeCells>
  <dataValidations count="1">
    <dataValidation type="list" allowBlank="1" showInputMessage="1" showErrorMessage="1" sqref="D10" xr:uid="{00000000-0002-0000-0B00-000000000000}">
      <formula1>$J$10:$M$10</formula1>
    </dataValidation>
  </dataValidations>
  <pageMargins left="0.511811024" right="0.511811024" top="0.78740157499999996" bottom="0.78740157499999996" header="0.31496062000000002" footer="0.31496062000000002"/>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outlinePr summaryBelow="0"/>
  </sheetPr>
  <dimension ref="A1:AB104"/>
  <sheetViews>
    <sheetView zoomScale="75" zoomScaleNormal="75" workbookViewId="0">
      <selection activeCell="B1" sqref="B1:B3"/>
    </sheetView>
  </sheetViews>
  <sheetFormatPr defaultColWidth="14.42578125" defaultRowHeight="15" customHeight="1" outlineLevelRow="1" x14ac:dyDescent="0.25"/>
  <cols>
    <col min="1" max="1" width="1.7109375" customWidth="1"/>
    <col min="2" max="2" width="60.7109375" customWidth="1"/>
    <col min="3" max="3" width="1.7109375" customWidth="1"/>
    <col min="4" max="4" width="11.7109375" customWidth="1"/>
    <col min="5" max="5" width="15.7109375" customWidth="1"/>
    <col min="6" max="6" width="11.7109375" customWidth="1"/>
    <col min="7" max="7" width="1.7109375" customWidth="1"/>
    <col min="8" max="8" width="11.7109375" customWidth="1"/>
    <col min="9" max="9" width="15.7109375" customWidth="1"/>
    <col min="10" max="10" width="11.7109375" customWidth="1"/>
    <col min="11" max="11" width="1.7109375" customWidth="1"/>
    <col min="12" max="12" width="11.7109375" customWidth="1"/>
    <col min="13" max="13" width="15.7109375" customWidth="1"/>
    <col min="14" max="14" width="11.7109375" customWidth="1"/>
    <col min="15" max="15" width="1.7109375" customWidth="1"/>
    <col min="16" max="16" width="11.7109375" customWidth="1"/>
    <col min="17" max="17" width="15.7109375" customWidth="1"/>
    <col min="18" max="18" width="11.7109375" customWidth="1"/>
    <col min="19" max="19" width="1.7109375" customWidth="1"/>
    <col min="20" max="20" width="11.7109375" customWidth="1"/>
    <col min="21" max="21" width="15.7109375" customWidth="1"/>
    <col min="22" max="22" width="11.7109375" customWidth="1"/>
    <col min="23" max="24" width="9.42578125" hidden="1" customWidth="1"/>
    <col min="25" max="25" width="9.7109375" hidden="1" customWidth="1"/>
    <col min="26" max="27" width="9.42578125" hidden="1" customWidth="1"/>
    <col min="28" max="28" width="8.7109375" customWidth="1"/>
  </cols>
  <sheetData>
    <row r="1" spans="1:28" s="318" customFormat="1" ht="19.899999999999999" customHeight="1" x14ac:dyDescent="0.25">
      <c r="A1" s="427"/>
      <c r="B1" s="2943" t="s">
        <v>756</v>
      </c>
      <c r="C1" s="427"/>
      <c r="D1" s="427"/>
      <c r="E1" s="427"/>
      <c r="F1" s="427"/>
      <c r="G1" s="427"/>
      <c r="H1" s="427"/>
      <c r="I1" s="427"/>
      <c r="J1" s="427"/>
      <c r="K1" s="427"/>
      <c r="L1" s="427"/>
      <c r="M1" s="427"/>
      <c r="N1" s="427"/>
      <c r="O1" s="427"/>
      <c r="P1" s="427"/>
      <c r="Q1" s="427"/>
      <c r="R1" s="427"/>
      <c r="S1" s="427"/>
      <c r="T1" s="427"/>
      <c r="U1" s="427"/>
      <c r="V1" s="427"/>
      <c r="W1" s="316"/>
      <c r="X1" s="316"/>
      <c r="Y1" s="316"/>
      <c r="Z1" s="316"/>
      <c r="AA1" s="316"/>
      <c r="AB1" s="316"/>
    </row>
    <row r="2" spans="1:28" s="318" customFormat="1" ht="19.899999999999999" customHeight="1" x14ac:dyDescent="0.3">
      <c r="A2" s="431"/>
      <c r="B2" s="2943"/>
      <c r="C2" s="430"/>
      <c r="D2" s="858">
        <f>'R-Resumo Bal. Massa'!B19*(1+'R&amp;C-Painel de Controle'!H53)</f>
        <v>0</v>
      </c>
      <c r="E2" s="1097" t="s">
        <v>21</v>
      </c>
      <c r="F2" s="1095"/>
      <c r="G2" s="859"/>
      <c r="H2" s="860">
        <f>D2*313</f>
        <v>0</v>
      </c>
      <c r="I2" s="870" t="s">
        <v>249</v>
      </c>
      <c r="J2" s="861"/>
      <c r="K2" s="862"/>
      <c r="L2" s="871" t="str">
        <f>IF(D2&gt;0,"Sim","Não")</f>
        <v>Não</v>
      </c>
      <c r="M2" s="863"/>
      <c r="N2" s="861"/>
      <c r="O2" s="862"/>
      <c r="P2" s="864" t="s">
        <v>436</v>
      </c>
      <c r="Q2" s="2941" t="str">
        <f>'R-Definição'!D2</f>
        <v>CIRSOP - Consórcio RSU Oeste Paulista</v>
      </c>
      <c r="R2" s="2942"/>
      <c r="S2" s="862"/>
      <c r="T2" s="864" t="s">
        <v>437</v>
      </c>
      <c r="U2" s="2941" t="str">
        <f>'R-Definição'!D3</f>
        <v>Biodigestão c/ Prod. E. Elétrica</v>
      </c>
      <c r="V2" s="2942"/>
      <c r="W2" s="319"/>
      <c r="X2" s="319"/>
      <c r="Y2" s="319"/>
      <c r="Z2" s="319"/>
      <c r="AA2" s="319"/>
      <c r="AB2" s="319"/>
    </row>
    <row r="3" spans="1:28" s="318" customFormat="1" ht="19.899999999999999" customHeight="1" x14ac:dyDescent="0.25">
      <c r="A3" s="427"/>
      <c r="B3" s="2943"/>
      <c r="C3" s="398"/>
      <c r="D3" s="428"/>
      <c r="E3" s="905"/>
      <c r="F3" s="1093"/>
      <c r="G3" s="428"/>
      <c r="H3" s="428"/>
      <c r="I3" s="428"/>
      <c r="J3" s="428"/>
      <c r="K3" s="428"/>
      <c r="L3" s="427" t="s">
        <v>840</v>
      </c>
      <c r="M3" s="835" t="s">
        <v>281</v>
      </c>
      <c r="N3" s="428"/>
      <c r="O3" s="429"/>
      <c r="P3" s="428"/>
      <c r="Q3" s="428"/>
      <c r="R3" s="428"/>
      <c r="S3" s="428"/>
      <c r="T3" s="428"/>
      <c r="U3" s="428"/>
      <c r="V3" s="426"/>
      <c r="W3" s="316"/>
      <c r="X3" s="316"/>
      <c r="Y3" s="316"/>
      <c r="Z3" s="316"/>
      <c r="AA3" s="316"/>
      <c r="AB3" s="316"/>
    </row>
    <row r="4" spans="1:28" s="318" customFormat="1" ht="7.5" customHeight="1" x14ac:dyDescent="0.25">
      <c r="A4" s="427"/>
      <c r="B4" s="683"/>
      <c r="C4" s="403"/>
      <c r="D4" s="1061"/>
      <c r="E4" s="1061"/>
      <c r="F4" s="1093"/>
      <c r="G4" s="403"/>
      <c r="H4" s="1061"/>
      <c r="I4" s="1061"/>
      <c r="J4" s="1061"/>
      <c r="K4" s="403"/>
      <c r="L4" s="1061"/>
      <c r="M4" s="1061"/>
      <c r="N4" s="1061"/>
      <c r="O4" s="403"/>
      <c r="P4" s="1061"/>
      <c r="Q4" s="1061"/>
      <c r="R4" s="1061"/>
      <c r="S4" s="905"/>
      <c r="T4" s="1061"/>
      <c r="U4" s="1061"/>
      <c r="V4" s="906"/>
      <c r="W4" s="316"/>
      <c r="X4" s="316"/>
      <c r="Y4" s="316"/>
      <c r="Z4" s="316"/>
      <c r="AA4" s="316"/>
      <c r="AB4" s="316"/>
    </row>
    <row r="5" spans="1:28" s="831" customFormat="1" ht="17.649999999999999" customHeight="1" x14ac:dyDescent="0.25">
      <c r="A5" s="843"/>
      <c r="B5" s="865" t="s">
        <v>755</v>
      </c>
      <c r="C5" s="866"/>
      <c r="D5" s="867">
        <v>4</v>
      </c>
      <c r="E5" s="1097" t="s">
        <v>766</v>
      </c>
      <c r="F5" s="1094"/>
      <c r="G5" s="868"/>
      <c r="H5" s="868"/>
      <c r="I5" s="868"/>
      <c r="J5" s="868"/>
      <c r="K5" s="868"/>
      <c r="L5" s="868"/>
      <c r="M5" s="868"/>
      <c r="N5" s="868"/>
      <c r="O5" s="868"/>
      <c r="P5" s="868"/>
      <c r="Q5" s="868"/>
      <c r="R5" s="868"/>
      <c r="S5" s="868"/>
      <c r="T5" s="868"/>
      <c r="U5" s="868"/>
      <c r="V5" s="869"/>
      <c r="W5" s="847"/>
      <c r="X5" s="847"/>
      <c r="Y5" s="847"/>
      <c r="Z5" s="847"/>
      <c r="AA5" s="847"/>
      <c r="AB5" s="847"/>
    </row>
    <row r="6" spans="1:28" s="318" customFormat="1" ht="7.5" customHeight="1" thickBot="1" x14ac:dyDescent="0.3">
      <c r="A6" s="427"/>
      <c r="B6" s="683"/>
      <c r="C6" s="403"/>
      <c r="D6" s="1061"/>
      <c r="E6" s="1061"/>
      <c r="F6" s="1093"/>
      <c r="G6" s="403"/>
      <c r="H6" s="1061"/>
      <c r="I6" s="1061"/>
      <c r="J6" s="1061"/>
      <c r="K6" s="403"/>
      <c r="L6" s="1061"/>
      <c r="M6" s="1061"/>
      <c r="N6" s="1061"/>
      <c r="O6" s="403"/>
      <c r="P6" s="1061"/>
      <c r="Q6" s="1061"/>
      <c r="R6" s="1061"/>
      <c r="S6" s="905"/>
      <c r="T6" s="1061"/>
      <c r="U6" s="1061"/>
      <c r="V6" s="906"/>
      <c r="W6" s="316"/>
      <c r="X6" s="316"/>
      <c r="Y6" s="316"/>
      <c r="Z6" s="316"/>
      <c r="AA6" s="316"/>
      <c r="AB6" s="316"/>
    </row>
    <row r="7" spans="1:28" s="854" customFormat="1" ht="19.899999999999999" customHeight="1" thickBot="1" x14ac:dyDescent="0.35">
      <c r="A7" s="849"/>
      <c r="B7" s="849"/>
      <c r="C7" s="849"/>
      <c r="D7" s="849"/>
      <c r="E7" s="1098" t="str">
        <f>IF(AND(L2="Sim",$D$2&gt;D11,$D$2&lt;=F11),"SIM","NÃO")</f>
        <v>NÃO</v>
      </c>
      <c r="F7" s="1096"/>
      <c r="G7" s="849"/>
      <c r="H7" s="853"/>
      <c r="I7" s="1087" t="str">
        <f>IF(AND(L2="Sim",$D$2&gt;H11,$D$2&lt;=J11),"SIM","NÃO")</f>
        <v>NÃO</v>
      </c>
      <c r="J7" s="853"/>
      <c r="K7" s="849"/>
      <c r="L7" s="853"/>
      <c r="M7" s="1087" t="str">
        <f>IF(AND(L2="Sim",$D$2&gt;L11,$D$2&lt;=N11),"SIM","NÃO")</f>
        <v>NÃO</v>
      </c>
      <c r="N7" s="853"/>
      <c r="O7" s="1088"/>
      <c r="P7" s="853"/>
      <c r="Q7" s="1087" t="str">
        <f>IF(AND(L2="Sim",$D$2&gt;P11,$D$2&lt;=R11),"SIM","NÃO")</f>
        <v>NÃO</v>
      </c>
      <c r="R7" s="853"/>
      <c r="S7" s="849"/>
      <c r="T7" s="853"/>
      <c r="U7" s="1089" t="str">
        <f>IF(AND(L2="Sim",$D$2&gt;T11,$D$2&lt;=V11*1.5),"SIM","NÃO")</f>
        <v>NÃO</v>
      </c>
      <c r="V7" s="849"/>
      <c r="W7" s="853"/>
      <c r="X7" s="853"/>
      <c r="Y7" s="853"/>
      <c r="Z7" s="853"/>
      <c r="AA7" s="853"/>
      <c r="AB7" s="853"/>
    </row>
    <row r="8" spans="1:28" s="318" customFormat="1" ht="7.5" customHeight="1" thickBot="1" x14ac:dyDescent="0.3">
      <c r="A8" s="427"/>
      <c r="B8" s="683"/>
      <c r="C8" s="403"/>
      <c r="D8" s="1061"/>
      <c r="E8" s="1061"/>
      <c r="F8" s="1061"/>
      <c r="G8" s="403"/>
      <c r="H8" s="1061"/>
      <c r="I8" s="1061"/>
      <c r="J8" s="1061"/>
      <c r="K8" s="403"/>
      <c r="L8" s="1061"/>
      <c r="M8" s="1061"/>
      <c r="N8" s="1061"/>
      <c r="O8" s="403"/>
      <c r="P8" s="1061"/>
      <c r="Q8" s="1061"/>
      <c r="R8" s="1061"/>
      <c r="S8" s="905"/>
      <c r="T8" s="1061"/>
      <c r="U8" s="1061"/>
      <c r="V8" s="906"/>
      <c r="W8" s="316"/>
      <c r="X8" s="316"/>
      <c r="Y8" s="316"/>
      <c r="Z8" s="316"/>
      <c r="AA8" s="316"/>
      <c r="AB8" s="316"/>
    </row>
    <row r="9" spans="1:28" s="855" customFormat="1" ht="17.649999999999999" customHeight="1" thickTop="1" thickBot="1" x14ac:dyDescent="0.35">
      <c r="A9" s="856"/>
      <c r="B9" s="2935" t="s">
        <v>640</v>
      </c>
      <c r="C9" s="901"/>
      <c r="D9" s="2938" t="s">
        <v>645</v>
      </c>
      <c r="E9" s="2939"/>
      <c r="F9" s="2939"/>
      <c r="G9" s="2939"/>
      <c r="H9" s="2939"/>
      <c r="I9" s="2939"/>
      <c r="J9" s="2939"/>
      <c r="K9" s="2939"/>
      <c r="L9" s="2939"/>
      <c r="M9" s="2939"/>
      <c r="N9" s="2939"/>
      <c r="O9" s="2939"/>
      <c r="P9" s="2939"/>
      <c r="Q9" s="2939"/>
      <c r="R9" s="2939"/>
      <c r="S9" s="2939"/>
      <c r="T9" s="2939"/>
      <c r="U9" s="2939"/>
      <c r="V9" s="2940"/>
      <c r="W9" s="857"/>
      <c r="X9" s="857"/>
      <c r="Y9" s="857"/>
      <c r="Z9" s="857"/>
      <c r="AA9" s="857"/>
      <c r="AB9" s="857"/>
    </row>
    <row r="10" spans="1:28" s="318" customFormat="1" ht="7.5" customHeight="1" x14ac:dyDescent="0.25">
      <c r="A10" s="427"/>
      <c r="B10" s="2936"/>
      <c r="C10" s="403"/>
      <c r="D10" s="1062"/>
      <c r="E10" s="753"/>
      <c r="F10" s="753"/>
      <c r="G10" s="741"/>
      <c r="H10" s="753"/>
      <c r="I10" s="753"/>
      <c r="J10" s="753"/>
      <c r="K10" s="741"/>
      <c r="L10" s="753"/>
      <c r="M10" s="753"/>
      <c r="N10" s="753"/>
      <c r="O10" s="741"/>
      <c r="P10" s="753"/>
      <c r="Q10" s="753"/>
      <c r="R10" s="753"/>
      <c r="S10" s="741"/>
      <c r="T10" s="753"/>
      <c r="U10" s="753"/>
      <c r="V10" s="1063"/>
      <c r="W10" s="316"/>
      <c r="X10" s="316"/>
      <c r="Y10" s="316"/>
      <c r="Z10" s="316"/>
      <c r="AA10" s="316"/>
      <c r="AB10" s="316"/>
    </row>
    <row r="11" spans="1:28" s="831" customFormat="1" ht="17.649999999999999" customHeight="1" thickBot="1" x14ac:dyDescent="0.3">
      <c r="A11" s="843"/>
      <c r="B11" s="2937"/>
      <c r="C11" s="902"/>
      <c r="D11" s="1064">
        <v>2.5</v>
      </c>
      <c r="E11" s="1065" t="s">
        <v>21</v>
      </c>
      <c r="F11" s="1066">
        <v>10</v>
      </c>
      <c r="G11" s="1067"/>
      <c r="H11" s="1066">
        <f>F11</f>
        <v>10</v>
      </c>
      <c r="I11" s="1065" t="s">
        <v>21</v>
      </c>
      <c r="J11" s="1066">
        <v>20</v>
      </c>
      <c r="K11" s="1067"/>
      <c r="L11" s="1066">
        <f>J11</f>
        <v>20</v>
      </c>
      <c r="M11" s="1065" t="s">
        <v>21</v>
      </c>
      <c r="N11" s="1066">
        <v>30</v>
      </c>
      <c r="O11" s="1067"/>
      <c r="P11" s="1066">
        <f>N11</f>
        <v>30</v>
      </c>
      <c r="Q11" s="1065" t="s">
        <v>21</v>
      </c>
      <c r="R11" s="1066">
        <v>40</v>
      </c>
      <c r="S11" s="1067"/>
      <c r="T11" s="1066">
        <f>R11</f>
        <v>40</v>
      </c>
      <c r="U11" s="1065" t="s">
        <v>21</v>
      </c>
      <c r="V11" s="1068">
        <v>50</v>
      </c>
      <c r="W11" s="847"/>
      <c r="X11" s="847"/>
      <c r="Y11" s="847"/>
      <c r="Z11" s="847"/>
      <c r="AA11" s="847"/>
      <c r="AB11" s="847"/>
    </row>
    <row r="12" spans="1:28" s="318" customFormat="1" ht="15" customHeight="1" thickTop="1" thickBot="1" x14ac:dyDescent="0.3">
      <c r="A12" s="427"/>
      <c r="B12" s="909"/>
      <c r="C12" s="685"/>
      <c r="D12" s="910"/>
      <c r="E12" s="910"/>
      <c r="F12" s="910"/>
      <c r="G12" s="741"/>
      <c r="H12" s="910"/>
      <c r="I12" s="910"/>
      <c r="J12" s="910"/>
      <c r="K12" s="741"/>
      <c r="L12" s="910"/>
      <c r="M12" s="910"/>
      <c r="N12" s="910"/>
      <c r="O12" s="685"/>
      <c r="P12" s="910"/>
      <c r="Q12" s="910"/>
      <c r="R12" s="910"/>
      <c r="S12" s="685"/>
      <c r="T12" s="910"/>
      <c r="U12" s="910"/>
      <c r="V12" s="911"/>
      <c r="W12" s="316"/>
      <c r="X12" s="316"/>
      <c r="Y12" s="316"/>
      <c r="Z12" s="316"/>
      <c r="AA12" s="316"/>
      <c r="AB12" s="316"/>
    </row>
    <row r="13" spans="1:28" s="854" customFormat="1" ht="19.899999999999999" customHeight="1" thickTop="1" thickBot="1" x14ac:dyDescent="0.35">
      <c r="A13" s="904"/>
      <c r="B13" s="977" t="s">
        <v>440</v>
      </c>
      <c r="C13" s="904"/>
      <c r="D13" s="979" t="s">
        <v>754</v>
      </c>
      <c r="E13" s="980" t="s">
        <v>442</v>
      </c>
      <c r="F13" s="981" t="s">
        <v>289</v>
      </c>
      <c r="G13" s="869"/>
      <c r="H13" s="979" t="s">
        <v>754</v>
      </c>
      <c r="I13" s="980" t="s">
        <v>442</v>
      </c>
      <c r="J13" s="981" t="s">
        <v>289</v>
      </c>
      <c r="K13" s="869"/>
      <c r="L13" s="979" t="s">
        <v>754</v>
      </c>
      <c r="M13" s="980" t="s">
        <v>442</v>
      </c>
      <c r="N13" s="981" t="s">
        <v>289</v>
      </c>
      <c r="O13" s="869"/>
      <c r="P13" s="979" t="s">
        <v>754</v>
      </c>
      <c r="Q13" s="980" t="s">
        <v>442</v>
      </c>
      <c r="R13" s="981" t="s">
        <v>289</v>
      </c>
      <c r="S13" s="869"/>
      <c r="T13" s="979" t="s">
        <v>754</v>
      </c>
      <c r="U13" s="980" t="s">
        <v>442</v>
      </c>
      <c r="V13" s="981" t="s">
        <v>289</v>
      </c>
      <c r="W13" s="1053">
        <v>6.25</v>
      </c>
      <c r="X13" s="1054">
        <v>15</v>
      </c>
      <c r="Y13" s="1054">
        <v>25</v>
      </c>
      <c r="Z13" s="1054">
        <v>35</v>
      </c>
      <c r="AA13" s="1054">
        <v>45</v>
      </c>
      <c r="AB13" s="853"/>
    </row>
    <row r="14" spans="1:28" s="318" customFormat="1" ht="7.5" customHeight="1" x14ac:dyDescent="0.25">
      <c r="A14" s="903"/>
      <c r="B14" s="969"/>
      <c r="C14" s="403"/>
      <c r="D14" s="971"/>
      <c r="E14" s="682"/>
      <c r="F14" s="972"/>
      <c r="G14" s="403"/>
      <c r="H14" s="971"/>
      <c r="I14" s="682"/>
      <c r="J14" s="972"/>
      <c r="K14" s="905"/>
      <c r="L14" s="971"/>
      <c r="M14" s="682"/>
      <c r="N14" s="972"/>
      <c r="O14" s="403"/>
      <c r="P14" s="971"/>
      <c r="Q14" s="682"/>
      <c r="R14" s="972"/>
      <c r="S14" s="905"/>
      <c r="T14" s="971"/>
      <c r="U14" s="682"/>
      <c r="V14" s="973"/>
      <c r="W14" s="906"/>
      <c r="X14" s="316"/>
      <c r="Y14" s="316"/>
      <c r="Z14" s="316"/>
      <c r="AA14" s="316"/>
      <c r="AB14" s="316"/>
    </row>
    <row r="15" spans="1:28" s="831" customFormat="1" ht="17.649999999999999" customHeight="1" x14ac:dyDescent="0.25">
      <c r="A15" s="902"/>
      <c r="B15" s="913" t="s">
        <v>376</v>
      </c>
      <c r="C15" s="902"/>
      <c r="D15" s="916">
        <v>200</v>
      </c>
      <c r="E15" s="846" t="str">
        <f>(IF(E$7="SIM",(($H$2*D15)*E21*(1+'R&amp;C-Painel de Controle'!$D$61)+($H$2*D15*(1-E21)/$D$5*'R&amp;C-Painel de Controle'!D52*(1+'R&amp;C-Painel de Controle'!D54)))/1000000,"-"))</f>
        <v>-</v>
      </c>
      <c r="F15" s="917">
        <v>0.1</v>
      </c>
      <c r="G15" s="902"/>
      <c r="H15" s="916">
        <v>50</v>
      </c>
      <c r="I15" s="846" t="str">
        <f>(IF(I$7="SIM",((((($D$2/10*H15*1000)+(I30/10*12500)+(7500))/1000)+(I30/10*400))*(((I21)*(1+'R&amp;C-Painel de Controle'!$D$61))+((1-I21)/($D$5)*('R&amp;C-Painel de Controle'!$D$52)*(1+'R&amp;C-Painel de Controle'!$D$54))))/1000,"-"))</f>
        <v>-</v>
      </c>
      <c r="J15" s="917">
        <v>0.1</v>
      </c>
      <c r="K15" s="902"/>
      <c r="L15" s="916">
        <v>50</v>
      </c>
      <c r="M15" s="846" t="str">
        <f>(IF(M$7="SIM",((((($D$2/10*L15*1000)+(M30/10*12500)+(7500))/1000)+(M30/10*400))*(((M21)*(1+'R&amp;C-Painel de Controle'!$D$61))+((1-M21)/($D$5)*('R&amp;C-Painel de Controle'!$D$52)*(1+'R&amp;C-Painel de Controle'!$D$54))))/1000,"-"))</f>
        <v>-</v>
      </c>
      <c r="N15" s="917">
        <v>0.1</v>
      </c>
      <c r="O15" s="902"/>
      <c r="P15" s="916">
        <v>50</v>
      </c>
      <c r="Q15" s="846" t="str">
        <f>(IF(Q$7="SIM",((((($D$2/10*P15*1000)+(Q30/10*12500)+(7500))/1000)+(Q30/10*400))*(((Q21)*(1+'R&amp;C-Painel de Controle'!$D$61))+((1-Q21)/($D$5)*('R&amp;C-Painel de Controle'!$D$52)*(1+'R&amp;C-Painel de Controle'!$D$54))))/1000,"-"))</f>
        <v>-</v>
      </c>
      <c r="R15" s="917">
        <v>0.1</v>
      </c>
      <c r="S15" s="869"/>
      <c r="T15" s="916">
        <v>50</v>
      </c>
      <c r="U15" s="846" t="str">
        <f>(IF(U$7="SIM",((((($D$2/10*T15*1000)+(U30/10*12500)+(7500))/1000)+(U30/10*400))*(((U21)*(1+'R&amp;C-Painel de Controle'!$D$61))+((1-U21)/($D$5)*('R&amp;C-Painel de Controle'!$D$52)*(1+'R&amp;C-Painel de Controle'!$D$54))))/1000,"-"))</f>
        <v>-</v>
      </c>
      <c r="V15" s="917">
        <v>0.1</v>
      </c>
      <c r="W15" s="907">
        <v>0.23474999999999999</v>
      </c>
      <c r="X15" s="848">
        <v>2.5575000000000001</v>
      </c>
      <c r="Y15" s="848">
        <v>4.2575000000000003</v>
      </c>
      <c r="Z15" s="848">
        <v>5.9574999999999996</v>
      </c>
      <c r="AA15" s="848">
        <v>7.6574999999999998</v>
      </c>
      <c r="AB15" s="847"/>
    </row>
    <row r="16" spans="1:28" s="831" customFormat="1" ht="17.649999999999999" customHeight="1" x14ac:dyDescent="0.25">
      <c r="A16" s="902"/>
      <c r="B16" s="913" t="s">
        <v>641</v>
      </c>
      <c r="C16" s="902"/>
      <c r="D16" s="918">
        <v>1250</v>
      </c>
      <c r="E16" s="846" t="str">
        <f>(IF(E$7="SIM",((D17-F17)*('R&amp;C-Painel de Controle'!$D$57*0.25)+(F17*'R&amp;C-Painel de Controle'!$D$60*0.75)+((50)+(15+E30/5*30)+(25+E30/10*25)*1750))/1000000,"-"))</f>
        <v>-</v>
      </c>
      <c r="F16" s="919">
        <v>0.05</v>
      </c>
      <c r="G16" s="902"/>
      <c r="H16" s="918">
        <v>1250</v>
      </c>
      <c r="I16" s="846" t="str">
        <f>(IF(I$7="SIM",((H17-J17)*('R&amp;C-Painel de Controle'!$D$57*0.25)+(J17*'R&amp;C-Painel de Controle'!$D$60*0.75)+(((75)+(15+I30/5*30)+(25+I30/10*25))*H16))/1000000,"-"))</f>
        <v>-</v>
      </c>
      <c r="J16" s="919">
        <v>0.05</v>
      </c>
      <c r="K16" s="902"/>
      <c r="L16" s="918">
        <v>1250</v>
      </c>
      <c r="M16" s="846" t="str">
        <f>(IF(M$7="SIM",((L17-N17)*('R&amp;C-Painel de Controle'!$D$57*0.25)+(N17*'R&amp;C-Painel de Controle'!$D$60*0.75)+(((100)+(15+M30/5*30)+(25+M30/10*25))*L16))/1000000,"-"))</f>
        <v>-</v>
      </c>
      <c r="N16" s="919">
        <v>0.05</v>
      </c>
      <c r="O16" s="869"/>
      <c r="P16" s="918">
        <v>1250</v>
      </c>
      <c r="Q16" s="846" t="str">
        <f>(IF(Q$7="SIM",((P17-R17)*('R&amp;C-Painel de Controle'!$D$57*0.25)+(R17*'R&amp;C-Painel de Controle'!$D$60*0.75)+(((125)+(15+Q30/5*30)+(25+Q30/10*25))*P16))/1000000,"-"))</f>
        <v>-</v>
      </c>
      <c r="R16" s="919">
        <v>0.05</v>
      </c>
      <c r="S16" s="902"/>
      <c r="T16" s="918">
        <v>1250</v>
      </c>
      <c r="U16" s="846" t="str">
        <f>(IF(U$7="SIM",((T17-V17)*('R&amp;C-Painel de Controle'!$D$57*0.25)+(V17*'R&amp;C-Painel de Controle'!$D$60*0.75)+(((150)+(15+U30/5*30)+(25+U30/10*25))*T16))/1000000,"-"))</f>
        <v>-</v>
      </c>
      <c r="V16" s="919">
        <v>0.05</v>
      </c>
      <c r="W16" s="907">
        <v>0.80446499999999999</v>
      </c>
      <c r="X16" s="848">
        <v>3.4448249999999998</v>
      </c>
      <c r="Y16" s="848">
        <v>4.0352499999999996</v>
      </c>
      <c r="Z16" s="848">
        <v>5.4588791666666658</v>
      </c>
      <c r="AA16" s="848">
        <v>6.3754312500000001</v>
      </c>
      <c r="AB16" s="847"/>
    </row>
    <row r="17" spans="1:28" s="831" customFormat="1" ht="17.649999999999999" customHeight="1" x14ac:dyDescent="0.25">
      <c r="A17" s="902"/>
      <c r="B17" s="913" t="s">
        <v>753</v>
      </c>
      <c r="C17" s="902"/>
      <c r="D17" s="920">
        <f>(2*(20*(20+(SQRT(F17))+20))+2*(20*(SQRT(F17)))+F17+50+E30/5*25+E30/5*25)</f>
        <v>1650</v>
      </c>
      <c r="E17" s="846" t="str">
        <f>(IF(E$7="SIM",('R&amp;C-Painel de Controle'!$D$55+0.25)*D17/1000000,"-"))</f>
        <v>-</v>
      </c>
      <c r="F17" s="921">
        <f>(((E22*E30/10)/0.5)/25*20)+((E22*E30/10)/0.5)+(((E22*E30/10)/0.5)/25*15)</f>
        <v>0</v>
      </c>
      <c r="G17" s="902"/>
      <c r="H17" s="920">
        <f>(2*(20*(20+(SQRT(J17))+20))+2*(20*(SQRT(J17)))+J17+50+I30/5*25+I30/5*25)</f>
        <v>1650</v>
      </c>
      <c r="I17" s="846" t="str">
        <f>(IF(I$7="SIM",('R&amp;C-Painel de Controle'!$D$55+0.25)*H17/1000000,"-"))</f>
        <v>-</v>
      </c>
      <c r="J17" s="921">
        <f>((I22*I30/10)/25*25)+(I22*I30/10)+((I22*I30/10)/25*25)</f>
        <v>0</v>
      </c>
      <c r="K17" s="902"/>
      <c r="L17" s="920">
        <f>(2*(20*(20+(SQRT(N17))+20))+2*(20*(SQRT(N17)))+N17+100+M30/5*25+M30/5*25)</f>
        <v>1700</v>
      </c>
      <c r="M17" s="846" t="str">
        <f>(IF(M$7="SIM",('R&amp;C-Painel de Controle'!$D$55+0.25)*L17/1000000,"-"))</f>
        <v>-</v>
      </c>
      <c r="N17" s="921">
        <f>((M22*M30/10)/50*25)+(M22*M30/10)+((M22*M30/10)/50*25)</f>
        <v>0</v>
      </c>
      <c r="O17" s="869"/>
      <c r="P17" s="920">
        <f>(2*(20*(20+(SQRT(R17))+20))+2*(20*(SQRT(R17)))+R17+150+Q30/5*25+Q30/5*25)</f>
        <v>1750</v>
      </c>
      <c r="Q17" s="846" t="str">
        <f>(IF(Q$7="SIM",('R&amp;C-Painel de Controle'!$D$55+0.25)*P17/1000000,"-"))</f>
        <v>-</v>
      </c>
      <c r="R17" s="921">
        <f>((Q22*Q30/10)/75*50)+(Q22*Q30/10)+((Q22*Q30/10)/75*25)</f>
        <v>0</v>
      </c>
      <c r="S17" s="902"/>
      <c r="T17" s="920">
        <f>(2*(20*(20+(SQRT(V17))+20))+2*(20*(SQRT(V17)))+V17+200+U30/5*25+U30/5*25)</f>
        <v>1800</v>
      </c>
      <c r="U17" s="846" t="str">
        <f>(IF(U$7="SIM",('R&amp;C-Painel de Controle'!$D$55+0.25)*T17/1000000,"-"))</f>
        <v>-</v>
      </c>
      <c r="V17" s="921">
        <f>((U22*U30/10)/100*50)+(U22*U30/10)+((U22*U30/10)/100*25)</f>
        <v>0</v>
      </c>
      <c r="W17" s="907">
        <v>0.40139999999999998</v>
      </c>
      <c r="X17" s="848">
        <v>1.10331</v>
      </c>
      <c r="Y17" s="848">
        <v>1.0467</v>
      </c>
      <c r="Z17" s="848">
        <v>1.2973199999999998</v>
      </c>
      <c r="AA17" s="848">
        <v>1.4480325000000001</v>
      </c>
      <c r="AB17" s="847"/>
    </row>
    <row r="18" spans="1:28" s="831" customFormat="1" ht="17.649999999999999" customHeight="1" x14ac:dyDescent="0.25">
      <c r="A18" s="902"/>
      <c r="B18" s="913" t="s">
        <v>438</v>
      </c>
      <c r="C18" s="902"/>
      <c r="D18" s="916" t="str">
        <f>IF(E7="SIM",(E15+E16)*F18*1000000/$H$2,"-")</f>
        <v>-</v>
      </c>
      <c r="E18" s="846" t="str">
        <f>(IF(E$7="SIM",D18*$H$2/1000000,"-"))</f>
        <v>-</v>
      </c>
      <c r="F18" s="917">
        <v>0.1</v>
      </c>
      <c r="G18" s="902"/>
      <c r="H18" s="916" t="str">
        <f>IF(I7="SIM",(I15+I16)*J18*1000000/$H$2,"-")</f>
        <v>-</v>
      </c>
      <c r="I18" s="846" t="str">
        <f>(IF(I$7="SIM",H18*$H$2/1000000,"-"))</f>
        <v>-</v>
      </c>
      <c r="J18" s="917">
        <v>0.1</v>
      </c>
      <c r="K18" s="902"/>
      <c r="L18" s="916" t="str">
        <f>IF(M7="SIM",(M15+M16)*N18*1000000/$H$2,"-")</f>
        <v>-</v>
      </c>
      <c r="M18" s="846" t="str">
        <f>(IF(M$7="SIM",L18*$H$2/1000000,"-"))</f>
        <v>-</v>
      </c>
      <c r="N18" s="917">
        <v>0.1</v>
      </c>
      <c r="O18" s="902"/>
      <c r="P18" s="916" t="str">
        <f>IF(Q7="SIM",(Q15+Q16)*R18*1000000/$H$2,"-")</f>
        <v>-</v>
      </c>
      <c r="Q18" s="846" t="str">
        <f>(IF(Q$7="SIM",P18*$H$2/1000000,"-"))</f>
        <v>-</v>
      </c>
      <c r="R18" s="917">
        <v>7.4999999999999997E-2</v>
      </c>
      <c r="S18" s="869"/>
      <c r="T18" s="916" t="str">
        <f>IF(U7="SIM",(U15+U16)*V18*1000000/$H$2,"-")</f>
        <v>-</v>
      </c>
      <c r="U18" s="846" t="str">
        <f>(IF(U$7="SIM",T18*$H$2/1000000,"-"))</f>
        <v>-</v>
      </c>
      <c r="V18" s="917">
        <v>0.05</v>
      </c>
      <c r="W18" s="907">
        <v>2.5980375E-2</v>
      </c>
      <c r="X18" s="848">
        <v>0.15005812499999999</v>
      </c>
      <c r="Y18" s="848">
        <v>0.20731875</v>
      </c>
      <c r="Z18" s="848">
        <v>0.28540947916666665</v>
      </c>
      <c r="AA18" s="848">
        <v>0.35082328125000006</v>
      </c>
      <c r="AB18" s="847"/>
    </row>
    <row r="19" spans="1:28" s="854" customFormat="1" ht="19.899999999999999" customHeight="1" collapsed="1" thickBot="1" x14ac:dyDescent="0.35">
      <c r="A19" s="904"/>
      <c r="B19" s="914" t="s">
        <v>377</v>
      </c>
      <c r="C19" s="904"/>
      <c r="D19" s="1050">
        <v>2.5000000000000001E-2</v>
      </c>
      <c r="E19" s="922" t="str">
        <f>IF(E7="SIM",SUM(E15:E18)*(1+D19),"-")</f>
        <v>-</v>
      </c>
      <c r="F19" s="1051"/>
      <c r="G19" s="904"/>
      <c r="H19" s="1052">
        <v>0.05</v>
      </c>
      <c r="I19" s="922" t="str">
        <f>IF(I7="SIM",SUM(I15:I18)*(1+H19),"-")</f>
        <v>-</v>
      </c>
      <c r="J19" s="923" t="s">
        <v>289</v>
      </c>
      <c r="K19" s="904"/>
      <c r="L19" s="1052">
        <v>0.05</v>
      </c>
      <c r="M19" s="922" t="str">
        <f>IF(M7="SIM",SUM(M15:M18)*(1+L19),"-")</f>
        <v>-</v>
      </c>
      <c r="N19" s="1051" t="s">
        <v>289</v>
      </c>
      <c r="O19" s="904"/>
      <c r="P19" s="1052">
        <v>0.05</v>
      </c>
      <c r="Q19" s="922" t="str">
        <f>IF(Q7="SIM",SUM(Q15:Q18)*(1+P19),"-")</f>
        <v>-</v>
      </c>
      <c r="R19" s="1051" t="s">
        <v>289</v>
      </c>
      <c r="S19" s="904"/>
      <c r="T19" s="1052">
        <v>0.05</v>
      </c>
      <c r="U19" s="922" t="str">
        <f>IF(U7="SIM",SUM(U15:U18)*(1+T19),"-")</f>
        <v>-</v>
      </c>
      <c r="V19" s="1051" t="s">
        <v>289</v>
      </c>
      <c r="W19" s="908">
        <v>1.503260259375</v>
      </c>
      <c r="X19" s="852">
        <v>7.6184777812500002</v>
      </c>
      <c r="Y19" s="852">
        <v>10.0241071875</v>
      </c>
      <c r="Z19" s="852">
        <v>13.649064078124999</v>
      </c>
      <c r="AA19" s="852">
        <v>16.623376382812502</v>
      </c>
      <c r="AB19" s="853"/>
    </row>
    <row r="20" spans="1:28" s="237" customFormat="1" ht="17.649999999999999" hidden="1" customHeight="1" outlineLevel="1" thickTop="1" x14ac:dyDescent="0.25">
      <c r="A20" s="408"/>
      <c r="B20" s="912" t="s">
        <v>378</v>
      </c>
      <c r="C20" s="710"/>
      <c r="D20" s="877"/>
      <c r="E20" s="878" t="str">
        <f>IF(E7="SIM",E19*1000000/$H$2,"-")</f>
        <v>-</v>
      </c>
      <c r="F20" s="877"/>
      <c r="G20" s="710"/>
      <c r="H20" s="877" t="s">
        <v>289</v>
      </c>
      <c r="I20" s="878" t="str">
        <f>IF(I7="SIM",I19*1000000/$H$2,"-")</f>
        <v>-</v>
      </c>
      <c r="J20" s="877" t="s">
        <v>289</v>
      </c>
      <c r="K20" s="710"/>
      <c r="L20" s="877" t="s">
        <v>289</v>
      </c>
      <c r="M20" s="878" t="str">
        <f>IF(M7="SIM",M19*1000000/$H$2,"-")</f>
        <v>-</v>
      </c>
      <c r="N20" s="877" t="s">
        <v>289</v>
      </c>
      <c r="O20" s="710"/>
      <c r="P20" s="877" t="s">
        <v>289</v>
      </c>
      <c r="Q20" s="878" t="str">
        <f>IF(Q7="SIM",Q19*1000000/$H$2,"-")</f>
        <v>-</v>
      </c>
      <c r="R20" s="877" t="s">
        <v>289</v>
      </c>
      <c r="S20" s="710"/>
      <c r="T20" s="877" t="s">
        <v>289</v>
      </c>
      <c r="U20" s="878" t="str">
        <f>IF(U7="SIM",U19*1000000/$H$2,"-")</f>
        <v>-</v>
      </c>
      <c r="V20" s="877" t="s">
        <v>289</v>
      </c>
      <c r="W20" s="774">
        <v>1280.7329153354631</v>
      </c>
      <c r="X20" s="774">
        <v>1622.6789736421724</v>
      </c>
      <c r="Y20" s="774">
        <v>1281.0360623003196</v>
      </c>
      <c r="Z20" s="774">
        <v>1245.9209564696484</v>
      </c>
      <c r="AA20" s="774">
        <v>1180.218415535144</v>
      </c>
      <c r="AB20" s="139"/>
    </row>
    <row r="21" spans="1:28" s="318" customFormat="1" ht="17.649999999999999" hidden="1" customHeight="1" outlineLevel="1" x14ac:dyDescent="0.25">
      <c r="A21" s="427"/>
      <c r="B21" s="217" t="s">
        <v>639</v>
      </c>
      <c r="C21" s="685"/>
      <c r="D21" s="122"/>
      <c r="E21" s="324">
        <f>'R&amp;C-Painel de Controle'!$G$53</f>
        <v>1</v>
      </c>
      <c r="F21" s="231"/>
      <c r="G21" s="742"/>
      <c r="H21" s="231"/>
      <c r="I21" s="324">
        <f>'R&amp;C-Painel de Controle'!$G$53</f>
        <v>1</v>
      </c>
      <c r="J21" s="231"/>
      <c r="K21" s="685"/>
      <c r="L21" s="231"/>
      <c r="M21" s="324">
        <f>'R&amp;C-Painel de Controle'!$G$53</f>
        <v>1</v>
      </c>
      <c r="N21" s="231"/>
      <c r="O21" s="685"/>
      <c r="P21" s="231"/>
      <c r="Q21" s="324">
        <f>'R&amp;C-Painel de Controle'!$G$53</f>
        <v>1</v>
      </c>
      <c r="R21" s="231"/>
      <c r="S21" s="741"/>
      <c r="T21" s="231"/>
      <c r="U21" s="324">
        <f>'R&amp;C-Painel de Controle'!$G$53</f>
        <v>1</v>
      </c>
      <c r="V21" s="331"/>
      <c r="W21" s="316"/>
      <c r="X21" s="320">
        <f>(X20-W20)/X20</f>
        <v>0.21072933331920657</v>
      </c>
      <c r="Y21" s="320">
        <f>(Y20-X20)/Y20</f>
        <v>-0.26669265713595486</v>
      </c>
      <c r="Z21" s="320">
        <f>(Z20-Y20)/Z20</f>
        <v>-2.8184055857099297E-2</v>
      </c>
      <c r="AA21" s="320">
        <f>(AA20-Z20)/AA20</f>
        <v>-5.5669815069537845E-2</v>
      </c>
      <c r="AB21" s="316"/>
    </row>
    <row r="22" spans="1:28" s="318" customFormat="1" ht="17.649999999999999" hidden="1" customHeight="1" outlineLevel="1" x14ac:dyDescent="0.25">
      <c r="A22" s="427"/>
      <c r="B22" s="217" t="s">
        <v>713</v>
      </c>
      <c r="C22" s="685"/>
      <c r="D22" s="232">
        <v>5</v>
      </c>
      <c r="E22" s="232">
        <f>(D22*F22)/(8)*(10)</f>
        <v>50</v>
      </c>
      <c r="F22" s="232">
        <v>8</v>
      </c>
      <c r="G22" s="685"/>
      <c r="H22" s="232">
        <f>2+2*2.5</f>
        <v>7</v>
      </c>
      <c r="I22" s="232">
        <f>(H22*J22)</f>
        <v>192.5</v>
      </c>
      <c r="J22" s="232">
        <f>11*2.5</f>
        <v>27.5</v>
      </c>
      <c r="K22" s="742"/>
      <c r="L22" s="232">
        <f>2+2*2.5</f>
        <v>7</v>
      </c>
      <c r="M22" s="232">
        <f>(L22*N22)</f>
        <v>192.5</v>
      </c>
      <c r="N22" s="232">
        <f>11*2.5</f>
        <v>27.5</v>
      </c>
      <c r="O22" s="741"/>
      <c r="P22" s="232">
        <f>2+2*2.5</f>
        <v>7</v>
      </c>
      <c r="Q22" s="232">
        <f>(P22*R22)</f>
        <v>192.5</v>
      </c>
      <c r="R22" s="232">
        <f>11*2.5</f>
        <v>27.5</v>
      </c>
      <c r="S22" s="741"/>
      <c r="T22" s="232">
        <f>2+2*2.5</f>
        <v>7</v>
      </c>
      <c r="U22" s="232">
        <f>(T22*V22)</f>
        <v>192.5</v>
      </c>
      <c r="V22" s="748">
        <f>11*2.5</f>
        <v>27.5</v>
      </c>
      <c r="W22" s="316"/>
      <c r="X22" s="316"/>
      <c r="Y22" s="316"/>
      <c r="Z22" s="316"/>
      <c r="AA22" s="316"/>
      <c r="AB22" s="316"/>
    </row>
    <row r="23" spans="1:28" s="237" customFormat="1" ht="17.649999999999999" hidden="1" customHeight="1" outlineLevel="1" x14ac:dyDescent="0.25">
      <c r="A23" s="408"/>
      <c r="B23" s="211" t="s">
        <v>435</v>
      </c>
      <c r="C23" s="710"/>
      <c r="D23" s="700"/>
      <c r="E23" s="246" t="str">
        <f>IF(E7="SIM",(E15*F15+E16*F16)/4,"-")</f>
        <v>-</v>
      </c>
      <c r="F23" s="450"/>
      <c r="G23" s="710"/>
      <c r="H23" s="450"/>
      <c r="I23" s="246" t="str">
        <f>IF(I7="SIM",(I15*J15+I16*J16)/4,"-")</f>
        <v>-</v>
      </c>
      <c r="J23" s="450"/>
      <c r="K23" s="710"/>
      <c r="L23" s="450"/>
      <c r="M23" s="246" t="str">
        <f>IF(M7="SIM",(M15*N15+M16*N16)/4,"-")</f>
        <v>-</v>
      </c>
      <c r="N23" s="450"/>
      <c r="O23" s="710"/>
      <c r="P23" s="450"/>
      <c r="Q23" s="246" t="str">
        <f>IF(Q7="SIM",(Q15*R15+Q16*R16)/4,"-")</f>
        <v>-</v>
      </c>
      <c r="R23" s="450"/>
      <c r="S23" s="710"/>
      <c r="T23" s="450"/>
      <c r="U23" s="246" t="str">
        <f>IF(U7="SIM",(U15*V15+U16*V16)/4,"-")</f>
        <v>-</v>
      </c>
      <c r="V23" s="450"/>
      <c r="W23" s="139"/>
      <c r="X23" s="139"/>
      <c r="Y23" s="139"/>
      <c r="Z23" s="139"/>
      <c r="AA23" s="139"/>
      <c r="AB23" s="139"/>
    </row>
    <row r="24" spans="1:28" ht="15" customHeight="1" thickTop="1" thickBot="1" x14ac:dyDescent="0.3">
      <c r="A24" s="406"/>
      <c r="B24" s="934"/>
      <c r="C24" s="751"/>
      <c r="D24" s="935"/>
      <c r="E24" s="935"/>
      <c r="F24" s="935"/>
      <c r="G24" s="751"/>
      <c r="H24" s="935"/>
      <c r="I24" s="935"/>
      <c r="J24" s="935"/>
      <c r="K24" s="751"/>
      <c r="L24" s="935"/>
      <c r="M24" s="935"/>
      <c r="N24" s="935"/>
      <c r="O24" s="751"/>
      <c r="P24" s="935"/>
      <c r="Q24" s="935"/>
      <c r="R24" s="935"/>
      <c r="S24" s="751"/>
      <c r="T24" s="935"/>
      <c r="U24" s="935"/>
      <c r="V24" s="935"/>
      <c r="W24" s="29"/>
      <c r="X24" s="29"/>
      <c r="Y24" s="29"/>
      <c r="Z24" s="29"/>
      <c r="AA24" s="29"/>
      <c r="AB24" s="33"/>
    </row>
    <row r="25" spans="1:28" s="318" customFormat="1" ht="19.899999999999999" customHeight="1" thickTop="1" thickBot="1" x14ac:dyDescent="0.3">
      <c r="A25" s="903"/>
      <c r="B25" s="978" t="s">
        <v>439</v>
      </c>
      <c r="C25" s="403"/>
      <c r="D25" s="1055" t="s">
        <v>754</v>
      </c>
      <c r="E25" s="1056" t="s">
        <v>763</v>
      </c>
      <c r="F25" s="1057" t="s">
        <v>289</v>
      </c>
      <c r="G25" s="417"/>
      <c r="H25" s="1058" t="s">
        <v>754</v>
      </c>
      <c r="I25" s="1059" t="s">
        <v>763</v>
      </c>
      <c r="J25" s="1060" t="s">
        <v>289</v>
      </c>
      <c r="K25" s="417"/>
      <c r="L25" s="1058" t="s">
        <v>754</v>
      </c>
      <c r="M25" s="1059" t="s">
        <v>763</v>
      </c>
      <c r="N25" s="1060" t="s">
        <v>289</v>
      </c>
      <c r="O25" s="417"/>
      <c r="P25" s="1058" t="s">
        <v>754</v>
      </c>
      <c r="Q25" s="1059" t="s">
        <v>763</v>
      </c>
      <c r="R25" s="1060" t="s">
        <v>289</v>
      </c>
      <c r="S25" s="417"/>
      <c r="T25" s="1058" t="s">
        <v>754</v>
      </c>
      <c r="U25" s="1059" t="s">
        <v>763</v>
      </c>
      <c r="V25" s="1060" t="s">
        <v>289</v>
      </c>
      <c r="W25" s="906"/>
      <c r="X25" s="316"/>
      <c r="Y25" s="316"/>
      <c r="Z25" s="316"/>
      <c r="AA25" s="316"/>
      <c r="AB25" s="316"/>
    </row>
    <row r="26" spans="1:28" s="318" customFormat="1" ht="7.5" customHeight="1" thickBot="1" x14ac:dyDescent="0.3">
      <c r="A26" s="903"/>
      <c r="B26" s="970"/>
      <c r="C26" s="403"/>
      <c r="D26" s="974"/>
      <c r="E26" s="682"/>
      <c r="F26" s="975"/>
      <c r="G26" s="403"/>
      <c r="H26" s="974"/>
      <c r="I26" s="682"/>
      <c r="J26" s="975"/>
      <c r="K26" s="403"/>
      <c r="L26" s="974"/>
      <c r="M26" s="682"/>
      <c r="N26" s="975"/>
      <c r="O26" s="403"/>
      <c r="P26" s="974"/>
      <c r="Q26" s="682"/>
      <c r="R26" s="975"/>
      <c r="S26" s="905"/>
      <c r="T26" s="974"/>
      <c r="U26" s="682"/>
      <c r="V26" s="976"/>
      <c r="W26" s="906"/>
      <c r="X26" s="316"/>
      <c r="Y26" s="316"/>
      <c r="Z26" s="316"/>
      <c r="AA26" s="316"/>
      <c r="AB26" s="316"/>
    </row>
    <row r="27" spans="1:28" s="831" customFormat="1" ht="17.649999999999999" customHeight="1" collapsed="1" thickTop="1" thickBot="1" x14ac:dyDescent="0.3">
      <c r="A27" s="869"/>
      <c r="B27" s="937" t="s">
        <v>381</v>
      </c>
      <c r="C27" s="869"/>
      <c r="D27" s="943"/>
      <c r="E27" s="826" t="str">
        <f>IF(AND(E$7="SIM",'R&amp;C-Painel de Controle'!$C$66="Regime CLT"),E31*2.4*12/$H$2,IF(AND(E$7="SIM",'R&amp;C-Painel de Controle'!$C$66="Regime Cooperativa"),E31*1.4*12/$H$2,"-"))</f>
        <v>-</v>
      </c>
      <c r="F27" s="944"/>
      <c r="G27" s="926"/>
      <c r="H27" s="956"/>
      <c r="I27" s="828" t="str">
        <f>IF(AND(I$7="SIM",'R&amp;C-Painel de Controle'!$C$66="Regime CLT"),I31*2.4*12/$H$2,IF(AND(I$7="SIM",'R&amp;C-Painel de Controle'!$C$66="Regime Cooperativa"),I31*1.4*12/$H$2,"-"))</f>
        <v>-</v>
      </c>
      <c r="J27" s="957"/>
      <c r="K27" s="928"/>
      <c r="L27" s="956"/>
      <c r="M27" s="828" t="str">
        <f>IF(AND(M$7="SIM",'R&amp;C-Painel de Controle'!$C$66="Regime CLT"),M31*2.4*12/$H$2,IF(AND(M$7="SIM",'R&amp;C-Painel de Controle'!$C$66="Regime Cooperativa"),M31*1.4*12/$H$2,"-"))</f>
        <v>-</v>
      </c>
      <c r="N27" s="957"/>
      <c r="O27" s="869"/>
      <c r="P27" s="956"/>
      <c r="Q27" s="828" t="str">
        <f>IF(AND(Q$7="SIM",'R&amp;C-Painel de Controle'!$C$66="Regime CLT"),Q31*2.4*12/$H$2,IF(AND(Q$7="SIM",'R&amp;C-Painel de Controle'!$C$66="Regime Cooperativa"),Q31*1.4*12/$H$2,"-"))</f>
        <v>-</v>
      </c>
      <c r="R27" s="957"/>
      <c r="S27" s="869"/>
      <c r="T27" s="956"/>
      <c r="U27" s="829" t="str">
        <f>IF(AND(U$7="SIM",'R&amp;C-Painel de Controle'!$C$66="Regime CLT"),U31*2.4*12/$H$2,IF(AND(U$7="SIM",'R&amp;C-Painel de Controle'!$C$66="Regime Cooperativa"),U31*1.4*12/$H$2,"-"))</f>
        <v>-</v>
      </c>
      <c r="V27" s="962"/>
      <c r="W27" s="930"/>
      <c r="X27" s="830"/>
      <c r="Y27" s="830"/>
      <c r="Z27" s="830"/>
      <c r="AA27" s="830"/>
      <c r="AB27" s="830"/>
    </row>
    <row r="28" spans="1:28" s="318" customFormat="1" ht="17.649999999999999" hidden="1" customHeight="1" outlineLevel="1" thickTop="1" x14ac:dyDescent="0.25">
      <c r="A28" s="903"/>
      <c r="B28" s="938" t="s">
        <v>380</v>
      </c>
      <c r="C28" s="403"/>
      <c r="D28" s="945">
        <f>F28/1.25</f>
        <v>0.08</v>
      </c>
      <c r="E28" s="325">
        <f>IF('R-Definição'!$I$32="Baixa",D28,F28)</f>
        <v>0.08</v>
      </c>
      <c r="F28" s="946">
        <v>0.1</v>
      </c>
      <c r="G28" s="404"/>
      <c r="H28" s="945">
        <v>0.1</v>
      </c>
      <c r="I28" s="325">
        <f>IF('R-Definição'!$I$32="Baixa",H28,J28)</f>
        <v>0.1</v>
      </c>
      <c r="J28" s="948">
        <f>H28*1.25</f>
        <v>0.125</v>
      </c>
      <c r="K28" s="403"/>
      <c r="L28" s="945">
        <v>0.1</v>
      </c>
      <c r="M28" s="325">
        <f>IF('R-Definição'!$I$32="Baixa",L28,N28)</f>
        <v>0.1</v>
      </c>
      <c r="N28" s="948">
        <f>L28*1.25</f>
        <v>0.125</v>
      </c>
      <c r="O28" s="905"/>
      <c r="P28" s="945">
        <v>0.1</v>
      </c>
      <c r="Q28" s="325">
        <f>IF('R-Definição'!$I$32="Baixa",P28,R28)</f>
        <v>0.1</v>
      </c>
      <c r="R28" s="948">
        <f>P28*1.25</f>
        <v>0.125</v>
      </c>
      <c r="S28" s="905"/>
      <c r="T28" s="945">
        <v>0.1</v>
      </c>
      <c r="U28" s="325">
        <f>IF('R-Definição'!$I$32="Baixa",T28,V28)</f>
        <v>0.1</v>
      </c>
      <c r="V28" s="967">
        <f>T28*1.25</f>
        <v>0.125</v>
      </c>
      <c r="W28" s="906"/>
      <c r="X28" s="316"/>
      <c r="Y28" s="316"/>
      <c r="Z28" s="316"/>
      <c r="AA28" s="316"/>
      <c r="AB28" s="316"/>
    </row>
    <row r="29" spans="1:28" s="318" customFormat="1" ht="17.649999999999999" hidden="1" customHeight="1" outlineLevel="1" x14ac:dyDescent="0.25">
      <c r="A29" s="903"/>
      <c r="B29" s="938" t="s">
        <v>630</v>
      </c>
      <c r="C29" s="403"/>
      <c r="D29" s="942"/>
      <c r="E29" s="232">
        <v>2</v>
      </c>
      <c r="F29" s="947"/>
      <c r="G29" s="927"/>
      <c r="H29" s="958"/>
      <c r="I29" s="232">
        <v>2</v>
      </c>
      <c r="J29" s="947"/>
      <c r="K29" s="404"/>
      <c r="L29" s="958"/>
      <c r="M29" s="232">
        <v>2</v>
      </c>
      <c r="N29" s="947"/>
      <c r="O29" s="905"/>
      <c r="P29" s="958"/>
      <c r="Q29" s="232">
        <v>2</v>
      </c>
      <c r="R29" s="947"/>
      <c r="S29" s="403"/>
      <c r="T29" s="958"/>
      <c r="U29" s="232">
        <v>2</v>
      </c>
      <c r="V29" s="967"/>
      <c r="W29" s="906"/>
      <c r="X29" s="316"/>
      <c r="Y29" s="316"/>
      <c r="Z29" s="316"/>
      <c r="AA29" s="316"/>
      <c r="AB29" s="316"/>
    </row>
    <row r="30" spans="1:28" s="318" customFormat="1" ht="17.649999999999999" hidden="1" customHeight="1" outlineLevel="1" x14ac:dyDescent="0.25">
      <c r="A30" s="903"/>
      <c r="B30" s="938" t="s">
        <v>631</v>
      </c>
      <c r="C30" s="403"/>
      <c r="D30" s="942"/>
      <c r="E30" s="321">
        <f>$D$2/E29/E28</f>
        <v>0</v>
      </c>
      <c r="F30" s="948"/>
      <c r="G30" s="404"/>
      <c r="H30" s="949"/>
      <c r="I30" s="321">
        <f>$D$2/I29/I28</f>
        <v>0</v>
      </c>
      <c r="J30" s="948"/>
      <c r="K30" s="927"/>
      <c r="L30" s="949"/>
      <c r="M30" s="321">
        <f>$D$2/M29/M28</f>
        <v>0</v>
      </c>
      <c r="N30" s="948"/>
      <c r="O30" s="403"/>
      <c r="P30" s="949"/>
      <c r="Q30" s="321">
        <f>$D$2/Q29/Q28</f>
        <v>0</v>
      </c>
      <c r="R30" s="948"/>
      <c r="S30" s="403"/>
      <c r="T30" s="949"/>
      <c r="U30" s="321">
        <f>$D$2/U29/U28</f>
        <v>0</v>
      </c>
      <c r="V30" s="966"/>
      <c r="W30" s="906"/>
      <c r="X30" s="316"/>
      <c r="Y30" s="316"/>
      <c r="Z30" s="316"/>
      <c r="AA30" s="316"/>
      <c r="AB30" s="316"/>
    </row>
    <row r="31" spans="1:28" s="318" customFormat="1" ht="17.649999999999999" hidden="1" customHeight="1" outlineLevel="1" thickBot="1" x14ac:dyDescent="0.3">
      <c r="A31" s="903"/>
      <c r="B31" s="938" t="s">
        <v>632</v>
      </c>
      <c r="C31" s="403"/>
      <c r="D31" s="942"/>
      <c r="E31" s="743" t="str">
        <f>(IF(E$7="SIM",1*0.6*0.25*'R&amp;C-Painel de Controle'!$D$63+(E30/40)*E29*0.6*0.25*'R&amp;C-Painel de Controle'!$D$64+E30*E29*'R&amp;C-Painel de Controle'!$D$67,"-"))</f>
        <v>-</v>
      </c>
      <c r="F31" s="948"/>
      <c r="G31" s="404"/>
      <c r="H31" s="949"/>
      <c r="I31" s="323" t="str">
        <f>(IF(I$7="SIM",1*0.7*0.25*'R&amp;C-Painel de Controle'!$D$63+(I30/40)*I29*0.7*0.25*'R&amp;C-Painel de Controle'!$D$64+I30*I29*'R&amp;C-Painel de Controle'!$D$67,"-"))</f>
        <v>-</v>
      </c>
      <c r="J31" s="948"/>
      <c r="K31" s="404"/>
      <c r="L31" s="949"/>
      <c r="M31" s="323" t="str">
        <f>(IF(M$7="SIM",1*0.8*0.25*'R&amp;C-Painel de Controle'!$D$63+(M30/40)*M29*0.8*0.25*'R&amp;C-Painel de Controle'!$D$64+M30*M29*'R&amp;C-Painel de Controle'!$D$67,"-"))</f>
        <v>-</v>
      </c>
      <c r="N31" s="948"/>
      <c r="O31" s="403"/>
      <c r="P31" s="949"/>
      <c r="Q31" s="323" t="str">
        <f>(IF(Q$7="SIM",1*0.9*0.25*'R&amp;C-Painel de Controle'!$D$63+(Q30/40)*Q29*0.9*0.25*'R&amp;C-Painel de Controle'!$D$64+Q30*Q29*'R&amp;C-Painel de Controle'!$D$67,"-"))</f>
        <v>-</v>
      </c>
      <c r="R31" s="948"/>
      <c r="S31" s="905"/>
      <c r="T31" s="949"/>
      <c r="U31" s="323" t="str">
        <f>(IF(U$7="SIM",1*1*0.25*'R&amp;C-Painel de Controle'!$D$63+(U30/40)*U29*1*0.25*'R&amp;C-Painel de Controle'!$D$64+U30*U29*'R&amp;C-Painel de Controle'!$D$67,"-"))</f>
        <v>-</v>
      </c>
      <c r="V31" s="966"/>
      <c r="W31" s="906"/>
      <c r="X31" s="316"/>
      <c r="Y31" s="316"/>
      <c r="Z31" s="316"/>
      <c r="AA31" s="316"/>
      <c r="AB31" s="316"/>
    </row>
    <row r="32" spans="1:28" s="831" customFormat="1" ht="17.649999999999999" customHeight="1" collapsed="1" thickTop="1" thickBot="1" x14ac:dyDescent="0.3">
      <c r="A32" s="902"/>
      <c r="B32" s="937" t="s">
        <v>382</v>
      </c>
      <c r="C32" s="902"/>
      <c r="D32" s="943"/>
      <c r="E32" s="826" t="str">
        <f>(IF(E$7="SIM",(E33*$H$2/1000*'R&amp;C-Painel de Controle'!$D$68+E34/1000*'R&amp;C-Painel de Controle'!$D$69*12)/$H$2,"-"))</f>
        <v>-</v>
      </c>
      <c r="F32" s="944"/>
      <c r="G32" s="926"/>
      <c r="H32" s="956"/>
      <c r="I32" s="828" t="str">
        <f>(IF(I$7="SIM",(I33*$H$2/1000*'R&amp;C-Painel de Controle'!$D$68+I34/1000*'R&amp;C-Painel de Controle'!$D$69*12)/$H$2,"-"))</f>
        <v>-</v>
      </c>
      <c r="J32" s="957"/>
      <c r="K32" s="928"/>
      <c r="L32" s="956"/>
      <c r="M32" s="828" t="str">
        <f>(IF(M$7="SIM",(M33*$H$2/1000*'R&amp;C-Painel de Controle'!$D$68+M34/1000*'R&amp;C-Painel de Controle'!$D$69*12)/$H$2,"-"))</f>
        <v>-</v>
      </c>
      <c r="N32" s="957"/>
      <c r="O32" s="902"/>
      <c r="P32" s="956"/>
      <c r="Q32" s="828" t="str">
        <f>(IF(Q$7="SIM",(Q33*$H$2/1000*'R&amp;C-Painel de Controle'!$D$68+Q34/1000*'R&amp;C-Painel de Controle'!$D$69*12)/$H$2,"-"))</f>
        <v>-</v>
      </c>
      <c r="R32" s="957"/>
      <c r="S32" s="869"/>
      <c r="T32" s="956"/>
      <c r="U32" s="829" t="str">
        <f>(IF(U$7="SIM",(U33*$H$2/1000*'R&amp;C-Painel de Controle'!$D$68+U34/1000*'R&amp;C-Painel de Controle'!$D$69*12)/$H$2,"-"))</f>
        <v>-</v>
      </c>
      <c r="V32" s="962"/>
      <c r="W32" s="931"/>
      <c r="X32" s="847"/>
      <c r="Y32" s="847"/>
      <c r="Z32" s="847"/>
      <c r="AA32" s="847"/>
      <c r="AB32" s="847"/>
    </row>
    <row r="33" spans="1:28" s="318" customFormat="1" ht="17.649999999999999" hidden="1" customHeight="1" outlineLevel="1" thickTop="1" x14ac:dyDescent="0.25">
      <c r="A33" s="903"/>
      <c r="B33" s="938" t="s">
        <v>633</v>
      </c>
      <c r="C33" s="403"/>
      <c r="D33" s="942"/>
      <c r="E33" s="684">
        <v>2.5</v>
      </c>
      <c r="F33" s="948"/>
      <c r="G33" s="404"/>
      <c r="H33" s="949"/>
      <c r="I33" s="231">
        <v>15</v>
      </c>
      <c r="J33" s="948"/>
      <c r="K33" s="929"/>
      <c r="L33" s="949"/>
      <c r="M33" s="231">
        <v>15</v>
      </c>
      <c r="N33" s="948"/>
      <c r="O33" s="905"/>
      <c r="P33" s="949"/>
      <c r="Q33" s="231">
        <v>15</v>
      </c>
      <c r="R33" s="948"/>
      <c r="S33" s="403"/>
      <c r="T33" s="949"/>
      <c r="U33" s="231">
        <v>15</v>
      </c>
      <c r="V33" s="966"/>
      <c r="W33" s="906"/>
      <c r="X33" s="316"/>
      <c r="Y33" s="316"/>
      <c r="Z33" s="316"/>
      <c r="AA33" s="316"/>
      <c r="AB33" s="316"/>
    </row>
    <row r="34" spans="1:28" s="318" customFormat="1" ht="17.649999999999999" hidden="1" customHeight="1" outlineLevel="1" thickBot="1" x14ac:dyDescent="0.3">
      <c r="A34" s="903"/>
      <c r="B34" s="938" t="s">
        <v>634</v>
      </c>
      <c r="C34" s="403"/>
      <c r="D34" s="949"/>
      <c r="E34" s="744">
        <f>E33*F11*(0.9)*0.92/16</f>
        <v>1.29375</v>
      </c>
      <c r="F34" s="948"/>
      <c r="G34" s="404"/>
      <c r="H34" s="949"/>
      <c r="I34" s="326">
        <f>I33*J11*(0.9)*0.92/16</f>
        <v>15.525</v>
      </c>
      <c r="J34" s="948"/>
      <c r="K34" s="404"/>
      <c r="L34" s="949"/>
      <c r="M34" s="326">
        <f>M33*N11*(0.9)*0.92/16</f>
        <v>23.287500000000001</v>
      </c>
      <c r="N34" s="948"/>
      <c r="O34" s="403"/>
      <c r="P34" s="949"/>
      <c r="Q34" s="326">
        <f>Q33*R11*(0.9)*0.92/16</f>
        <v>31.05</v>
      </c>
      <c r="R34" s="948"/>
      <c r="S34" s="403"/>
      <c r="T34" s="949"/>
      <c r="U34" s="326">
        <f>U33*V11*(0.9)*0.92/16</f>
        <v>38.8125</v>
      </c>
      <c r="V34" s="966"/>
      <c r="W34" s="906"/>
      <c r="X34" s="316"/>
      <c r="Y34" s="316"/>
      <c r="Z34" s="316"/>
      <c r="AA34" s="316"/>
      <c r="AB34" s="316"/>
    </row>
    <row r="35" spans="1:28" s="831" customFormat="1" ht="17.649999999999999" customHeight="1" collapsed="1" thickTop="1" thickBot="1" x14ac:dyDescent="0.3">
      <c r="A35" s="902"/>
      <c r="B35" s="937" t="s">
        <v>383</v>
      </c>
      <c r="C35" s="902"/>
      <c r="D35" s="943"/>
      <c r="E35" s="826" t="str">
        <f>(IF(E$7="SIM",(E15*1000000*E36+E37*12)/$H$2,"-"))</f>
        <v>-</v>
      </c>
      <c r="F35" s="944"/>
      <c r="G35" s="926"/>
      <c r="H35" s="956"/>
      <c r="I35" s="828" t="str">
        <f>(IF(I$7="SIM",(I15*1000000*I36+I37*12)/$H$2,"-"))</f>
        <v>-</v>
      </c>
      <c r="J35" s="957"/>
      <c r="K35" s="928"/>
      <c r="L35" s="956"/>
      <c r="M35" s="828" t="str">
        <f>(IF(M$7="SIM",(M15*1000000*M36+M37*12)/$H$2,"-"))</f>
        <v>-</v>
      </c>
      <c r="N35" s="957"/>
      <c r="O35" s="902"/>
      <c r="P35" s="956"/>
      <c r="Q35" s="828" t="str">
        <f>(IF(Q$7="SIM",(Q15*1000000*Q36+Q37*12)/$H$2,"-"))</f>
        <v>-</v>
      </c>
      <c r="R35" s="957"/>
      <c r="S35" s="869"/>
      <c r="T35" s="956"/>
      <c r="U35" s="829" t="str">
        <f>(IF(U$7="SIM",(U15*1000000*U36+U37*12)/$H$2,"-"))</f>
        <v>-</v>
      </c>
      <c r="V35" s="962"/>
      <c r="W35" s="931"/>
      <c r="X35" s="847"/>
      <c r="Y35" s="847"/>
      <c r="Z35" s="847"/>
      <c r="AA35" s="847"/>
      <c r="AB35" s="847"/>
    </row>
    <row r="36" spans="1:28" s="318" customFormat="1" ht="17.649999999999999" hidden="1" customHeight="1" outlineLevel="1" thickTop="1" x14ac:dyDescent="0.25">
      <c r="A36" s="903"/>
      <c r="B36" s="938" t="s">
        <v>635</v>
      </c>
      <c r="C36" s="403"/>
      <c r="D36" s="942"/>
      <c r="E36" s="746">
        <v>2.5000000000000001E-2</v>
      </c>
      <c r="F36" s="948"/>
      <c r="G36" s="404"/>
      <c r="H36" s="949"/>
      <c r="I36" s="322">
        <v>2.5000000000000001E-2</v>
      </c>
      <c r="J36" s="948"/>
      <c r="K36" s="929"/>
      <c r="L36" s="949"/>
      <c r="M36" s="322">
        <v>2.5000000000000001E-2</v>
      </c>
      <c r="N36" s="948"/>
      <c r="O36" s="905"/>
      <c r="P36" s="949"/>
      <c r="Q36" s="322">
        <v>2.5000000000000001E-2</v>
      </c>
      <c r="R36" s="948"/>
      <c r="S36" s="905"/>
      <c r="T36" s="949"/>
      <c r="U36" s="322">
        <v>2.5000000000000001E-2</v>
      </c>
      <c r="V36" s="966"/>
      <c r="W36" s="906"/>
      <c r="X36" s="316"/>
      <c r="Y36" s="316"/>
      <c r="Z36" s="316"/>
      <c r="AA36" s="316"/>
      <c r="AB36" s="316"/>
    </row>
    <row r="37" spans="1:28" s="318" customFormat="1" ht="17.649999999999999" hidden="1" customHeight="1" outlineLevel="1" thickBot="1" x14ac:dyDescent="0.3">
      <c r="A37" s="903"/>
      <c r="B37" s="938" t="s">
        <v>441</v>
      </c>
      <c r="C37" s="403"/>
      <c r="D37" s="942"/>
      <c r="E37" s="743">
        <v>10000</v>
      </c>
      <c r="F37" s="948"/>
      <c r="G37" s="404"/>
      <c r="H37" s="949"/>
      <c r="I37" s="323">
        <v>25000</v>
      </c>
      <c r="J37" s="948"/>
      <c r="K37" s="404"/>
      <c r="L37" s="949"/>
      <c r="M37" s="323">
        <v>25000</v>
      </c>
      <c r="N37" s="948"/>
      <c r="O37" s="905"/>
      <c r="P37" s="949"/>
      <c r="Q37" s="323">
        <v>25000</v>
      </c>
      <c r="R37" s="948"/>
      <c r="S37" s="403"/>
      <c r="T37" s="949"/>
      <c r="U37" s="323">
        <v>25000</v>
      </c>
      <c r="V37" s="966"/>
      <c r="W37" s="906"/>
      <c r="X37" s="316"/>
      <c r="Y37" s="316"/>
      <c r="Z37" s="316"/>
      <c r="AA37" s="316"/>
      <c r="AB37" s="316"/>
    </row>
    <row r="38" spans="1:28" s="831" customFormat="1" ht="17.649999999999999" customHeight="1" collapsed="1" thickTop="1" thickBot="1" x14ac:dyDescent="0.3">
      <c r="A38" s="869"/>
      <c r="B38" s="937" t="s">
        <v>638</v>
      </c>
      <c r="C38" s="902"/>
      <c r="D38" s="950">
        <v>0.1</v>
      </c>
      <c r="E38" s="872" t="str">
        <f>(IF(E$7="SIM",D38*E39*E40*12/$H$2,"-"))</f>
        <v>-</v>
      </c>
      <c r="F38" s="944"/>
      <c r="G38" s="926"/>
      <c r="H38" s="959">
        <v>0.1</v>
      </c>
      <c r="I38" s="873" t="str">
        <f>(IF(I$7="SIM",H38*I39*I40*12/$H$2,"-"))</f>
        <v>-</v>
      </c>
      <c r="J38" s="957"/>
      <c r="K38" s="928"/>
      <c r="L38" s="959">
        <v>0.1</v>
      </c>
      <c r="M38" s="873" t="str">
        <f>(IF(M$7="SIM",L38*M39*M40*12/$H$2,"-"))</f>
        <v>-</v>
      </c>
      <c r="N38" s="957"/>
      <c r="O38" s="869"/>
      <c r="P38" s="959">
        <v>0.1</v>
      </c>
      <c r="Q38" s="873" t="str">
        <f>(IF(Q$7="SIM",P38*Q39*Q40*12/$H$2,"-"))</f>
        <v>-</v>
      </c>
      <c r="R38" s="957"/>
      <c r="S38" s="902"/>
      <c r="T38" s="959">
        <v>0.1</v>
      </c>
      <c r="U38" s="874" t="str">
        <f>(IF(U$7="SIM",T38*U39*U40*12/$H$2,"-"))</f>
        <v>-</v>
      </c>
      <c r="V38" s="962"/>
      <c r="W38" s="930"/>
      <c r="X38" s="830"/>
      <c r="Y38" s="830"/>
      <c r="Z38" s="830"/>
      <c r="AA38" s="830"/>
      <c r="AB38" s="830"/>
    </row>
    <row r="39" spans="1:28" s="318" customFormat="1" ht="17.649999999999999" hidden="1" customHeight="1" outlineLevel="1" thickTop="1" x14ac:dyDescent="0.25">
      <c r="A39" s="925"/>
      <c r="B39" s="938" t="s">
        <v>636</v>
      </c>
      <c r="C39" s="905"/>
      <c r="D39" s="942"/>
      <c r="E39" s="747">
        <f>'R&amp;C-Painel de Controle'!$D$70</f>
        <v>100000</v>
      </c>
      <c r="F39" s="948"/>
      <c r="G39" s="404"/>
      <c r="H39" s="949"/>
      <c r="I39" s="323">
        <f>'R&amp;C-Painel de Controle'!$D$70</f>
        <v>100000</v>
      </c>
      <c r="J39" s="948"/>
      <c r="K39" s="929"/>
      <c r="L39" s="949"/>
      <c r="M39" s="323">
        <f>'R&amp;C-Painel de Controle'!$D$70</f>
        <v>100000</v>
      </c>
      <c r="N39" s="948"/>
      <c r="O39" s="403"/>
      <c r="P39" s="949"/>
      <c r="Q39" s="323">
        <f>'R&amp;C-Painel de Controle'!$D$70</f>
        <v>100000</v>
      </c>
      <c r="R39" s="948"/>
      <c r="S39" s="905"/>
      <c r="T39" s="949"/>
      <c r="U39" s="323">
        <f>'R&amp;C-Painel de Controle'!$D$70</f>
        <v>100000</v>
      </c>
      <c r="V39" s="966"/>
      <c r="W39" s="932"/>
      <c r="X39" s="317"/>
      <c r="Y39" s="317"/>
      <c r="Z39" s="317"/>
      <c r="AA39" s="317"/>
      <c r="AB39" s="317"/>
    </row>
    <row r="40" spans="1:28" s="318" customFormat="1" ht="17.649999999999999" hidden="1" customHeight="1" outlineLevel="1" thickBot="1" x14ac:dyDescent="0.3">
      <c r="A40" s="903"/>
      <c r="B40" s="938" t="s">
        <v>637</v>
      </c>
      <c r="C40" s="905"/>
      <c r="D40" s="942"/>
      <c r="E40" s="745">
        <v>0.25</v>
      </c>
      <c r="F40" s="948"/>
      <c r="G40" s="404"/>
      <c r="H40" s="949"/>
      <c r="I40" s="324">
        <v>0.5</v>
      </c>
      <c r="J40" s="948"/>
      <c r="K40" s="404"/>
      <c r="L40" s="949"/>
      <c r="M40" s="324">
        <v>1</v>
      </c>
      <c r="N40" s="948"/>
      <c r="O40" s="905"/>
      <c r="P40" s="949"/>
      <c r="Q40" s="324">
        <v>1.25</v>
      </c>
      <c r="R40" s="948"/>
      <c r="S40" s="403"/>
      <c r="T40" s="949"/>
      <c r="U40" s="324">
        <v>1.5</v>
      </c>
      <c r="V40" s="966"/>
      <c r="W40" s="906"/>
      <c r="X40" s="316"/>
      <c r="Y40" s="316"/>
      <c r="Z40" s="316"/>
      <c r="AA40" s="316"/>
      <c r="AB40" s="316"/>
    </row>
    <row r="41" spans="1:28" s="831" customFormat="1" ht="17.649999999999999" customHeight="1" thickTop="1" thickBot="1" x14ac:dyDescent="0.3">
      <c r="A41" s="902"/>
      <c r="B41" s="937" t="s">
        <v>390</v>
      </c>
      <c r="C41" s="902"/>
      <c r="D41" s="943"/>
      <c r="E41" s="875" t="str">
        <f>(IF(E$7="SIM",0.05*'R&amp;C-Painel de Controle'!$D$74,"-"))</f>
        <v>-</v>
      </c>
      <c r="F41" s="944"/>
      <c r="G41" s="926"/>
      <c r="H41" s="956"/>
      <c r="I41" s="827" t="str">
        <f>(IF(I$7="SIM",2.5+1.5*'R&amp;C-Painel de Controle'!$D$74,"-"))</f>
        <v>-</v>
      </c>
      <c r="J41" s="957"/>
      <c r="K41" s="926"/>
      <c r="L41" s="956"/>
      <c r="M41" s="827" t="str">
        <f>(IF(M$7="SIM",2.5+1.5*'R&amp;C-Painel de Controle'!$D$74,"-"))</f>
        <v>-</v>
      </c>
      <c r="N41" s="957"/>
      <c r="O41" s="902"/>
      <c r="P41" s="956"/>
      <c r="Q41" s="827" t="str">
        <f>(IF(Q$7="SIM",2.5+1.5*'R&amp;C-Painel de Controle'!$D$74,"-"))</f>
        <v>-</v>
      </c>
      <c r="R41" s="957"/>
      <c r="S41" s="869"/>
      <c r="T41" s="956"/>
      <c r="U41" s="876" t="str">
        <f>(IF(U$7="SIM",2.5+1.5*'R&amp;C-Painel de Controle'!$D$74,"-"))</f>
        <v>-</v>
      </c>
      <c r="V41" s="962"/>
      <c r="W41" s="931"/>
      <c r="X41" s="847"/>
      <c r="Y41" s="847"/>
      <c r="Z41" s="847"/>
      <c r="AA41" s="847"/>
      <c r="AB41" s="847"/>
    </row>
    <row r="42" spans="1:28" s="854" customFormat="1" ht="19.899999999999999" customHeight="1" thickTop="1" thickBot="1" x14ac:dyDescent="0.35">
      <c r="A42" s="904"/>
      <c r="B42" s="939" t="s">
        <v>386</v>
      </c>
      <c r="C42" s="904"/>
      <c r="D42" s="950">
        <v>0.05</v>
      </c>
      <c r="E42" s="1042" t="str">
        <f>(IF(E$7="SIM",(E27+E32+E35+E38+E41)*(1+D42),"-"))</f>
        <v>-</v>
      </c>
      <c r="F42" s="1043"/>
      <c r="G42" s="1002"/>
      <c r="H42" s="959">
        <v>0.1</v>
      </c>
      <c r="I42" s="887" t="str">
        <f>(IF(I$7="SIM",(I27+I32+I35+I38+I41)*(1+H42),"-"))</f>
        <v>-</v>
      </c>
      <c r="J42" s="1044"/>
      <c r="K42" s="1002"/>
      <c r="L42" s="959">
        <v>0.1</v>
      </c>
      <c r="M42" s="887" t="str">
        <f>(IF(M$7="SIM",(M27+M32+M35+M38+M41)*(1+L42),"-"))</f>
        <v>-</v>
      </c>
      <c r="N42" s="1044"/>
      <c r="O42" s="904"/>
      <c r="P42" s="959">
        <v>0.1</v>
      </c>
      <c r="Q42" s="887" t="str">
        <f>(IF(Q$7="SIM",(Q27+Q32+Q35+Q38+Q41)*(1+P42),"-"))</f>
        <v>-</v>
      </c>
      <c r="R42" s="1044"/>
      <c r="S42" s="904"/>
      <c r="T42" s="959">
        <v>0.1</v>
      </c>
      <c r="U42" s="1045" t="str">
        <f>(IF(U$7="SIM",(U27+U32+U35+U38+U41)*(1+T42),"-"))</f>
        <v>-</v>
      </c>
      <c r="V42" s="1046"/>
      <c r="W42" s="933"/>
      <c r="X42" s="853"/>
      <c r="Y42" s="853"/>
      <c r="Z42" s="853"/>
      <c r="AA42" s="853"/>
      <c r="AB42" s="853"/>
    </row>
    <row r="43" spans="1:28" s="854" customFormat="1" ht="19.899999999999999" customHeight="1" thickTop="1" thickBot="1" x14ac:dyDescent="0.35">
      <c r="A43" s="904"/>
      <c r="B43" s="939" t="s">
        <v>387</v>
      </c>
      <c r="C43" s="904"/>
      <c r="D43" s="951"/>
      <c r="E43" s="1047" t="str">
        <f>(IF(E$7="SIM",E42*$H$2/1000000,"-"))</f>
        <v>-</v>
      </c>
      <c r="F43" s="1048"/>
      <c r="G43" s="904"/>
      <c r="H43" s="960"/>
      <c r="I43" s="886" t="str">
        <f>(IF(I$7="SIM",I42*$H$2/1000000,"-"))</f>
        <v>-</v>
      </c>
      <c r="J43" s="1046"/>
      <c r="K43" s="1002"/>
      <c r="L43" s="960"/>
      <c r="M43" s="886" t="str">
        <f>(IF(M$7="SIM",M42*$H$2/1000000,"-"))</f>
        <v>-</v>
      </c>
      <c r="N43" s="1046"/>
      <c r="O43" s="904"/>
      <c r="P43" s="1049"/>
      <c r="Q43" s="886" t="str">
        <f>(IF(Q$7="SIM",Q42*$H$2/1000000,"-"))</f>
        <v>-</v>
      </c>
      <c r="R43" s="1046"/>
      <c r="S43" s="904"/>
      <c r="T43" s="960"/>
      <c r="U43" s="851" t="str">
        <f>(IF(U$7="SIM",U42*$H$2/1000000,"-"))</f>
        <v>-</v>
      </c>
      <c r="V43" s="1046"/>
      <c r="W43" s="933"/>
      <c r="X43" s="853"/>
      <c r="Y43" s="853"/>
      <c r="Z43" s="853"/>
      <c r="AA43" s="853"/>
      <c r="AB43" s="853"/>
    </row>
    <row r="44" spans="1:28" s="831" customFormat="1" ht="17.649999999999999" customHeight="1" thickTop="1" thickBot="1" x14ac:dyDescent="0.3">
      <c r="A44" s="902"/>
      <c r="B44" s="940" t="s">
        <v>388</v>
      </c>
      <c r="C44" s="902"/>
      <c r="D44" s="943"/>
      <c r="E44" s="844" t="str">
        <f>(IF(E$7="SIM",(((E27*$H$2/12)+(E34/1000*'R&amp;C-Painel de Controle'!$D$69*12)+(E37*12)+(E39*E40*12))/1000000),"-"))</f>
        <v>-</v>
      </c>
      <c r="F44" s="952"/>
      <c r="G44" s="902"/>
      <c r="H44" s="961"/>
      <c r="I44" s="845" t="str">
        <f>(IF(I$7="SIM",(((I27*$H$2/12)+(I34/1000*'R&amp;C-Painel de Controle'!$D$69*12)+(I37*12)+(I39*I40*12))/1000000),"-"))</f>
        <v>-</v>
      </c>
      <c r="J44" s="962"/>
      <c r="K44" s="902"/>
      <c r="L44" s="961"/>
      <c r="M44" s="845" t="str">
        <f>(IF(M$7="SIM",(((M27*$H$2/12)+(M34/1000*'R&amp;C-Painel de Controle'!$D$69*12)+(M37*12)+(M39*M40*12))/1000000),"-"))</f>
        <v>-</v>
      </c>
      <c r="N44" s="962"/>
      <c r="O44" s="869"/>
      <c r="P44" s="961"/>
      <c r="Q44" s="845" t="str">
        <f>(IF(Q$7="SIM",(((Q27*$H$2/12)+(Q34/1000*'R&amp;C-Painel de Controle'!$D$69*12)+(Q37*12)+(Q39*Q40*12))/1000000),"-"))</f>
        <v>-</v>
      </c>
      <c r="R44" s="962"/>
      <c r="S44" s="902"/>
      <c r="T44" s="961"/>
      <c r="U44" s="846" t="str">
        <f>(IF(U$7="SIM",(((U27*$H$2/12)+(U34/1000*'R&amp;C-Painel de Controle'!$D$69*12)+(U37*12)+(U39*U40*12))/1000000),"-"))</f>
        <v>-</v>
      </c>
      <c r="V44" s="962"/>
      <c r="W44" s="931"/>
      <c r="X44" s="847"/>
      <c r="Y44" s="847"/>
      <c r="Z44" s="847"/>
      <c r="AA44" s="847"/>
      <c r="AB44" s="847"/>
    </row>
    <row r="45" spans="1:28" s="831" customFormat="1" ht="17.649999999999999" customHeight="1" thickTop="1" thickBot="1" x14ac:dyDescent="0.3">
      <c r="A45" s="902"/>
      <c r="B45" s="941" t="s">
        <v>389</v>
      </c>
      <c r="C45" s="902"/>
      <c r="D45" s="953"/>
      <c r="E45" s="954" t="str">
        <f>(IF(E$7="SIM",((E43-E44)*1000000)/$H$2,"-"))</f>
        <v>-</v>
      </c>
      <c r="F45" s="955"/>
      <c r="G45" s="902"/>
      <c r="H45" s="963"/>
      <c r="I45" s="964" t="str">
        <f>(IF(I$7="SIM",((I43-I44)*1000000)/$H$2,"-"))</f>
        <v>-</v>
      </c>
      <c r="J45" s="965"/>
      <c r="K45" s="902"/>
      <c r="L45" s="963"/>
      <c r="M45" s="964" t="str">
        <f>(IF(M$7="SIM",((M43-M44)*1000000)/$H$2,"-"))</f>
        <v>-</v>
      </c>
      <c r="N45" s="965"/>
      <c r="O45" s="902"/>
      <c r="P45" s="963"/>
      <c r="Q45" s="964" t="str">
        <f>(IF(Q$7="SIM",((Q43-Q44)*1000000)/$H$2,"-"))</f>
        <v>-</v>
      </c>
      <c r="R45" s="965"/>
      <c r="S45" s="869"/>
      <c r="T45" s="963"/>
      <c r="U45" s="968" t="str">
        <f>(IF(U$7="SIM",((U43-U44)*1000000)/$H$2,"-"))</f>
        <v>-</v>
      </c>
      <c r="V45" s="965"/>
      <c r="W45" s="931"/>
      <c r="X45" s="847"/>
      <c r="Y45" s="847"/>
      <c r="Z45" s="847"/>
      <c r="AA45" s="847"/>
      <c r="AB45" s="847"/>
    </row>
    <row r="46" spans="1:28" ht="14.25" customHeight="1" thickTop="1" x14ac:dyDescent="0.25">
      <c r="A46" s="33"/>
      <c r="B46" s="936"/>
      <c r="C46" s="33"/>
      <c r="D46" s="749"/>
      <c r="E46" s="749"/>
      <c r="F46" s="749"/>
      <c r="G46" s="33"/>
      <c r="H46" s="749"/>
      <c r="I46" s="749"/>
      <c r="J46" s="749"/>
      <c r="K46" s="33"/>
      <c r="L46" s="749"/>
      <c r="M46" s="749"/>
      <c r="N46" s="749"/>
      <c r="O46" s="33"/>
      <c r="P46" s="749"/>
      <c r="Q46" s="749"/>
      <c r="R46" s="749"/>
      <c r="S46" s="750"/>
      <c r="T46" s="749"/>
      <c r="U46" s="749"/>
      <c r="V46" s="749"/>
      <c r="W46" s="33"/>
      <c r="X46" s="33"/>
      <c r="Y46" s="33"/>
      <c r="Z46" s="33"/>
      <c r="AA46" s="33"/>
      <c r="AB46" s="33"/>
    </row>
    <row r="47" spans="1:28" ht="14.25" customHeight="1" x14ac:dyDescent="0.25">
      <c r="A47" s="33"/>
      <c r="B47" s="42"/>
      <c r="C47" s="33"/>
      <c r="D47" s="33"/>
      <c r="E47" s="33"/>
      <c r="F47" s="33"/>
      <c r="G47" s="33"/>
      <c r="H47" s="33"/>
      <c r="I47" s="33"/>
      <c r="J47" s="33"/>
      <c r="K47" s="33"/>
      <c r="L47" s="33"/>
      <c r="M47" s="33"/>
      <c r="N47" s="33"/>
      <c r="O47" s="33"/>
      <c r="P47" s="33"/>
      <c r="Q47" s="33"/>
      <c r="R47" s="33"/>
      <c r="S47" s="33"/>
      <c r="T47" s="33"/>
      <c r="U47" s="33"/>
      <c r="V47" s="33"/>
      <c r="W47" s="33"/>
      <c r="X47" s="33"/>
      <c r="Y47" s="33"/>
      <c r="Z47" s="33"/>
      <c r="AA47" s="33"/>
      <c r="AB47" s="33"/>
    </row>
    <row r="48" spans="1:28" ht="14.25" customHeight="1" x14ac:dyDescent="0.25">
      <c r="A48" s="33"/>
      <c r="B48" s="42"/>
      <c r="C48" s="33"/>
      <c r="D48" s="33"/>
      <c r="E48" s="33"/>
      <c r="F48" s="33"/>
      <c r="G48" s="33"/>
      <c r="H48" s="33"/>
      <c r="I48" s="33"/>
      <c r="J48" s="33"/>
      <c r="K48" s="33"/>
      <c r="L48" s="33"/>
      <c r="M48" s="33"/>
      <c r="N48" s="33"/>
      <c r="O48" s="33"/>
      <c r="P48" s="33"/>
      <c r="Q48" s="33"/>
      <c r="R48" s="33"/>
      <c r="S48" s="33"/>
      <c r="T48" s="33"/>
      <c r="U48" s="33"/>
      <c r="V48" s="33"/>
      <c r="W48" s="33"/>
      <c r="X48" s="33"/>
      <c r="Y48" s="33"/>
      <c r="Z48" s="33"/>
      <c r="AA48" s="33"/>
      <c r="AB48" s="33"/>
    </row>
    <row r="49" spans="1:28" ht="14.25" customHeight="1" x14ac:dyDescent="0.25">
      <c r="A49" s="33"/>
      <c r="B49" s="42"/>
      <c r="C49" s="33"/>
      <c r="D49" s="33"/>
      <c r="E49" s="33"/>
      <c r="F49" s="33"/>
      <c r="G49" s="33"/>
      <c r="H49" s="33"/>
      <c r="I49" s="33"/>
      <c r="J49" s="33"/>
      <c r="K49" s="33"/>
      <c r="L49" s="33"/>
      <c r="M49" s="33"/>
      <c r="N49" s="33"/>
      <c r="O49" s="33"/>
      <c r="P49" s="33"/>
      <c r="Q49" s="33"/>
      <c r="R49" s="33"/>
      <c r="S49" s="33"/>
      <c r="T49" s="33"/>
      <c r="U49" s="33"/>
      <c r="V49" s="33"/>
      <c r="W49" s="33"/>
      <c r="X49" s="33"/>
      <c r="Y49" s="33"/>
      <c r="Z49" s="33"/>
      <c r="AA49" s="33"/>
      <c r="AB49" s="33"/>
    </row>
    <row r="50" spans="1:28" ht="14.25" customHeight="1" x14ac:dyDescent="0.25">
      <c r="A50" s="33"/>
      <c r="B50" s="42"/>
      <c r="C50" s="33"/>
      <c r="D50" s="33"/>
      <c r="E50" s="33"/>
      <c r="F50" s="33"/>
      <c r="G50" s="33"/>
      <c r="H50" s="33"/>
      <c r="I50" s="33"/>
      <c r="J50" s="33"/>
      <c r="K50" s="33"/>
      <c r="L50" s="33"/>
      <c r="M50" s="33"/>
      <c r="N50" s="33"/>
      <c r="O50" s="33"/>
      <c r="P50" s="33"/>
      <c r="Q50" s="33"/>
      <c r="R50" s="33"/>
      <c r="S50" s="33"/>
      <c r="T50" s="33"/>
      <c r="U50" s="33"/>
      <c r="V50" s="33"/>
      <c r="W50" s="33"/>
      <c r="X50" s="33"/>
      <c r="Y50" s="33"/>
      <c r="Z50" s="33"/>
      <c r="AA50" s="33"/>
      <c r="AB50" s="33"/>
    </row>
    <row r="51" spans="1:28" ht="14.25" customHeight="1" x14ac:dyDescent="0.25">
      <c r="A51" s="33"/>
      <c r="B51" s="42"/>
      <c r="C51" s="33"/>
      <c r="D51" s="33"/>
      <c r="E51" s="33"/>
      <c r="F51" s="33"/>
      <c r="G51" s="33"/>
      <c r="H51" s="33"/>
      <c r="I51" s="33"/>
      <c r="J51" s="33"/>
      <c r="K51" s="33"/>
      <c r="L51" s="33"/>
      <c r="M51" s="33"/>
      <c r="N51" s="33"/>
      <c r="O51" s="33"/>
      <c r="P51" s="33"/>
      <c r="Q51" s="33"/>
      <c r="R51" s="33"/>
      <c r="S51" s="33"/>
      <c r="T51" s="33"/>
      <c r="U51" s="33"/>
      <c r="V51" s="33"/>
      <c r="W51" s="33"/>
      <c r="X51" s="33"/>
      <c r="Y51" s="33"/>
      <c r="Z51" s="33"/>
      <c r="AA51" s="33"/>
      <c r="AB51" s="33"/>
    </row>
    <row r="52" spans="1:28" ht="14.25" customHeight="1" x14ac:dyDescent="0.25">
      <c r="A52" s="33"/>
      <c r="B52" s="42"/>
      <c r="C52" s="33"/>
      <c r="D52" s="33"/>
      <c r="E52" s="33"/>
      <c r="F52" s="33"/>
      <c r="G52" s="33"/>
      <c r="H52" s="33"/>
      <c r="I52" s="33"/>
      <c r="J52" s="33"/>
      <c r="K52" s="33"/>
      <c r="L52" s="33"/>
      <c r="M52" s="33"/>
      <c r="N52" s="33"/>
      <c r="O52" s="33"/>
      <c r="P52" s="33"/>
      <c r="Q52" s="33"/>
      <c r="R52" s="33"/>
      <c r="S52" s="33"/>
      <c r="T52" s="33"/>
      <c r="U52" s="33"/>
      <c r="V52" s="33"/>
      <c r="W52" s="33"/>
      <c r="X52" s="33"/>
      <c r="Y52" s="33"/>
      <c r="Z52" s="33"/>
      <c r="AA52" s="33"/>
      <c r="AB52" s="33"/>
    </row>
    <row r="53" spans="1:28" ht="14.25" customHeight="1" x14ac:dyDescent="0.25">
      <c r="A53" s="33"/>
      <c r="B53" s="42"/>
      <c r="C53" s="33"/>
      <c r="D53" s="33"/>
      <c r="E53" s="33"/>
      <c r="F53" s="33"/>
      <c r="G53" s="33"/>
      <c r="H53" s="33"/>
      <c r="I53" s="33"/>
      <c r="J53" s="33"/>
      <c r="K53" s="33"/>
      <c r="L53" s="33"/>
      <c r="M53" s="33"/>
      <c r="N53" s="33"/>
      <c r="O53" s="33"/>
      <c r="P53" s="33"/>
      <c r="Q53" s="33"/>
      <c r="R53" s="33"/>
      <c r="S53" s="33"/>
      <c r="T53" s="33"/>
      <c r="U53" s="33"/>
      <c r="V53" s="33"/>
      <c r="W53" s="33"/>
      <c r="X53" s="33"/>
      <c r="Y53" s="33"/>
      <c r="Z53" s="33"/>
      <c r="AA53" s="33"/>
      <c r="AB53" s="33"/>
    </row>
    <row r="54" spans="1:28" ht="14.25" customHeight="1" x14ac:dyDescent="0.25">
      <c r="A54" s="33"/>
      <c r="B54" s="42"/>
      <c r="C54" s="33"/>
      <c r="D54" s="33"/>
      <c r="E54" s="33"/>
      <c r="F54" s="33"/>
      <c r="G54" s="33"/>
      <c r="H54" s="33"/>
      <c r="I54" s="33"/>
      <c r="J54" s="33"/>
      <c r="K54" s="33"/>
      <c r="L54" s="33"/>
      <c r="M54" s="33"/>
      <c r="N54" s="33"/>
      <c r="O54" s="33"/>
      <c r="P54" s="33"/>
      <c r="Q54" s="33"/>
      <c r="R54" s="33"/>
      <c r="S54" s="33"/>
      <c r="T54" s="33"/>
      <c r="U54" s="33"/>
      <c r="V54" s="33"/>
      <c r="W54" s="33"/>
      <c r="X54" s="33"/>
      <c r="Y54" s="33"/>
      <c r="Z54" s="33"/>
      <c r="AA54" s="33"/>
      <c r="AB54" s="33"/>
    </row>
    <row r="55" spans="1:28" ht="14.25" customHeight="1" x14ac:dyDescent="0.25">
      <c r="A55" s="33"/>
      <c r="B55" s="42"/>
      <c r="C55" s="33"/>
      <c r="D55" s="33"/>
      <c r="E55" s="33"/>
      <c r="F55" s="33"/>
      <c r="G55" s="33"/>
      <c r="H55" s="33"/>
      <c r="I55" s="33"/>
      <c r="J55" s="33"/>
      <c r="K55" s="33"/>
      <c r="L55" s="33"/>
      <c r="M55" s="33"/>
      <c r="N55" s="33"/>
      <c r="O55" s="33"/>
      <c r="P55" s="33"/>
      <c r="Q55" s="33"/>
      <c r="R55" s="33"/>
      <c r="S55" s="33"/>
      <c r="T55" s="33"/>
      <c r="U55" s="33"/>
      <c r="V55" s="33"/>
      <c r="W55" s="33"/>
      <c r="X55" s="33"/>
      <c r="Y55" s="33"/>
      <c r="Z55" s="33"/>
      <c r="AA55" s="33"/>
      <c r="AB55" s="33"/>
    </row>
    <row r="56" spans="1:28" ht="14.25" customHeight="1" x14ac:dyDescent="0.25">
      <c r="A56" s="33"/>
      <c r="B56" s="42"/>
      <c r="C56" s="33"/>
      <c r="D56" s="33"/>
      <c r="E56" s="33"/>
      <c r="F56" s="33"/>
      <c r="G56" s="33"/>
      <c r="H56" s="33"/>
      <c r="I56" s="33"/>
      <c r="J56" s="33"/>
      <c r="K56" s="33"/>
      <c r="L56" s="33"/>
      <c r="M56" s="33"/>
      <c r="N56" s="33"/>
      <c r="O56" s="33"/>
      <c r="P56" s="33"/>
      <c r="Q56" s="33"/>
      <c r="R56" s="33"/>
      <c r="S56" s="33"/>
      <c r="T56" s="33"/>
      <c r="U56" s="33"/>
      <c r="V56" s="33"/>
      <c r="W56" s="33"/>
      <c r="X56" s="33"/>
      <c r="Y56" s="33"/>
      <c r="Z56" s="33"/>
      <c r="AA56" s="33"/>
      <c r="AB56" s="33"/>
    </row>
    <row r="57" spans="1:28" ht="14.25" customHeight="1" x14ac:dyDescent="0.25">
      <c r="A57" s="33"/>
      <c r="B57" s="42"/>
      <c r="C57" s="33"/>
      <c r="D57" s="33"/>
      <c r="E57" s="33"/>
      <c r="F57" s="33"/>
      <c r="G57" s="33"/>
      <c r="H57" s="33"/>
      <c r="I57" s="33"/>
      <c r="J57" s="33"/>
      <c r="K57" s="33"/>
      <c r="L57" s="33"/>
      <c r="M57" s="33"/>
      <c r="N57" s="33"/>
      <c r="O57" s="33"/>
      <c r="P57" s="33"/>
      <c r="Q57" s="33"/>
      <c r="R57" s="33"/>
      <c r="S57" s="33"/>
      <c r="T57" s="33"/>
      <c r="U57" s="33"/>
      <c r="V57" s="33"/>
      <c r="W57" s="33"/>
      <c r="X57" s="33"/>
      <c r="Y57" s="33"/>
      <c r="Z57" s="33"/>
      <c r="AA57" s="33"/>
      <c r="AB57" s="33"/>
    </row>
    <row r="58" spans="1:28" ht="14.25" customHeight="1" x14ac:dyDescent="0.25">
      <c r="A58" s="33"/>
      <c r="B58" s="42"/>
      <c r="C58" s="33"/>
      <c r="D58" s="33"/>
      <c r="E58" s="33"/>
      <c r="F58" s="33"/>
      <c r="G58" s="33"/>
      <c r="H58" s="33"/>
      <c r="I58" s="33"/>
      <c r="J58" s="33"/>
      <c r="K58" s="33"/>
      <c r="L58" s="33"/>
      <c r="M58" s="33"/>
      <c r="N58" s="33"/>
      <c r="O58" s="33"/>
      <c r="P58" s="33"/>
      <c r="Q58" s="33"/>
      <c r="R58" s="33"/>
      <c r="S58" s="33"/>
      <c r="T58" s="33"/>
      <c r="U58" s="33"/>
      <c r="V58" s="33"/>
      <c r="W58" s="33"/>
      <c r="X58" s="33"/>
      <c r="Y58" s="33"/>
      <c r="Z58" s="33"/>
      <c r="AA58" s="33"/>
      <c r="AB58" s="33"/>
    </row>
    <row r="59" spans="1:28" ht="14.25" customHeight="1" x14ac:dyDescent="0.25">
      <c r="A59" s="33"/>
      <c r="B59" s="42"/>
      <c r="C59" s="33"/>
      <c r="D59" s="33"/>
      <c r="E59" s="33"/>
      <c r="F59" s="33"/>
      <c r="G59" s="33"/>
      <c r="H59" s="33"/>
      <c r="I59" s="33"/>
      <c r="J59" s="33"/>
      <c r="K59" s="33"/>
      <c r="L59" s="33"/>
      <c r="M59" s="33"/>
      <c r="N59" s="33"/>
      <c r="O59" s="33"/>
      <c r="P59" s="33"/>
      <c r="Q59" s="33"/>
      <c r="R59" s="33"/>
      <c r="S59" s="33"/>
      <c r="T59" s="33"/>
      <c r="U59" s="33"/>
      <c r="V59" s="33"/>
      <c r="W59" s="33"/>
      <c r="X59" s="33"/>
      <c r="Y59" s="33"/>
      <c r="Z59" s="33"/>
      <c r="AA59" s="33"/>
      <c r="AB59" s="33"/>
    </row>
    <row r="60" spans="1:28" ht="14.25" customHeight="1" x14ac:dyDescent="0.25">
      <c r="A60" s="33"/>
      <c r="B60" s="42"/>
      <c r="C60" s="33"/>
      <c r="D60" s="33"/>
      <c r="E60" s="33"/>
      <c r="F60" s="33"/>
      <c r="G60" s="33"/>
      <c r="H60" s="33"/>
      <c r="I60" s="33"/>
      <c r="J60" s="33"/>
      <c r="K60" s="33"/>
      <c r="L60" s="33"/>
      <c r="M60" s="33"/>
      <c r="N60" s="33"/>
      <c r="O60" s="33"/>
      <c r="P60" s="33"/>
      <c r="Q60" s="33"/>
      <c r="R60" s="33"/>
      <c r="S60" s="33"/>
      <c r="T60" s="33"/>
      <c r="U60" s="33"/>
      <c r="V60" s="33"/>
      <c r="W60" s="33"/>
      <c r="X60" s="33"/>
      <c r="Y60" s="33"/>
      <c r="Z60" s="33"/>
      <c r="AA60" s="33"/>
      <c r="AB60" s="33"/>
    </row>
    <row r="61" spans="1:28" ht="14.25" customHeight="1" x14ac:dyDescent="0.25">
      <c r="A61" s="33"/>
      <c r="B61" s="42"/>
      <c r="C61" s="33"/>
      <c r="D61" s="33"/>
      <c r="E61" s="33"/>
      <c r="F61" s="33"/>
      <c r="G61" s="33"/>
      <c r="H61" s="33"/>
      <c r="I61" s="33"/>
      <c r="J61" s="33"/>
      <c r="K61" s="33"/>
      <c r="L61" s="33"/>
      <c r="M61" s="33"/>
      <c r="N61" s="33"/>
      <c r="O61" s="33"/>
      <c r="P61" s="33"/>
      <c r="Q61" s="33"/>
      <c r="R61" s="33"/>
      <c r="S61" s="33"/>
      <c r="T61" s="33"/>
      <c r="U61" s="33"/>
      <c r="V61" s="33"/>
      <c r="W61" s="33"/>
      <c r="X61" s="33"/>
      <c r="Y61" s="33"/>
      <c r="Z61" s="33"/>
      <c r="AA61" s="33"/>
      <c r="AB61" s="33"/>
    </row>
    <row r="62" spans="1:28" ht="14.25" customHeight="1" x14ac:dyDescent="0.25">
      <c r="A62" s="33"/>
      <c r="B62" s="42"/>
      <c r="C62" s="33"/>
      <c r="D62" s="33"/>
      <c r="E62" s="33"/>
      <c r="F62" s="33"/>
      <c r="G62" s="33"/>
      <c r="H62" s="33"/>
      <c r="I62" s="33"/>
      <c r="J62" s="33"/>
      <c r="K62" s="33"/>
      <c r="L62" s="33"/>
      <c r="M62" s="33"/>
      <c r="N62" s="33"/>
      <c r="O62" s="33"/>
      <c r="P62" s="33"/>
      <c r="Q62" s="33"/>
      <c r="R62" s="33"/>
      <c r="S62" s="33"/>
      <c r="T62" s="33"/>
      <c r="U62" s="33"/>
      <c r="V62" s="33"/>
      <c r="W62" s="33"/>
      <c r="X62" s="33"/>
      <c r="Y62" s="33"/>
      <c r="Z62" s="33"/>
      <c r="AA62" s="33"/>
      <c r="AB62" s="33"/>
    </row>
    <row r="63" spans="1:28" ht="14.25" customHeight="1" x14ac:dyDescent="0.25">
      <c r="A63" s="33"/>
      <c r="B63" s="42"/>
      <c r="C63" s="33"/>
      <c r="D63" s="33"/>
      <c r="E63" s="33"/>
      <c r="F63" s="33"/>
      <c r="G63" s="33"/>
      <c r="H63" s="33"/>
      <c r="I63" s="33"/>
      <c r="J63" s="33"/>
      <c r="K63" s="33"/>
      <c r="L63" s="33"/>
      <c r="M63" s="33"/>
      <c r="N63" s="33"/>
      <c r="O63" s="33"/>
      <c r="P63" s="33"/>
      <c r="Q63" s="33"/>
      <c r="R63" s="33"/>
      <c r="S63" s="33"/>
      <c r="T63" s="33"/>
      <c r="U63" s="33"/>
      <c r="V63" s="33"/>
      <c r="W63" s="33"/>
      <c r="X63" s="33"/>
      <c r="Y63" s="33"/>
      <c r="Z63" s="33"/>
      <c r="AA63" s="33"/>
      <c r="AB63" s="33"/>
    </row>
    <row r="64" spans="1:28" ht="14.25" customHeight="1" x14ac:dyDescent="0.25">
      <c r="A64" s="33"/>
      <c r="B64" s="42"/>
      <c r="C64" s="33"/>
      <c r="D64" s="33"/>
      <c r="E64" s="33"/>
      <c r="F64" s="33"/>
      <c r="G64" s="33"/>
      <c r="H64" s="33"/>
      <c r="I64" s="33"/>
      <c r="J64" s="33"/>
      <c r="K64" s="33"/>
      <c r="L64" s="33"/>
      <c r="M64" s="33"/>
      <c r="N64" s="33"/>
      <c r="O64" s="33"/>
      <c r="P64" s="33"/>
      <c r="Q64" s="33"/>
      <c r="R64" s="33"/>
      <c r="S64" s="33"/>
      <c r="T64" s="33"/>
      <c r="U64" s="33"/>
      <c r="V64" s="33"/>
      <c r="W64" s="33"/>
      <c r="X64" s="33"/>
      <c r="Y64" s="33"/>
      <c r="Z64" s="33"/>
      <c r="AA64" s="33"/>
      <c r="AB64" s="33"/>
    </row>
    <row r="65" spans="1:28" ht="14.25" customHeight="1" x14ac:dyDescent="0.25">
      <c r="A65" s="33"/>
      <c r="B65" s="42"/>
      <c r="C65" s="33"/>
      <c r="D65" s="33"/>
      <c r="E65" s="33"/>
      <c r="F65" s="33"/>
      <c r="G65" s="33"/>
      <c r="H65" s="33"/>
      <c r="I65" s="33"/>
      <c r="J65" s="33"/>
      <c r="K65" s="33"/>
      <c r="L65" s="33"/>
      <c r="M65" s="33"/>
      <c r="N65" s="33"/>
      <c r="O65" s="33"/>
      <c r="P65" s="33"/>
      <c r="Q65" s="33"/>
      <c r="R65" s="33"/>
      <c r="S65" s="33"/>
      <c r="T65" s="33"/>
      <c r="U65" s="33"/>
      <c r="V65" s="33"/>
      <c r="W65" s="33"/>
      <c r="X65" s="33"/>
      <c r="Y65" s="33"/>
      <c r="Z65" s="33"/>
      <c r="AA65" s="33"/>
      <c r="AB65" s="33"/>
    </row>
    <row r="66" spans="1:28" ht="14.25" customHeight="1" x14ac:dyDescent="0.25">
      <c r="A66" s="33"/>
      <c r="B66" s="42"/>
      <c r="C66" s="33"/>
      <c r="D66" s="33"/>
      <c r="E66" s="33"/>
      <c r="F66" s="33"/>
      <c r="G66" s="33"/>
      <c r="H66" s="33"/>
      <c r="I66" s="33"/>
      <c r="J66" s="33"/>
      <c r="K66" s="33"/>
      <c r="L66" s="33"/>
      <c r="M66" s="33"/>
      <c r="N66" s="33"/>
      <c r="O66" s="33"/>
      <c r="P66" s="33"/>
      <c r="Q66" s="33"/>
      <c r="R66" s="33"/>
      <c r="S66" s="33"/>
      <c r="T66" s="33"/>
      <c r="U66" s="33"/>
      <c r="V66" s="33"/>
      <c r="W66" s="33"/>
      <c r="X66" s="33"/>
      <c r="Y66" s="33"/>
      <c r="Z66" s="33"/>
      <c r="AA66" s="33"/>
      <c r="AB66" s="33"/>
    </row>
    <row r="67" spans="1:28" ht="14.25" customHeight="1" x14ac:dyDescent="0.25">
      <c r="A67" s="33"/>
      <c r="B67" s="42"/>
      <c r="C67" s="33"/>
      <c r="D67" s="33"/>
      <c r="E67" s="33"/>
      <c r="F67" s="33"/>
      <c r="G67" s="33"/>
      <c r="H67" s="33"/>
      <c r="I67" s="33"/>
      <c r="J67" s="33"/>
      <c r="K67" s="33"/>
      <c r="L67" s="33"/>
      <c r="M67" s="33"/>
      <c r="N67" s="33"/>
      <c r="O67" s="33"/>
      <c r="P67" s="33"/>
      <c r="Q67" s="33"/>
      <c r="R67" s="33"/>
      <c r="S67" s="33"/>
      <c r="T67" s="33"/>
      <c r="U67" s="33"/>
      <c r="V67" s="33"/>
      <c r="W67" s="33"/>
      <c r="X67" s="33"/>
      <c r="Y67" s="33"/>
      <c r="Z67" s="33"/>
      <c r="AA67" s="33"/>
      <c r="AB67" s="33"/>
    </row>
    <row r="68" spans="1:28" ht="14.25" customHeight="1" x14ac:dyDescent="0.25">
      <c r="A68" s="33"/>
      <c r="B68" s="42"/>
      <c r="C68" s="33"/>
      <c r="D68" s="33"/>
      <c r="E68" s="33"/>
      <c r="F68" s="33"/>
      <c r="G68" s="33"/>
      <c r="H68" s="33"/>
      <c r="I68" s="33"/>
      <c r="J68" s="33"/>
      <c r="K68" s="33"/>
      <c r="L68" s="33"/>
      <c r="M68" s="33"/>
      <c r="N68" s="33"/>
      <c r="O68" s="33"/>
      <c r="P68" s="33"/>
      <c r="Q68" s="33"/>
      <c r="R68" s="33"/>
      <c r="S68" s="33"/>
      <c r="T68" s="33"/>
      <c r="U68" s="33"/>
      <c r="V68" s="33"/>
      <c r="W68" s="33"/>
      <c r="X68" s="33"/>
      <c r="Y68" s="33"/>
      <c r="Z68" s="33"/>
      <c r="AA68" s="33"/>
      <c r="AB68" s="33"/>
    </row>
    <row r="69" spans="1:28" ht="14.25" customHeight="1" x14ac:dyDescent="0.25">
      <c r="A69" s="33"/>
      <c r="B69" s="42"/>
      <c r="C69" s="33"/>
      <c r="D69" s="33"/>
      <c r="E69" s="33"/>
      <c r="F69" s="33"/>
      <c r="G69" s="33"/>
      <c r="H69" s="33"/>
      <c r="I69" s="33"/>
      <c r="J69" s="33"/>
      <c r="K69" s="33"/>
      <c r="L69" s="33"/>
      <c r="M69" s="33"/>
      <c r="N69" s="33"/>
      <c r="O69" s="33"/>
      <c r="P69" s="33"/>
      <c r="Q69" s="33"/>
      <c r="R69" s="33"/>
      <c r="S69" s="33"/>
      <c r="T69" s="33"/>
      <c r="U69" s="33"/>
      <c r="V69" s="33"/>
      <c r="W69" s="33"/>
      <c r="X69" s="33"/>
      <c r="Y69" s="33"/>
      <c r="Z69" s="33"/>
      <c r="AA69" s="33"/>
      <c r="AB69" s="33"/>
    </row>
    <row r="70" spans="1:28" ht="14.25" customHeight="1" x14ac:dyDescent="0.25">
      <c r="A70" s="33"/>
      <c r="B70" s="42"/>
      <c r="C70" s="33"/>
      <c r="D70" s="33"/>
      <c r="E70" s="33"/>
      <c r="F70" s="33"/>
      <c r="G70" s="33"/>
      <c r="H70" s="33"/>
      <c r="I70" s="33"/>
      <c r="J70" s="33"/>
      <c r="K70" s="33"/>
      <c r="L70" s="33"/>
      <c r="M70" s="33"/>
      <c r="N70" s="33"/>
      <c r="O70" s="33"/>
      <c r="P70" s="33"/>
      <c r="Q70" s="33"/>
      <c r="R70" s="33"/>
      <c r="S70" s="33"/>
      <c r="T70" s="33"/>
      <c r="U70" s="33"/>
      <c r="V70" s="33"/>
      <c r="W70" s="33"/>
      <c r="X70" s="33"/>
      <c r="Y70" s="33"/>
      <c r="Z70" s="33"/>
      <c r="AA70" s="33"/>
      <c r="AB70" s="33"/>
    </row>
    <row r="71" spans="1:28" ht="14.25" customHeight="1" x14ac:dyDescent="0.25">
      <c r="A71" s="33"/>
      <c r="B71" s="42"/>
      <c r="C71" s="33"/>
      <c r="D71" s="33"/>
      <c r="E71" s="33"/>
      <c r="F71" s="33"/>
      <c r="G71" s="33"/>
      <c r="H71" s="33"/>
      <c r="I71" s="33"/>
      <c r="J71" s="33"/>
      <c r="K71" s="33"/>
      <c r="L71" s="33"/>
      <c r="M71" s="33"/>
      <c r="N71" s="33"/>
      <c r="O71" s="33"/>
      <c r="P71" s="33"/>
      <c r="Q71" s="33"/>
      <c r="R71" s="33"/>
      <c r="S71" s="33"/>
      <c r="T71" s="33"/>
      <c r="U71" s="33"/>
      <c r="V71" s="33"/>
      <c r="W71" s="33"/>
      <c r="X71" s="33"/>
      <c r="Y71" s="33"/>
      <c r="Z71" s="33"/>
      <c r="AA71" s="33"/>
      <c r="AB71" s="33"/>
    </row>
    <row r="72" spans="1:28" ht="14.25" customHeight="1" x14ac:dyDescent="0.25">
      <c r="A72" s="33"/>
      <c r="B72" s="42"/>
      <c r="C72" s="33"/>
      <c r="D72" s="33"/>
      <c r="E72" s="33"/>
      <c r="F72" s="33"/>
      <c r="G72" s="33"/>
      <c r="H72" s="33"/>
      <c r="I72" s="33"/>
      <c r="J72" s="33"/>
      <c r="K72" s="33"/>
      <c r="L72" s="33"/>
      <c r="M72" s="33"/>
      <c r="N72" s="33"/>
      <c r="O72" s="33"/>
      <c r="P72" s="33"/>
      <c r="Q72" s="33"/>
      <c r="R72" s="33"/>
      <c r="S72" s="33"/>
      <c r="T72" s="33"/>
      <c r="U72" s="33"/>
      <c r="V72" s="33"/>
      <c r="W72" s="33"/>
      <c r="X72" s="33"/>
      <c r="Y72" s="33"/>
      <c r="Z72" s="33"/>
      <c r="AA72" s="33"/>
      <c r="AB72" s="33"/>
    </row>
    <row r="73" spans="1:28" ht="14.25" customHeight="1" x14ac:dyDescent="0.25">
      <c r="A73" s="33"/>
      <c r="B73" s="42"/>
      <c r="C73" s="33"/>
      <c r="D73" s="33"/>
      <c r="E73" s="33"/>
      <c r="F73" s="33"/>
      <c r="G73" s="33"/>
      <c r="H73" s="33"/>
      <c r="I73" s="33"/>
      <c r="J73" s="33"/>
      <c r="K73" s="33"/>
      <c r="L73" s="33"/>
      <c r="M73" s="33"/>
      <c r="N73" s="33"/>
      <c r="O73" s="33"/>
      <c r="P73" s="33"/>
      <c r="Q73" s="33"/>
      <c r="R73" s="33"/>
      <c r="S73" s="33"/>
      <c r="T73" s="33"/>
      <c r="U73" s="33"/>
      <c r="V73" s="33"/>
      <c r="W73" s="33"/>
      <c r="X73" s="33"/>
      <c r="Y73" s="33"/>
      <c r="Z73" s="33"/>
      <c r="AA73" s="33"/>
      <c r="AB73" s="33"/>
    </row>
    <row r="74" spans="1:28" ht="14.25" customHeight="1" x14ac:dyDescent="0.25">
      <c r="A74" s="33"/>
      <c r="B74" s="42"/>
      <c r="C74" s="33"/>
      <c r="D74" s="33"/>
      <c r="E74" s="33"/>
      <c r="F74" s="33"/>
      <c r="G74" s="33"/>
      <c r="H74" s="33"/>
      <c r="I74" s="33"/>
      <c r="J74" s="33"/>
      <c r="K74" s="33"/>
      <c r="L74" s="33"/>
      <c r="M74" s="33"/>
      <c r="N74" s="33"/>
      <c r="O74" s="33"/>
      <c r="P74" s="33"/>
      <c r="Q74" s="33"/>
      <c r="R74" s="33"/>
      <c r="S74" s="33"/>
      <c r="T74" s="33"/>
      <c r="U74" s="33"/>
      <c r="V74" s="33"/>
      <c r="W74" s="33"/>
      <c r="X74" s="33"/>
      <c r="Y74" s="33"/>
      <c r="Z74" s="33"/>
      <c r="AA74" s="33"/>
      <c r="AB74" s="33"/>
    </row>
    <row r="75" spans="1:28" ht="14.25" customHeight="1" x14ac:dyDescent="0.25">
      <c r="A75" s="33"/>
      <c r="B75" s="42"/>
      <c r="C75" s="33"/>
      <c r="D75" s="33"/>
      <c r="E75" s="33"/>
      <c r="F75" s="33"/>
      <c r="G75" s="33"/>
      <c r="H75" s="33"/>
      <c r="I75" s="33"/>
      <c r="J75" s="33"/>
      <c r="K75" s="33"/>
      <c r="L75" s="33"/>
      <c r="M75" s="33"/>
      <c r="N75" s="33"/>
      <c r="O75" s="33"/>
      <c r="P75" s="33"/>
      <c r="Q75" s="33"/>
      <c r="R75" s="33"/>
      <c r="S75" s="33"/>
      <c r="T75" s="33"/>
      <c r="U75" s="33"/>
      <c r="V75" s="33"/>
      <c r="W75" s="33"/>
      <c r="X75" s="33"/>
      <c r="Y75" s="33"/>
      <c r="Z75" s="33"/>
      <c r="AA75" s="33"/>
      <c r="AB75" s="33"/>
    </row>
    <row r="76" spans="1:28" ht="14.25" customHeight="1" x14ac:dyDescent="0.25">
      <c r="A76" s="33"/>
      <c r="B76" s="42"/>
      <c r="C76" s="33"/>
      <c r="D76" s="33"/>
      <c r="E76" s="33"/>
      <c r="F76" s="33"/>
      <c r="G76" s="33"/>
      <c r="H76" s="33"/>
      <c r="I76" s="33"/>
      <c r="J76" s="33"/>
      <c r="K76" s="33"/>
      <c r="L76" s="33"/>
      <c r="M76" s="33"/>
      <c r="N76" s="33"/>
      <c r="O76" s="33"/>
      <c r="P76" s="33"/>
      <c r="Q76" s="33"/>
      <c r="R76" s="33"/>
      <c r="S76" s="33"/>
      <c r="T76" s="33"/>
      <c r="U76" s="33"/>
      <c r="V76" s="33"/>
      <c r="W76" s="33"/>
      <c r="X76" s="33"/>
      <c r="Y76" s="33"/>
      <c r="Z76" s="33"/>
      <c r="AA76" s="33"/>
      <c r="AB76" s="33"/>
    </row>
    <row r="77" spans="1:28" ht="14.25" customHeight="1" x14ac:dyDescent="0.25">
      <c r="A77" s="33"/>
      <c r="B77" s="42"/>
      <c r="C77" s="33"/>
      <c r="D77" s="33"/>
      <c r="E77" s="33"/>
      <c r="F77" s="33"/>
      <c r="G77" s="33"/>
      <c r="H77" s="33"/>
      <c r="I77" s="33"/>
      <c r="J77" s="33"/>
      <c r="K77" s="33"/>
      <c r="L77" s="33"/>
      <c r="M77" s="33"/>
      <c r="N77" s="33"/>
      <c r="O77" s="33"/>
      <c r="P77" s="33"/>
      <c r="Q77" s="33"/>
      <c r="R77" s="33"/>
      <c r="S77" s="33"/>
      <c r="T77" s="33"/>
      <c r="U77" s="33"/>
      <c r="V77" s="33"/>
      <c r="W77" s="33"/>
      <c r="X77" s="33"/>
      <c r="Y77" s="33"/>
      <c r="Z77" s="33"/>
      <c r="AA77" s="33"/>
      <c r="AB77" s="33"/>
    </row>
    <row r="78" spans="1:28" ht="14.25" customHeight="1" x14ac:dyDescent="0.25">
      <c r="A78" s="33"/>
      <c r="B78" s="42"/>
      <c r="C78" s="33"/>
      <c r="D78" s="33"/>
      <c r="E78" s="33"/>
      <c r="F78" s="33"/>
      <c r="G78" s="33"/>
      <c r="H78" s="33"/>
      <c r="I78" s="33"/>
      <c r="J78" s="33"/>
      <c r="K78" s="33"/>
      <c r="L78" s="33"/>
      <c r="M78" s="33"/>
      <c r="N78" s="33"/>
      <c r="O78" s="33"/>
      <c r="P78" s="33"/>
      <c r="Q78" s="33"/>
      <c r="R78" s="33"/>
      <c r="S78" s="33"/>
      <c r="T78" s="33"/>
      <c r="U78" s="33"/>
      <c r="V78" s="33"/>
      <c r="W78" s="33"/>
      <c r="X78" s="33"/>
      <c r="Y78" s="33"/>
      <c r="Z78" s="33"/>
      <c r="AA78" s="33"/>
      <c r="AB78" s="33"/>
    </row>
    <row r="79" spans="1:28" ht="14.25" customHeight="1" x14ac:dyDescent="0.25">
      <c r="A79" s="33"/>
      <c r="B79" s="42"/>
      <c r="C79" s="33"/>
      <c r="D79" s="33"/>
      <c r="E79" s="33"/>
      <c r="F79" s="33"/>
      <c r="G79" s="33"/>
      <c r="H79" s="33"/>
      <c r="I79" s="33"/>
      <c r="J79" s="33"/>
      <c r="K79" s="33"/>
      <c r="L79" s="33"/>
      <c r="M79" s="33"/>
      <c r="N79" s="33"/>
      <c r="O79" s="33"/>
      <c r="P79" s="33"/>
      <c r="Q79" s="33"/>
      <c r="R79" s="33"/>
      <c r="S79" s="33"/>
      <c r="T79" s="33"/>
      <c r="U79" s="33"/>
      <c r="V79" s="33"/>
      <c r="W79" s="33"/>
      <c r="X79" s="33"/>
      <c r="Y79" s="33"/>
      <c r="Z79" s="33"/>
      <c r="AA79" s="33"/>
      <c r="AB79" s="33"/>
    </row>
    <row r="80" spans="1:28" ht="14.25" customHeight="1" x14ac:dyDescent="0.25">
      <c r="A80" s="33"/>
      <c r="B80" s="42"/>
      <c r="C80" s="33"/>
      <c r="D80" s="33"/>
      <c r="E80" s="33"/>
      <c r="F80" s="33"/>
      <c r="G80" s="33"/>
      <c r="H80" s="33"/>
      <c r="I80" s="33"/>
      <c r="J80" s="33"/>
      <c r="K80" s="33"/>
      <c r="L80" s="33"/>
      <c r="M80" s="33"/>
      <c r="N80" s="33"/>
      <c r="O80" s="33"/>
      <c r="P80" s="33"/>
      <c r="Q80" s="33"/>
      <c r="R80" s="33"/>
      <c r="S80" s="33"/>
      <c r="T80" s="33"/>
      <c r="U80" s="33"/>
      <c r="V80" s="33"/>
      <c r="W80" s="33"/>
      <c r="X80" s="33"/>
      <c r="Y80" s="33"/>
      <c r="Z80" s="33"/>
      <c r="AA80" s="33"/>
      <c r="AB80" s="33"/>
    </row>
    <row r="81" spans="1:28" ht="14.25" customHeight="1" x14ac:dyDescent="0.25">
      <c r="A81" s="33"/>
      <c r="B81" s="42"/>
      <c r="C81" s="33"/>
      <c r="D81" s="33"/>
      <c r="E81" s="33"/>
      <c r="F81" s="33"/>
      <c r="G81" s="33"/>
      <c r="H81" s="33"/>
      <c r="I81" s="33"/>
      <c r="J81" s="33"/>
      <c r="K81" s="33"/>
      <c r="L81" s="33"/>
      <c r="M81" s="33"/>
      <c r="N81" s="33"/>
      <c r="O81" s="33"/>
      <c r="P81" s="33"/>
      <c r="Q81" s="33"/>
      <c r="R81" s="33"/>
      <c r="S81" s="33"/>
      <c r="T81" s="33"/>
      <c r="U81" s="33"/>
      <c r="V81" s="33"/>
      <c r="W81" s="33"/>
      <c r="X81" s="33"/>
      <c r="Y81" s="33"/>
      <c r="Z81" s="33"/>
      <c r="AA81" s="33"/>
      <c r="AB81" s="33"/>
    </row>
    <row r="82" spans="1:28" ht="14.25" customHeight="1" x14ac:dyDescent="0.25">
      <c r="A82" s="33"/>
      <c r="B82" s="42"/>
      <c r="C82" s="33"/>
      <c r="D82" s="33"/>
      <c r="E82" s="33"/>
      <c r="F82" s="33"/>
      <c r="G82" s="33"/>
      <c r="H82" s="33"/>
      <c r="I82" s="33"/>
      <c r="J82" s="33"/>
      <c r="K82" s="33"/>
      <c r="L82" s="33"/>
      <c r="M82" s="33"/>
      <c r="N82" s="33"/>
      <c r="O82" s="33"/>
      <c r="P82" s="33"/>
      <c r="Q82" s="33"/>
      <c r="R82" s="33"/>
      <c r="S82" s="33"/>
      <c r="T82" s="33"/>
      <c r="U82" s="33"/>
      <c r="V82" s="33"/>
      <c r="W82" s="33"/>
      <c r="X82" s="33"/>
      <c r="Y82" s="33"/>
      <c r="Z82" s="33"/>
      <c r="AA82" s="33"/>
      <c r="AB82" s="33"/>
    </row>
    <row r="83" spans="1:28" ht="14.25" customHeight="1" x14ac:dyDescent="0.25">
      <c r="A83" s="33"/>
      <c r="B83" s="42"/>
      <c r="C83" s="33"/>
      <c r="D83" s="33"/>
      <c r="E83" s="33"/>
      <c r="F83" s="33"/>
      <c r="G83" s="33"/>
      <c r="H83" s="33"/>
      <c r="I83" s="33"/>
      <c r="J83" s="33"/>
      <c r="K83" s="33"/>
      <c r="L83" s="33"/>
      <c r="M83" s="33"/>
      <c r="N83" s="33"/>
      <c r="O83" s="33"/>
      <c r="P83" s="33"/>
      <c r="Q83" s="33"/>
      <c r="R83" s="33"/>
      <c r="S83" s="33"/>
      <c r="T83" s="33"/>
      <c r="U83" s="33"/>
      <c r="V83" s="33"/>
      <c r="W83" s="33"/>
      <c r="X83" s="33"/>
      <c r="Y83" s="33"/>
      <c r="Z83" s="33"/>
      <c r="AA83" s="33"/>
      <c r="AB83" s="33"/>
    </row>
    <row r="84" spans="1:28" ht="14.25" customHeight="1" x14ac:dyDescent="0.25">
      <c r="A84" s="33"/>
      <c r="B84" s="42"/>
      <c r="C84" s="33"/>
      <c r="D84" s="33"/>
      <c r="E84" s="33"/>
      <c r="F84" s="33"/>
      <c r="G84" s="33"/>
      <c r="H84" s="33"/>
      <c r="I84" s="33"/>
      <c r="J84" s="33"/>
      <c r="K84" s="33"/>
      <c r="L84" s="33"/>
      <c r="M84" s="33"/>
      <c r="N84" s="33"/>
      <c r="O84" s="33"/>
      <c r="P84" s="33"/>
      <c r="Q84" s="33"/>
      <c r="R84" s="33"/>
      <c r="S84" s="33"/>
      <c r="T84" s="33"/>
      <c r="U84" s="33"/>
      <c r="V84" s="33"/>
      <c r="W84" s="33"/>
      <c r="X84" s="33"/>
      <c r="Y84" s="33"/>
      <c r="Z84" s="33"/>
      <c r="AA84" s="33"/>
      <c r="AB84" s="33"/>
    </row>
    <row r="85" spans="1:28" ht="14.25" customHeight="1" x14ac:dyDescent="0.25">
      <c r="A85" s="33"/>
      <c r="B85" s="42"/>
      <c r="C85" s="33"/>
      <c r="D85" s="33"/>
      <c r="E85" s="33"/>
      <c r="F85" s="33"/>
      <c r="G85" s="33"/>
      <c r="H85" s="33"/>
      <c r="I85" s="33"/>
      <c r="J85" s="33"/>
      <c r="K85" s="33"/>
      <c r="L85" s="33"/>
      <c r="M85" s="33"/>
      <c r="N85" s="33"/>
      <c r="O85" s="33"/>
      <c r="P85" s="33"/>
      <c r="Q85" s="33"/>
      <c r="R85" s="33"/>
      <c r="S85" s="33"/>
      <c r="T85" s="33"/>
      <c r="U85" s="33"/>
      <c r="V85" s="33"/>
      <c r="W85" s="33"/>
      <c r="X85" s="33"/>
      <c r="Y85" s="33"/>
      <c r="Z85" s="33"/>
      <c r="AA85" s="33"/>
      <c r="AB85" s="33"/>
    </row>
    <row r="86" spans="1:28" ht="14.25" customHeight="1" x14ac:dyDescent="0.25">
      <c r="A86" s="33"/>
      <c r="B86" s="42"/>
      <c r="C86" s="33"/>
      <c r="D86" s="33"/>
      <c r="E86" s="33"/>
      <c r="F86" s="33"/>
      <c r="G86" s="33"/>
      <c r="H86" s="33"/>
      <c r="I86" s="33"/>
      <c r="J86" s="33"/>
      <c r="K86" s="33"/>
      <c r="L86" s="33"/>
      <c r="M86" s="33"/>
      <c r="N86" s="33"/>
      <c r="O86" s="33"/>
      <c r="P86" s="33"/>
      <c r="Q86" s="33"/>
      <c r="R86" s="33"/>
      <c r="S86" s="33"/>
      <c r="T86" s="33"/>
      <c r="U86" s="33"/>
      <c r="V86" s="33"/>
      <c r="W86" s="33"/>
      <c r="X86" s="33"/>
      <c r="Y86" s="33"/>
      <c r="Z86" s="33"/>
      <c r="AA86" s="33"/>
      <c r="AB86" s="33"/>
    </row>
    <row r="87" spans="1:28" ht="14.25" customHeight="1" x14ac:dyDescent="0.25">
      <c r="A87" s="33"/>
      <c r="B87" s="42"/>
      <c r="C87" s="33"/>
      <c r="D87" s="33"/>
      <c r="E87" s="33"/>
      <c r="F87" s="33"/>
      <c r="G87" s="33"/>
      <c r="H87" s="33"/>
      <c r="I87" s="33"/>
      <c r="J87" s="33"/>
      <c r="K87" s="33"/>
      <c r="L87" s="33"/>
      <c r="M87" s="33"/>
      <c r="N87" s="33"/>
      <c r="O87" s="33"/>
      <c r="P87" s="33"/>
      <c r="Q87" s="33"/>
      <c r="R87" s="33"/>
      <c r="S87" s="33"/>
      <c r="T87" s="33"/>
      <c r="U87" s="33"/>
      <c r="V87" s="33"/>
      <c r="W87" s="33"/>
      <c r="X87" s="33"/>
      <c r="Y87" s="33"/>
      <c r="Z87" s="33"/>
      <c r="AA87" s="33"/>
      <c r="AB87" s="33"/>
    </row>
    <row r="88" spans="1:28" ht="14.25" customHeight="1" x14ac:dyDescent="0.25">
      <c r="A88" s="33"/>
      <c r="B88" s="42"/>
      <c r="C88" s="33"/>
      <c r="D88" s="33"/>
      <c r="E88" s="33"/>
      <c r="F88" s="33"/>
      <c r="G88" s="33"/>
      <c r="H88" s="33"/>
      <c r="I88" s="33"/>
      <c r="J88" s="33"/>
      <c r="K88" s="33"/>
      <c r="L88" s="33"/>
      <c r="M88" s="33"/>
      <c r="N88" s="33"/>
      <c r="O88" s="33"/>
      <c r="P88" s="33"/>
      <c r="Q88" s="33"/>
      <c r="R88" s="33"/>
      <c r="S88" s="33"/>
      <c r="T88" s="33"/>
      <c r="U88" s="33"/>
      <c r="V88" s="33"/>
      <c r="W88" s="33"/>
      <c r="X88" s="33"/>
      <c r="Y88" s="33"/>
      <c r="Z88" s="33"/>
      <c r="AA88" s="33"/>
      <c r="AB88" s="33"/>
    </row>
    <row r="89" spans="1:28" ht="14.25" customHeight="1" x14ac:dyDescent="0.25">
      <c r="A89" s="33"/>
      <c r="B89" s="42"/>
      <c r="C89" s="33"/>
      <c r="D89" s="33"/>
      <c r="E89" s="33"/>
      <c r="F89" s="33"/>
      <c r="G89" s="33"/>
      <c r="H89" s="33"/>
      <c r="I89" s="33"/>
      <c r="J89" s="33"/>
      <c r="K89" s="33"/>
      <c r="L89" s="33"/>
      <c r="M89" s="33"/>
      <c r="N89" s="33"/>
      <c r="O89" s="33"/>
      <c r="P89" s="33"/>
      <c r="Q89" s="33"/>
      <c r="R89" s="33"/>
      <c r="S89" s="33"/>
      <c r="T89" s="33"/>
      <c r="U89" s="33"/>
      <c r="V89" s="33"/>
      <c r="W89" s="33"/>
      <c r="X89" s="33"/>
      <c r="Y89" s="33"/>
      <c r="Z89" s="33"/>
      <c r="AA89" s="33"/>
      <c r="AB89" s="33"/>
    </row>
    <row r="90" spans="1:28" ht="14.25" customHeight="1" x14ac:dyDescent="0.25">
      <c r="A90" s="33"/>
      <c r="B90" s="42"/>
      <c r="C90" s="33"/>
      <c r="D90" s="33"/>
      <c r="E90" s="33"/>
      <c r="F90" s="33"/>
      <c r="G90" s="33"/>
      <c r="H90" s="33"/>
      <c r="I90" s="33"/>
      <c r="J90" s="33"/>
      <c r="K90" s="33"/>
      <c r="L90" s="33"/>
      <c r="M90" s="33"/>
      <c r="N90" s="33"/>
      <c r="O90" s="33"/>
      <c r="P90" s="33"/>
      <c r="Q90" s="33"/>
      <c r="R90" s="33"/>
      <c r="S90" s="33"/>
      <c r="T90" s="33"/>
      <c r="U90" s="33"/>
      <c r="V90" s="33"/>
      <c r="W90" s="33"/>
      <c r="X90" s="33"/>
      <c r="Y90" s="33"/>
      <c r="Z90" s="33"/>
      <c r="AA90" s="33"/>
      <c r="AB90" s="33"/>
    </row>
    <row r="91" spans="1:28" ht="14.25" customHeight="1" x14ac:dyDescent="0.25">
      <c r="A91" s="33"/>
      <c r="B91" s="42"/>
      <c r="C91" s="33"/>
      <c r="D91" s="33"/>
      <c r="E91" s="33"/>
      <c r="F91" s="33"/>
      <c r="G91" s="33"/>
      <c r="H91" s="33"/>
      <c r="I91" s="33"/>
      <c r="J91" s="33"/>
      <c r="K91" s="33"/>
      <c r="L91" s="33"/>
      <c r="M91" s="33"/>
      <c r="N91" s="33"/>
      <c r="O91" s="33"/>
      <c r="P91" s="33"/>
      <c r="Q91" s="33"/>
      <c r="R91" s="33"/>
      <c r="S91" s="33"/>
      <c r="T91" s="33"/>
      <c r="U91" s="33"/>
      <c r="V91" s="33"/>
      <c r="W91" s="33"/>
      <c r="X91" s="33"/>
      <c r="Y91" s="33"/>
      <c r="Z91" s="33"/>
      <c r="AA91" s="33"/>
      <c r="AB91" s="33"/>
    </row>
    <row r="92" spans="1:28" ht="14.25" customHeight="1" x14ac:dyDescent="0.25">
      <c r="A92" s="33"/>
      <c r="B92" s="42"/>
      <c r="C92" s="33"/>
      <c r="D92" s="33"/>
      <c r="E92" s="33"/>
      <c r="F92" s="33"/>
      <c r="G92" s="33"/>
      <c r="H92" s="33"/>
      <c r="I92" s="33"/>
      <c r="J92" s="33"/>
      <c r="K92" s="33"/>
      <c r="L92" s="33"/>
      <c r="M92" s="33"/>
      <c r="N92" s="33"/>
      <c r="O92" s="33"/>
      <c r="P92" s="33"/>
      <c r="Q92" s="33"/>
      <c r="R92" s="33"/>
      <c r="S92" s="33"/>
      <c r="T92" s="33"/>
      <c r="U92" s="33"/>
      <c r="V92" s="33"/>
      <c r="W92" s="33"/>
      <c r="X92" s="33"/>
      <c r="Y92" s="33"/>
      <c r="Z92" s="33"/>
      <c r="AA92" s="33"/>
      <c r="AB92" s="33"/>
    </row>
    <row r="93" spans="1:28" ht="14.25" customHeight="1" x14ac:dyDescent="0.25">
      <c r="A93" s="33"/>
      <c r="B93" s="42"/>
      <c r="C93" s="33"/>
      <c r="D93" s="33"/>
      <c r="E93" s="33"/>
      <c r="F93" s="33"/>
      <c r="G93" s="33"/>
      <c r="H93" s="33"/>
      <c r="I93" s="33"/>
      <c r="J93" s="33"/>
      <c r="K93" s="33"/>
      <c r="L93" s="33"/>
      <c r="M93" s="33"/>
      <c r="N93" s="33"/>
      <c r="O93" s="33"/>
      <c r="P93" s="33"/>
      <c r="Q93" s="33"/>
      <c r="R93" s="33"/>
      <c r="S93" s="33"/>
      <c r="T93" s="33"/>
      <c r="U93" s="33"/>
      <c r="V93" s="33"/>
      <c r="W93" s="33"/>
      <c r="X93" s="33"/>
      <c r="Y93" s="33"/>
      <c r="Z93" s="33"/>
      <c r="AA93" s="33"/>
      <c r="AB93" s="33"/>
    </row>
    <row r="94" spans="1:28" ht="14.25" customHeight="1" x14ac:dyDescent="0.25">
      <c r="A94" s="33"/>
      <c r="B94" s="42"/>
      <c r="C94" s="33"/>
      <c r="D94" s="33"/>
      <c r="E94" s="33"/>
      <c r="F94" s="33"/>
      <c r="G94" s="33"/>
      <c r="H94" s="33"/>
      <c r="I94" s="33"/>
      <c r="J94" s="33"/>
      <c r="K94" s="33"/>
      <c r="L94" s="33"/>
      <c r="M94" s="33"/>
      <c r="N94" s="33"/>
      <c r="O94" s="33"/>
      <c r="P94" s="33"/>
      <c r="Q94" s="33"/>
      <c r="R94" s="33"/>
      <c r="S94" s="33"/>
      <c r="T94" s="33"/>
      <c r="U94" s="33"/>
      <c r="V94" s="33"/>
      <c r="W94" s="33"/>
      <c r="X94" s="33"/>
      <c r="Y94" s="33"/>
      <c r="Z94" s="33"/>
      <c r="AA94" s="33"/>
      <c r="AB94" s="33"/>
    </row>
    <row r="95" spans="1:28" ht="14.25" customHeight="1" x14ac:dyDescent="0.25">
      <c r="A95" s="33"/>
      <c r="B95" s="42"/>
      <c r="C95" s="33"/>
      <c r="D95" s="33"/>
      <c r="E95" s="33"/>
      <c r="F95" s="33"/>
      <c r="G95" s="33"/>
      <c r="H95" s="33"/>
      <c r="I95" s="33"/>
      <c r="J95" s="33"/>
      <c r="K95" s="33"/>
      <c r="L95" s="33"/>
      <c r="M95" s="33"/>
      <c r="N95" s="33"/>
      <c r="O95" s="33"/>
      <c r="P95" s="33"/>
      <c r="Q95" s="33"/>
      <c r="R95" s="33"/>
      <c r="S95" s="33"/>
      <c r="T95" s="33"/>
      <c r="U95" s="33"/>
      <c r="V95" s="33"/>
      <c r="W95" s="33"/>
      <c r="X95" s="33"/>
      <c r="Y95" s="33"/>
      <c r="Z95" s="33"/>
      <c r="AA95" s="33"/>
      <c r="AB95" s="33"/>
    </row>
    <row r="96" spans="1:28" ht="14.25" customHeight="1" x14ac:dyDescent="0.25">
      <c r="A96" s="33"/>
      <c r="B96" s="42"/>
      <c r="C96" s="33"/>
      <c r="D96" s="33"/>
      <c r="E96" s="33"/>
      <c r="F96" s="33"/>
      <c r="G96" s="33"/>
      <c r="H96" s="33"/>
      <c r="I96" s="33"/>
      <c r="J96" s="33"/>
      <c r="K96" s="33"/>
      <c r="L96" s="33"/>
      <c r="M96" s="33"/>
      <c r="N96" s="33"/>
      <c r="O96" s="33"/>
      <c r="P96" s="33"/>
      <c r="Q96" s="33"/>
      <c r="R96" s="33"/>
      <c r="S96" s="33"/>
      <c r="T96" s="33"/>
      <c r="U96" s="33"/>
      <c r="V96" s="33"/>
      <c r="W96" s="33"/>
      <c r="X96" s="33"/>
      <c r="Y96" s="33"/>
      <c r="Z96" s="33"/>
      <c r="AA96" s="33"/>
      <c r="AB96" s="33"/>
    </row>
    <row r="97" spans="1:28" ht="14.25" customHeight="1" x14ac:dyDescent="0.25">
      <c r="A97" s="33"/>
      <c r="B97" s="42"/>
      <c r="C97" s="33"/>
      <c r="D97" s="33"/>
      <c r="E97" s="33"/>
      <c r="F97" s="33"/>
      <c r="G97" s="33"/>
      <c r="H97" s="33"/>
      <c r="I97" s="33"/>
      <c r="J97" s="33"/>
      <c r="K97" s="33"/>
      <c r="L97" s="33"/>
      <c r="M97" s="33"/>
      <c r="N97" s="33"/>
      <c r="O97" s="33"/>
      <c r="P97" s="33"/>
      <c r="Q97" s="33"/>
      <c r="R97" s="33"/>
      <c r="S97" s="33"/>
      <c r="T97" s="33"/>
      <c r="U97" s="33"/>
      <c r="V97" s="33"/>
      <c r="W97" s="33"/>
      <c r="X97" s="33"/>
      <c r="Y97" s="33"/>
      <c r="Z97" s="33"/>
      <c r="AA97" s="33"/>
      <c r="AB97" s="33"/>
    </row>
    <row r="98" spans="1:28" ht="14.25" customHeight="1" x14ac:dyDescent="0.25">
      <c r="A98" s="33"/>
      <c r="B98" s="42"/>
      <c r="C98" s="33"/>
      <c r="D98" s="33"/>
      <c r="E98" s="33"/>
      <c r="F98" s="33"/>
      <c r="G98" s="33"/>
      <c r="H98" s="33"/>
      <c r="I98" s="33"/>
      <c r="J98" s="33"/>
      <c r="K98" s="33"/>
      <c r="L98" s="33"/>
      <c r="M98" s="33"/>
      <c r="N98" s="33"/>
      <c r="O98" s="33"/>
      <c r="P98" s="33"/>
      <c r="Q98" s="33"/>
      <c r="R98" s="33"/>
      <c r="S98" s="33"/>
      <c r="T98" s="33"/>
      <c r="U98" s="33"/>
      <c r="V98" s="33"/>
      <c r="W98" s="33"/>
      <c r="X98" s="33"/>
      <c r="Y98" s="33"/>
      <c r="Z98" s="33"/>
      <c r="AA98" s="33"/>
      <c r="AB98" s="33"/>
    </row>
    <row r="99" spans="1:28" ht="14.25" customHeight="1" x14ac:dyDescent="0.25">
      <c r="A99" s="33"/>
      <c r="B99" s="42"/>
      <c r="C99" s="33"/>
      <c r="D99" s="33"/>
      <c r="E99" s="33"/>
      <c r="F99" s="33"/>
      <c r="G99" s="33"/>
      <c r="H99" s="33"/>
      <c r="I99" s="33"/>
      <c r="J99" s="33"/>
      <c r="K99" s="33"/>
      <c r="L99" s="33"/>
      <c r="M99" s="33"/>
      <c r="N99" s="33"/>
      <c r="O99" s="33"/>
      <c r="P99" s="33"/>
      <c r="Q99" s="33"/>
      <c r="R99" s="33"/>
      <c r="S99" s="33"/>
      <c r="T99" s="33"/>
      <c r="U99" s="33"/>
      <c r="V99" s="33"/>
      <c r="W99" s="33"/>
      <c r="X99" s="33"/>
      <c r="Y99" s="33"/>
      <c r="Z99" s="33"/>
      <c r="AA99" s="33"/>
      <c r="AB99" s="33"/>
    </row>
    <row r="100" spans="1:28" ht="14.25" customHeight="1" x14ac:dyDescent="0.25">
      <c r="A100" s="33"/>
      <c r="B100" s="42"/>
      <c r="C100" s="33"/>
      <c r="D100" s="33"/>
      <c r="E100" s="33"/>
      <c r="F100" s="33"/>
      <c r="G100" s="33"/>
      <c r="H100" s="33"/>
      <c r="I100" s="33"/>
      <c r="J100" s="33"/>
      <c r="K100" s="33"/>
      <c r="L100" s="33"/>
      <c r="M100" s="33"/>
      <c r="N100" s="33"/>
      <c r="O100" s="33"/>
      <c r="P100" s="33"/>
      <c r="Q100" s="33"/>
      <c r="R100" s="33"/>
      <c r="S100" s="33"/>
      <c r="T100" s="33"/>
      <c r="U100" s="33"/>
      <c r="V100" s="33"/>
      <c r="W100" s="33"/>
      <c r="X100" s="33"/>
      <c r="Y100" s="33"/>
      <c r="Z100" s="33"/>
      <c r="AA100" s="33"/>
      <c r="AB100" s="33"/>
    </row>
    <row r="101" spans="1:28" ht="14.25" customHeight="1" x14ac:dyDescent="0.25">
      <c r="A101" s="33"/>
      <c r="B101" s="42"/>
      <c r="C101" s="33"/>
      <c r="D101" s="33"/>
      <c r="E101" s="33"/>
      <c r="F101" s="33"/>
      <c r="G101" s="33"/>
      <c r="H101" s="33"/>
      <c r="I101" s="33"/>
      <c r="J101" s="33"/>
      <c r="K101" s="33"/>
      <c r="L101" s="33"/>
      <c r="M101" s="33"/>
      <c r="N101" s="33"/>
      <c r="O101" s="33"/>
      <c r="P101" s="33"/>
      <c r="Q101" s="33"/>
      <c r="R101" s="33"/>
      <c r="S101" s="33"/>
      <c r="T101" s="33"/>
      <c r="U101" s="33"/>
      <c r="V101" s="33"/>
      <c r="W101" s="33"/>
      <c r="X101" s="33"/>
      <c r="Y101" s="33"/>
      <c r="Z101" s="33"/>
      <c r="AA101" s="33"/>
      <c r="AB101" s="33"/>
    </row>
    <row r="102" spans="1:28" ht="14.25" customHeight="1" x14ac:dyDescent="0.25">
      <c r="A102" s="33"/>
      <c r="B102" s="42"/>
      <c r="C102" s="33"/>
      <c r="D102" s="33"/>
      <c r="E102" s="33"/>
      <c r="F102" s="33"/>
      <c r="G102" s="33"/>
      <c r="H102" s="33"/>
      <c r="I102" s="33"/>
      <c r="J102" s="33"/>
      <c r="K102" s="33"/>
      <c r="L102" s="33"/>
      <c r="M102" s="33"/>
      <c r="N102" s="33"/>
      <c r="O102" s="33"/>
      <c r="P102" s="33"/>
      <c r="Q102" s="33"/>
      <c r="R102" s="33"/>
      <c r="S102" s="33"/>
      <c r="T102" s="33"/>
      <c r="U102" s="33"/>
      <c r="V102" s="33"/>
      <c r="W102" s="33"/>
      <c r="X102" s="33"/>
      <c r="Y102" s="33"/>
      <c r="Z102" s="33"/>
      <c r="AA102" s="33"/>
      <c r="AB102" s="33"/>
    </row>
    <row r="103" spans="1:28" ht="14.25" customHeight="1" x14ac:dyDescent="0.25">
      <c r="A103" s="33"/>
      <c r="B103" s="42"/>
      <c r="C103" s="33"/>
      <c r="D103" s="33"/>
      <c r="E103" s="33"/>
      <c r="F103" s="33"/>
      <c r="G103" s="33"/>
      <c r="H103" s="33"/>
      <c r="I103" s="33"/>
      <c r="J103" s="33"/>
      <c r="K103" s="33"/>
      <c r="L103" s="33"/>
      <c r="M103" s="33"/>
      <c r="N103" s="33"/>
      <c r="O103" s="33"/>
      <c r="P103" s="33"/>
      <c r="Q103" s="33"/>
      <c r="R103" s="33"/>
      <c r="S103" s="33"/>
      <c r="T103" s="33"/>
      <c r="U103" s="33"/>
      <c r="V103" s="33"/>
      <c r="W103" s="33"/>
      <c r="X103" s="33"/>
      <c r="Y103" s="33"/>
      <c r="Z103" s="33"/>
      <c r="AA103" s="33"/>
      <c r="AB103" s="33"/>
    </row>
    <row r="104" spans="1:28" ht="14.25" customHeight="1" x14ac:dyDescent="0.25">
      <c r="A104" s="33"/>
      <c r="B104" s="42"/>
      <c r="C104" s="33"/>
      <c r="D104" s="33"/>
      <c r="E104" s="33"/>
      <c r="F104" s="33"/>
      <c r="G104" s="33"/>
      <c r="H104" s="33"/>
      <c r="I104" s="33"/>
      <c r="J104" s="33"/>
      <c r="K104" s="33"/>
      <c r="L104" s="33"/>
      <c r="M104" s="33"/>
      <c r="N104" s="33"/>
      <c r="O104" s="33"/>
      <c r="P104" s="33"/>
      <c r="Q104" s="33"/>
      <c r="R104" s="33"/>
      <c r="S104" s="33"/>
      <c r="T104" s="33"/>
      <c r="U104" s="33"/>
      <c r="V104" s="33"/>
      <c r="W104" s="33"/>
      <c r="X104" s="33"/>
      <c r="Y104" s="33"/>
      <c r="Z104" s="33"/>
      <c r="AA104" s="33"/>
      <c r="AB104" s="33"/>
    </row>
  </sheetData>
  <sheetProtection algorithmName="SHA-512" hashValue="zuPf0K+D06snIVAW0uGllpk77ZhNpgjOX8XSbiy4hnZKymQoLhUU0SfQf28gG3xXHIe+VXxXtpfro7anxQEgpw==" saltValue="+rzVQnR3dSEowSRtjjLZzA==" spinCount="100000" sheet="1" formatColumns="0" formatRows="0"/>
  <mergeCells count="5">
    <mergeCell ref="B9:B11"/>
    <mergeCell ref="D9:V9"/>
    <mergeCell ref="Q2:R2"/>
    <mergeCell ref="U2:V2"/>
    <mergeCell ref="B1:B3"/>
  </mergeCells>
  <conditionalFormatting sqref="L2">
    <cfRule type="expression" dxfId="457" priority="51">
      <formula>L$2="NÃO"</formula>
    </cfRule>
  </conditionalFormatting>
  <conditionalFormatting sqref="L2">
    <cfRule type="expression" dxfId="456" priority="52">
      <formula>L$2= "SIM"</formula>
    </cfRule>
  </conditionalFormatting>
  <conditionalFormatting sqref="D2">
    <cfRule type="expression" dxfId="455" priority="167">
      <formula>AND($L$2="Sim",$D$2&lt;$D$11)</formula>
    </cfRule>
  </conditionalFormatting>
  <conditionalFormatting sqref="D2">
    <cfRule type="expression" dxfId="454" priority="168">
      <formula>AND($L$2="Sim",$D$2&gt;$V$11)</formula>
    </cfRule>
  </conditionalFormatting>
  <conditionalFormatting sqref="E32 I7 E7 M7 Q7 Q27 U35 I27 M27 E27 U27 M32 I32 Q32 U32 Q35 E35 M35 I35 U38 Q38 M38 I38 E38 E41:E45 I41:I45 M41:M45 Q41:Q45 U41:U45">
    <cfRule type="expression" dxfId="453" priority="169">
      <formula>E$7="NÃO"</formula>
    </cfRule>
  </conditionalFormatting>
  <conditionalFormatting sqref="E32 I7 E7 M7 Q7 U7 Q27 U35 I27 M27 E27 U27 M32 I32 Q32 U32 Q35 E35 M35 I35 U38 Q38 M38 I38 E38 E41:E45 I41:I45 M41:M45 Q41:Q45 U41:U45">
    <cfRule type="expression" dxfId="452" priority="170">
      <formula>E$7= "SIM"</formula>
    </cfRule>
  </conditionalFormatting>
  <conditionalFormatting sqref="U7">
    <cfRule type="expression" dxfId="451" priority="183">
      <formula>U$7="NÃO"</formula>
    </cfRule>
  </conditionalFormatting>
  <conditionalFormatting sqref="U15">
    <cfRule type="expression" dxfId="450" priority="49">
      <formula>U$7="NÃO"</formula>
    </cfRule>
  </conditionalFormatting>
  <conditionalFormatting sqref="U15">
    <cfRule type="expression" dxfId="449" priority="50">
      <formula>U$7= "SIM"</formula>
    </cfRule>
  </conditionalFormatting>
  <conditionalFormatting sqref="U16">
    <cfRule type="expression" dxfId="448" priority="47">
      <formula>U$7="NÃO"</formula>
    </cfRule>
  </conditionalFormatting>
  <conditionalFormatting sqref="U16">
    <cfRule type="expression" dxfId="447" priority="48">
      <formula>U$7= "SIM"</formula>
    </cfRule>
  </conditionalFormatting>
  <conditionalFormatting sqref="U17">
    <cfRule type="expression" dxfId="446" priority="45">
      <formula>U$7="NÃO"</formula>
    </cfRule>
  </conditionalFormatting>
  <conditionalFormatting sqref="U17">
    <cfRule type="expression" dxfId="445" priority="46">
      <formula>U$7= "SIM"</formula>
    </cfRule>
  </conditionalFormatting>
  <conditionalFormatting sqref="U18">
    <cfRule type="expression" dxfId="444" priority="43">
      <formula>U$7="NÃO"</formula>
    </cfRule>
  </conditionalFormatting>
  <conditionalFormatting sqref="U18">
    <cfRule type="expression" dxfId="443" priority="44">
      <formula>U$7= "SIM"</formula>
    </cfRule>
  </conditionalFormatting>
  <conditionalFormatting sqref="U19">
    <cfRule type="expression" dxfId="442" priority="41">
      <formula>U$7="NÃO"</formula>
    </cfRule>
  </conditionalFormatting>
  <conditionalFormatting sqref="U19">
    <cfRule type="expression" dxfId="441" priority="42">
      <formula>U$7= "SIM"</formula>
    </cfRule>
  </conditionalFormatting>
  <conditionalFormatting sqref="M15">
    <cfRule type="expression" dxfId="440" priority="39">
      <formula>M$7="NÃO"</formula>
    </cfRule>
  </conditionalFormatting>
  <conditionalFormatting sqref="M15">
    <cfRule type="expression" dxfId="439" priority="40">
      <formula>M$7= "SIM"</formula>
    </cfRule>
  </conditionalFormatting>
  <conditionalFormatting sqref="M16">
    <cfRule type="expression" dxfId="438" priority="37">
      <formula>M$7="NÃO"</formula>
    </cfRule>
  </conditionalFormatting>
  <conditionalFormatting sqref="M16">
    <cfRule type="expression" dxfId="437" priority="38">
      <formula>M$7= "SIM"</formula>
    </cfRule>
  </conditionalFormatting>
  <conditionalFormatting sqref="M17">
    <cfRule type="expression" dxfId="436" priority="35">
      <formula>M$7="NÃO"</formula>
    </cfRule>
  </conditionalFormatting>
  <conditionalFormatting sqref="M17">
    <cfRule type="expression" dxfId="435" priority="36">
      <formula>M$7= "SIM"</formula>
    </cfRule>
  </conditionalFormatting>
  <conditionalFormatting sqref="M18">
    <cfRule type="expression" dxfId="434" priority="33">
      <formula>M$7="NÃO"</formula>
    </cfRule>
  </conditionalFormatting>
  <conditionalFormatting sqref="M18">
    <cfRule type="expression" dxfId="433" priority="34">
      <formula>M$7= "SIM"</formula>
    </cfRule>
  </conditionalFormatting>
  <conditionalFormatting sqref="M19">
    <cfRule type="expression" dxfId="432" priority="31">
      <formula>M$7="NÃO"</formula>
    </cfRule>
  </conditionalFormatting>
  <conditionalFormatting sqref="M19">
    <cfRule type="expression" dxfId="431" priority="32">
      <formula>M$7= "SIM"</formula>
    </cfRule>
  </conditionalFormatting>
  <conditionalFormatting sqref="Q15">
    <cfRule type="expression" dxfId="430" priority="29">
      <formula>Q$7="NÃO"</formula>
    </cfRule>
  </conditionalFormatting>
  <conditionalFormatting sqref="Q15">
    <cfRule type="expression" dxfId="429" priority="30">
      <formula>Q$7= "SIM"</formula>
    </cfRule>
  </conditionalFormatting>
  <conditionalFormatting sqref="Q16">
    <cfRule type="expression" dxfId="428" priority="27">
      <formula>Q$7="NÃO"</formula>
    </cfRule>
  </conditionalFormatting>
  <conditionalFormatting sqref="Q16">
    <cfRule type="expression" dxfId="427" priority="28">
      <formula>Q$7= "SIM"</formula>
    </cfRule>
  </conditionalFormatting>
  <conditionalFormatting sqref="Q17">
    <cfRule type="expression" dxfId="426" priority="25">
      <formula>Q$7="NÃO"</formula>
    </cfRule>
  </conditionalFormatting>
  <conditionalFormatting sqref="Q17">
    <cfRule type="expression" dxfId="425" priority="26">
      <formula>Q$7= "SIM"</formula>
    </cfRule>
  </conditionalFormatting>
  <conditionalFormatting sqref="Q18">
    <cfRule type="expression" dxfId="424" priority="23">
      <formula>Q$7="NÃO"</formula>
    </cfRule>
  </conditionalFormatting>
  <conditionalFormatting sqref="Q18">
    <cfRule type="expression" dxfId="423" priority="24">
      <formula>Q$7= "SIM"</formula>
    </cfRule>
  </conditionalFormatting>
  <conditionalFormatting sqref="Q19">
    <cfRule type="expression" dxfId="422" priority="21">
      <formula>Q$7="NÃO"</formula>
    </cfRule>
  </conditionalFormatting>
  <conditionalFormatting sqref="Q19">
    <cfRule type="expression" dxfId="421" priority="22">
      <formula>Q$7= "SIM"</formula>
    </cfRule>
  </conditionalFormatting>
  <conditionalFormatting sqref="I15">
    <cfRule type="expression" dxfId="420" priority="19">
      <formula>I$7="NÃO"</formula>
    </cfRule>
  </conditionalFormatting>
  <conditionalFormatting sqref="I15">
    <cfRule type="expression" dxfId="419" priority="20">
      <formula>I$7= "SIM"</formula>
    </cfRule>
  </conditionalFormatting>
  <conditionalFormatting sqref="I16">
    <cfRule type="expression" dxfId="418" priority="17">
      <formula>I$7="NÃO"</formula>
    </cfRule>
  </conditionalFormatting>
  <conditionalFormatting sqref="I16">
    <cfRule type="expression" dxfId="417" priority="18">
      <formula>I$7= "SIM"</formula>
    </cfRule>
  </conditionalFormatting>
  <conditionalFormatting sqref="I17">
    <cfRule type="expression" dxfId="416" priority="15">
      <formula>I$7="NÃO"</formula>
    </cfRule>
  </conditionalFormatting>
  <conditionalFormatting sqref="I17">
    <cfRule type="expression" dxfId="415" priority="16">
      <formula>I$7= "SIM"</formula>
    </cfRule>
  </conditionalFormatting>
  <conditionalFormatting sqref="I18">
    <cfRule type="expression" dxfId="414" priority="13">
      <formula>I$7="NÃO"</formula>
    </cfRule>
  </conditionalFormatting>
  <conditionalFormatting sqref="I18">
    <cfRule type="expression" dxfId="413" priority="14">
      <formula>I$7= "SIM"</formula>
    </cfRule>
  </conditionalFormatting>
  <conditionalFormatting sqref="I19">
    <cfRule type="expression" dxfId="412" priority="11">
      <formula>I$7="NÃO"</formula>
    </cfRule>
  </conditionalFormatting>
  <conditionalFormatting sqref="I19">
    <cfRule type="expression" dxfId="411" priority="12">
      <formula>I$7= "SIM"</formula>
    </cfRule>
  </conditionalFormatting>
  <conditionalFormatting sqref="E15">
    <cfRule type="expression" dxfId="410" priority="9">
      <formula>E$7="NÃO"</formula>
    </cfRule>
  </conditionalFormatting>
  <conditionalFormatting sqref="E15">
    <cfRule type="expression" dxfId="409" priority="10">
      <formula>E$7= "SIM"</formula>
    </cfRule>
  </conditionalFormatting>
  <conditionalFormatting sqref="E16">
    <cfRule type="expression" dxfId="408" priority="7">
      <formula>E$7="NÃO"</formula>
    </cfRule>
  </conditionalFormatting>
  <conditionalFormatting sqref="E16">
    <cfRule type="expression" dxfId="407" priority="8">
      <formula>E$7= "SIM"</formula>
    </cfRule>
  </conditionalFormatting>
  <conditionalFormatting sqref="E17">
    <cfRule type="expression" dxfId="406" priority="5">
      <formula>E$7="NÃO"</formula>
    </cfRule>
  </conditionalFormatting>
  <conditionalFormatting sqref="E17">
    <cfRule type="expression" dxfId="405" priority="6">
      <formula>E$7= "SIM"</formula>
    </cfRule>
  </conditionalFormatting>
  <conditionalFormatting sqref="E18">
    <cfRule type="expression" dxfId="404" priority="3">
      <formula>E$7="NÃO"</formula>
    </cfRule>
  </conditionalFormatting>
  <conditionalFormatting sqref="E18">
    <cfRule type="expression" dxfId="403" priority="4">
      <formula>E$7= "SIM"</formula>
    </cfRule>
  </conditionalFormatting>
  <conditionalFormatting sqref="E19">
    <cfRule type="expression" dxfId="402" priority="1">
      <formula>E$7="NÃO"</formula>
    </cfRule>
  </conditionalFormatting>
  <conditionalFormatting sqref="E19">
    <cfRule type="expression" dxfId="401" priority="2">
      <formula>E$7= "SIM"</formula>
    </cfRule>
  </conditionalFormatting>
  <pageMargins left="0.511811024" right="0.511811024" top="0.78740157499999996" bottom="0.78740157499999996" header="0" footer="0"/>
  <pageSetup paperSize="9" orientation="portrait"/>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outlinePr summaryBelow="0"/>
  </sheetPr>
  <dimension ref="A1:AB104"/>
  <sheetViews>
    <sheetView zoomScale="75" zoomScaleNormal="75" workbookViewId="0">
      <selection activeCell="F8" sqref="F8"/>
    </sheetView>
  </sheetViews>
  <sheetFormatPr defaultColWidth="14.42578125" defaultRowHeight="15" customHeight="1" outlineLevelRow="1" x14ac:dyDescent="0.25"/>
  <cols>
    <col min="1" max="1" width="1.7109375" customWidth="1"/>
    <col min="2" max="2" width="60.7109375" customWidth="1"/>
    <col min="3" max="3" width="1.7109375" customWidth="1"/>
    <col min="4" max="4" width="11.7109375" customWidth="1"/>
    <col min="5" max="5" width="15.7109375" customWidth="1"/>
    <col min="6" max="6" width="11.7109375" customWidth="1"/>
    <col min="7" max="7" width="1.7109375" customWidth="1"/>
    <col min="8" max="8" width="11.7109375" customWidth="1"/>
    <col min="9" max="9" width="15.7109375" customWidth="1"/>
    <col min="10" max="10" width="11.7109375" customWidth="1"/>
    <col min="11" max="11" width="1.7109375" customWidth="1"/>
    <col min="12" max="12" width="11.7109375" customWidth="1"/>
    <col min="13" max="13" width="15.7109375" customWidth="1"/>
    <col min="14" max="14" width="11.7109375" customWidth="1"/>
    <col min="15" max="15" width="1.7109375" customWidth="1"/>
    <col min="16" max="16" width="11.7109375" customWidth="1"/>
    <col min="17" max="17" width="15.7109375" customWidth="1"/>
    <col min="18" max="18" width="11.7109375" customWidth="1"/>
    <col min="19" max="19" width="1.7109375" customWidth="1"/>
    <col min="20" max="20" width="11.7109375" customWidth="1"/>
    <col min="21" max="21" width="15.7109375" customWidth="1"/>
    <col min="22" max="22" width="11.7109375" customWidth="1"/>
    <col min="23" max="27" width="8.7109375" hidden="1" customWidth="1"/>
    <col min="28" max="28" width="8.7109375" customWidth="1"/>
  </cols>
  <sheetData>
    <row r="1" spans="1:28" ht="19.899999999999999" customHeight="1" x14ac:dyDescent="0.25">
      <c r="A1" s="406"/>
      <c r="B1" s="2950" t="s">
        <v>765</v>
      </c>
      <c r="C1" s="433"/>
      <c r="D1" s="433"/>
      <c r="E1" s="433"/>
      <c r="F1" s="433"/>
      <c r="G1" s="433"/>
      <c r="H1" s="433"/>
      <c r="I1" s="433"/>
      <c r="J1" s="433"/>
      <c r="K1" s="433"/>
      <c r="L1" s="433"/>
      <c r="M1" s="433"/>
      <c r="N1" s="433"/>
      <c r="O1" s="433"/>
      <c r="P1" s="433"/>
      <c r="Q1" s="433"/>
      <c r="R1" s="433"/>
      <c r="S1" s="433"/>
      <c r="T1" s="433"/>
      <c r="U1" s="433"/>
      <c r="V1" s="433"/>
      <c r="W1" s="406"/>
      <c r="X1" s="406"/>
      <c r="Y1" s="406"/>
      <c r="Z1" s="406"/>
      <c r="AA1" s="406"/>
      <c r="AB1" s="406"/>
    </row>
    <row r="2" spans="1:28" ht="19.899999999999999" customHeight="1" x14ac:dyDescent="0.3">
      <c r="A2" s="434"/>
      <c r="B2" s="2950"/>
      <c r="C2" s="436"/>
      <c r="D2" s="899">
        <f>('R-Resumo Bal. Massa'!B20+'R-Resumo Bal. Massa'!B21)*(1+'R&amp;C-Painel de Controle'!H56)</f>
        <v>9.2249999999999979</v>
      </c>
      <c r="E2" s="900" t="s">
        <v>21</v>
      </c>
      <c r="H2" s="1105">
        <f>D2*313</f>
        <v>2887.4249999999993</v>
      </c>
      <c r="I2" s="1104" t="s">
        <v>249</v>
      </c>
      <c r="L2" s="1086" t="str">
        <f>IF(D2&gt;0,"Sim","Não")</f>
        <v>Sim</v>
      </c>
      <c r="M2" s="431"/>
      <c r="N2" s="431"/>
      <c r="O2" s="431"/>
      <c r="P2" s="1106" t="s">
        <v>436</v>
      </c>
      <c r="Q2" s="2941" t="str">
        <f>'R-Definição'!D2</f>
        <v>CIRSOP - Consórcio RSU Oeste Paulista</v>
      </c>
      <c r="R2" s="2942"/>
      <c r="S2" s="429"/>
      <c r="T2" s="1106" t="s">
        <v>437</v>
      </c>
      <c r="U2" s="2941" t="str">
        <f>'R-Definição'!D3</f>
        <v>Biodigestão c/ Prod. E. Elétrica</v>
      </c>
      <c r="V2" s="2942"/>
      <c r="W2" s="47"/>
      <c r="X2" s="47"/>
      <c r="Y2" s="47"/>
      <c r="Z2" s="47"/>
      <c r="AA2" s="47"/>
      <c r="AB2" s="47"/>
    </row>
    <row r="3" spans="1:28" ht="19.899999999999999" customHeight="1" x14ac:dyDescent="0.25">
      <c r="A3" s="406"/>
      <c r="B3" s="2950"/>
      <c r="C3" s="427"/>
      <c r="D3" s="426"/>
      <c r="E3" s="426"/>
      <c r="F3" s="426"/>
      <c r="G3" s="426"/>
      <c r="H3" s="426"/>
      <c r="I3" s="426"/>
      <c r="J3" s="426"/>
      <c r="K3" s="426"/>
      <c r="L3" s="426"/>
      <c r="M3" s="426"/>
      <c r="N3" s="426"/>
      <c r="O3" s="431"/>
      <c r="P3" s="426"/>
      <c r="Q3" s="426"/>
      <c r="R3" s="426"/>
      <c r="S3" s="426"/>
      <c r="T3" s="426"/>
      <c r="U3" s="426"/>
      <c r="V3" s="426"/>
      <c r="W3" s="33"/>
      <c r="X3" s="33"/>
      <c r="Y3" s="33"/>
      <c r="Z3" s="33"/>
      <c r="AA3" s="33"/>
      <c r="AB3" s="33"/>
    </row>
    <row r="4" spans="1:28" s="318" customFormat="1" ht="7.5" customHeight="1" x14ac:dyDescent="0.25">
      <c r="A4" s="427"/>
      <c r="B4" s="683"/>
      <c r="C4" s="403"/>
      <c r="D4" s="1061"/>
      <c r="E4" s="1061"/>
      <c r="F4" s="1061"/>
      <c r="G4" s="403"/>
      <c r="H4" s="1061"/>
      <c r="I4" s="1061"/>
      <c r="J4" s="1061"/>
      <c r="K4" s="403"/>
      <c r="L4" s="1061"/>
      <c r="M4" s="1061"/>
      <c r="N4" s="1061"/>
      <c r="O4" s="403"/>
      <c r="P4" s="1061"/>
      <c r="Q4" s="1061"/>
      <c r="R4" s="1061"/>
      <c r="S4" s="905"/>
      <c r="T4" s="1061"/>
      <c r="U4" s="1061"/>
      <c r="V4" s="906"/>
      <c r="W4" s="316"/>
      <c r="X4" s="316"/>
      <c r="Y4" s="316"/>
      <c r="Z4" s="316"/>
      <c r="AA4" s="316"/>
      <c r="AB4" s="316"/>
    </row>
    <row r="5" spans="1:28" ht="17.649999999999999" customHeight="1" x14ac:dyDescent="0.25">
      <c r="A5" s="406"/>
      <c r="B5" s="865" t="s">
        <v>755</v>
      </c>
      <c r="C5" s="437"/>
      <c r="D5" s="834">
        <v>4.25</v>
      </c>
      <c r="E5" s="870" t="s">
        <v>766</v>
      </c>
      <c r="F5" s="868"/>
      <c r="G5" s="868"/>
      <c r="H5" s="868"/>
      <c r="I5" s="868"/>
      <c r="J5" s="868"/>
      <c r="K5" s="868"/>
      <c r="L5" s="868"/>
      <c r="M5" s="868"/>
      <c r="N5" s="868"/>
      <c r="O5" s="868"/>
      <c r="P5" s="868"/>
      <c r="Q5" s="868"/>
      <c r="R5" s="868"/>
      <c r="S5" s="868"/>
      <c r="T5" s="868"/>
      <c r="U5" s="868"/>
      <c r="V5" s="317"/>
      <c r="W5" s="33"/>
      <c r="X5" s="33"/>
      <c r="Y5" s="33"/>
      <c r="Z5" s="33"/>
      <c r="AA5" s="33"/>
      <c r="AB5" s="33"/>
    </row>
    <row r="6" spans="1:28" s="318" customFormat="1" ht="7.5" customHeight="1" x14ac:dyDescent="0.25">
      <c r="A6" s="427"/>
      <c r="B6" s="683"/>
      <c r="C6" s="403"/>
      <c r="D6" s="1061"/>
      <c r="E6" s="1061"/>
      <c r="F6" s="1061"/>
      <c r="G6" s="403"/>
      <c r="H6" s="1061"/>
      <c r="I6" s="1061"/>
      <c r="J6" s="1061"/>
      <c r="K6" s="403"/>
      <c r="L6" s="1061"/>
      <c r="M6" s="1061"/>
      <c r="N6" s="1061"/>
      <c r="O6" s="403"/>
      <c r="P6" s="1061"/>
      <c r="Q6" s="1061"/>
      <c r="R6" s="1061"/>
      <c r="S6" s="905"/>
      <c r="T6" s="1061"/>
      <c r="U6" s="1061"/>
      <c r="V6" s="906"/>
      <c r="W6" s="316"/>
      <c r="X6" s="316"/>
      <c r="Y6" s="316"/>
      <c r="Z6" s="316"/>
      <c r="AA6" s="316"/>
      <c r="AB6" s="316"/>
    </row>
    <row r="7" spans="1:28" s="1092" customFormat="1" ht="19.899999999999999" customHeight="1" x14ac:dyDescent="0.3">
      <c r="A7" s="879"/>
      <c r="B7" s="849"/>
      <c r="C7" s="849"/>
      <c r="D7" s="1834">
        <v>1</v>
      </c>
      <c r="E7" s="1054" t="str">
        <f>IF(AND(L2="Sim",$D$2&gt;D11,$D$2&lt;=F11),"SIM","NÃO")</f>
        <v>SIM</v>
      </c>
      <c r="F7" s="1834">
        <v>1</v>
      </c>
      <c r="G7" s="849"/>
      <c r="H7" s="853"/>
      <c r="I7" s="1090" t="str">
        <f>IF(AND(L2="Sim",$D$2&gt;H11,$D$2&lt;=J11),"SIM","NÃO")</f>
        <v>NÃO</v>
      </c>
      <c r="J7" s="853"/>
      <c r="K7" s="849"/>
      <c r="L7" s="853"/>
      <c r="M7" s="1054" t="str">
        <f>IF(AND(L2="Sim",$D$2&gt;L11,$D$2&lt;=N11),"SIM","NÃO")</f>
        <v>NÃO</v>
      </c>
      <c r="N7" s="853"/>
      <c r="O7" s="1088"/>
      <c r="P7" s="853"/>
      <c r="Q7" s="1054" t="str">
        <f>IF(AND(L2="Sim",$D$2&gt;P11,$D$2&lt;=R11),"SIM","NÃO")</f>
        <v>NÃO</v>
      </c>
      <c r="R7" s="853"/>
      <c r="S7" s="849"/>
      <c r="T7" s="853"/>
      <c r="U7" s="1091" t="str">
        <f>IF(AND(L2="Sim",$D$2&gt;T11,$D$2&lt;=V11*1.5),"SIM","NÃO")</f>
        <v>NÃO</v>
      </c>
      <c r="V7" s="849"/>
      <c r="W7" s="881"/>
      <c r="X7" s="881"/>
      <c r="Y7" s="881"/>
      <c r="Z7" s="881"/>
      <c r="AA7" s="881"/>
      <c r="AB7" s="881"/>
    </row>
    <row r="8" spans="1:28" s="318" customFormat="1" ht="7.5" customHeight="1" thickBot="1" x14ac:dyDescent="0.3">
      <c r="A8" s="427"/>
      <c r="B8" s="683"/>
      <c r="C8" s="403"/>
      <c r="D8" s="1061"/>
      <c r="E8" s="1061"/>
      <c r="F8" s="1061"/>
      <c r="G8" s="403"/>
      <c r="H8" s="1061"/>
      <c r="I8" s="1061"/>
      <c r="J8" s="1061"/>
      <c r="K8" s="403"/>
      <c r="L8" s="1061"/>
      <c r="M8" s="1061"/>
      <c r="N8" s="1061"/>
      <c r="O8" s="403"/>
      <c r="P8" s="1061"/>
      <c r="Q8" s="1061"/>
      <c r="R8" s="1061"/>
      <c r="S8" s="905"/>
      <c r="T8" s="1061"/>
      <c r="U8" s="1061"/>
      <c r="V8" s="906"/>
      <c r="W8" s="316"/>
      <c r="X8" s="316"/>
      <c r="Y8" s="316"/>
      <c r="Z8" s="316"/>
      <c r="AA8" s="316"/>
      <c r="AB8" s="316"/>
    </row>
    <row r="9" spans="1:28" s="882" customFormat="1" ht="17.649999999999999" customHeight="1" thickTop="1" thickBot="1" x14ac:dyDescent="0.35">
      <c r="A9" s="991"/>
      <c r="B9" s="2944" t="s">
        <v>640</v>
      </c>
      <c r="C9" s="901"/>
      <c r="D9" s="2947" t="s">
        <v>644</v>
      </c>
      <c r="E9" s="2948"/>
      <c r="F9" s="2948"/>
      <c r="G9" s="2948"/>
      <c r="H9" s="2948"/>
      <c r="I9" s="2948"/>
      <c r="J9" s="2948"/>
      <c r="K9" s="2948"/>
      <c r="L9" s="2948"/>
      <c r="M9" s="2948"/>
      <c r="N9" s="2948"/>
      <c r="O9" s="2948"/>
      <c r="P9" s="2948"/>
      <c r="Q9" s="2948"/>
      <c r="R9" s="2948"/>
      <c r="S9" s="2948"/>
      <c r="T9" s="2948"/>
      <c r="U9" s="2948"/>
      <c r="V9" s="2949"/>
      <c r="W9" s="1069"/>
      <c r="X9" s="885"/>
      <c r="Y9" s="885"/>
      <c r="Z9" s="885"/>
      <c r="AA9" s="885"/>
      <c r="AB9" s="885"/>
    </row>
    <row r="10" spans="1:28" s="882" customFormat="1" ht="7.5" customHeight="1" x14ac:dyDescent="0.3">
      <c r="A10" s="991"/>
      <c r="B10" s="2945"/>
      <c r="C10" s="901"/>
      <c r="D10" s="1072"/>
      <c r="E10" s="898"/>
      <c r="F10" s="898"/>
      <c r="G10" s="850"/>
      <c r="H10" s="898"/>
      <c r="I10" s="898"/>
      <c r="J10" s="898"/>
      <c r="K10" s="850"/>
      <c r="L10" s="898"/>
      <c r="M10" s="898"/>
      <c r="N10" s="898"/>
      <c r="O10" s="850"/>
      <c r="P10" s="898"/>
      <c r="Q10" s="898"/>
      <c r="R10" s="898"/>
      <c r="S10" s="850"/>
      <c r="T10" s="898"/>
      <c r="U10" s="898"/>
      <c r="V10" s="1073"/>
      <c r="W10" s="1069"/>
      <c r="X10" s="885"/>
      <c r="Y10" s="885"/>
      <c r="Z10" s="885"/>
      <c r="AA10" s="885"/>
      <c r="AB10" s="885"/>
    </row>
    <row r="11" spans="1:28" s="882" customFormat="1" ht="17.649999999999999" customHeight="1" thickBot="1" x14ac:dyDescent="0.35">
      <c r="A11" s="991"/>
      <c r="B11" s="2946"/>
      <c r="C11" s="901"/>
      <c r="D11" s="1064">
        <v>5</v>
      </c>
      <c r="E11" s="1066" t="s">
        <v>21</v>
      </c>
      <c r="F11" s="1066">
        <v>250</v>
      </c>
      <c r="G11" s="1067"/>
      <c r="H11" s="1066">
        <f>F11</f>
        <v>250</v>
      </c>
      <c r="I11" s="1066" t="s">
        <v>21</v>
      </c>
      <c r="J11" s="1066">
        <v>500</v>
      </c>
      <c r="K11" s="1067"/>
      <c r="L11" s="1066">
        <f>J11</f>
        <v>500</v>
      </c>
      <c r="M11" s="1066" t="s">
        <v>21</v>
      </c>
      <c r="N11" s="1066">
        <v>1500</v>
      </c>
      <c r="O11" s="1067"/>
      <c r="P11" s="1066">
        <f>N11</f>
        <v>1500</v>
      </c>
      <c r="Q11" s="1066" t="s">
        <v>21</v>
      </c>
      <c r="R11" s="1066">
        <v>2000</v>
      </c>
      <c r="S11" s="1067"/>
      <c r="T11" s="1066">
        <f>R11</f>
        <v>2000</v>
      </c>
      <c r="U11" s="1066" t="s">
        <v>21</v>
      </c>
      <c r="V11" s="1068">
        <v>2500</v>
      </c>
      <c r="W11" s="1069"/>
      <c r="X11" s="885"/>
      <c r="Y11" s="885"/>
      <c r="Z11" s="885"/>
      <c r="AA11" s="885"/>
      <c r="AB11" s="885"/>
    </row>
    <row r="12" spans="1:28" ht="15" customHeight="1" thickTop="1" thickBot="1" x14ac:dyDescent="0.3">
      <c r="A12" s="406"/>
      <c r="B12" s="1070"/>
      <c r="C12" s="751"/>
      <c r="D12" s="1071"/>
      <c r="E12" s="1071"/>
      <c r="F12" s="1071"/>
      <c r="G12" s="751"/>
      <c r="H12" s="1071"/>
      <c r="I12" s="1071"/>
      <c r="J12" s="1071"/>
      <c r="K12" s="751"/>
      <c r="L12" s="1071"/>
      <c r="M12" s="1071"/>
      <c r="N12" s="1071"/>
      <c r="O12" s="751"/>
      <c r="P12" s="1071"/>
      <c r="Q12" s="1071"/>
      <c r="R12" s="1071"/>
      <c r="S12" s="751"/>
      <c r="T12" s="1071"/>
      <c r="U12" s="1071"/>
      <c r="V12" s="1071"/>
      <c r="W12" s="33"/>
      <c r="X12" s="33"/>
      <c r="Y12" s="33"/>
      <c r="Z12" s="33"/>
      <c r="AA12" s="33"/>
      <c r="AB12" s="33"/>
    </row>
    <row r="13" spans="1:28" ht="19.899999999999999" customHeight="1" thickTop="1" thickBot="1" x14ac:dyDescent="0.3">
      <c r="A13" s="988"/>
      <c r="B13" s="977" t="s">
        <v>440</v>
      </c>
      <c r="C13" s="903"/>
      <c r="D13" s="979" t="s">
        <v>754</v>
      </c>
      <c r="E13" s="980" t="s">
        <v>442</v>
      </c>
      <c r="F13" s="981" t="s">
        <v>289</v>
      </c>
      <c r="G13" s="869"/>
      <c r="H13" s="979" t="s">
        <v>754</v>
      </c>
      <c r="I13" s="980" t="s">
        <v>442</v>
      </c>
      <c r="J13" s="981" t="s">
        <v>289</v>
      </c>
      <c r="K13" s="869"/>
      <c r="L13" s="979" t="s">
        <v>754</v>
      </c>
      <c r="M13" s="980" t="s">
        <v>442</v>
      </c>
      <c r="N13" s="981" t="s">
        <v>289</v>
      </c>
      <c r="O13" s="869"/>
      <c r="P13" s="979" t="s">
        <v>754</v>
      </c>
      <c r="Q13" s="980" t="s">
        <v>442</v>
      </c>
      <c r="R13" s="981" t="s">
        <v>289</v>
      </c>
      <c r="S13" s="869"/>
      <c r="T13" s="979" t="s">
        <v>754</v>
      </c>
      <c r="U13" s="980" t="s">
        <v>442</v>
      </c>
      <c r="V13" s="981" t="s">
        <v>289</v>
      </c>
      <c r="W13" s="749"/>
      <c r="X13" s="33"/>
      <c r="Y13" s="33"/>
      <c r="Z13" s="33"/>
      <c r="AA13" s="33"/>
      <c r="AB13" s="33"/>
    </row>
    <row r="14" spans="1:28" ht="7.5" customHeight="1" x14ac:dyDescent="0.25">
      <c r="A14" s="988"/>
      <c r="B14" s="1009"/>
      <c r="C14" s="903"/>
      <c r="D14" s="1015"/>
      <c r="E14" s="331"/>
      <c r="F14" s="924"/>
      <c r="G14" s="903"/>
      <c r="H14" s="1015"/>
      <c r="I14" s="331"/>
      <c r="J14" s="924"/>
      <c r="K14" s="903"/>
      <c r="L14" s="1015"/>
      <c r="M14" s="331"/>
      <c r="N14" s="924"/>
      <c r="O14" s="903"/>
      <c r="P14" s="1015"/>
      <c r="Q14" s="331"/>
      <c r="R14" s="924"/>
      <c r="S14" s="903"/>
      <c r="T14" s="1015"/>
      <c r="U14" s="331"/>
      <c r="V14" s="924"/>
      <c r="W14" s="749"/>
      <c r="X14" s="33"/>
      <c r="Y14" s="33"/>
      <c r="Z14" s="33"/>
      <c r="AA14" s="33"/>
      <c r="AB14" s="33"/>
    </row>
    <row r="15" spans="1:28" s="691" customFormat="1" ht="17.649999999999999" customHeight="1" x14ac:dyDescent="0.25">
      <c r="A15" s="989"/>
      <c r="B15" s="913" t="s">
        <v>376</v>
      </c>
      <c r="C15" s="869"/>
      <c r="D15" s="1075">
        <f>IF('R-Definição'!$I$34="Alta",(14961570+179440+150030)/313000,(14961570+179440+150030)/313000*0.85)*D7</f>
        <v>41.525188498402549</v>
      </c>
      <c r="E15" s="846">
        <f>IF(E7="SIM",(((((H15*(($D$2-D11)/(F11-D11))*$H$2/1000)*E21*$D$5*(1+'R&amp;C-Painel de Controle'!$D$61)+(H15*(($D$2-D11)/(F11-D11))*$H$2/1000)*(1-E21)*'R&amp;C-Painel de Controle'!$D$52*(1+'R&amp;C-Painel de Controle'!$D$54)))+(((D15*((F11-$D$2)/(F11-D11))*$H$2/1000)*E21*$D$5*(1+'R&amp;C-Painel de Controle'!$D$61)+(D15*((F11-$D$2)/(F11-D11))*$H$2/1000)*(1-E21)*'R&amp;C-Painel de Controle'!$D$52*(1+'R&amp;C-Painel de Controle'!$D$54))))/1000)*0.8+(((((H15*(($D$2-D11)/(F11-D11))*313000/1000)*E21*$D$5*(1+'R&amp;C-Painel de Controle'!$D$61)+(H15*(($D$2-D11)/(F11-D11))*313000/1000)*(1-E21)*'R&amp;C-Painel de Controle'!$D$52*(1+'R&amp;C-Painel de Controle'!$D$54)))+(((D15*((F11-$D$2)/(F11-D11))*313000/1000)*E21*$D$5*(1+'R&amp;C-Painel de Controle'!$D$61)+(D15*((F11-$D$2)/(F11-D11))*313000/1000)*(1-E21)*'R&amp;C-Painel de Controle'!$D$52*(1+'R&amp;C-Painel de Controle'!$D$54))))/1000)*0.2, "-")</f>
        <v>19.844864048985993</v>
      </c>
      <c r="F15" s="917">
        <v>0.1</v>
      </c>
      <c r="G15" s="869"/>
      <c r="H15" s="1075">
        <f>IF('R-Definição'!$I$34="Alta",(14961570+179440+150030)/313000,(14961570+179440+150030)/313000*0.85)*D7</f>
        <v>41.525188498402549</v>
      </c>
      <c r="I15" s="846" t="str">
        <f>IF(I7="SIM",(((((L15*(($D$2-H11)/(J11-H11))*$H$2/1000)*I21*$D$5*(1+'R&amp;C-Painel de Controle'!$D$61)+(L15*(($D$2-H11)/(J11-H11))*$H$2/1000)*(1-I21)*'R&amp;C-Painel de Controle'!$D$52*(1+'R&amp;C-Painel de Controle'!$D$54)))+(((H15*((J11-$D$2)/(J11-H11))*$H$2/1000)*I21*$D$5*(1+'R&amp;C-Painel de Controle'!$D$61)+(H15*((J11-$D$2)/(J11-H11))*$H$2/1000)*(1-I21)*'R&amp;C-Painel de Controle'!$D$52*(1+'R&amp;C-Painel de Controle'!$D$54))))/1000)*0.8+(((((L15*(($D$2-H11)/(J11-H11))*313000/1000)*I21*$D$5*(1+'R&amp;C-Painel de Controle'!$D$61)+(L15*(($D$2-H11)/(J11-H11))*313000/1000)*(1-I21)*'R&amp;C-Painel de Controle'!$D$52*(1+'R&amp;C-Painel de Controle'!$D$54)))+(((H15*((J11-$D$2)/(J11-H11))*313000/1000)*I21*$D$5*(1+'R&amp;C-Painel de Controle'!$D$61)+(H15*((J11-$D$2)/(J11-H11))*313000/1000)*(1-I21)*'R&amp;C-Painel de Controle'!$D$52*(1+'R&amp;C-Painel de Controle'!$D$54))))/1000)*0.2, "-")</f>
        <v>-</v>
      </c>
      <c r="J15" s="917">
        <v>0.1</v>
      </c>
      <c r="K15" s="869"/>
      <c r="L15" s="1075">
        <f>IF('R-Definição'!$I$34="Alta",(14961570+179440+150030)/313000,(14961570+179440+150030)/313000*0.85)*D7</f>
        <v>41.525188498402549</v>
      </c>
      <c r="M15" s="846" t="str">
        <f>IF(M7="SIM",((((P15*(($D$2-L11)/(N11-L11))*$H$2/1000)*M21*$D$5*(1+'R&amp;C-Painel de Controle'!$D$61)+(P15*(($D$2-L11)/(N11-L11))*$H$2/1000)*(1-M21)*'R&amp;C-Painel de Controle'!$D$52*(1+'R&amp;C-Painel de Controle'!$D$54)))+(((L15*((N11-$D$2)/(N11-L11))*$H$2/1000)*M21*$D$5*(1+'R&amp;C-Painel de Controle'!$D$61)+(L15*((N11-$D$2)/(N11-L11))*$H$2/1000)*(1-M21)*'R&amp;C-Painel de Controle'!$D$52*(1+'R&amp;C-Painel de Controle'!$D$54))))/1000, "-")</f>
        <v>-</v>
      </c>
      <c r="N15" s="917">
        <v>0.1</v>
      </c>
      <c r="O15" s="869"/>
      <c r="P15" s="1075">
        <f>IF('R-Definição'!$I$34="Alta",(14961570+179440+150030)/313000,(14961570+179440+150030)/313000*0.85)*D7</f>
        <v>41.525188498402549</v>
      </c>
      <c r="Q15" s="846" t="str">
        <f>IF(Q7="SIM",(((P15*$H$2/1000)*1*Q21*$D$5*(1+'R&amp;C-Painel de Controle'!$D$61)+(P15*$H$2/1000)*1*(1-Q21)*'R&amp;C-Painel de Controle'!$D$52*(1+'R&amp;C-Painel de Controle'!$D$54))/1000), "-")</f>
        <v>-</v>
      </c>
      <c r="R15" s="917">
        <v>0.1</v>
      </c>
      <c r="S15" s="993"/>
      <c r="T15" s="1075">
        <f>IF('R-Definição'!$I$34="Alta",(14961570+179440+150030)/313000,(14961570+179440+150030)/313000*0.85)*D7</f>
        <v>41.525188498402549</v>
      </c>
      <c r="U15" s="846" t="str">
        <f>IF(U7="SIM",(((T15*$H$2/1000)*1*U21*$D$5*(1+'R&amp;C-Painel de Controle'!$D$61)+(T15*$H$2/1000)*1*(1-U21)*'R&amp;C-Painel de Controle'!$D$52*(1+'R&amp;C-Painel de Controle'!$D$54))/1000), "-")</f>
        <v>-</v>
      </c>
      <c r="V15" s="917">
        <v>0.1</v>
      </c>
      <c r="W15" s="994">
        <v>35.170799280000004</v>
      </c>
      <c r="X15" s="690">
        <v>50.558023964999997</v>
      </c>
      <c r="Y15" s="690">
        <v>109.90874775</v>
      </c>
      <c r="Z15" s="690">
        <v>192.34030856249998</v>
      </c>
      <c r="AA15" s="690">
        <v>247.2946824375</v>
      </c>
      <c r="AB15" s="39"/>
    </row>
    <row r="16" spans="1:28" s="691" customFormat="1" ht="17.649999999999999" customHeight="1" x14ac:dyDescent="0.25">
      <c r="A16" s="989"/>
      <c r="B16" s="913" t="s">
        <v>641</v>
      </c>
      <c r="C16" s="869"/>
      <c r="D16" s="918">
        <v>2000</v>
      </c>
      <c r="E16" s="846">
        <f>(IF(E$7="SIM",(((D17-F17)*'R&amp;C-Painel de Controle'!$D$57+F17*('R&amp;C-Painel de Controle'!$D$60)+(((75)+(15+E30/5*30)+(25+E30/10*25))*D16)))/1000000*D7,"-"))</f>
        <v>11.494862787525831</v>
      </c>
      <c r="F16" s="919">
        <v>0.05</v>
      </c>
      <c r="G16" s="869"/>
      <c r="H16" s="918">
        <v>2000</v>
      </c>
      <c r="I16" s="846" t="str">
        <f>(IF(I$7="SIM",(((H17-J17)*'R&amp;C-Painel de Controle'!$D$57+J17*('R&amp;C-Painel de Controle'!$D$60)+(((150)+(15+I30/5*30)+(25+I30/10*25))*H16)))/1000000*D7,"-"))</f>
        <v>-</v>
      </c>
      <c r="J16" s="919">
        <v>0.05</v>
      </c>
      <c r="K16" s="869"/>
      <c r="L16" s="918">
        <v>2000</v>
      </c>
      <c r="M16" s="846" t="str">
        <f>(IF(M$7="SIM",(((L17-N17)*'R&amp;C-Painel de Controle'!$D$57+N17*('R&amp;C-Painel de Controle'!$D$60)+(((150)+(15+M30/5*30)+(25+M30/10*25))*L16)))/1000000*D7,"-"))</f>
        <v>-</v>
      </c>
      <c r="N16" s="919">
        <v>0.05</v>
      </c>
      <c r="O16" s="869"/>
      <c r="P16" s="918">
        <v>2000</v>
      </c>
      <c r="Q16" s="846" t="str">
        <f>(IF(Q$7="SIM",(((P17-R17)*'R&amp;C-Painel de Controle'!$D$57+R17*('R&amp;C-Painel de Controle'!$D$60)+(((250)+(15+Q30/5*30)+(25+Q30/10*25))*P16)))/1000000*D7,"-"))</f>
        <v>-</v>
      </c>
      <c r="R16" s="919">
        <v>0.05</v>
      </c>
      <c r="S16" s="993"/>
      <c r="T16" s="918">
        <v>2000</v>
      </c>
      <c r="U16" s="846" t="str">
        <f>(IF(U$7="SIM",(((T17-V17)*'R&amp;C-Painel de Controle'!$D$57+V17*('R&amp;C-Painel de Controle'!$D$60)+(((250)+(15+U30/5*30)+(25+U30/10*25))*T16)))/1000000*D7,"-"))</f>
        <v>-</v>
      </c>
      <c r="V16" s="919">
        <v>0.05</v>
      </c>
      <c r="W16" s="994">
        <v>8.0029804791094481</v>
      </c>
      <c r="X16" s="690">
        <v>9.735510696599782</v>
      </c>
      <c r="Y16" s="690">
        <v>15.844336665618133</v>
      </c>
      <c r="Z16" s="690">
        <v>19.108266044899672</v>
      </c>
      <c r="AA16" s="690">
        <v>27.725632137977193</v>
      </c>
      <c r="AB16" s="39"/>
    </row>
    <row r="17" spans="1:28" s="691" customFormat="1" ht="17.649999999999999" customHeight="1" x14ac:dyDescent="0.25">
      <c r="A17" s="989"/>
      <c r="B17" s="913" t="s">
        <v>753</v>
      </c>
      <c r="C17" s="869"/>
      <c r="D17" s="920">
        <f>(2*(20*(20+(SQRT(F17))+20))+2*(20*(F17/(SQRT(F17))))+F17+((75)+(15+E30/5*30)+(25+E30/10*25)))</f>
        <v>12134.725575051662</v>
      </c>
      <c r="E17" s="846">
        <f>(IF(E$7="SIM",('R&amp;C-Painel de Controle'!$D$55+0.25)*D17/1000000,"-"))</f>
        <v>3.0336813937629154E-3</v>
      </c>
      <c r="F17" s="921">
        <f>IF('R-Definição'!$I$34="Alta",(50*15+50*100+50*10),(50*15+50*100+50*10)*0.75)</f>
        <v>4687.5</v>
      </c>
      <c r="G17" s="869"/>
      <c r="H17" s="920">
        <f>(2*(20*(20+(SQRT(J17))+20))+2*(20*(J17/(SQRT(J17))))+J17+((150)+(15+I30/5*30)+(25+I30/10*25)))</f>
        <v>14241.773353931867</v>
      </c>
      <c r="I17" s="846" t="str">
        <f>(IF(I$7="SIM",('R&amp;C-Painel de Controle'!$D$55+0.25)*H17/1000000,"-"))</f>
        <v>-</v>
      </c>
      <c r="J17" s="921">
        <f>IF('R-Definição'!$I$34="Alta",(50*20+50*125+50*15),(50*20+50*125+50*15)*0.75)</f>
        <v>6000</v>
      </c>
      <c r="K17" s="869"/>
      <c r="L17" s="920">
        <f>(2*(20*(20+(SQRT(N17))+20))+2*(20*(N17/(SQRT(N17))))+N17+((150)+(15+M30/5*30)+(25+M30/10*25)))</f>
        <v>21780.28137423857</v>
      </c>
      <c r="M17" s="846" t="str">
        <f>(IF(M$7="SIM",('R&amp;C-Painel de Controle'!$D$55+0.25)*L17/1000000,"-"))</f>
        <v>-</v>
      </c>
      <c r="N17" s="921">
        <f>IF('R-Definição'!$I$34="Alta",(75*30+75*150+75*20),((75*30+75*150+75*20)*0.75))</f>
        <v>11250</v>
      </c>
      <c r="O17" s="869"/>
      <c r="P17" s="920">
        <f>(2*(20*(20+(SQRT(R17))+20))+2*(20*(R17/(SQRT(R17))))+R17+((250)+(15+Q30/5*30)+(25+Q30/10*25)))</f>
        <v>25195.160030897801</v>
      </c>
      <c r="Q17" s="846" t="str">
        <f>(IF(Q$7="SIM",('R&amp;C-Painel de Controle'!$D$55+0.25)*P17/1000000,"-"))</f>
        <v>-</v>
      </c>
      <c r="R17" s="921">
        <f>IF('R-Definição'!$I$34="Alta",(75*40+75*175+75*25),((75*40+75*175+75*25)*0.75))</f>
        <v>13500</v>
      </c>
      <c r="S17" s="869"/>
      <c r="T17" s="920">
        <f>(2*(20*(20+(SQRT(V17))+20))+2*(20*(V17/(SQRT(V17))))+V17+((250)+(15+U30/5*30)+(25+U30/10*25)))</f>
        <v>35120.601396951548</v>
      </c>
      <c r="U17" s="846" t="str">
        <f>(IF(U$7="SIM",('R&amp;C-Painel de Controle'!$D$55+0.25)*T17/1000000,"-"))</f>
        <v>-</v>
      </c>
      <c r="V17" s="921">
        <f>IF('R-Definição'!$I$34="Alta",(100*50+100*200+100*30),((100*50+100*200+100*30)*0.75))</f>
        <v>21000</v>
      </c>
      <c r="W17" s="994">
        <v>1.2757099788303083</v>
      </c>
      <c r="X17" s="690">
        <v>1.5079875775199396</v>
      </c>
      <c r="Y17" s="690">
        <v>2.3758163074019443</v>
      </c>
      <c r="Z17" s="690">
        <v>2.7299813662799091</v>
      </c>
      <c r="AA17" s="690">
        <v>3.8687904382090688</v>
      </c>
      <c r="AB17" s="39"/>
    </row>
    <row r="18" spans="1:28" s="691" customFormat="1" ht="17.649999999999999" customHeight="1" x14ac:dyDescent="0.25">
      <c r="A18" s="989"/>
      <c r="B18" s="913" t="s">
        <v>438</v>
      </c>
      <c r="C18" s="869"/>
      <c r="D18" s="1076">
        <f>IF(E7="SIM",(E15+E16)*F18*1000/$H$2,"-")</f>
        <v>0.81404002276713228</v>
      </c>
      <c r="E18" s="846">
        <f>(IF(E$7="SIM",$H$2*D18/1000,"-"))</f>
        <v>2.3504795127383864</v>
      </c>
      <c r="F18" s="917">
        <v>7.4999999999999997E-2</v>
      </c>
      <c r="G18" s="869"/>
      <c r="H18" s="1076" t="str">
        <f>IF(I7="SIM",(I15+I16)*J18*1000/$H$2,"-")</f>
        <v>-</v>
      </c>
      <c r="I18" s="846" t="str">
        <f>(IF(I$7="SIM",$H$2*H18/1000,"-"))</f>
        <v>-</v>
      </c>
      <c r="J18" s="917">
        <v>7.4999999999999997E-2</v>
      </c>
      <c r="K18" s="869"/>
      <c r="L18" s="1076" t="str">
        <f>IF(M7="SIM",(M15+M16)*N18*1000/$H$2,"-")</f>
        <v>-</v>
      </c>
      <c r="M18" s="846" t="str">
        <f>(IF(M$7="SIM",$H$2*L18/1000,"-"))</f>
        <v>-</v>
      </c>
      <c r="N18" s="917">
        <v>7.4999999999999997E-2</v>
      </c>
      <c r="O18" s="869"/>
      <c r="P18" s="1076" t="str">
        <f>IF(Q7="SIM",(Q15+Q16)*R18*1000/$H$2,"-")</f>
        <v>-</v>
      </c>
      <c r="Q18" s="846" t="str">
        <f>(IF(Q$7="SIM",$H$2*P18/1000,"-"))</f>
        <v>-</v>
      </c>
      <c r="R18" s="917">
        <v>7.4999999999999997E-2</v>
      </c>
      <c r="S18" s="869"/>
      <c r="T18" s="1076" t="str">
        <f>IF(U7="SIM",(U15+U16)*V18*1000/$H$2,"-")</f>
        <v>-</v>
      </c>
      <c r="U18" s="846" t="str">
        <f>(IF(U$7="SIM",$H$2*T18/1000,"-"))</f>
        <v>-</v>
      </c>
      <c r="V18" s="917">
        <v>0.05</v>
      </c>
      <c r="W18" s="994">
        <v>2.1586889879554727</v>
      </c>
      <c r="X18" s="690">
        <v>3.0146767330799893</v>
      </c>
      <c r="Y18" s="690">
        <v>9.4314813311713603</v>
      </c>
      <c r="Z18" s="690">
        <v>10.572428730369984</v>
      </c>
      <c r="AA18" s="690">
        <v>13.75101572877386</v>
      </c>
      <c r="AB18" s="39"/>
    </row>
    <row r="19" spans="1:28" s="882" customFormat="1" ht="19.899999999999999" customHeight="1" collapsed="1" thickBot="1" x14ac:dyDescent="0.35">
      <c r="A19" s="990"/>
      <c r="B19" s="914" t="s">
        <v>377</v>
      </c>
      <c r="C19" s="904"/>
      <c r="D19" s="1052">
        <v>0.05</v>
      </c>
      <c r="E19" s="922">
        <f>IF(E7="SIM",SUM(E15:E18)*(1+D19),"-")</f>
        <v>35.377902032176173</v>
      </c>
      <c r="F19" s="1051" t="s">
        <v>289</v>
      </c>
      <c r="G19" s="904"/>
      <c r="H19" s="1052">
        <v>0.05</v>
      </c>
      <c r="I19" s="922" t="str">
        <f>IF(I7="SIM",SUM(I15:I18)*(1+H19),"-")</f>
        <v>-</v>
      </c>
      <c r="J19" s="1051" t="s">
        <v>289</v>
      </c>
      <c r="K19" s="904"/>
      <c r="L19" s="1052">
        <v>0.05</v>
      </c>
      <c r="M19" s="922" t="str">
        <f>IF(M7="SIM",SUM(M15:M18)*(1+L19),"-")</f>
        <v>-</v>
      </c>
      <c r="N19" s="1051" t="s">
        <v>289</v>
      </c>
      <c r="O19" s="904"/>
      <c r="P19" s="1050">
        <v>7.4999999999999997E-2</v>
      </c>
      <c r="Q19" s="922" t="str">
        <f>IF(Q7="SIM",SUM(Q15:Q18)*(1+P19),"-")</f>
        <v>-</v>
      </c>
      <c r="R19" s="1051" t="s">
        <v>289</v>
      </c>
      <c r="S19" s="904"/>
      <c r="T19" s="1050">
        <v>7.4999999999999997E-2</v>
      </c>
      <c r="U19" s="922" t="str">
        <f>IF(U7="SIM",SUM(U15:U18)*(1+T19),"-")</f>
        <v>-</v>
      </c>
      <c r="V19" s="1051" t="s">
        <v>289</v>
      </c>
      <c r="W19" s="995">
        <v>48.938587662189995</v>
      </c>
      <c r="X19" s="880">
        <v>68.057008920809707</v>
      </c>
      <c r="Y19" s="880">
        <v>144.43840115690102</v>
      </c>
      <c r="Z19" s="880">
        <v>241.60730855685324</v>
      </c>
      <c r="AA19" s="880">
        <v>314.58812979814462</v>
      </c>
      <c r="AB19" s="881"/>
    </row>
    <row r="20" spans="1:28" ht="17.649999999999999" hidden="1" customHeight="1" outlineLevel="1" thickTop="1" x14ac:dyDescent="0.25">
      <c r="A20" s="406"/>
      <c r="B20" s="1006" t="s">
        <v>378</v>
      </c>
      <c r="C20" s="751"/>
      <c r="D20" s="1007" t="s">
        <v>289</v>
      </c>
      <c r="E20" s="1008">
        <f>IF(E7="SIM",E19*1000000/$H$2,"-")</f>
        <v>12252.405528169973</v>
      </c>
      <c r="F20" s="1007" t="s">
        <v>289</v>
      </c>
      <c r="G20" s="751"/>
      <c r="H20" s="1007" t="s">
        <v>289</v>
      </c>
      <c r="I20" s="1008" t="str">
        <f>IF(I7="SIM",I19*1000000/$H$2,"-")</f>
        <v>-</v>
      </c>
      <c r="J20" s="1007" t="s">
        <v>289</v>
      </c>
      <c r="K20" s="751"/>
      <c r="L20" s="1007" t="s">
        <v>289</v>
      </c>
      <c r="M20" s="1008" t="str">
        <f>IF(M7="SIM",M19*1000000/$H$2,"-")</f>
        <v>-</v>
      </c>
      <c r="N20" s="1007" t="s">
        <v>289</v>
      </c>
      <c r="O20" s="751"/>
      <c r="P20" s="1007" t="s">
        <v>289</v>
      </c>
      <c r="Q20" s="1008" t="str">
        <f>IF(Q7="SIM",Q19*1000000/$H$2,"-")</f>
        <v>-</v>
      </c>
      <c r="R20" s="1007" t="s">
        <v>289</v>
      </c>
      <c r="S20" s="751"/>
      <c r="T20" s="1007" t="s">
        <v>289</v>
      </c>
      <c r="U20" s="1008" t="str">
        <f>IF(U7="SIM",U19*1000000/$H$2,"-")</f>
        <v>-</v>
      </c>
      <c r="V20" s="1007" t="s">
        <v>289</v>
      </c>
      <c r="W20" s="37">
        <v>1042.3554347644301</v>
      </c>
      <c r="X20" s="37">
        <v>669.02933321022067</v>
      </c>
      <c r="Y20" s="37">
        <v>461.4645404373835</v>
      </c>
      <c r="Z20" s="37">
        <v>441.09047659854537</v>
      </c>
      <c r="AA20" s="37">
        <v>446.69950983052132</v>
      </c>
      <c r="AB20" s="33"/>
    </row>
    <row r="21" spans="1:28" ht="17.649999999999999" hidden="1" customHeight="1" outlineLevel="1" x14ac:dyDescent="0.25">
      <c r="A21" s="406"/>
      <c r="B21" s="217" t="s">
        <v>639</v>
      </c>
      <c r="C21" s="751"/>
      <c r="D21" s="333"/>
      <c r="E21" s="336">
        <f>'R&amp;C-Painel de Controle'!$G$56</f>
        <v>0.25</v>
      </c>
      <c r="F21" s="334"/>
      <c r="G21" s="752"/>
      <c r="H21" s="334"/>
      <c r="I21" s="336">
        <f>'R&amp;C-Painel de Controle'!$G$56</f>
        <v>0.25</v>
      </c>
      <c r="J21" s="334"/>
      <c r="K21" s="752"/>
      <c r="L21" s="334"/>
      <c r="M21" s="336">
        <f>'R&amp;C-Painel de Controle'!$G$56</f>
        <v>0.25</v>
      </c>
      <c r="N21" s="334"/>
      <c r="O21" s="752"/>
      <c r="P21" s="334"/>
      <c r="Q21" s="336">
        <f>'R&amp;C-Painel de Controle'!$G$56</f>
        <v>0.25</v>
      </c>
      <c r="R21" s="334"/>
      <c r="S21" s="752"/>
      <c r="T21" s="334"/>
      <c r="U21" s="336">
        <f>'R&amp;C-Painel de Controle'!$G$56</f>
        <v>0.25</v>
      </c>
      <c r="V21" s="331"/>
      <c r="W21" s="33"/>
      <c r="X21" s="49">
        <f>(X20-W20)/X20</f>
        <v>-0.55801155946760839</v>
      </c>
      <c r="Y21" s="49">
        <f>(Y20-X20)/Y20</f>
        <v>-0.44979575803615141</v>
      </c>
      <c r="Z21" s="49">
        <f>(Z20-Y20)/Z20</f>
        <v>-4.6190214751295609E-2</v>
      </c>
      <c r="AA21" s="49">
        <f>(AA20-Z20)/AA20</f>
        <v>1.2556613805338705E-2</v>
      </c>
      <c r="AB21" s="33"/>
    </row>
    <row r="22" spans="1:28" ht="17.649999999999999" hidden="1" customHeight="1" outlineLevel="1" x14ac:dyDescent="0.25">
      <c r="A22" s="406"/>
      <c r="B22" s="755"/>
      <c r="C22" s="751"/>
      <c r="D22" s="333"/>
      <c r="E22" s="331"/>
      <c r="F22" s="331"/>
      <c r="G22" s="751"/>
      <c r="H22" s="331"/>
      <c r="I22" s="337" t="str">
        <f>IF(I14="SIM",(((H22*0.8*$H$2/1000)*1*I30*$D$5*(1+'R&amp;C-Painel de Controle'!$D$54)+(H22*0.8*$H$2/1000)*1*(1-I30)*'R&amp;C-Painel de Controle'!$D$52*(1+'R&amp;C-Painel de Controle'!$D$54))/1000)+(((H22*0.2*313000/1000)*1*I30*$D$5*(1+'R&amp;C-Painel de Controle'!$D$54)+(H22*0.2*313000/1000)*1*(1-I30)*'R&amp;C-Painel de Controle'!$D$52*(1+'R&amp;C-Painel de Controle'!$D$54))/1000), "-")</f>
        <v>-</v>
      </c>
      <c r="J22" s="331"/>
      <c r="K22" s="751"/>
      <c r="L22" s="331"/>
      <c r="M22" s="331"/>
      <c r="N22" s="331"/>
      <c r="O22" s="751"/>
      <c r="P22" s="331"/>
      <c r="Q22" s="331"/>
      <c r="R22" s="331"/>
      <c r="S22" s="751"/>
      <c r="T22" s="331"/>
      <c r="U22" s="331"/>
      <c r="V22" s="331"/>
      <c r="W22" s="33"/>
      <c r="X22" s="33"/>
      <c r="Y22" s="33"/>
      <c r="Z22" s="33"/>
      <c r="AA22" s="33"/>
      <c r="AB22" s="33"/>
    </row>
    <row r="23" spans="1:28" ht="17.649999999999999" hidden="1" customHeight="1" outlineLevel="1" x14ac:dyDescent="0.25">
      <c r="A23" s="406"/>
      <c r="B23" s="754" t="s">
        <v>435</v>
      </c>
      <c r="C23" s="751"/>
      <c r="D23" s="338"/>
      <c r="E23" s="337">
        <f>IF(E7="SIM",(E15*F15+E16*F16)/4,"-")</f>
        <v>0.63980738606872278</v>
      </c>
      <c r="F23" s="331"/>
      <c r="G23" s="751"/>
      <c r="H23" s="331"/>
      <c r="I23" s="337" t="str">
        <f>IF(I7="SIM",(I15*J15+I16*J16)/4,"-")</f>
        <v>-</v>
      </c>
      <c r="J23" s="331"/>
      <c r="K23" s="751"/>
      <c r="L23" s="331"/>
      <c r="M23" s="337" t="str">
        <f>IF(M7="SIM",(M15*N15+M16*N16)/4,"-")</f>
        <v>-</v>
      </c>
      <c r="N23" s="331"/>
      <c r="O23" s="751"/>
      <c r="P23" s="331"/>
      <c r="Q23" s="337" t="str">
        <f>IF(Q7="SIM",(Q15*R15+Q16*R16)/4,"-")</f>
        <v>-</v>
      </c>
      <c r="R23" s="331"/>
      <c r="S23" s="751"/>
      <c r="T23" s="331"/>
      <c r="U23" s="337" t="str">
        <f>IF(U7="SIM",(U15*V15+U16*V16)/4,"-")</f>
        <v>-</v>
      </c>
      <c r="V23" s="331"/>
      <c r="W23" s="29"/>
      <c r="X23" s="29"/>
      <c r="Y23" s="29"/>
      <c r="Z23" s="29"/>
      <c r="AA23" s="29"/>
      <c r="AB23" s="33"/>
    </row>
    <row r="24" spans="1:28" ht="15" customHeight="1" thickTop="1" thickBot="1" x14ac:dyDescent="0.3">
      <c r="A24" s="406"/>
      <c r="B24" s="934"/>
      <c r="C24" s="751"/>
      <c r="D24" s="935"/>
      <c r="E24" s="935"/>
      <c r="F24" s="935"/>
      <c r="G24" s="751"/>
      <c r="H24" s="935"/>
      <c r="I24" s="935"/>
      <c r="J24" s="935"/>
      <c r="K24" s="751"/>
      <c r="L24" s="935"/>
      <c r="M24" s="935"/>
      <c r="N24" s="935"/>
      <c r="O24" s="751"/>
      <c r="P24" s="935"/>
      <c r="Q24" s="935"/>
      <c r="R24" s="935"/>
      <c r="S24" s="751"/>
      <c r="T24" s="935"/>
      <c r="U24" s="935"/>
      <c r="V24" s="935"/>
      <c r="W24" s="29"/>
      <c r="X24" s="29"/>
      <c r="Y24" s="29"/>
      <c r="Z24" s="29"/>
      <c r="AA24" s="29"/>
      <c r="AB24" s="33"/>
    </row>
    <row r="25" spans="1:28" s="882" customFormat="1" ht="19.899999999999999" customHeight="1" thickTop="1" thickBot="1" x14ac:dyDescent="0.35">
      <c r="A25" s="991"/>
      <c r="B25" s="1085" t="s">
        <v>439</v>
      </c>
      <c r="C25" s="901"/>
      <c r="D25" s="982" t="s">
        <v>754</v>
      </c>
      <c r="E25" s="983" t="s">
        <v>763</v>
      </c>
      <c r="F25" s="984" t="s">
        <v>289</v>
      </c>
      <c r="G25" s="403"/>
      <c r="H25" s="985" t="s">
        <v>754</v>
      </c>
      <c r="I25" s="986" t="s">
        <v>763</v>
      </c>
      <c r="J25" s="987" t="s">
        <v>289</v>
      </c>
      <c r="K25" s="403"/>
      <c r="L25" s="985" t="s">
        <v>754</v>
      </c>
      <c r="M25" s="986" t="s">
        <v>763</v>
      </c>
      <c r="N25" s="987" t="s">
        <v>289</v>
      </c>
      <c r="O25" s="403"/>
      <c r="P25" s="985" t="s">
        <v>754</v>
      </c>
      <c r="Q25" s="986" t="s">
        <v>763</v>
      </c>
      <c r="R25" s="987" t="s">
        <v>289</v>
      </c>
      <c r="S25" s="403"/>
      <c r="T25" s="985" t="s">
        <v>754</v>
      </c>
      <c r="U25" s="986" t="s">
        <v>763</v>
      </c>
      <c r="V25" s="987" t="s">
        <v>289</v>
      </c>
      <c r="W25" s="1003"/>
      <c r="X25" s="884"/>
      <c r="Y25" s="884"/>
      <c r="Z25" s="884"/>
      <c r="AA25" s="884"/>
      <c r="AB25" s="885"/>
    </row>
    <row r="26" spans="1:28" ht="7.5" customHeight="1" x14ac:dyDescent="0.25">
      <c r="A26" s="988"/>
      <c r="B26" s="1084"/>
      <c r="C26" s="903"/>
      <c r="D26" s="1015"/>
      <c r="E26" s="339"/>
      <c r="F26" s="1016"/>
      <c r="G26" s="996"/>
      <c r="H26" s="1031"/>
      <c r="I26" s="339"/>
      <c r="J26" s="1023"/>
      <c r="K26" s="996"/>
      <c r="L26" s="1036"/>
      <c r="M26" s="339"/>
      <c r="N26" s="1023"/>
      <c r="O26" s="996"/>
      <c r="P26" s="1036"/>
      <c r="Q26" s="339"/>
      <c r="R26" s="1023"/>
      <c r="S26" s="996"/>
      <c r="T26" s="1036"/>
      <c r="U26" s="339"/>
      <c r="V26" s="1038"/>
      <c r="W26" s="1004"/>
      <c r="X26" s="33"/>
      <c r="Y26" s="33"/>
      <c r="Z26" s="33"/>
      <c r="AA26" s="33"/>
      <c r="AB26" s="51"/>
    </row>
    <row r="27" spans="1:28" s="691" customFormat="1" ht="17.649999999999999" customHeight="1" collapsed="1" x14ac:dyDescent="0.25">
      <c r="A27" s="989"/>
      <c r="B27" s="913" t="s">
        <v>381</v>
      </c>
      <c r="C27" s="869"/>
      <c r="D27" s="1017"/>
      <c r="E27" s="890">
        <f>(IF(E$7="SIM",(E31)*2.4*12/$H$2,"-"))</f>
        <v>1376.4513363983483</v>
      </c>
      <c r="F27" s="917"/>
      <c r="G27" s="993"/>
      <c r="H27" s="1032"/>
      <c r="I27" s="890" t="str">
        <f>(IF(I$7="SIM",(I31)*2.4*12/$H$2,"-"))</f>
        <v>-</v>
      </c>
      <c r="J27" s="1033"/>
      <c r="K27" s="993"/>
      <c r="L27" s="1032"/>
      <c r="M27" s="890" t="str">
        <f>(IF(M$7="SIM",(M31)*2.4*12/$H$2,"-"))</f>
        <v>-</v>
      </c>
      <c r="N27" s="1033"/>
      <c r="O27" s="993"/>
      <c r="P27" s="1032"/>
      <c r="Q27" s="890" t="str">
        <f>(IF(Q$7="SIM",(Q31)*2.4*12/$H$2,"-"))</f>
        <v>-</v>
      </c>
      <c r="R27" s="1033"/>
      <c r="S27" s="993"/>
      <c r="T27" s="1032"/>
      <c r="U27" s="891" t="str">
        <f>(IF(U$7="SIM",(U31)*2.4*12/$H$2,"-"))</f>
        <v>-</v>
      </c>
      <c r="V27" s="1039"/>
      <c r="W27" s="696"/>
      <c r="X27" s="39"/>
      <c r="Y27" s="39"/>
      <c r="Z27" s="39"/>
      <c r="AA27" s="39"/>
      <c r="AB27" s="892"/>
    </row>
    <row r="28" spans="1:28" ht="17.649999999999999" hidden="1" customHeight="1" outlineLevel="1" x14ac:dyDescent="0.25">
      <c r="A28" s="992"/>
      <c r="B28" s="1010"/>
      <c r="C28" s="925"/>
      <c r="D28" s="1015"/>
      <c r="E28" s="332"/>
      <c r="F28" s="1016"/>
      <c r="G28" s="997"/>
      <c r="H28" s="1031"/>
      <c r="I28" s="332"/>
      <c r="J28" s="1034"/>
      <c r="K28" s="997"/>
      <c r="L28" s="1031"/>
      <c r="M28" s="332"/>
      <c r="N28" s="1034"/>
      <c r="O28" s="997"/>
      <c r="P28" s="1031"/>
      <c r="Q28" s="332"/>
      <c r="R28" s="1034"/>
      <c r="S28" s="997"/>
      <c r="T28" s="1031"/>
      <c r="U28" s="341"/>
      <c r="V28" s="924"/>
      <c r="W28" s="936"/>
      <c r="X28" s="42"/>
      <c r="Y28" s="42"/>
      <c r="Z28" s="42"/>
      <c r="AA28" s="42"/>
      <c r="AB28" s="51"/>
    </row>
    <row r="29" spans="1:28" ht="17.649999999999999" hidden="1" customHeight="1" outlineLevel="1" x14ac:dyDescent="0.25">
      <c r="A29" s="988"/>
      <c r="B29" s="1011" t="s">
        <v>630</v>
      </c>
      <c r="C29" s="903"/>
      <c r="D29" s="1015"/>
      <c r="E29" s="338">
        <v>2</v>
      </c>
      <c r="F29" s="1016"/>
      <c r="G29" s="998"/>
      <c r="H29" s="1031"/>
      <c r="I29" s="338">
        <v>2</v>
      </c>
      <c r="J29" s="1035"/>
      <c r="K29" s="998"/>
      <c r="L29" s="1037"/>
      <c r="M29" s="338">
        <v>2</v>
      </c>
      <c r="N29" s="1035"/>
      <c r="O29" s="998"/>
      <c r="P29" s="1037"/>
      <c r="Q29" s="338">
        <v>2</v>
      </c>
      <c r="R29" s="1035"/>
      <c r="S29" s="998"/>
      <c r="T29" s="1037"/>
      <c r="U29" s="338">
        <v>2</v>
      </c>
      <c r="V29" s="924"/>
      <c r="W29" s="749"/>
      <c r="X29" s="33"/>
      <c r="Y29" s="33"/>
      <c r="Z29" s="33"/>
      <c r="AA29" s="33"/>
      <c r="AB29" s="51"/>
    </row>
    <row r="30" spans="1:28" ht="17.649999999999999" hidden="1" customHeight="1" outlineLevel="1" x14ac:dyDescent="0.25">
      <c r="A30" s="988"/>
      <c r="B30" s="1011" t="s">
        <v>642</v>
      </c>
      <c r="C30" s="903"/>
      <c r="D30" s="1015"/>
      <c r="E30" s="338">
        <v>30</v>
      </c>
      <c r="F30" s="1016"/>
      <c r="G30" s="998"/>
      <c r="H30" s="1031"/>
      <c r="I30" s="338">
        <v>30</v>
      </c>
      <c r="J30" s="1035"/>
      <c r="K30" s="998"/>
      <c r="L30" s="1037"/>
      <c r="M30" s="338">
        <v>30</v>
      </c>
      <c r="N30" s="1035"/>
      <c r="O30" s="998"/>
      <c r="P30" s="1037"/>
      <c r="Q30" s="338">
        <f>2000/1000*30</f>
        <v>60</v>
      </c>
      <c r="R30" s="1035"/>
      <c r="S30" s="998"/>
      <c r="T30" s="1037"/>
      <c r="U30" s="338">
        <f>2500/1000*M30</f>
        <v>75</v>
      </c>
      <c r="V30" s="924"/>
      <c r="W30" s="749"/>
      <c r="X30" s="33"/>
      <c r="Y30" s="33"/>
      <c r="Z30" s="33"/>
      <c r="AA30" s="33"/>
      <c r="AB30" s="51"/>
    </row>
    <row r="31" spans="1:28" ht="17.649999999999999" hidden="1" customHeight="1" outlineLevel="1" x14ac:dyDescent="0.25">
      <c r="A31" s="988"/>
      <c r="B31" s="1011" t="s">
        <v>632</v>
      </c>
      <c r="C31" s="903"/>
      <c r="D31" s="1015"/>
      <c r="E31" s="335">
        <f>0.6*'R&amp;C-Painel de Controle'!$D$63+0.6*E30/10*E29*'R&amp;C-Painel de Controle'!$D$64+E30*E29*'R&amp;C-Painel de Controle'!$D$65</f>
        <v>138000</v>
      </c>
      <c r="F31" s="1016"/>
      <c r="G31" s="996"/>
      <c r="H31" s="1031"/>
      <c r="I31" s="335">
        <f>0.7*'R&amp;C-Painel de Controle'!$D$63+0.7*I30/10*I29*'R&amp;C-Painel de Controle'!$D$64+I30*I29*'R&amp;C-Painel de Controle'!$D$65</f>
        <v>146000</v>
      </c>
      <c r="J31" s="1023"/>
      <c r="K31" s="996"/>
      <c r="L31" s="1036"/>
      <c r="M31" s="335">
        <f>0.8*'R&amp;C-Painel de Controle'!$D$63+0.8*M30/10*M29*'R&amp;C-Painel de Controle'!$D$64+M30*M29*'R&amp;C-Painel de Controle'!$D$65</f>
        <v>154000</v>
      </c>
      <c r="N31" s="1023"/>
      <c r="O31" s="996"/>
      <c r="P31" s="1036"/>
      <c r="Q31" s="335">
        <f>0.9*'R&amp;C-Painel de Controle'!$D$63+0.9*Q30/10*Q29*'R&amp;C-Painel de Controle'!$D$64+Q30*Q29*'R&amp;C-Painel de Controle'!$D$65</f>
        <v>306000</v>
      </c>
      <c r="R31" s="1023"/>
      <c r="S31" s="996"/>
      <c r="T31" s="1036"/>
      <c r="U31" s="335">
        <f>1*'R&amp;C-Painel de Controle'!$D$63+1*U30/10*U29*'R&amp;C-Painel de Controle'!$D$64+U30*U29*'R&amp;C-Painel de Controle'!$D$65</f>
        <v>395000</v>
      </c>
      <c r="V31" s="924"/>
      <c r="W31" s="749"/>
      <c r="X31" s="33"/>
      <c r="Y31" s="33"/>
      <c r="Z31" s="33"/>
      <c r="AA31" s="33"/>
      <c r="AB31" s="51"/>
    </row>
    <row r="32" spans="1:28" s="691" customFormat="1" ht="17.649999999999999" customHeight="1" collapsed="1" x14ac:dyDescent="0.25">
      <c r="A32" s="989"/>
      <c r="B32" s="913" t="s">
        <v>382</v>
      </c>
      <c r="C32" s="869"/>
      <c r="D32" s="1017"/>
      <c r="E32" s="890">
        <f>(IF(E$7="SIM",(E33*$H$2/1000*'R&amp;C-Painel de Controle'!$D$68+E34/1000*'R&amp;C-Painel de Controle'!$D$69*12)/$H$2,"-"))</f>
        <v>0</v>
      </c>
      <c r="F32" s="917"/>
      <c r="G32" s="993"/>
      <c r="H32" s="1077"/>
      <c r="I32" s="890" t="str">
        <f>(IF(I$7="SIM",(I33*$H$2/1000*'R&amp;C-Painel de Controle'!$D$68+I34/1000*'R&amp;C-Painel de Controle'!$D$69*12)/$H$2,"-"))</f>
        <v>-</v>
      </c>
      <c r="J32" s="1033"/>
      <c r="K32" s="993"/>
      <c r="L32" s="1077"/>
      <c r="M32" s="890" t="str">
        <f>(IF(M$7="SIM",(M33*$H$2/1000*'R&amp;C-Painel de Controle'!$D$68+M34/1000*'R&amp;C-Painel de Controle'!$D$69*12)/$H$2,"-"))</f>
        <v>-</v>
      </c>
      <c r="N32" s="1033"/>
      <c r="O32" s="993"/>
      <c r="P32" s="1077"/>
      <c r="Q32" s="890" t="str">
        <f>(IF(Q$7="SIM",(Q33*$H$2/1000*'R&amp;C-Painel de Controle'!$D$68+Q34/1000*'R&amp;C-Painel de Controle'!$D$69*12)/$H$2,"-"))</f>
        <v>-</v>
      </c>
      <c r="R32" s="1033"/>
      <c r="S32" s="993"/>
      <c r="T32" s="1077"/>
      <c r="U32" s="891" t="str">
        <f>(IF(U$7="SIM",(U33*$H$2/1000*'R&amp;C-Painel de Controle'!$D$68+U34/1000*'R&amp;C-Painel de Controle'!$D$69*12)/$H$2,"-"))</f>
        <v>-</v>
      </c>
      <c r="V32" s="1039"/>
      <c r="W32" s="696"/>
      <c r="X32" s="39"/>
      <c r="Y32" s="39"/>
      <c r="Z32" s="39"/>
      <c r="AA32" s="39"/>
      <c r="AB32" s="892"/>
    </row>
    <row r="33" spans="1:28" ht="17.649999999999999" hidden="1" customHeight="1" outlineLevel="1" x14ac:dyDescent="0.25">
      <c r="A33" s="988"/>
      <c r="B33" s="1011" t="s">
        <v>633</v>
      </c>
      <c r="C33" s="903"/>
      <c r="D33" s="1018">
        <v>0.85</v>
      </c>
      <c r="E33" s="342">
        <f>IF('R-Definição'!$I$34="Alta",I33/0.8*F33,I33/0.8*D33)</f>
        <v>33.5849609375</v>
      </c>
      <c r="F33" s="1019">
        <v>1</v>
      </c>
      <c r="G33" s="996"/>
      <c r="H33" s="1078">
        <v>0.85</v>
      </c>
      <c r="I33" s="342">
        <f>IF('R-Definição'!$I$34="Alta",M33/0.8*J33,M33/0.8*H33)</f>
        <v>31.609375</v>
      </c>
      <c r="J33" s="1019">
        <v>1</v>
      </c>
      <c r="K33" s="996"/>
      <c r="L33" s="1078">
        <v>0.85</v>
      </c>
      <c r="M33" s="334">
        <f>IF('R-Definição'!$I$34="Alta",35*N33,35*L33)</f>
        <v>29.75</v>
      </c>
      <c r="N33" s="1019">
        <v>1</v>
      </c>
      <c r="O33" s="996"/>
      <c r="P33" s="1078">
        <v>0.85</v>
      </c>
      <c r="Q33" s="334">
        <f>IF('R-Definição'!$I$34="Alta",35*R33,35*P33)</f>
        <v>29.75</v>
      </c>
      <c r="R33" s="1019">
        <v>1</v>
      </c>
      <c r="S33" s="996"/>
      <c r="T33" s="1078">
        <v>0.85</v>
      </c>
      <c r="U33" s="334">
        <f>IF('R-Definição'!$I$34="Alta",35*V33,35*T33)</f>
        <v>29.75</v>
      </c>
      <c r="V33" s="1019">
        <v>1</v>
      </c>
      <c r="W33" s="936"/>
      <c r="X33" s="42"/>
      <c r="Y33" s="42"/>
      <c r="Z33" s="42"/>
      <c r="AA33" s="42"/>
      <c r="AB33" s="51"/>
    </row>
    <row r="34" spans="1:28" ht="17.649999999999999" hidden="1" customHeight="1" outlineLevel="1" x14ac:dyDescent="0.25">
      <c r="A34" s="992"/>
      <c r="B34" s="1011" t="s">
        <v>634</v>
      </c>
      <c r="C34" s="925"/>
      <c r="D34" s="1015"/>
      <c r="E34" s="335">
        <f>E33*F11*(0.9)*0.92/16</f>
        <v>434.50543212890625</v>
      </c>
      <c r="F34" s="1016"/>
      <c r="G34" s="999"/>
      <c r="H34" s="1082"/>
      <c r="I34" s="335">
        <f>I33*J11*(0.9)*0.92/16</f>
        <v>817.892578125</v>
      </c>
      <c r="J34" s="1022"/>
      <c r="K34" s="999"/>
      <c r="L34" s="1079"/>
      <c r="M34" s="335">
        <f>M33*N11*(0.9)*0.92/16</f>
        <v>2309.34375</v>
      </c>
      <c r="N34" s="1022"/>
      <c r="O34" s="999"/>
      <c r="P34" s="1079"/>
      <c r="Q34" s="335">
        <f>Q33*R11*(0.9)*0.92/16</f>
        <v>3079.125</v>
      </c>
      <c r="R34" s="1022"/>
      <c r="S34" s="999"/>
      <c r="T34" s="1079"/>
      <c r="U34" s="335">
        <f>U33*V11*(0.9)*0.92/16</f>
        <v>3848.90625</v>
      </c>
      <c r="V34" s="924"/>
      <c r="W34" s="936"/>
      <c r="X34" s="42"/>
      <c r="Y34" s="42"/>
      <c r="Z34" s="42"/>
      <c r="AA34" s="42"/>
      <c r="AB34" s="51"/>
    </row>
    <row r="35" spans="1:28" s="691" customFormat="1" ht="17.649999999999999" customHeight="1" collapsed="1" x14ac:dyDescent="0.25">
      <c r="A35" s="989"/>
      <c r="B35" s="913" t="s">
        <v>383</v>
      </c>
      <c r="C35" s="869"/>
      <c r="D35" s="1017"/>
      <c r="E35" s="890">
        <f>(IF(E$7="SIM",(E15*1000000*E36+E37*12)/$H$2,"-"))</f>
        <v>724.87385203230224</v>
      </c>
      <c r="F35" s="1021"/>
      <c r="G35" s="1000"/>
      <c r="H35" s="1080"/>
      <c r="I35" s="890" t="str">
        <f>(IF(I$7="SIM",(I15*1000000*I36+I37*12)/$H$2,"-"))</f>
        <v>-</v>
      </c>
      <c r="J35" s="1021"/>
      <c r="K35" s="1000"/>
      <c r="L35" s="1080"/>
      <c r="M35" s="890" t="str">
        <f>(IF(M$7="SIM",(M15*1000000*M36+M37*12)/$H$2,"-"))</f>
        <v>-</v>
      </c>
      <c r="N35" s="1021"/>
      <c r="O35" s="1000"/>
      <c r="P35" s="1080"/>
      <c r="Q35" s="890" t="str">
        <f>(IF(Q$7="SIM",(Q15*1000000*Q36+Q37*12)/$H$2,"-"))</f>
        <v>-</v>
      </c>
      <c r="R35" s="1021"/>
      <c r="S35" s="1000"/>
      <c r="T35" s="1080"/>
      <c r="U35" s="891" t="str">
        <f>(IF(U$7="SIM",(U15*1000000*U36+U37*12)/$H$2,"-"))</f>
        <v>-</v>
      </c>
      <c r="V35" s="1039"/>
      <c r="W35" s="696"/>
      <c r="X35" s="39"/>
      <c r="Y35" s="39"/>
      <c r="Z35" s="39"/>
      <c r="AA35" s="39"/>
      <c r="AB35" s="892"/>
    </row>
    <row r="36" spans="1:28" ht="17.649999999999999" hidden="1" customHeight="1" outlineLevel="1" x14ac:dyDescent="0.25">
      <c r="A36" s="988"/>
      <c r="B36" s="1011" t="s">
        <v>643</v>
      </c>
      <c r="C36" s="903"/>
      <c r="D36" s="915"/>
      <c r="E36" s="340">
        <v>4.4999999999999998E-2</v>
      </c>
      <c r="F36" s="1016"/>
      <c r="G36" s="1001"/>
      <c r="H36" s="1081"/>
      <c r="I36" s="340">
        <v>4.4999999999999998E-2</v>
      </c>
      <c r="J36" s="1016"/>
      <c r="K36" s="1001"/>
      <c r="L36" s="1081"/>
      <c r="M36" s="340">
        <v>4.4999999999999998E-2</v>
      </c>
      <c r="N36" s="1016"/>
      <c r="O36" s="1001"/>
      <c r="P36" s="1081"/>
      <c r="Q36" s="340">
        <v>4.4999999999999998E-2</v>
      </c>
      <c r="R36" s="1016"/>
      <c r="S36" s="1001"/>
      <c r="T36" s="1081"/>
      <c r="U36" s="340">
        <v>4.4999999999999998E-2</v>
      </c>
      <c r="V36" s="924"/>
      <c r="W36" s="749"/>
      <c r="X36" s="33"/>
      <c r="Y36" s="33"/>
      <c r="Z36" s="33"/>
      <c r="AA36" s="33"/>
      <c r="AB36" s="51"/>
    </row>
    <row r="37" spans="1:28" ht="17.649999999999999" hidden="1" customHeight="1" outlineLevel="1" x14ac:dyDescent="0.25">
      <c r="A37" s="988"/>
      <c r="B37" s="1011" t="s">
        <v>441</v>
      </c>
      <c r="C37" s="903"/>
      <c r="D37" s="915"/>
      <c r="E37" s="335">
        <v>100000</v>
      </c>
      <c r="F37" s="1022"/>
      <c r="G37" s="999"/>
      <c r="H37" s="1079"/>
      <c r="I37" s="335">
        <v>150000</v>
      </c>
      <c r="J37" s="1022"/>
      <c r="K37" s="999"/>
      <c r="L37" s="1079"/>
      <c r="M37" s="335">
        <v>200000</v>
      </c>
      <c r="N37" s="1022"/>
      <c r="O37" s="999"/>
      <c r="P37" s="1079"/>
      <c r="Q37" s="335">
        <v>250000</v>
      </c>
      <c r="R37" s="1022"/>
      <c r="S37" s="999"/>
      <c r="T37" s="1079"/>
      <c r="U37" s="335">
        <v>300000</v>
      </c>
      <c r="V37" s="924"/>
      <c r="W37" s="749"/>
      <c r="X37" s="33"/>
      <c r="Y37" s="33"/>
      <c r="Z37" s="33"/>
      <c r="AA37" s="33"/>
      <c r="AB37" s="51"/>
    </row>
    <row r="38" spans="1:28" s="691" customFormat="1" ht="17.649999999999999" customHeight="1" collapsed="1" x14ac:dyDescent="0.25">
      <c r="A38" s="989"/>
      <c r="B38" s="913" t="s">
        <v>638</v>
      </c>
      <c r="C38" s="869"/>
      <c r="D38" s="1074">
        <v>0.5</v>
      </c>
      <c r="E38" s="890">
        <f>(IF(E$7="SIM",D38*E39*E40*12/$H$2,"-"))</f>
        <v>207.79760513260089</v>
      </c>
      <c r="F38" s="1021"/>
      <c r="G38" s="1000"/>
      <c r="H38" s="1074">
        <f>D38</f>
        <v>0.5</v>
      </c>
      <c r="I38" s="890" t="str">
        <f>(IF(I$7="SIM",H38*I39*I40*12/$H$2,"-"))</f>
        <v>-</v>
      </c>
      <c r="J38" s="1021"/>
      <c r="K38" s="1000"/>
      <c r="L38" s="1074">
        <f>H38</f>
        <v>0.5</v>
      </c>
      <c r="M38" s="890" t="str">
        <f>(IF(M$7="SIM",L38*M39*M40*12/$H$2,"-"))</f>
        <v>-</v>
      </c>
      <c r="N38" s="1021"/>
      <c r="O38" s="1000"/>
      <c r="P38" s="1074">
        <f>L38</f>
        <v>0.5</v>
      </c>
      <c r="Q38" s="890" t="str">
        <f>(IF(Q$7="SIM",P38*Q39*Q40*12/$H$2,"-"))</f>
        <v>-</v>
      </c>
      <c r="R38" s="1021"/>
      <c r="S38" s="1000"/>
      <c r="T38" s="1074">
        <f>P38</f>
        <v>0.5</v>
      </c>
      <c r="U38" s="891" t="str">
        <f>(IF(U$7="SIM",T38*U39*U40*12/$H$2,"-"))</f>
        <v>-</v>
      </c>
      <c r="V38" s="1039"/>
      <c r="W38" s="696"/>
      <c r="X38" s="39"/>
      <c r="Y38" s="39"/>
      <c r="Z38" s="39"/>
      <c r="AA38" s="39"/>
      <c r="AB38" s="892"/>
    </row>
    <row r="39" spans="1:28" ht="17.649999999999999" hidden="1" customHeight="1" outlineLevel="1" x14ac:dyDescent="0.25">
      <c r="A39" s="992"/>
      <c r="B39" s="1011" t="s">
        <v>636</v>
      </c>
      <c r="C39" s="925"/>
      <c r="D39" s="915"/>
      <c r="E39" s="335">
        <f>'R&amp;C-Painel de Controle'!$D$70</f>
        <v>100000</v>
      </c>
      <c r="F39" s="1023"/>
      <c r="G39" s="996"/>
      <c r="H39" s="1082"/>
      <c r="I39" s="335">
        <f>'R&amp;C-Painel de Controle'!$D$70</f>
        <v>100000</v>
      </c>
      <c r="J39" s="1023"/>
      <c r="K39" s="996"/>
      <c r="L39" s="1082"/>
      <c r="M39" s="335">
        <f>'R&amp;C-Painel de Controle'!$D$70</f>
        <v>100000</v>
      </c>
      <c r="N39" s="1023"/>
      <c r="O39" s="996"/>
      <c r="P39" s="1082"/>
      <c r="Q39" s="335">
        <f>'R&amp;C-Painel de Controle'!$D$70</f>
        <v>100000</v>
      </c>
      <c r="R39" s="1023"/>
      <c r="S39" s="996"/>
      <c r="T39" s="1082"/>
      <c r="U39" s="335">
        <f>'R&amp;C-Painel de Controle'!$D$70</f>
        <v>100000</v>
      </c>
      <c r="V39" s="924"/>
      <c r="W39" s="936"/>
      <c r="X39" s="42"/>
      <c r="Y39" s="42"/>
      <c r="Z39" s="42"/>
      <c r="AA39" s="42"/>
      <c r="AB39" s="51"/>
    </row>
    <row r="40" spans="1:28" ht="17.649999999999999" hidden="1" customHeight="1" outlineLevel="1" x14ac:dyDescent="0.25">
      <c r="A40" s="988"/>
      <c r="B40" s="1011" t="s">
        <v>637</v>
      </c>
      <c r="C40" s="925"/>
      <c r="D40" s="915"/>
      <c r="E40" s="336">
        <v>1</v>
      </c>
      <c r="F40" s="1023"/>
      <c r="G40" s="996"/>
      <c r="H40" s="1082"/>
      <c r="I40" s="336">
        <v>1.25</v>
      </c>
      <c r="J40" s="1023"/>
      <c r="K40" s="996"/>
      <c r="L40" s="1082"/>
      <c r="M40" s="336">
        <v>2</v>
      </c>
      <c r="N40" s="1023"/>
      <c r="O40" s="996"/>
      <c r="P40" s="1082"/>
      <c r="Q40" s="336">
        <v>2.5</v>
      </c>
      <c r="R40" s="1023"/>
      <c r="S40" s="996"/>
      <c r="T40" s="1082"/>
      <c r="U40" s="336">
        <v>3</v>
      </c>
      <c r="V40" s="924"/>
      <c r="W40" s="749"/>
      <c r="X40" s="33"/>
      <c r="Y40" s="33"/>
      <c r="Z40" s="33"/>
      <c r="AA40" s="33"/>
      <c r="AB40" s="51"/>
    </row>
    <row r="41" spans="1:28" s="691" customFormat="1" ht="17.649999999999999" customHeight="1" x14ac:dyDescent="0.25">
      <c r="A41" s="989"/>
      <c r="B41" s="913" t="s">
        <v>390</v>
      </c>
      <c r="C41" s="869"/>
      <c r="D41" s="1017"/>
      <c r="E41" s="893">
        <f>(IF(E$7="SIM",7.5+1.5*'R&amp;C-Painel de Controle'!$D$74,"-"))</f>
        <v>12</v>
      </c>
      <c r="F41" s="1021"/>
      <c r="G41" s="1000"/>
      <c r="H41" s="1080"/>
      <c r="I41" s="893" t="str">
        <f>(IF(I$7="SIM",7.5+1.5*'R&amp;C-Painel de Controle'!$D$74,"-"))</f>
        <v>-</v>
      </c>
      <c r="J41" s="1021"/>
      <c r="K41" s="1000"/>
      <c r="L41" s="1080"/>
      <c r="M41" s="893" t="str">
        <f>(IF(M$7="SIM",7.5+1.5*'R&amp;C-Painel de Controle'!$D$74,"-"))</f>
        <v>-</v>
      </c>
      <c r="N41" s="1021"/>
      <c r="O41" s="1000"/>
      <c r="P41" s="1080"/>
      <c r="Q41" s="893" t="str">
        <f>(IF(Q$7="SIM",7.5+1.5*'R&amp;C-Painel de Controle'!$D$74,"-"))</f>
        <v>-</v>
      </c>
      <c r="R41" s="1021"/>
      <c r="S41" s="1000"/>
      <c r="T41" s="1080"/>
      <c r="U41" s="894" t="str">
        <f>(IF(U$7="SIM",7.5+1.5*'R&amp;C-Painel de Controle'!$D$74,"-"))</f>
        <v>-</v>
      </c>
      <c r="V41" s="1039"/>
      <c r="W41" s="696"/>
      <c r="X41" s="39"/>
      <c r="Y41" s="39"/>
      <c r="Z41" s="39"/>
      <c r="AA41" s="39"/>
      <c r="AB41" s="892"/>
    </row>
    <row r="42" spans="1:28" s="882" customFormat="1" ht="19.899999999999999" customHeight="1" x14ac:dyDescent="0.3">
      <c r="A42" s="990"/>
      <c r="B42" s="1012" t="s">
        <v>386</v>
      </c>
      <c r="C42" s="904"/>
      <c r="D42" s="1074">
        <v>0.1</v>
      </c>
      <c r="E42" s="887">
        <f>(IF(E$7="SIM",(E27+E32+E35+E38+E41)*(1+D42)*F7,"-"))</f>
        <v>2553.2350729195769</v>
      </c>
      <c r="F42" s="1024"/>
      <c r="G42" s="1002"/>
      <c r="H42" s="1074">
        <v>0.1</v>
      </c>
      <c r="I42" s="887" t="str">
        <f>(IF(I$7="SIM",(I27+I32+I35+I38+I41)*(1+H42)*F7,"-"))</f>
        <v>-</v>
      </c>
      <c r="J42" s="1024"/>
      <c r="K42" s="1002"/>
      <c r="L42" s="1074">
        <v>0.1</v>
      </c>
      <c r="M42" s="887" t="str">
        <f>(IF(M$7="SIM",(M27+M32+M35+M38+M41)*(1+L42)*F7,"-"))</f>
        <v>-</v>
      </c>
      <c r="N42" s="1024"/>
      <c r="O42" s="1002"/>
      <c r="P42" s="1074">
        <v>0.1</v>
      </c>
      <c r="Q42" s="887" t="str">
        <f>(IF(Q$7="SIM",(Q27+Q32+Q35+Q38+Q41)*(1+P42)*F7,"-"))</f>
        <v>-</v>
      </c>
      <c r="R42" s="1024"/>
      <c r="S42" s="1002"/>
      <c r="T42" s="1074">
        <v>0.1</v>
      </c>
      <c r="U42" s="888" t="str">
        <f>(IF(U$7="SIM",(U27+U32+U35+U38+U41)*(1+T42)*F7,"-"))</f>
        <v>-</v>
      </c>
      <c r="V42" s="1040"/>
      <c r="W42" s="1005"/>
      <c r="X42" s="881"/>
      <c r="Y42" s="881"/>
      <c r="Z42" s="881"/>
      <c r="AA42" s="881"/>
      <c r="AB42" s="889"/>
    </row>
    <row r="43" spans="1:28" s="882" customFormat="1" ht="19.899999999999999" customHeight="1" x14ac:dyDescent="0.3">
      <c r="A43" s="990"/>
      <c r="B43" s="1012" t="s">
        <v>387</v>
      </c>
      <c r="C43" s="904"/>
      <c r="D43" s="1025"/>
      <c r="E43" s="886">
        <f>(IF(E$7="SIM",E42*$H$2/1000000,"-"))</f>
        <v>7.3722747804248074</v>
      </c>
      <c r="F43" s="1026"/>
      <c r="G43" s="904"/>
      <c r="H43" s="1025"/>
      <c r="I43" s="886" t="str">
        <f>(IF(I$7="SIM",I42*$H$2/1000000,"-"))</f>
        <v>-</v>
      </c>
      <c r="J43" s="1026"/>
      <c r="K43" s="904"/>
      <c r="L43" s="1025"/>
      <c r="M43" s="886" t="str">
        <f>(IF(M$7="SIM",M42*$H$2/1000000,"-"))</f>
        <v>-</v>
      </c>
      <c r="N43" s="1026"/>
      <c r="O43" s="904"/>
      <c r="P43" s="1083"/>
      <c r="Q43" s="886" t="str">
        <f>(IF(Q$7="SIM",Q42*$H$2/1000000,"-"))</f>
        <v>-</v>
      </c>
      <c r="R43" s="1026"/>
      <c r="S43" s="904"/>
      <c r="T43" s="1025"/>
      <c r="U43" s="851" t="str">
        <f>(IF(U$7="SIM",U42*$H$2/1000000,"-"))</f>
        <v>-</v>
      </c>
      <c r="V43" s="1026"/>
      <c r="W43" s="1005"/>
      <c r="X43" s="881"/>
      <c r="Y43" s="881"/>
      <c r="Z43" s="881"/>
      <c r="AA43" s="881"/>
      <c r="AB43" s="881"/>
    </row>
    <row r="44" spans="1:28" s="897" customFormat="1" ht="17.649999999999999" customHeight="1" x14ac:dyDescent="0.25">
      <c r="A44" s="989"/>
      <c r="B44" s="1013" t="s">
        <v>388</v>
      </c>
      <c r="C44" s="869"/>
      <c r="D44" s="1020"/>
      <c r="E44" s="895">
        <f>(IF(E$7="SIM",(((E27*$H$2/12)+(E34/1000*'R&amp;C-Painel de Controle'!$D$69*12)+(E37*12)+(E39*E40*12))/1000000),"-"))</f>
        <v>2.7311999999999999</v>
      </c>
      <c r="F44" s="1027"/>
      <c r="G44" s="869"/>
      <c r="H44" s="1020"/>
      <c r="I44" s="895" t="str">
        <f>(IF(I$7="SIM",(((I27*$H$2/12)+(I34/1000*'R&amp;C-Painel de Controle'!$D$69*12)+(I37*12)+(I39*I40*12))/1000000),"-"))</f>
        <v>-</v>
      </c>
      <c r="J44" s="1027"/>
      <c r="K44" s="869"/>
      <c r="L44" s="1020"/>
      <c r="M44" s="895" t="str">
        <f>(IF(M$7="SIM",(((M27*$H$2/12)+(M34/1000*'R&amp;C-Painel de Controle'!$D$69*12)+(M37*12)+(M39*M40*12))/1000000),"-"))</f>
        <v>-</v>
      </c>
      <c r="N44" s="1027"/>
      <c r="O44" s="869"/>
      <c r="P44" s="1020"/>
      <c r="Q44" s="895" t="str">
        <f>(IF(Q$7="SIM",(((Q27*$H$2/12)+(Q34/1000*'R&amp;C-Painel de Controle'!$D$69*12)+(Q37*12)+(Q39*Q40*12))/1000000)*(1+P42),"-"))</f>
        <v>-</v>
      </c>
      <c r="R44" s="1027"/>
      <c r="S44" s="869"/>
      <c r="T44" s="1020"/>
      <c r="U44" s="896" t="str">
        <f>(IF(U$7="SIM",(((U27*$H$2/12)+(U34/1000*'R&amp;C-Painel de Controle'!$D$69*12)+(U37*12)+(U39*U40*12))/1000000),"-"))</f>
        <v>-</v>
      </c>
      <c r="V44" s="1027"/>
      <c r="W44" s="696"/>
      <c r="X44" s="39"/>
      <c r="Y44" s="39"/>
      <c r="Z44" s="39"/>
      <c r="AA44" s="39"/>
      <c r="AB44" s="39"/>
    </row>
    <row r="45" spans="1:28" s="897" customFormat="1" ht="17.649999999999999" customHeight="1" thickBot="1" x14ac:dyDescent="0.3">
      <c r="A45" s="989"/>
      <c r="B45" s="1014" t="s">
        <v>389</v>
      </c>
      <c r="C45" s="869"/>
      <c r="D45" s="1028"/>
      <c r="E45" s="1029">
        <f>(IF(E$7="SIM",((E43-E44)*1000000)/$H$2,"-"))</f>
        <v>1607.3403743559775</v>
      </c>
      <c r="F45" s="1030"/>
      <c r="G45" s="869"/>
      <c r="H45" s="1028"/>
      <c r="I45" s="1029" t="str">
        <f>(IF(I$7="SIM",((I43-I44)*1000000)/$H$2,"-"))</f>
        <v>-</v>
      </c>
      <c r="J45" s="1030"/>
      <c r="K45" s="869"/>
      <c r="L45" s="1028"/>
      <c r="M45" s="1029" t="str">
        <f>(IF(M$7="SIM",((M43-M44)*1000000)/$H$2,"-"))</f>
        <v>-</v>
      </c>
      <c r="N45" s="1030"/>
      <c r="O45" s="869"/>
      <c r="P45" s="1028"/>
      <c r="Q45" s="1029" t="str">
        <f>(IF(Q$7="SIM",((Q43-Q44)*1000000)/$H$2,"-"))</f>
        <v>-</v>
      </c>
      <c r="R45" s="1030"/>
      <c r="S45" s="869"/>
      <c r="T45" s="1028"/>
      <c r="U45" s="1041" t="str">
        <f>(IF(U$7="SIM",((U43-U44)*1000000)/$H$2,"-"))</f>
        <v>-</v>
      </c>
      <c r="V45" s="1030"/>
      <c r="W45" s="696"/>
      <c r="X45" s="39"/>
      <c r="Y45" s="39"/>
      <c r="Z45" s="39"/>
      <c r="AA45" s="39"/>
      <c r="AB45" s="39"/>
    </row>
    <row r="46" spans="1:28" ht="14.25" customHeight="1" thickTop="1" x14ac:dyDescent="0.25">
      <c r="A46" s="33"/>
      <c r="B46" s="936"/>
      <c r="C46" s="33"/>
      <c r="D46" s="749"/>
      <c r="E46" s="749"/>
      <c r="F46" s="749"/>
      <c r="G46" s="33"/>
      <c r="H46" s="749"/>
      <c r="I46" s="749"/>
      <c r="J46" s="749"/>
      <c r="K46" s="33"/>
      <c r="L46" s="749"/>
      <c r="M46" s="749"/>
      <c r="N46" s="749"/>
      <c r="O46" s="33"/>
      <c r="P46" s="749"/>
      <c r="Q46" s="749"/>
      <c r="R46" s="749"/>
      <c r="S46" s="33"/>
      <c r="T46" s="749"/>
      <c r="U46" s="749"/>
      <c r="V46" s="749"/>
      <c r="W46" s="33"/>
      <c r="X46" s="33"/>
      <c r="Y46" s="33"/>
      <c r="Z46" s="33"/>
      <c r="AA46" s="33"/>
      <c r="AB46" s="33"/>
    </row>
    <row r="47" spans="1:28" ht="14.25" customHeight="1" x14ac:dyDescent="0.25">
      <c r="A47" s="33"/>
      <c r="B47" s="42"/>
      <c r="C47" s="33"/>
      <c r="D47" s="33"/>
      <c r="E47" s="33"/>
      <c r="F47" s="33"/>
      <c r="G47" s="33"/>
      <c r="H47" s="33"/>
      <c r="I47" s="33"/>
      <c r="J47" s="33"/>
      <c r="K47" s="33"/>
      <c r="L47" s="33"/>
      <c r="M47" s="33"/>
      <c r="N47" s="33"/>
      <c r="O47" s="33"/>
      <c r="P47" s="33"/>
      <c r="Q47" s="33"/>
      <c r="R47" s="33"/>
      <c r="S47" s="33"/>
      <c r="T47" s="33"/>
      <c r="U47" s="33"/>
      <c r="V47" s="33"/>
      <c r="W47" s="33"/>
      <c r="X47" s="33"/>
      <c r="Y47" s="33"/>
      <c r="Z47" s="33"/>
      <c r="AA47" s="33"/>
      <c r="AB47" s="33"/>
    </row>
    <row r="48" spans="1:28" ht="14.25" customHeight="1" x14ac:dyDescent="0.25">
      <c r="A48" s="33"/>
      <c r="B48" s="42"/>
      <c r="C48" s="33"/>
      <c r="D48" s="33"/>
      <c r="E48" s="33"/>
      <c r="F48" s="33"/>
      <c r="G48" s="33"/>
      <c r="H48" s="33"/>
      <c r="I48" s="33"/>
      <c r="J48" s="33"/>
      <c r="K48" s="33"/>
      <c r="L48" s="33"/>
      <c r="M48" s="33"/>
      <c r="N48" s="33"/>
      <c r="O48" s="33"/>
      <c r="P48" s="33"/>
      <c r="Q48" s="33"/>
      <c r="R48" s="33"/>
      <c r="S48" s="33"/>
      <c r="T48" s="33"/>
      <c r="U48" s="33"/>
      <c r="V48" s="33"/>
      <c r="W48" s="33"/>
      <c r="X48" s="33"/>
      <c r="Y48" s="33"/>
      <c r="Z48" s="33"/>
      <c r="AA48" s="33"/>
      <c r="AB48" s="33"/>
    </row>
    <row r="49" spans="1:28" ht="14.25" customHeight="1" x14ac:dyDescent="0.25">
      <c r="A49" s="42"/>
      <c r="C49" s="33"/>
      <c r="D49" s="33"/>
      <c r="E49" s="33"/>
      <c r="F49" s="33"/>
      <c r="G49" s="33"/>
      <c r="H49" s="33"/>
      <c r="I49" s="33"/>
      <c r="J49" s="33"/>
      <c r="K49" s="33"/>
      <c r="L49" s="33"/>
      <c r="M49" s="33"/>
      <c r="N49" s="33"/>
      <c r="O49" s="33"/>
      <c r="P49" s="33"/>
      <c r="Q49" s="33"/>
      <c r="R49" s="33"/>
      <c r="S49" s="33"/>
      <c r="T49" s="33"/>
      <c r="U49" s="33"/>
      <c r="V49" s="33"/>
      <c r="W49" s="33"/>
      <c r="X49" s="33"/>
      <c r="Y49" s="33"/>
      <c r="Z49" s="33"/>
      <c r="AA49" s="33"/>
      <c r="AB49" s="33"/>
    </row>
    <row r="50" spans="1:28" ht="14.25" customHeight="1" x14ac:dyDescent="0.25">
      <c r="A50" s="33"/>
      <c r="B50" s="42"/>
      <c r="C50" s="33"/>
      <c r="D50" s="33"/>
      <c r="E50" s="33"/>
      <c r="F50" s="33"/>
      <c r="G50" s="33"/>
      <c r="H50" s="33"/>
      <c r="I50" s="33"/>
      <c r="J50" s="33"/>
      <c r="K50" s="33"/>
      <c r="L50" s="33"/>
      <c r="M50" s="33"/>
      <c r="N50" s="33"/>
      <c r="O50" s="33"/>
      <c r="P50" s="33"/>
      <c r="Q50" s="33"/>
      <c r="R50" s="33"/>
      <c r="S50" s="33"/>
      <c r="T50" s="33"/>
      <c r="U50" s="33"/>
      <c r="V50" s="33"/>
      <c r="W50" s="33"/>
      <c r="X50" s="33"/>
      <c r="Y50" s="33"/>
      <c r="Z50" s="33"/>
      <c r="AA50" s="33"/>
      <c r="AB50" s="33"/>
    </row>
    <row r="51" spans="1:28" ht="14.25" customHeight="1" x14ac:dyDescent="0.25">
      <c r="A51" s="33"/>
      <c r="B51" s="42"/>
      <c r="C51" s="33"/>
      <c r="D51" s="33"/>
      <c r="E51" s="33"/>
      <c r="F51" s="33"/>
      <c r="G51" s="33"/>
      <c r="H51" s="33"/>
      <c r="I51" s="33"/>
      <c r="J51" s="33"/>
      <c r="K51" s="33"/>
      <c r="L51" s="33"/>
      <c r="M51" s="33"/>
      <c r="N51" s="33"/>
      <c r="O51" s="33"/>
      <c r="P51" s="33"/>
      <c r="Q51" s="33"/>
      <c r="R51" s="33"/>
      <c r="S51" s="33"/>
      <c r="T51" s="33"/>
      <c r="U51" s="33"/>
      <c r="V51" s="33"/>
      <c r="W51" s="33"/>
      <c r="X51" s="33"/>
      <c r="Y51" s="33"/>
      <c r="Z51" s="33"/>
      <c r="AA51" s="33"/>
      <c r="AB51" s="33"/>
    </row>
    <row r="52" spans="1:28" ht="14.25" customHeight="1" x14ac:dyDescent="0.25">
      <c r="A52" s="33"/>
      <c r="B52" s="42"/>
      <c r="C52" s="33"/>
      <c r="D52" s="33"/>
      <c r="E52" s="33"/>
      <c r="F52" s="33"/>
      <c r="G52" s="33"/>
      <c r="H52" s="33"/>
      <c r="I52" s="33"/>
      <c r="J52" s="33"/>
      <c r="K52" s="33"/>
      <c r="L52" s="33"/>
      <c r="M52" s="33"/>
      <c r="N52" s="33"/>
      <c r="O52" s="33"/>
      <c r="P52" s="33"/>
      <c r="Q52" s="33"/>
      <c r="R52" s="33"/>
      <c r="S52" s="33"/>
      <c r="T52" s="33"/>
      <c r="U52" s="33"/>
      <c r="V52" s="33"/>
      <c r="W52" s="33"/>
      <c r="X52" s="33"/>
      <c r="Y52" s="33"/>
      <c r="Z52" s="33"/>
      <c r="AA52" s="33"/>
      <c r="AB52" s="33"/>
    </row>
    <row r="53" spans="1:28" ht="14.25" customHeight="1" x14ac:dyDescent="0.25">
      <c r="A53" s="33"/>
      <c r="B53" s="42"/>
      <c r="C53" s="33"/>
      <c r="D53" s="33"/>
      <c r="E53" s="33"/>
      <c r="F53" s="33"/>
      <c r="G53" s="33"/>
      <c r="H53" s="33"/>
      <c r="I53" s="33"/>
      <c r="J53" s="33"/>
      <c r="K53" s="33"/>
      <c r="L53" s="33"/>
      <c r="M53" s="33"/>
      <c r="N53" s="33"/>
      <c r="O53" s="33"/>
      <c r="P53" s="33"/>
      <c r="Q53" s="33"/>
      <c r="R53" s="33"/>
      <c r="S53" s="33"/>
      <c r="T53" s="33"/>
      <c r="U53" s="33"/>
      <c r="V53" s="33"/>
      <c r="W53" s="33"/>
      <c r="X53" s="33"/>
      <c r="Y53" s="33"/>
      <c r="Z53" s="33"/>
      <c r="AA53" s="33"/>
      <c r="AB53" s="33"/>
    </row>
    <row r="54" spans="1:28" ht="14.25" customHeight="1" x14ac:dyDescent="0.25">
      <c r="A54" s="33"/>
      <c r="B54" s="42"/>
      <c r="C54" s="33"/>
      <c r="D54" s="33"/>
      <c r="E54" s="33"/>
      <c r="F54" s="33"/>
      <c r="G54" s="33"/>
      <c r="H54" s="33"/>
      <c r="I54" s="33"/>
      <c r="J54" s="33"/>
      <c r="K54" s="33"/>
      <c r="L54" s="33"/>
      <c r="M54" s="33"/>
      <c r="N54" s="33"/>
      <c r="O54" s="33"/>
      <c r="P54" s="33"/>
      <c r="Q54" s="33"/>
      <c r="R54" s="33"/>
      <c r="S54" s="33"/>
      <c r="T54" s="33"/>
      <c r="U54" s="33"/>
      <c r="V54" s="33"/>
      <c r="W54" s="33"/>
      <c r="X54" s="33"/>
      <c r="Y54" s="33"/>
      <c r="Z54" s="33"/>
      <c r="AA54" s="33"/>
      <c r="AB54" s="33"/>
    </row>
    <row r="55" spans="1:28" ht="14.25" customHeight="1" x14ac:dyDescent="0.25">
      <c r="A55" s="33"/>
      <c r="B55" s="42"/>
      <c r="C55" s="33"/>
      <c r="D55" s="33"/>
      <c r="E55" s="33"/>
      <c r="F55" s="33"/>
      <c r="G55" s="33"/>
      <c r="H55" s="33"/>
      <c r="I55" s="33"/>
      <c r="J55" s="33"/>
      <c r="K55" s="33"/>
      <c r="L55" s="33"/>
      <c r="M55" s="33"/>
      <c r="N55" s="33"/>
      <c r="O55" s="33"/>
      <c r="P55" s="33"/>
      <c r="Q55" s="33"/>
      <c r="R55" s="33"/>
      <c r="S55" s="33"/>
      <c r="T55" s="33"/>
      <c r="U55" s="33"/>
      <c r="V55" s="33"/>
      <c r="W55" s="33"/>
      <c r="X55" s="33"/>
      <c r="Y55" s="33"/>
      <c r="Z55" s="33"/>
      <c r="AA55" s="33"/>
      <c r="AB55" s="33"/>
    </row>
    <row r="56" spans="1:28" ht="14.25" customHeight="1" x14ac:dyDescent="0.25">
      <c r="A56" s="33"/>
      <c r="B56" s="42"/>
      <c r="C56" s="33"/>
      <c r="D56" s="33"/>
      <c r="E56" s="33"/>
      <c r="F56" s="33"/>
      <c r="G56" s="33"/>
      <c r="H56" s="33"/>
      <c r="I56" s="33"/>
      <c r="J56" s="33"/>
      <c r="K56" s="33"/>
      <c r="L56" s="33"/>
      <c r="M56" s="33"/>
      <c r="N56" s="33"/>
      <c r="O56" s="33"/>
      <c r="P56" s="33"/>
      <c r="Q56" s="33"/>
      <c r="R56" s="33"/>
      <c r="S56" s="33"/>
      <c r="T56" s="33"/>
      <c r="U56" s="33"/>
      <c r="V56" s="33"/>
      <c r="W56" s="33"/>
      <c r="X56" s="33"/>
      <c r="Y56" s="33"/>
      <c r="Z56" s="33"/>
      <c r="AA56" s="33"/>
      <c r="AB56" s="33"/>
    </row>
    <row r="57" spans="1:28" ht="14.25" customHeight="1" x14ac:dyDescent="0.25">
      <c r="A57" s="33"/>
      <c r="B57" s="42"/>
      <c r="C57" s="33"/>
      <c r="D57" s="33"/>
      <c r="E57" s="33"/>
      <c r="F57" s="33"/>
      <c r="G57" s="33"/>
      <c r="H57" s="33"/>
      <c r="I57" s="33"/>
      <c r="J57" s="33"/>
      <c r="K57" s="33"/>
      <c r="L57" s="33"/>
      <c r="M57" s="33"/>
      <c r="N57" s="33"/>
      <c r="O57" s="33"/>
      <c r="P57" s="33"/>
      <c r="Q57" s="33"/>
      <c r="R57" s="33"/>
      <c r="S57" s="33"/>
      <c r="T57" s="33"/>
      <c r="U57" s="33"/>
      <c r="V57" s="33"/>
      <c r="W57" s="33"/>
      <c r="X57" s="33"/>
      <c r="Y57" s="33"/>
      <c r="Z57" s="33"/>
      <c r="AA57" s="33"/>
      <c r="AB57" s="33"/>
    </row>
    <row r="58" spans="1:28" ht="14.25" customHeight="1" x14ac:dyDescent="0.25">
      <c r="A58" s="33"/>
      <c r="B58" s="42"/>
      <c r="C58" s="33"/>
      <c r="D58" s="33"/>
      <c r="E58" s="33"/>
      <c r="F58" s="33"/>
      <c r="G58" s="33"/>
      <c r="H58" s="33"/>
      <c r="I58" s="33"/>
      <c r="J58" s="33"/>
      <c r="K58" s="33"/>
      <c r="L58" s="33"/>
      <c r="M58" s="33"/>
      <c r="N58" s="33"/>
      <c r="O58" s="33"/>
      <c r="P58" s="33"/>
      <c r="Q58" s="33"/>
      <c r="R58" s="33"/>
      <c r="S58" s="33"/>
      <c r="T58" s="33"/>
      <c r="U58" s="33"/>
      <c r="V58" s="33"/>
      <c r="W58" s="33"/>
      <c r="X58" s="33"/>
      <c r="Y58" s="33"/>
      <c r="Z58" s="33"/>
      <c r="AA58" s="33"/>
      <c r="AB58" s="33"/>
    </row>
    <row r="59" spans="1:28" ht="14.25" customHeight="1" x14ac:dyDescent="0.25">
      <c r="A59" s="33"/>
      <c r="B59" s="42"/>
      <c r="C59" s="33"/>
      <c r="D59" s="33"/>
      <c r="E59" s="33"/>
      <c r="F59" s="33"/>
      <c r="G59" s="33"/>
      <c r="H59" s="33"/>
      <c r="I59" s="33"/>
      <c r="J59" s="33"/>
      <c r="K59" s="33"/>
      <c r="L59" s="33"/>
      <c r="M59" s="33"/>
      <c r="N59" s="33"/>
      <c r="O59" s="33"/>
      <c r="P59" s="33"/>
      <c r="Q59" s="33"/>
      <c r="R59" s="33"/>
      <c r="S59" s="33"/>
      <c r="T59" s="33"/>
      <c r="U59" s="33"/>
      <c r="V59" s="33"/>
      <c r="W59" s="33"/>
      <c r="X59" s="33"/>
      <c r="Y59" s="33"/>
      <c r="Z59" s="33"/>
      <c r="AA59" s="33"/>
      <c r="AB59" s="33"/>
    </row>
    <row r="60" spans="1:28" ht="14.25" customHeight="1" x14ac:dyDescent="0.25">
      <c r="A60" s="33"/>
      <c r="B60" s="42"/>
      <c r="C60" s="33"/>
      <c r="D60" s="33"/>
      <c r="E60" s="33"/>
      <c r="F60" s="33"/>
      <c r="G60" s="33"/>
      <c r="H60" s="33"/>
      <c r="I60" s="33"/>
      <c r="J60" s="33"/>
      <c r="K60" s="33"/>
      <c r="L60" s="33"/>
      <c r="M60" s="33"/>
      <c r="N60" s="33"/>
      <c r="O60" s="33"/>
      <c r="P60" s="33"/>
      <c r="Q60" s="33"/>
      <c r="R60" s="33"/>
      <c r="S60" s="33"/>
      <c r="T60" s="33"/>
      <c r="U60" s="33"/>
      <c r="V60" s="33"/>
      <c r="W60" s="33"/>
      <c r="X60" s="33"/>
      <c r="Y60" s="33"/>
      <c r="Z60" s="33"/>
      <c r="AA60" s="33"/>
      <c r="AB60" s="33"/>
    </row>
    <row r="61" spans="1:28" ht="14.25" customHeight="1" x14ac:dyDescent="0.25">
      <c r="A61" s="33"/>
      <c r="B61" s="42"/>
      <c r="C61" s="33"/>
      <c r="D61" s="33"/>
      <c r="E61" s="33"/>
      <c r="F61" s="33"/>
      <c r="G61" s="33"/>
      <c r="H61" s="33"/>
      <c r="I61" s="33"/>
      <c r="J61" s="33"/>
      <c r="K61" s="33"/>
      <c r="L61" s="33"/>
      <c r="M61" s="33"/>
      <c r="N61" s="33"/>
      <c r="O61" s="33"/>
      <c r="P61" s="33"/>
      <c r="Q61" s="33"/>
      <c r="R61" s="33"/>
      <c r="S61" s="33"/>
      <c r="T61" s="33"/>
      <c r="U61" s="33"/>
      <c r="V61" s="33"/>
      <c r="W61" s="33"/>
      <c r="X61" s="33"/>
      <c r="Y61" s="33"/>
      <c r="Z61" s="33"/>
      <c r="AA61" s="33"/>
      <c r="AB61" s="33"/>
    </row>
    <row r="62" spans="1:28" ht="14.25" customHeight="1" x14ac:dyDescent="0.25">
      <c r="A62" s="33"/>
      <c r="B62" s="42"/>
      <c r="C62" s="33"/>
      <c r="D62" s="33"/>
      <c r="E62" s="33"/>
      <c r="F62" s="33"/>
      <c r="G62" s="33"/>
      <c r="H62" s="33"/>
      <c r="I62" s="33"/>
      <c r="J62" s="33"/>
      <c r="K62" s="33"/>
      <c r="L62" s="33"/>
      <c r="M62" s="33"/>
      <c r="N62" s="33"/>
      <c r="O62" s="33"/>
      <c r="P62" s="33"/>
      <c r="Q62" s="33"/>
      <c r="R62" s="33"/>
      <c r="S62" s="33"/>
      <c r="T62" s="33"/>
      <c r="U62" s="33"/>
      <c r="V62" s="33"/>
      <c r="W62" s="33"/>
      <c r="X62" s="33"/>
      <c r="Y62" s="33"/>
      <c r="Z62" s="33"/>
      <c r="AA62" s="33"/>
      <c r="AB62" s="33"/>
    </row>
    <row r="63" spans="1:28" ht="14.25" customHeight="1" x14ac:dyDescent="0.25">
      <c r="A63" s="33"/>
      <c r="B63" s="42"/>
      <c r="C63" s="33"/>
      <c r="D63" s="33"/>
      <c r="E63" s="33"/>
      <c r="F63" s="33"/>
      <c r="G63" s="33"/>
      <c r="H63" s="33"/>
      <c r="I63" s="33"/>
      <c r="J63" s="33"/>
      <c r="K63" s="33"/>
      <c r="L63" s="33"/>
      <c r="M63" s="33"/>
      <c r="N63" s="33"/>
      <c r="O63" s="33"/>
      <c r="P63" s="33"/>
      <c r="Q63" s="33"/>
      <c r="R63" s="33"/>
      <c r="S63" s="33"/>
      <c r="T63" s="33"/>
      <c r="U63" s="33"/>
      <c r="V63" s="33"/>
      <c r="W63" s="33"/>
      <c r="X63" s="33"/>
      <c r="Y63" s="33"/>
      <c r="Z63" s="33"/>
      <c r="AA63" s="33"/>
      <c r="AB63" s="33"/>
    </row>
    <row r="64" spans="1:28" ht="14.25" customHeight="1" x14ac:dyDescent="0.25">
      <c r="A64" s="33"/>
      <c r="B64" s="42"/>
      <c r="C64" s="33"/>
      <c r="D64" s="33"/>
      <c r="E64" s="33"/>
      <c r="F64" s="33"/>
      <c r="G64" s="33"/>
      <c r="H64" s="33"/>
      <c r="I64" s="33"/>
      <c r="J64" s="33"/>
      <c r="K64" s="33"/>
      <c r="L64" s="33"/>
      <c r="M64" s="33"/>
      <c r="N64" s="33"/>
      <c r="O64" s="33"/>
      <c r="P64" s="33"/>
      <c r="Q64" s="33"/>
      <c r="R64" s="33"/>
      <c r="S64" s="33"/>
      <c r="T64" s="33"/>
      <c r="U64" s="33"/>
      <c r="V64" s="33"/>
      <c r="W64" s="33"/>
      <c r="X64" s="33"/>
      <c r="Y64" s="33"/>
      <c r="Z64" s="33"/>
      <c r="AA64" s="33"/>
      <c r="AB64" s="33"/>
    </row>
    <row r="65" spans="1:28" ht="14.25" customHeight="1" x14ac:dyDescent="0.25">
      <c r="A65" s="33"/>
      <c r="B65" s="42"/>
      <c r="C65" s="33"/>
      <c r="D65" s="33"/>
      <c r="E65" s="33"/>
      <c r="F65" s="33"/>
      <c r="G65" s="33"/>
      <c r="H65" s="33"/>
      <c r="I65" s="33"/>
      <c r="J65" s="33"/>
      <c r="K65" s="33"/>
      <c r="L65" s="33"/>
      <c r="M65" s="33"/>
      <c r="N65" s="33"/>
      <c r="O65" s="33"/>
      <c r="P65" s="33"/>
      <c r="Q65" s="33"/>
      <c r="R65" s="33"/>
      <c r="S65" s="33"/>
      <c r="T65" s="33"/>
      <c r="U65" s="33"/>
      <c r="V65" s="33"/>
      <c r="W65" s="33"/>
      <c r="X65" s="33"/>
      <c r="Y65" s="33"/>
      <c r="Z65" s="33"/>
      <c r="AA65" s="33"/>
      <c r="AB65" s="33"/>
    </row>
    <row r="66" spans="1:28" ht="14.25" customHeight="1" x14ac:dyDescent="0.25">
      <c r="A66" s="33"/>
      <c r="B66" s="42"/>
      <c r="C66" s="33"/>
      <c r="D66" s="33"/>
      <c r="E66" s="33"/>
      <c r="F66" s="33"/>
      <c r="G66" s="33"/>
      <c r="H66" s="33"/>
      <c r="I66" s="33"/>
      <c r="J66" s="33"/>
      <c r="K66" s="33"/>
      <c r="L66" s="33"/>
      <c r="M66" s="33"/>
      <c r="N66" s="33"/>
      <c r="O66" s="33"/>
      <c r="P66" s="33"/>
      <c r="Q66" s="33"/>
      <c r="R66" s="33"/>
      <c r="S66" s="33"/>
      <c r="T66" s="33"/>
      <c r="U66" s="33"/>
      <c r="V66" s="33"/>
      <c r="W66" s="33"/>
      <c r="X66" s="33"/>
      <c r="Y66" s="33"/>
      <c r="Z66" s="33"/>
      <c r="AA66" s="33"/>
      <c r="AB66" s="33"/>
    </row>
    <row r="67" spans="1:28" ht="14.25" customHeight="1" x14ac:dyDescent="0.25">
      <c r="A67" s="33"/>
      <c r="B67" s="42"/>
      <c r="C67" s="33"/>
      <c r="D67" s="33"/>
      <c r="E67" s="33"/>
      <c r="F67" s="33"/>
      <c r="G67" s="33"/>
      <c r="H67" s="33"/>
      <c r="I67" s="33"/>
      <c r="J67" s="33"/>
      <c r="K67" s="33"/>
      <c r="L67" s="33"/>
      <c r="M67" s="33"/>
      <c r="N67" s="33"/>
      <c r="O67" s="33"/>
      <c r="P67" s="33"/>
      <c r="Q67" s="33"/>
      <c r="R67" s="33"/>
      <c r="S67" s="33"/>
      <c r="T67" s="33"/>
      <c r="U67" s="33"/>
      <c r="V67" s="33"/>
      <c r="W67" s="33"/>
      <c r="X67" s="33"/>
      <c r="Y67" s="33"/>
      <c r="Z67" s="33"/>
      <c r="AA67" s="33"/>
      <c r="AB67" s="33"/>
    </row>
    <row r="68" spans="1:28" ht="14.25" customHeight="1" x14ac:dyDescent="0.25">
      <c r="A68" s="33"/>
      <c r="B68" s="42"/>
      <c r="C68" s="33"/>
      <c r="D68" s="33"/>
      <c r="E68" s="33"/>
      <c r="F68" s="33"/>
      <c r="G68" s="33"/>
      <c r="H68" s="33"/>
      <c r="I68" s="33"/>
      <c r="J68" s="33"/>
      <c r="K68" s="33"/>
      <c r="L68" s="33"/>
      <c r="M68" s="33"/>
      <c r="N68" s="33"/>
      <c r="O68" s="33"/>
      <c r="P68" s="33"/>
      <c r="Q68" s="33"/>
      <c r="R68" s="33"/>
      <c r="S68" s="33"/>
      <c r="T68" s="33"/>
      <c r="U68" s="33"/>
      <c r="V68" s="33"/>
      <c r="W68" s="33"/>
      <c r="X68" s="33"/>
      <c r="Y68" s="33"/>
      <c r="Z68" s="33"/>
      <c r="AA68" s="33"/>
      <c r="AB68" s="33"/>
    </row>
    <row r="69" spans="1:28" ht="14.25" customHeight="1" x14ac:dyDescent="0.25">
      <c r="A69" s="33"/>
      <c r="B69" s="42"/>
      <c r="C69" s="33"/>
      <c r="D69" s="33"/>
      <c r="E69" s="33"/>
      <c r="F69" s="33"/>
      <c r="G69" s="33"/>
      <c r="H69" s="33"/>
      <c r="I69" s="33"/>
      <c r="J69" s="33"/>
      <c r="K69" s="33"/>
      <c r="L69" s="33"/>
      <c r="M69" s="33"/>
      <c r="N69" s="33"/>
      <c r="O69" s="33"/>
      <c r="P69" s="33"/>
      <c r="Q69" s="33"/>
      <c r="R69" s="33"/>
      <c r="S69" s="33"/>
      <c r="T69" s="33"/>
      <c r="U69" s="33"/>
      <c r="V69" s="33"/>
      <c r="W69" s="33"/>
      <c r="X69" s="33"/>
      <c r="Y69" s="33"/>
      <c r="Z69" s="33"/>
      <c r="AA69" s="33"/>
      <c r="AB69" s="33"/>
    </row>
    <row r="70" spans="1:28" ht="14.25" customHeight="1" x14ac:dyDescent="0.25">
      <c r="A70" s="33"/>
      <c r="B70" s="42"/>
      <c r="C70" s="33"/>
      <c r="D70" s="33"/>
      <c r="E70" s="33"/>
      <c r="F70" s="33"/>
      <c r="G70" s="33"/>
      <c r="H70" s="33"/>
      <c r="I70" s="33"/>
      <c r="J70" s="33"/>
      <c r="K70" s="33"/>
      <c r="L70" s="33"/>
      <c r="M70" s="33"/>
      <c r="N70" s="33"/>
      <c r="O70" s="33"/>
      <c r="P70" s="33"/>
      <c r="Q70" s="33"/>
      <c r="R70" s="33"/>
      <c r="S70" s="33"/>
      <c r="T70" s="33"/>
      <c r="U70" s="33"/>
      <c r="V70" s="33"/>
      <c r="W70" s="33"/>
      <c r="X70" s="33"/>
      <c r="Y70" s="33"/>
      <c r="Z70" s="33"/>
      <c r="AA70" s="33"/>
      <c r="AB70" s="33"/>
    </row>
    <row r="71" spans="1:28" ht="14.25" customHeight="1" x14ac:dyDescent="0.25">
      <c r="A71" s="33"/>
      <c r="B71" s="42"/>
      <c r="C71" s="33"/>
      <c r="D71" s="33"/>
      <c r="E71" s="33"/>
      <c r="F71" s="33"/>
      <c r="G71" s="33"/>
      <c r="H71" s="33"/>
      <c r="I71" s="33"/>
      <c r="J71" s="33"/>
      <c r="K71" s="33"/>
      <c r="L71" s="33"/>
      <c r="M71" s="33"/>
      <c r="N71" s="33"/>
      <c r="O71" s="33"/>
      <c r="P71" s="33"/>
      <c r="Q71" s="33"/>
      <c r="R71" s="33"/>
      <c r="S71" s="33"/>
      <c r="T71" s="33"/>
      <c r="U71" s="33"/>
      <c r="V71" s="33"/>
      <c r="W71" s="33"/>
      <c r="X71" s="33"/>
      <c r="Y71" s="33"/>
      <c r="Z71" s="33"/>
      <c r="AA71" s="33"/>
      <c r="AB71" s="33"/>
    </row>
    <row r="72" spans="1:28" ht="14.25" customHeight="1" x14ac:dyDescent="0.25">
      <c r="A72" s="33"/>
      <c r="B72" s="42"/>
      <c r="C72" s="33"/>
      <c r="D72" s="33"/>
      <c r="E72" s="33"/>
      <c r="F72" s="33"/>
      <c r="G72" s="33"/>
      <c r="H72" s="33"/>
      <c r="I72" s="33"/>
      <c r="J72" s="33"/>
      <c r="K72" s="33"/>
      <c r="L72" s="33"/>
      <c r="M72" s="33"/>
      <c r="N72" s="33"/>
      <c r="O72" s="33"/>
      <c r="P72" s="33"/>
      <c r="Q72" s="33"/>
      <c r="R72" s="33"/>
      <c r="S72" s="33"/>
      <c r="T72" s="33"/>
      <c r="U72" s="33"/>
      <c r="V72" s="33"/>
      <c r="W72" s="33"/>
      <c r="X72" s="33"/>
      <c r="Y72" s="33"/>
      <c r="Z72" s="33"/>
      <c r="AA72" s="33"/>
      <c r="AB72" s="33"/>
    </row>
    <row r="73" spans="1:28" ht="14.25" customHeight="1" x14ac:dyDescent="0.25">
      <c r="A73" s="33"/>
      <c r="B73" s="42"/>
      <c r="C73" s="33"/>
      <c r="D73" s="33"/>
      <c r="E73" s="33"/>
      <c r="F73" s="33"/>
      <c r="G73" s="33"/>
      <c r="H73" s="33"/>
      <c r="I73" s="33"/>
      <c r="J73" s="33"/>
      <c r="K73" s="33"/>
      <c r="L73" s="33"/>
      <c r="M73" s="33"/>
      <c r="N73" s="33"/>
      <c r="O73" s="33"/>
      <c r="P73" s="33"/>
      <c r="Q73" s="33"/>
      <c r="R73" s="33"/>
      <c r="S73" s="33"/>
      <c r="T73" s="33"/>
      <c r="U73" s="33"/>
      <c r="V73" s="33"/>
      <c r="W73" s="33"/>
      <c r="X73" s="33"/>
      <c r="Y73" s="33"/>
      <c r="Z73" s="33"/>
      <c r="AA73" s="33"/>
      <c r="AB73" s="33"/>
    </row>
    <row r="74" spans="1:28" ht="14.25" customHeight="1" x14ac:dyDescent="0.25">
      <c r="A74" s="33"/>
      <c r="B74" s="42"/>
      <c r="C74" s="33"/>
      <c r="D74" s="33"/>
      <c r="E74" s="33"/>
      <c r="F74" s="33"/>
      <c r="G74" s="33"/>
      <c r="H74" s="33"/>
      <c r="I74" s="33"/>
      <c r="J74" s="33"/>
      <c r="K74" s="33"/>
      <c r="L74" s="33"/>
      <c r="M74" s="33"/>
      <c r="N74" s="33"/>
      <c r="O74" s="33"/>
      <c r="P74" s="33"/>
      <c r="Q74" s="33"/>
      <c r="R74" s="33"/>
      <c r="S74" s="33"/>
      <c r="T74" s="33"/>
      <c r="U74" s="33"/>
      <c r="V74" s="33"/>
      <c r="W74" s="33"/>
      <c r="X74" s="33"/>
      <c r="Y74" s="33"/>
      <c r="Z74" s="33"/>
      <c r="AA74" s="33"/>
      <c r="AB74" s="33"/>
    </row>
    <row r="75" spans="1:28" ht="14.25" customHeight="1" x14ac:dyDescent="0.25">
      <c r="A75" s="33"/>
      <c r="B75" s="42"/>
      <c r="C75" s="33"/>
      <c r="D75" s="33"/>
      <c r="E75" s="33"/>
      <c r="F75" s="33"/>
      <c r="G75" s="33"/>
      <c r="H75" s="33"/>
      <c r="I75" s="33"/>
      <c r="J75" s="33"/>
      <c r="K75" s="33"/>
      <c r="L75" s="33"/>
      <c r="M75" s="33"/>
      <c r="N75" s="33"/>
      <c r="O75" s="33"/>
      <c r="P75" s="33"/>
      <c r="Q75" s="33"/>
      <c r="R75" s="33"/>
      <c r="S75" s="33"/>
      <c r="T75" s="33"/>
      <c r="U75" s="33"/>
      <c r="V75" s="33"/>
      <c r="W75" s="33"/>
      <c r="X75" s="33"/>
      <c r="Y75" s="33"/>
      <c r="Z75" s="33"/>
      <c r="AA75" s="33"/>
      <c r="AB75" s="33"/>
    </row>
    <row r="76" spans="1:28" ht="14.25" customHeight="1" x14ac:dyDescent="0.25">
      <c r="A76" s="33"/>
      <c r="B76" s="42"/>
      <c r="C76" s="33"/>
      <c r="D76" s="33"/>
      <c r="E76" s="33"/>
      <c r="F76" s="33"/>
      <c r="G76" s="33"/>
      <c r="H76" s="33"/>
      <c r="I76" s="33"/>
      <c r="J76" s="33"/>
      <c r="K76" s="33"/>
      <c r="L76" s="33"/>
      <c r="M76" s="33"/>
      <c r="N76" s="33"/>
      <c r="O76" s="33"/>
      <c r="P76" s="33"/>
      <c r="Q76" s="33"/>
      <c r="R76" s="33"/>
      <c r="S76" s="33"/>
      <c r="T76" s="33"/>
      <c r="U76" s="33"/>
      <c r="V76" s="33"/>
      <c r="W76" s="33"/>
      <c r="X76" s="33"/>
      <c r="Y76" s="33"/>
      <c r="Z76" s="33"/>
      <c r="AA76" s="33"/>
      <c r="AB76" s="33"/>
    </row>
    <row r="77" spans="1:28" ht="14.25" customHeight="1" x14ac:dyDescent="0.25">
      <c r="A77" s="33"/>
      <c r="B77" s="42"/>
      <c r="C77" s="33"/>
      <c r="D77" s="33"/>
      <c r="E77" s="33"/>
      <c r="F77" s="33"/>
      <c r="G77" s="33"/>
      <c r="H77" s="33"/>
      <c r="I77" s="33"/>
      <c r="J77" s="33"/>
      <c r="K77" s="33"/>
      <c r="L77" s="33"/>
      <c r="M77" s="33"/>
      <c r="N77" s="33"/>
      <c r="O77" s="33"/>
      <c r="P77" s="33"/>
      <c r="Q77" s="33"/>
      <c r="R77" s="33"/>
      <c r="S77" s="33"/>
      <c r="T77" s="33"/>
      <c r="U77" s="33"/>
      <c r="V77" s="33"/>
      <c r="W77" s="33"/>
      <c r="X77" s="33"/>
      <c r="Y77" s="33"/>
      <c r="Z77" s="33"/>
      <c r="AA77" s="33"/>
      <c r="AB77" s="33"/>
    </row>
    <row r="78" spans="1:28" ht="14.25" customHeight="1" x14ac:dyDescent="0.25">
      <c r="A78" s="33"/>
      <c r="B78" s="42"/>
      <c r="C78" s="33"/>
      <c r="D78" s="33"/>
      <c r="E78" s="33"/>
      <c r="F78" s="33"/>
      <c r="G78" s="33"/>
      <c r="H78" s="33"/>
      <c r="I78" s="33"/>
      <c r="J78" s="33"/>
      <c r="K78" s="33"/>
      <c r="L78" s="33"/>
      <c r="M78" s="33"/>
      <c r="N78" s="33"/>
      <c r="O78" s="33"/>
      <c r="P78" s="33"/>
      <c r="Q78" s="33"/>
      <c r="R78" s="33"/>
      <c r="S78" s="33"/>
      <c r="T78" s="33"/>
      <c r="U78" s="33"/>
      <c r="V78" s="33"/>
      <c r="W78" s="33"/>
      <c r="X78" s="33"/>
      <c r="Y78" s="33"/>
      <c r="Z78" s="33"/>
      <c r="AA78" s="33"/>
      <c r="AB78" s="33"/>
    </row>
    <row r="79" spans="1:28" ht="14.25" customHeight="1" x14ac:dyDescent="0.25">
      <c r="A79" s="33"/>
      <c r="B79" s="42"/>
      <c r="C79" s="33"/>
      <c r="D79" s="33"/>
      <c r="E79" s="33"/>
      <c r="F79" s="33"/>
      <c r="G79" s="33"/>
      <c r="H79" s="33"/>
      <c r="I79" s="33"/>
      <c r="J79" s="33"/>
      <c r="K79" s="33"/>
      <c r="L79" s="33"/>
      <c r="M79" s="33"/>
      <c r="N79" s="33"/>
      <c r="O79" s="33"/>
      <c r="P79" s="33"/>
      <c r="Q79" s="33"/>
      <c r="R79" s="33"/>
      <c r="S79" s="33"/>
      <c r="T79" s="33"/>
      <c r="U79" s="33"/>
      <c r="V79" s="33"/>
      <c r="W79" s="33"/>
      <c r="X79" s="33"/>
      <c r="Y79" s="33"/>
      <c r="Z79" s="33"/>
      <c r="AA79" s="33"/>
      <c r="AB79" s="33"/>
    </row>
    <row r="80" spans="1:28" ht="14.25" customHeight="1" x14ac:dyDescent="0.25">
      <c r="A80" s="33"/>
      <c r="B80" s="42"/>
      <c r="C80" s="33"/>
      <c r="D80" s="33"/>
      <c r="E80" s="33"/>
      <c r="F80" s="33"/>
      <c r="G80" s="33"/>
      <c r="H80" s="33"/>
      <c r="I80" s="33"/>
      <c r="J80" s="33"/>
      <c r="K80" s="33"/>
      <c r="L80" s="33"/>
      <c r="M80" s="33"/>
      <c r="N80" s="33"/>
      <c r="O80" s="33"/>
      <c r="P80" s="33"/>
      <c r="Q80" s="33"/>
      <c r="R80" s="33"/>
      <c r="S80" s="33"/>
      <c r="T80" s="33"/>
      <c r="U80" s="33"/>
      <c r="V80" s="33"/>
      <c r="W80" s="33"/>
      <c r="X80" s="33"/>
      <c r="Y80" s="33"/>
      <c r="Z80" s="33"/>
      <c r="AA80" s="33"/>
      <c r="AB80" s="33"/>
    </row>
    <row r="81" spans="1:28" ht="14.25" customHeight="1" x14ac:dyDescent="0.25">
      <c r="A81" s="33"/>
      <c r="B81" s="42"/>
      <c r="C81" s="33"/>
      <c r="D81" s="33"/>
      <c r="E81" s="33"/>
      <c r="F81" s="33"/>
      <c r="G81" s="33"/>
      <c r="H81" s="33"/>
      <c r="I81" s="33"/>
      <c r="J81" s="33"/>
      <c r="K81" s="33"/>
      <c r="L81" s="33"/>
      <c r="M81" s="33"/>
      <c r="N81" s="33"/>
      <c r="O81" s="33"/>
      <c r="P81" s="33"/>
      <c r="Q81" s="33"/>
      <c r="R81" s="33"/>
      <c r="S81" s="33"/>
      <c r="T81" s="33"/>
      <c r="U81" s="33"/>
      <c r="V81" s="33"/>
      <c r="W81" s="33"/>
      <c r="X81" s="33"/>
      <c r="Y81" s="33"/>
      <c r="Z81" s="33"/>
      <c r="AA81" s="33"/>
      <c r="AB81" s="33"/>
    </row>
    <row r="82" spans="1:28" ht="14.25" customHeight="1" x14ac:dyDescent="0.25">
      <c r="A82" s="33"/>
      <c r="B82" s="42"/>
      <c r="C82" s="33"/>
      <c r="D82" s="33"/>
      <c r="E82" s="33"/>
      <c r="F82" s="33"/>
      <c r="G82" s="33"/>
      <c r="H82" s="33"/>
      <c r="I82" s="33"/>
      <c r="J82" s="33"/>
      <c r="K82" s="33"/>
      <c r="L82" s="33"/>
      <c r="M82" s="33"/>
      <c r="N82" s="33"/>
      <c r="O82" s="33"/>
      <c r="P82" s="33"/>
      <c r="Q82" s="33"/>
      <c r="R82" s="33"/>
      <c r="S82" s="33"/>
      <c r="T82" s="33"/>
      <c r="U82" s="33"/>
      <c r="V82" s="33"/>
      <c r="W82" s="33"/>
      <c r="X82" s="33"/>
      <c r="Y82" s="33"/>
      <c r="Z82" s="33"/>
      <c r="AA82" s="33"/>
      <c r="AB82" s="33"/>
    </row>
    <row r="83" spans="1:28" ht="14.25" customHeight="1" x14ac:dyDescent="0.25">
      <c r="A83" s="33"/>
      <c r="B83" s="42"/>
      <c r="C83" s="33"/>
      <c r="D83" s="33"/>
      <c r="E83" s="33"/>
      <c r="F83" s="33"/>
      <c r="G83" s="33"/>
      <c r="H83" s="33"/>
      <c r="I83" s="33"/>
      <c r="J83" s="33"/>
      <c r="K83" s="33"/>
      <c r="L83" s="33"/>
      <c r="M83" s="33"/>
      <c r="N83" s="33"/>
      <c r="O83" s="33"/>
      <c r="P83" s="33"/>
      <c r="Q83" s="33"/>
      <c r="R83" s="33"/>
      <c r="S83" s="33"/>
      <c r="T83" s="33"/>
      <c r="U83" s="33"/>
      <c r="V83" s="33"/>
      <c r="W83" s="33"/>
      <c r="X83" s="33"/>
      <c r="Y83" s="33"/>
      <c r="Z83" s="33"/>
      <c r="AA83" s="33"/>
      <c r="AB83" s="33"/>
    </row>
    <row r="84" spans="1:28" ht="14.25" customHeight="1" x14ac:dyDescent="0.25">
      <c r="A84" s="33"/>
      <c r="B84" s="42"/>
      <c r="C84" s="33"/>
      <c r="D84" s="33"/>
      <c r="E84" s="33"/>
      <c r="F84" s="33"/>
      <c r="G84" s="33"/>
      <c r="H84" s="33"/>
      <c r="I84" s="33"/>
      <c r="J84" s="33"/>
      <c r="K84" s="33"/>
      <c r="L84" s="33"/>
      <c r="M84" s="33"/>
      <c r="N84" s="33"/>
      <c r="O84" s="33"/>
      <c r="P84" s="33"/>
      <c r="Q84" s="33"/>
      <c r="R84" s="33"/>
      <c r="S84" s="33"/>
      <c r="T84" s="33"/>
      <c r="U84" s="33"/>
      <c r="V84" s="33"/>
      <c r="W84" s="33"/>
      <c r="X84" s="33"/>
      <c r="Y84" s="33"/>
      <c r="Z84" s="33"/>
      <c r="AA84" s="33"/>
      <c r="AB84" s="33"/>
    </row>
    <row r="85" spans="1:28" ht="14.25" customHeight="1" x14ac:dyDescent="0.25">
      <c r="A85" s="33"/>
      <c r="B85" s="42"/>
      <c r="C85" s="33"/>
      <c r="D85" s="33"/>
      <c r="E85" s="33"/>
      <c r="F85" s="33"/>
      <c r="G85" s="33"/>
      <c r="H85" s="33"/>
      <c r="I85" s="33"/>
      <c r="J85" s="33"/>
      <c r="K85" s="33"/>
      <c r="L85" s="33"/>
      <c r="M85" s="33"/>
      <c r="N85" s="33"/>
      <c r="O85" s="33"/>
      <c r="P85" s="33"/>
      <c r="Q85" s="33"/>
      <c r="R85" s="33"/>
      <c r="S85" s="33"/>
      <c r="T85" s="33"/>
      <c r="U85" s="33"/>
      <c r="V85" s="33"/>
      <c r="W85" s="33"/>
      <c r="X85" s="33"/>
      <c r="Y85" s="33"/>
      <c r="Z85" s="33"/>
      <c r="AA85" s="33"/>
      <c r="AB85" s="33"/>
    </row>
    <row r="86" spans="1:28" ht="14.25" customHeight="1" x14ac:dyDescent="0.25">
      <c r="A86" s="33"/>
      <c r="B86" s="42"/>
      <c r="C86" s="33"/>
      <c r="D86" s="33"/>
      <c r="E86" s="33"/>
      <c r="F86" s="33"/>
      <c r="G86" s="33"/>
      <c r="H86" s="33"/>
      <c r="I86" s="33"/>
      <c r="J86" s="33"/>
      <c r="K86" s="33"/>
      <c r="L86" s="33"/>
      <c r="M86" s="33"/>
      <c r="N86" s="33"/>
      <c r="O86" s="33"/>
      <c r="P86" s="33"/>
      <c r="Q86" s="33"/>
      <c r="R86" s="33"/>
      <c r="S86" s="33"/>
      <c r="T86" s="33"/>
      <c r="U86" s="33"/>
      <c r="V86" s="33"/>
      <c r="W86" s="33"/>
      <c r="X86" s="33"/>
      <c r="Y86" s="33"/>
      <c r="Z86" s="33"/>
      <c r="AA86" s="33"/>
      <c r="AB86" s="33"/>
    </row>
    <row r="87" spans="1:28" ht="14.25" customHeight="1" x14ac:dyDescent="0.25">
      <c r="A87" s="33"/>
      <c r="B87" s="42"/>
      <c r="C87" s="33"/>
      <c r="D87" s="33"/>
      <c r="E87" s="33"/>
      <c r="F87" s="33"/>
      <c r="G87" s="33"/>
      <c r="H87" s="33"/>
      <c r="I87" s="33"/>
      <c r="J87" s="33"/>
      <c r="K87" s="33"/>
      <c r="L87" s="33"/>
      <c r="M87" s="33"/>
      <c r="N87" s="33"/>
      <c r="O87" s="33"/>
      <c r="P87" s="33"/>
      <c r="Q87" s="33"/>
      <c r="R87" s="33"/>
      <c r="S87" s="33"/>
      <c r="T87" s="33"/>
      <c r="U87" s="33"/>
      <c r="V87" s="33"/>
      <c r="W87" s="33"/>
      <c r="X87" s="33"/>
      <c r="Y87" s="33"/>
      <c r="Z87" s="33"/>
      <c r="AA87" s="33"/>
      <c r="AB87" s="33"/>
    </row>
    <row r="88" spans="1:28" ht="14.25" customHeight="1" x14ac:dyDescent="0.25">
      <c r="A88" s="33"/>
      <c r="B88" s="42"/>
      <c r="C88" s="33"/>
      <c r="D88" s="33"/>
      <c r="E88" s="33"/>
      <c r="F88" s="33"/>
      <c r="G88" s="33"/>
      <c r="H88" s="33"/>
      <c r="I88" s="33"/>
      <c r="J88" s="33"/>
      <c r="K88" s="33"/>
      <c r="L88" s="33"/>
      <c r="M88" s="33"/>
      <c r="N88" s="33"/>
      <c r="O88" s="33"/>
      <c r="P88" s="33"/>
      <c r="Q88" s="33"/>
      <c r="R88" s="33"/>
      <c r="S88" s="33"/>
      <c r="T88" s="33"/>
      <c r="U88" s="33"/>
      <c r="V88" s="33"/>
      <c r="W88" s="33"/>
      <c r="X88" s="33"/>
      <c r="Y88" s="33"/>
      <c r="Z88" s="33"/>
      <c r="AA88" s="33"/>
      <c r="AB88" s="33"/>
    </row>
    <row r="89" spans="1:28" ht="14.25" customHeight="1" x14ac:dyDescent="0.25">
      <c r="A89" s="33"/>
      <c r="B89" s="42"/>
      <c r="C89" s="33"/>
      <c r="D89" s="33"/>
      <c r="E89" s="33"/>
      <c r="F89" s="33"/>
      <c r="G89" s="33"/>
      <c r="H89" s="33"/>
      <c r="I89" s="33"/>
      <c r="J89" s="33"/>
      <c r="K89" s="33"/>
      <c r="L89" s="33"/>
      <c r="M89" s="33"/>
      <c r="N89" s="33"/>
      <c r="O89" s="33"/>
      <c r="P89" s="33"/>
      <c r="Q89" s="33"/>
      <c r="R89" s="33"/>
      <c r="S89" s="33"/>
      <c r="T89" s="33"/>
      <c r="U89" s="33"/>
      <c r="V89" s="33"/>
      <c r="W89" s="33"/>
      <c r="X89" s="33"/>
      <c r="Y89" s="33"/>
      <c r="Z89" s="33"/>
      <c r="AA89" s="33"/>
      <c r="AB89" s="33"/>
    </row>
    <row r="90" spans="1:28" ht="14.25" customHeight="1" x14ac:dyDescent="0.25">
      <c r="A90" s="33"/>
      <c r="B90" s="42"/>
      <c r="C90" s="33"/>
      <c r="D90" s="33"/>
      <c r="E90" s="33"/>
      <c r="F90" s="33"/>
      <c r="G90" s="33"/>
      <c r="H90" s="33"/>
      <c r="I90" s="33"/>
      <c r="J90" s="33"/>
      <c r="K90" s="33"/>
      <c r="L90" s="33"/>
      <c r="M90" s="33"/>
      <c r="N90" s="33"/>
      <c r="O90" s="33"/>
      <c r="P90" s="33"/>
      <c r="Q90" s="33"/>
      <c r="R90" s="33"/>
      <c r="S90" s="33"/>
      <c r="T90" s="33"/>
      <c r="U90" s="33"/>
      <c r="V90" s="33"/>
      <c r="W90" s="33"/>
      <c r="X90" s="33"/>
      <c r="Y90" s="33"/>
      <c r="Z90" s="33"/>
      <c r="AA90" s="33"/>
      <c r="AB90" s="33"/>
    </row>
    <row r="91" spans="1:28" ht="14.25" customHeight="1" x14ac:dyDescent="0.25">
      <c r="A91" s="33"/>
      <c r="B91" s="42"/>
      <c r="C91" s="33"/>
      <c r="D91" s="33"/>
      <c r="E91" s="33"/>
      <c r="F91" s="33"/>
      <c r="G91" s="33"/>
      <c r="H91" s="33"/>
      <c r="I91" s="33"/>
      <c r="J91" s="33"/>
      <c r="K91" s="33"/>
      <c r="L91" s="33"/>
      <c r="M91" s="33"/>
      <c r="N91" s="33"/>
      <c r="O91" s="33"/>
      <c r="P91" s="33"/>
      <c r="Q91" s="33"/>
      <c r="R91" s="33"/>
      <c r="S91" s="33"/>
      <c r="T91" s="33"/>
      <c r="U91" s="33"/>
      <c r="V91" s="33"/>
      <c r="W91" s="33"/>
      <c r="X91" s="33"/>
      <c r="Y91" s="33"/>
      <c r="Z91" s="33"/>
      <c r="AA91" s="33"/>
      <c r="AB91" s="33"/>
    </row>
    <row r="92" spans="1:28" ht="14.25" customHeight="1" x14ac:dyDescent="0.25">
      <c r="A92" s="33"/>
      <c r="B92" s="42"/>
      <c r="C92" s="33"/>
      <c r="D92" s="33"/>
      <c r="E92" s="33"/>
      <c r="F92" s="33"/>
      <c r="G92" s="33"/>
      <c r="H92" s="33"/>
      <c r="I92" s="33"/>
      <c r="J92" s="33"/>
      <c r="K92" s="33"/>
      <c r="L92" s="33"/>
      <c r="M92" s="33"/>
      <c r="N92" s="33"/>
      <c r="O92" s="33"/>
      <c r="P92" s="33"/>
      <c r="Q92" s="33"/>
      <c r="R92" s="33"/>
      <c r="S92" s="33"/>
      <c r="T92" s="33"/>
      <c r="U92" s="33"/>
      <c r="V92" s="33"/>
      <c r="W92" s="33"/>
      <c r="X92" s="33"/>
      <c r="Y92" s="33"/>
      <c r="Z92" s="33"/>
      <c r="AA92" s="33"/>
      <c r="AB92" s="33"/>
    </row>
    <row r="93" spans="1:28" ht="14.25" customHeight="1" x14ac:dyDescent="0.25">
      <c r="A93" s="33"/>
      <c r="B93" s="42"/>
      <c r="C93" s="33"/>
      <c r="D93" s="33"/>
      <c r="E93" s="33"/>
      <c r="F93" s="33"/>
      <c r="G93" s="33"/>
      <c r="H93" s="33"/>
      <c r="I93" s="33"/>
      <c r="J93" s="33"/>
      <c r="K93" s="33"/>
      <c r="L93" s="33"/>
      <c r="M93" s="33"/>
      <c r="N93" s="33"/>
      <c r="O93" s="33"/>
      <c r="P93" s="33"/>
      <c r="Q93" s="33"/>
      <c r="R93" s="33"/>
      <c r="S93" s="33"/>
      <c r="T93" s="33"/>
      <c r="U93" s="33"/>
      <c r="V93" s="33"/>
      <c r="W93" s="33"/>
      <c r="X93" s="33"/>
      <c r="Y93" s="33"/>
      <c r="Z93" s="33"/>
      <c r="AA93" s="33"/>
      <c r="AB93" s="33"/>
    </row>
    <row r="94" spans="1:28" ht="14.25" customHeight="1" x14ac:dyDescent="0.25">
      <c r="A94" s="33"/>
      <c r="B94" s="42"/>
      <c r="C94" s="33"/>
      <c r="D94" s="33"/>
      <c r="E94" s="33"/>
      <c r="F94" s="33"/>
      <c r="G94" s="33"/>
      <c r="H94" s="33"/>
      <c r="I94" s="33"/>
      <c r="J94" s="33"/>
      <c r="K94" s="33"/>
      <c r="L94" s="33"/>
      <c r="M94" s="33"/>
      <c r="N94" s="33"/>
      <c r="O94" s="33"/>
      <c r="P94" s="33"/>
      <c r="Q94" s="33"/>
      <c r="R94" s="33"/>
      <c r="S94" s="33"/>
      <c r="T94" s="33"/>
      <c r="U94" s="33"/>
      <c r="V94" s="33"/>
      <c r="W94" s="33"/>
      <c r="X94" s="33"/>
      <c r="Y94" s="33"/>
      <c r="Z94" s="33"/>
      <c r="AA94" s="33"/>
      <c r="AB94" s="33"/>
    </row>
    <row r="95" spans="1:28" ht="14.25" customHeight="1" x14ac:dyDescent="0.25">
      <c r="A95" s="33"/>
      <c r="B95" s="42"/>
      <c r="C95" s="33"/>
      <c r="D95" s="33"/>
      <c r="E95" s="33"/>
      <c r="F95" s="33"/>
      <c r="G95" s="33"/>
      <c r="H95" s="33"/>
      <c r="I95" s="33"/>
      <c r="J95" s="33"/>
      <c r="K95" s="33"/>
      <c r="L95" s="33"/>
      <c r="M95" s="33"/>
      <c r="N95" s="33"/>
      <c r="O95" s="33"/>
      <c r="P95" s="33"/>
      <c r="Q95" s="33"/>
      <c r="R95" s="33"/>
      <c r="S95" s="33"/>
      <c r="T95" s="33"/>
      <c r="U95" s="33"/>
      <c r="V95" s="33"/>
      <c r="W95" s="33"/>
      <c r="X95" s="33"/>
      <c r="Y95" s="33"/>
      <c r="Z95" s="33"/>
      <c r="AA95" s="33"/>
      <c r="AB95" s="33"/>
    </row>
    <row r="96" spans="1:28" ht="14.25" customHeight="1" x14ac:dyDescent="0.25">
      <c r="A96" s="33"/>
      <c r="B96" s="42"/>
      <c r="C96" s="33"/>
      <c r="D96" s="33"/>
      <c r="E96" s="33"/>
      <c r="F96" s="33"/>
      <c r="G96" s="33"/>
      <c r="H96" s="33"/>
      <c r="I96" s="33"/>
      <c r="J96" s="33"/>
      <c r="K96" s="33"/>
      <c r="L96" s="33"/>
      <c r="M96" s="33"/>
      <c r="N96" s="33"/>
      <c r="O96" s="33"/>
      <c r="P96" s="33"/>
      <c r="Q96" s="33"/>
      <c r="R96" s="33"/>
      <c r="S96" s="33"/>
      <c r="T96" s="33"/>
      <c r="U96" s="33"/>
      <c r="V96" s="33"/>
      <c r="W96" s="33"/>
      <c r="X96" s="33"/>
      <c r="Y96" s="33"/>
      <c r="Z96" s="33"/>
      <c r="AA96" s="33"/>
      <c r="AB96" s="33"/>
    </row>
    <row r="97" spans="1:28" ht="14.25" customHeight="1" x14ac:dyDescent="0.25">
      <c r="A97" s="33"/>
      <c r="B97" s="42"/>
      <c r="C97" s="33"/>
      <c r="D97" s="33"/>
      <c r="E97" s="33"/>
      <c r="F97" s="33"/>
      <c r="G97" s="33"/>
      <c r="H97" s="33"/>
      <c r="I97" s="33"/>
      <c r="J97" s="33"/>
      <c r="K97" s="33"/>
      <c r="L97" s="33"/>
      <c r="M97" s="33"/>
      <c r="N97" s="33"/>
      <c r="O97" s="33"/>
      <c r="P97" s="33"/>
      <c r="Q97" s="33"/>
      <c r="R97" s="33"/>
      <c r="S97" s="33"/>
      <c r="T97" s="33"/>
      <c r="U97" s="33"/>
      <c r="V97" s="33"/>
      <c r="W97" s="33"/>
      <c r="X97" s="33"/>
      <c r="Y97" s="33"/>
      <c r="Z97" s="33"/>
      <c r="AA97" s="33"/>
      <c r="AB97" s="33"/>
    </row>
    <row r="98" spans="1:28" ht="14.25" customHeight="1" x14ac:dyDescent="0.25">
      <c r="A98" s="33"/>
      <c r="B98" s="42"/>
      <c r="C98" s="33"/>
      <c r="D98" s="33"/>
      <c r="E98" s="33"/>
      <c r="F98" s="33"/>
      <c r="G98" s="33"/>
      <c r="H98" s="33"/>
      <c r="I98" s="33"/>
      <c r="J98" s="33"/>
      <c r="K98" s="33"/>
      <c r="L98" s="33"/>
      <c r="M98" s="33"/>
      <c r="N98" s="33"/>
      <c r="O98" s="33"/>
      <c r="P98" s="33"/>
      <c r="Q98" s="33"/>
      <c r="R98" s="33"/>
      <c r="S98" s="33"/>
      <c r="T98" s="33"/>
      <c r="U98" s="33"/>
      <c r="V98" s="33"/>
      <c r="W98" s="33"/>
      <c r="X98" s="33"/>
      <c r="Y98" s="33"/>
      <c r="Z98" s="33"/>
      <c r="AA98" s="33"/>
      <c r="AB98" s="33"/>
    </row>
    <row r="99" spans="1:28" ht="14.25" customHeight="1" x14ac:dyDescent="0.25">
      <c r="A99" s="33"/>
      <c r="B99" s="42"/>
      <c r="C99" s="33"/>
      <c r="D99" s="33"/>
      <c r="E99" s="33"/>
      <c r="F99" s="33"/>
      <c r="G99" s="33"/>
      <c r="H99" s="33"/>
      <c r="I99" s="33"/>
      <c r="J99" s="33"/>
      <c r="K99" s="33"/>
      <c r="L99" s="33"/>
      <c r="M99" s="33"/>
      <c r="N99" s="33"/>
      <c r="O99" s="33"/>
      <c r="P99" s="33"/>
      <c r="Q99" s="33"/>
      <c r="R99" s="33"/>
      <c r="S99" s="33"/>
      <c r="T99" s="33"/>
      <c r="U99" s="33"/>
      <c r="V99" s="33"/>
      <c r="W99" s="33"/>
      <c r="X99" s="33"/>
      <c r="Y99" s="33"/>
      <c r="Z99" s="33"/>
      <c r="AA99" s="33"/>
      <c r="AB99" s="33"/>
    </row>
    <row r="100" spans="1:28" ht="14.25" customHeight="1" x14ac:dyDescent="0.25">
      <c r="A100" s="33"/>
      <c r="B100" s="42"/>
      <c r="C100" s="33"/>
      <c r="D100" s="33"/>
      <c r="E100" s="33"/>
      <c r="F100" s="33"/>
      <c r="G100" s="33"/>
      <c r="H100" s="33"/>
      <c r="I100" s="33"/>
      <c r="J100" s="33"/>
      <c r="K100" s="33"/>
      <c r="L100" s="33"/>
      <c r="M100" s="33"/>
      <c r="N100" s="33"/>
      <c r="O100" s="33"/>
      <c r="P100" s="33"/>
      <c r="Q100" s="33"/>
      <c r="R100" s="33"/>
      <c r="S100" s="33"/>
      <c r="T100" s="33"/>
      <c r="U100" s="33"/>
      <c r="V100" s="33"/>
      <c r="W100" s="33"/>
      <c r="X100" s="33"/>
      <c r="Y100" s="33"/>
      <c r="Z100" s="33"/>
      <c r="AA100" s="33"/>
      <c r="AB100" s="33"/>
    </row>
    <row r="101" spans="1:28" ht="14.25" customHeight="1" x14ac:dyDescent="0.25">
      <c r="A101" s="33"/>
      <c r="B101" s="42"/>
      <c r="C101" s="33"/>
      <c r="D101" s="33"/>
      <c r="E101" s="33"/>
      <c r="F101" s="33"/>
      <c r="G101" s="33"/>
      <c r="H101" s="33"/>
      <c r="I101" s="33"/>
      <c r="J101" s="33"/>
      <c r="K101" s="33"/>
      <c r="L101" s="33"/>
      <c r="M101" s="33"/>
      <c r="N101" s="33"/>
      <c r="O101" s="33"/>
      <c r="P101" s="33"/>
      <c r="Q101" s="33"/>
      <c r="R101" s="33"/>
      <c r="S101" s="33"/>
      <c r="T101" s="33"/>
      <c r="U101" s="33"/>
      <c r="V101" s="33"/>
      <c r="W101" s="33"/>
      <c r="X101" s="33"/>
      <c r="Y101" s="33"/>
      <c r="Z101" s="33"/>
      <c r="AA101" s="33"/>
      <c r="AB101" s="33"/>
    </row>
    <row r="102" spans="1:28" ht="14.25" customHeight="1" x14ac:dyDescent="0.25">
      <c r="A102" s="33"/>
      <c r="B102" s="42"/>
      <c r="C102" s="33"/>
      <c r="D102" s="33"/>
      <c r="E102" s="33"/>
      <c r="F102" s="33"/>
      <c r="G102" s="33"/>
      <c r="H102" s="33"/>
      <c r="I102" s="33"/>
      <c r="J102" s="33"/>
      <c r="K102" s="33"/>
      <c r="L102" s="33"/>
      <c r="M102" s="33"/>
      <c r="N102" s="33"/>
      <c r="O102" s="33"/>
      <c r="P102" s="33"/>
      <c r="Q102" s="33"/>
      <c r="R102" s="33"/>
      <c r="S102" s="33"/>
      <c r="T102" s="33"/>
      <c r="U102" s="33"/>
      <c r="V102" s="33"/>
      <c r="W102" s="33"/>
      <c r="X102" s="33"/>
      <c r="Y102" s="33"/>
      <c r="Z102" s="33"/>
      <c r="AA102" s="33"/>
      <c r="AB102" s="33"/>
    </row>
    <row r="103" spans="1:28" ht="14.25" customHeight="1" x14ac:dyDescent="0.25">
      <c r="A103" s="33"/>
      <c r="B103" s="42"/>
      <c r="C103" s="33"/>
      <c r="D103" s="33"/>
      <c r="E103" s="33"/>
      <c r="F103" s="33"/>
      <c r="G103" s="33"/>
      <c r="H103" s="33"/>
      <c r="I103" s="33"/>
      <c r="J103" s="33"/>
      <c r="K103" s="33"/>
      <c r="L103" s="33"/>
      <c r="M103" s="33"/>
      <c r="N103" s="33"/>
      <c r="O103" s="33"/>
      <c r="P103" s="33"/>
      <c r="Q103" s="33"/>
      <c r="R103" s="33"/>
      <c r="S103" s="33"/>
      <c r="T103" s="33"/>
      <c r="U103" s="33"/>
      <c r="V103" s="33"/>
      <c r="W103" s="33"/>
      <c r="X103" s="33"/>
      <c r="Y103" s="33"/>
      <c r="Z103" s="33"/>
      <c r="AA103" s="33"/>
      <c r="AB103" s="33"/>
    </row>
    <row r="104" spans="1:28" ht="14.25" customHeight="1" x14ac:dyDescent="0.25">
      <c r="A104" s="33"/>
      <c r="B104" s="42"/>
      <c r="C104" s="33"/>
      <c r="D104" s="33"/>
      <c r="E104" s="33"/>
      <c r="F104" s="33"/>
      <c r="G104" s="33"/>
      <c r="H104" s="33"/>
      <c r="I104" s="33"/>
      <c r="J104" s="33"/>
      <c r="K104" s="33"/>
      <c r="L104" s="33"/>
      <c r="M104" s="33"/>
      <c r="N104" s="33"/>
      <c r="O104" s="33"/>
      <c r="P104" s="33"/>
      <c r="Q104" s="33"/>
      <c r="R104" s="33"/>
      <c r="S104" s="33"/>
      <c r="T104" s="33"/>
      <c r="U104" s="33"/>
      <c r="V104" s="33"/>
      <c r="W104" s="33"/>
      <c r="X104" s="33"/>
      <c r="Y104" s="33"/>
      <c r="Z104" s="33"/>
      <c r="AA104" s="33"/>
      <c r="AB104" s="33"/>
    </row>
  </sheetData>
  <sheetProtection algorithmName="SHA-512" hashValue="4X8pBoEVIRK2DY+QIlk8MiADYvtKMuuoGhXTsjspfAwFLMNCzEP+4AjNthntxNQo83cd+cCwoah4x1CrhrBIVg==" saltValue="d73ozdjRgJv+rqoJupqr/A==" spinCount="100000" sheet="1" formatColumns="0" formatRows="0"/>
  <mergeCells count="5">
    <mergeCell ref="B9:B11"/>
    <mergeCell ref="D9:V9"/>
    <mergeCell ref="Q2:R2"/>
    <mergeCell ref="U2:V2"/>
    <mergeCell ref="B1:B3"/>
  </mergeCells>
  <conditionalFormatting sqref="L2">
    <cfRule type="expression" dxfId="400" priority="51">
      <formula>L$2="NÃO"</formula>
    </cfRule>
  </conditionalFormatting>
  <conditionalFormatting sqref="L2">
    <cfRule type="expression" dxfId="399" priority="52">
      <formula>L$2= "SIM"</formula>
    </cfRule>
  </conditionalFormatting>
  <conditionalFormatting sqref="I7 E7 M7 Q7 U7 E35 E27:E28 M27:M28 I27:I28 Q27:Q28 U27:U28 E38 E32 I32 M32 Q32 U32 I38 M38 Q38 U38 U41:U45 Q41:Q45 M41:M45 I41:I45 E41:E45 Q35 I35 U35 M35">
    <cfRule type="expression" dxfId="398" priority="194">
      <formula>E$7="NÃO"</formula>
    </cfRule>
  </conditionalFormatting>
  <conditionalFormatting sqref="I7 E7 M7 Q7 U7 E35 E27:E28 M27:M28 I27:I28 Q27:Q28 U27:U28 E38 E32 I32 M32 Q32 U32 I38 M38 Q38 U38 U41:U45 Q41:Q45 M41:M45 I41:I45 E41:E45 Q35 I35 U35 M35">
    <cfRule type="expression" dxfId="397" priority="195">
      <formula>E$7= "SIM"</formula>
    </cfRule>
  </conditionalFormatting>
  <conditionalFormatting sqref="U15">
    <cfRule type="expression" dxfId="396" priority="49">
      <formula>U$7="NÃO"</formula>
    </cfRule>
  </conditionalFormatting>
  <conditionalFormatting sqref="U15">
    <cfRule type="expression" dxfId="395" priority="50">
      <formula>U$7= "SIM"</formula>
    </cfRule>
  </conditionalFormatting>
  <conditionalFormatting sqref="U16">
    <cfRule type="expression" dxfId="394" priority="47">
      <formula>U$7="NÃO"</formula>
    </cfRule>
  </conditionalFormatting>
  <conditionalFormatting sqref="U16">
    <cfRule type="expression" dxfId="393" priority="48">
      <formula>U$7= "SIM"</formula>
    </cfRule>
  </conditionalFormatting>
  <conditionalFormatting sqref="U17">
    <cfRule type="expression" dxfId="392" priority="45">
      <formula>U$7="NÃO"</formula>
    </cfRule>
  </conditionalFormatting>
  <conditionalFormatting sqref="U17">
    <cfRule type="expression" dxfId="391" priority="46">
      <formula>U$7= "SIM"</formula>
    </cfRule>
  </conditionalFormatting>
  <conditionalFormatting sqref="U18">
    <cfRule type="expression" dxfId="390" priority="43">
      <formula>U$7="NÃO"</formula>
    </cfRule>
  </conditionalFormatting>
  <conditionalFormatting sqref="U18">
    <cfRule type="expression" dxfId="389" priority="44">
      <formula>U$7= "SIM"</formula>
    </cfRule>
  </conditionalFormatting>
  <conditionalFormatting sqref="U19">
    <cfRule type="expression" dxfId="388" priority="41">
      <formula>U$7="NÃO"</formula>
    </cfRule>
  </conditionalFormatting>
  <conditionalFormatting sqref="U19">
    <cfRule type="expression" dxfId="387" priority="42">
      <formula>U$7= "SIM"</formula>
    </cfRule>
  </conditionalFormatting>
  <conditionalFormatting sqref="Q15">
    <cfRule type="expression" dxfId="386" priority="39">
      <formula>Q$7="NÃO"</formula>
    </cfRule>
  </conditionalFormatting>
  <conditionalFormatting sqref="Q15">
    <cfRule type="expression" dxfId="385" priority="40">
      <formula>Q$7= "SIM"</formula>
    </cfRule>
  </conditionalFormatting>
  <conditionalFormatting sqref="Q16">
    <cfRule type="expression" dxfId="384" priority="37">
      <formula>Q$7="NÃO"</formula>
    </cfRule>
  </conditionalFormatting>
  <conditionalFormatting sqref="Q16">
    <cfRule type="expression" dxfId="383" priority="38">
      <formula>Q$7= "SIM"</formula>
    </cfRule>
  </conditionalFormatting>
  <conditionalFormatting sqref="Q17">
    <cfRule type="expression" dxfId="382" priority="35">
      <formula>Q$7="NÃO"</formula>
    </cfRule>
  </conditionalFormatting>
  <conditionalFormatting sqref="Q17">
    <cfRule type="expression" dxfId="381" priority="36">
      <formula>Q$7= "SIM"</formula>
    </cfRule>
  </conditionalFormatting>
  <conditionalFormatting sqref="Q18">
    <cfRule type="expression" dxfId="380" priority="33">
      <formula>Q$7="NÃO"</formula>
    </cfRule>
  </conditionalFormatting>
  <conditionalFormatting sqref="Q18">
    <cfRule type="expression" dxfId="379" priority="34">
      <formula>Q$7= "SIM"</formula>
    </cfRule>
  </conditionalFormatting>
  <conditionalFormatting sqref="Q19">
    <cfRule type="expression" dxfId="378" priority="31">
      <formula>Q$7="NÃO"</formula>
    </cfRule>
  </conditionalFormatting>
  <conditionalFormatting sqref="Q19">
    <cfRule type="expression" dxfId="377" priority="32">
      <formula>Q$7= "SIM"</formula>
    </cfRule>
  </conditionalFormatting>
  <conditionalFormatting sqref="M15">
    <cfRule type="expression" dxfId="376" priority="29">
      <formula>M$7="NÃO"</formula>
    </cfRule>
  </conditionalFormatting>
  <conditionalFormatting sqref="M15">
    <cfRule type="expression" dxfId="375" priority="30">
      <formula>M$7= "SIM"</formula>
    </cfRule>
  </conditionalFormatting>
  <conditionalFormatting sqref="M16">
    <cfRule type="expression" dxfId="374" priority="27">
      <formula>M$7="NÃO"</formula>
    </cfRule>
  </conditionalFormatting>
  <conditionalFormatting sqref="M16">
    <cfRule type="expression" dxfId="373" priority="28">
      <formula>M$7= "SIM"</formula>
    </cfRule>
  </conditionalFormatting>
  <conditionalFormatting sqref="M17">
    <cfRule type="expression" dxfId="372" priority="25">
      <formula>M$7="NÃO"</formula>
    </cfRule>
  </conditionalFormatting>
  <conditionalFormatting sqref="M17">
    <cfRule type="expression" dxfId="371" priority="26">
      <formula>M$7= "SIM"</formula>
    </cfRule>
  </conditionalFormatting>
  <conditionalFormatting sqref="M18">
    <cfRule type="expression" dxfId="370" priority="23">
      <formula>M$7="NÃO"</formula>
    </cfRule>
  </conditionalFormatting>
  <conditionalFormatting sqref="M18">
    <cfRule type="expression" dxfId="369" priority="24">
      <formula>M$7= "SIM"</formula>
    </cfRule>
  </conditionalFormatting>
  <conditionalFormatting sqref="M19">
    <cfRule type="expression" dxfId="368" priority="21">
      <formula>M$7="NÃO"</formula>
    </cfRule>
  </conditionalFormatting>
  <conditionalFormatting sqref="M19">
    <cfRule type="expression" dxfId="367" priority="22">
      <formula>M$7= "SIM"</formula>
    </cfRule>
  </conditionalFormatting>
  <conditionalFormatting sqref="I15">
    <cfRule type="expression" dxfId="366" priority="19">
      <formula>I$7="NÃO"</formula>
    </cfRule>
  </conditionalFormatting>
  <conditionalFormatting sqref="I15">
    <cfRule type="expression" dxfId="365" priority="20">
      <formula>I$7= "SIM"</formula>
    </cfRule>
  </conditionalFormatting>
  <conditionalFormatting sqref="I16">
    <cfRule type="expression" dxfId="364" priority="17">
      <formula>I$7="NÃO"</formula>
    </cfRule>
  </conditionalFormatting>
  <conditionalFormatting sqref="I16">
    <cfRule type="expression" dxfId="363" priority="18">
      <formula>I$7= "SIM"</formula>
    </cfRule>
  </conditionalFormatting>
  <conditionalFormatting sqref="I17">
    <cfRule type="expression" dxfId="362" priority="15">
      <formula>I$7="NÃO"</formula>
    </cfRule>
  </conditionalFormatting>
  <conditionalFormatting sqref="I17">
    <cfRule type="expression" dxfId="361" priority="16">
      <formula>I$7= "SIM"</formula>
    </cfRule>
  </conditionalFormatting>
  <conditionalFormatting sqref="I18">
    <cfRule type="expression" dxfId="360" priority="13">
      <formula>I$7="NÃO"</formula>
    </cfRule>
  </conditionalFormatting>
  <conditionalFormatting sqref="I18">
    <cfRule type="expression" dxfId="359" priority="14">
      <formula>I$7= "SIM"</formula>
    </cfRule>
  </conditionalFormatting>
  <conditionalFormatting sqref="I19">
    <cfRule type="expression" dxfId="358" priority="11">
      <formula>I$7="NÃO"</formula>
    </cfRule>
  </conditionalFormatting>
  <conditionalFormatting sqref="I19">
    <cfRule type="expression" dxfId="357" priority="12">
      <formula>I$7= "SIM"</formula>
    </cfRule>
  </conditionalFormatting>
  <conditionalFormatting sqref="E15">
    <cfRule type="expression" dxfId="356" priority="9">
      <formula>E$7="NÃO"</formula>
    </cfRule>
  </conditionalFormatting>
  <conditionalFormatting sqref="E15">
    <cfRule type="expression" dxfId="355" priority="10">
      <formula>E$7= "SIM"</formula>
    </cfRule>
  </conditionalFormatting>
  <conditionalFormatting sqref="E16">
    <cfRule type="expression" dxfId="354" priority="7">
      <formula>E$7="NÃO"</formula>
    </cfRule>
  </conditionalFormatting>
  <conditionalFormatting sqref="E16">
    <cfRule type="expression" dxfId="353" priority="8">
      <formula>E$7= "SIM"</formula>
    </cfRule>
  </conditionalFormatting>
  <conditionalFormatting sqref="E17">
    <cfRule type="expression" dxfId="352" priority="5">
      <formula>E$7="NÃO"</formula>
    </cfRule>
  </conditionalFormatting>
  <conditionalFormatting sqref="E17">
    <cfRule type="expression" dxfId="351" priority="6">
      <formula>E$7= "SIM"</formula>
    </cfRule>
  </conditionalFormatting>
  <conditionalFormatting sqref="E18">
    <cfRule type="expression" dxfId="350" priority="3">
      <formula>E$7="NÃO"</formula>
    </cfRule>
  </conditionalFormatting>
  <conditionalFormatting sqref="E18">
    <cfRule type="expression" dxfId="349" priority="4">
      <formula>E$7= "SIM"</formula>
    </cfRule>
  </conditionalFormatting>
  <conditionalFormatting sqref="E19">
    <cfRule type="expression" dxfId="348" priority="1">
      <formula>E$7="NÃO"</formula>
    </cfRule>
  </conditionalFormatting>
  <conditionalFormatting sqref="E19">
    <cfRule type="expression" dxfId="347" priority="2">
      <formula>E$7= "SIM"</formula>
    </cfRule>
  </conditionalFormatting>
  <conditionalFormatting sqref="D2">
    <cfRule type="expression" dxfId="346" priority="200">
      <formula>AND($L$2="Sim",$D$2&lt;$D$11)</formula>
    </cfRule>
  </conditionalFormatting>
  <conditionalFormatting sqref="D2">
    <cfRule type="expression" dxfId="345" priority="201">
      <formula>AND($L$2="Sim",$D$2&gt;$V$11)</formula>
    </cfRule>
  </conditionalFormatting>
  <pageMargins left="0.511811024" right="0.511811024" top="0.78740157499999996" bottom="0.78740157499999996" header="0" footer="0"/>
  <pageSetup paperSize="9" orientation="portrait"/>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outlinePr summaryBelow="0"/>
  </sheetPr>
  <dimension ref="A1:BI104"/>
  <sheetViews>
    <sheetView zoomScale="75" zoomScaleNormal="75" workbookViewId="0">
      <selection activeCell="V12" sqref="V12"/>
    </sheetView>
  </sheetViews>
  <sheetFormatPr defaultColWidth="14.42578125" defaultRowHeight="15" customHeight="1" outlineLevelRow="1" x14ac:dyDescent="0.25"/>
  <cols>
    <col min="1" max="1" width="1.7109375" style="33" customWidth="1"/>
    <col min="2" max="2" width="60.7109375" style="33" customWidth="1"/>
    <col min="3" max="3" width="1.7109375" style="33" customWidth="1"/>
    <col min="4" max="4" width="11.7109375" style="33" customWidth="1"/>
    <col min="5" max="5" width="15.7109375" style="33" customWidth="1"/>
    <col min="6" max="6" width="11.7109375" style="33" customWidth="1"/>
    <col min="7" max="7" width="1.7109375" style="33" customWidth="1"/>
    <col min="8" max="8" width="11.7109375" style="33" customWidth="1"/>
    <col min="9" max="9" width="15.7109375" style="33" customWidth="1"/>
    <col min="10" max="10" width="11.7109375" style="33" customWidth="1"/>
    <col min="11" max="11" width="1.7109375" style="33" customWidth="1"/>
    <col min="12" max="12" width="11.7109375" style="33" customWidth="1"/>
    <col min="13" max="13" width="15.7109375" style="33" customWidth="1"/>
    <col min="14" max="14" width="11.7109375" style="33" customWidth="1"/>
    <col min="15" max="15" width="1.7109375" style="33" customWidth="1"/>
    <col min="16" max="16" width="11.7109375" style="33" customWidth="1"/>
    <col min="17" max="17" width="15.7109375" style="33" customWidth="1"/>
    <col min="18" max="18" width="11.7109375" style="33" customWidth="1"/>
    <col min="19" max="19" width="1.7109375" style="33" customWidth="1"/>
    <col min="20" max="20" width="11.7109375" style="33" customWidth="1"/>
    <col min="21" max="21" width="15.7109375" style="33" customWidth="1"/>
    <col min="22" max="22" width="11.7109375" style="33" customWidth="1"/>
    <col min="23" max="27" width="8.7109375" style="33" hidden="1" customWidth="1"/>
    <col min="28" max="61" width="8.7109375" style="33" customWidth="1"/>
    <col min="62" max="16384" width="14.42578125" style="33"/>
  </cols>
  <sheetData>
    <row r="1" spans="1:61" ht="19.899999999999999" customHeight="1" x14ac:dyDescent="0.25">
      <c r="B1" s="2950" t="s">
        <v>767</v>
      </c>
      <c r="C1" s="433"/>
      <c r="D1" s="433"/>
      <c r="E1" s="433"/>
      <c r="F1" s="433"/>
      <c r="G1" s="433"/>
      <c r="H1" s="433"/>
      <c r="I1" s="433"/>
      <c r="J1" s="433"/>
      <c r="K1" s="433"/>
      <c r="L1" s="433"/>
      <c r="M1" s="433"/>
      <c r="N1" s="433"/>
      <c r="O1" s="433"/>
      <c r="P1" s="433"/>
      <c r="Q1" s="433"/>
      <c r="R1" s="433"/>
      <c r="S1" s="433"/>
      <c r="T1" s="433"/>
      <c r="U1" s="433"/>
      <c r="V1" s="433"/>
    </row>
    <row r="2" spans="1:61" ht="19.899999999999999" customHeight="1" x14ac:dyDescent="0.3">
      <c r="A2" s="47"/>
      <c r="B2" s="2950"/>
      <c r="C2" s="436"/>
      <c r="D2" s="899">
        <f>'R-Resumo Bal. Massa'!B30*(1+'R&amp;C-Painel de Controle'!H59)</f>
        <v>0</v>
      </c>
      <c r="E2" s="900" t="s">
        <v>21</v>
      </c>
      <c r="F2"/>
      <c r="G2"/>
      <c r="H2" s="1105">
        <f>D2*313</f>
        <v>0</v>
      </c>
      <c r="I2" s="1104" t="s">
        <v>249</v>
      </c>
      <c r="J2"/>
      <c r="K2"/>
      <c r="L2" s="1086" t="str">
        <f>IF(D2&gt;0,"Sim","Não")</f>
        <v>Não</v>
      </c>
      <c r="M2" s="431"/>
      <c r="N2" s="431"/>
      <c r="O2" s="431"/>
      <c r="P2" s="1106" t="s">
        <v>436</v>
      </c>
      <c r="Q2" s="2941" t="str">
        <f>'R-Definição'!D2</f>
        <v>CIRSOP - Consórcio RSU Oeste Paulista</v>
      </c>
      <c r="R2" s="2942"/>
      <c r="S2" s="429"/>
      <c r="T2" s="1106" t="s">
        <v>437</v>
      </c>
      <c r="U2" s="2941" t="str">
        <f>'R-Definição'!D3</f>
        <v>Biodigestão c/ Prod. E. Elétrica</v>
      </c>
      <c r="V2" s="2942"/>
      <c r="W2" s="47"/>
      <c r="X2" s="47"/>
      <c r="Y2" s="47"/>
      <c r="Z2" s="47"/>
      <c r="AA2" s="47"/>
      <c r="AB2" s="47"/>
      <c r="AC2" s="47"/>
      <c r="AD2" s="47"/>
      <c r="AE2" s="47"/>
      <c r="AF2" s="47"/>
      <c r="AG2" s="47"/>
      <c r="AH2" s="47"/>
      <c r="AI2" s="47"/>
      <c r="AJ2" s="47"/>
      <c r="AK2" s="47"/>
      <c r="AL2" s="47"/>
      <c r="AM2" s="47"/>
      <c r="AN2" s="47"/>
      <c r="AO2" s="47"/>
      <c r="AP2" s="47"/>
      <c r="AQ2" s="47"/>
      <c r="AR2" s="47"/>
      <c r="AS2" s="47"/>
      <c r="AT2" s="47"/>
      <c r="AU2" s="47"/>
      <c r="AV2" s="47"/>
      <c r="AW2" s="47"/>
      <c r="AX2" s="47"/>
      <c r="AY2" s="47"/>
      <c r="AZ2" s="47"/>
      <c r="BA2" s="47"/>
      <c r="BB2" s="47"/>
      <c r="BC2" s="47"/>
      <c r="BD2" s="47"/>
      <c r="BE2" s="47"/>
      <c r="BF2" s="47"/>
      <c r="BG2" s="47"/>
      <c r="BH2" s="47"/>
      <c r="BI2" s="47"/>
    </row>
    <row r="3" spans="1:61" ht="19.899999999999999" customHeight="1" x14ac:dyDescent="0.25">
      <c r="B3" s="2950"/>
      <c r="C3" s="427"/>
      <c r="D3" s="426"/>
      <c r="E3" s="426"/>
      <c r="F3" s="426"/>
      <c r="G3" s="426"/>
      <c r="H3" s="426"/>
      <c r="I3" s="426"/>
      <c r="J3" s="426"/>
      <c r="K3" s="426"/>
      <c r="L3" s="426"/>
      <c r="M3" s="426"/>
      <c r="N3" s="426"/>
      <c r="O3" s="431"/>
      <c r="P3" s="426"/>
      <c r="Q3" s="426"/>
      <c r="R3" s="426"/>
      <c r="S3" s="426"/>
      <c r="T3" s="426"/>
      <c r="U3" s="426"/>
      <c r="V3" s="426"/>
    </row>
    <row r="4" spans="1:61" s="316" customFormat="1" ht="7.5" customHeight="1" x14ac:dyDescent="0.25">
      <c r="A4" s="427"/>
      <c r="B4" s="683"/>
      <c r="C4" s="403"/>
      <c r="D4" s="1061"/>
      <c r="E4" s="1061"/>
      <c r="F4" s="1061"/>
      <c r="G4" s="403"/>
      <c r="H4" s="1061"/>
      <c r="I4" s="1061"/>
      <c r="J4" s="1061"/>
      <c r="K4" s="403"/>
      <c r="L4" s="1061"/>
      <c r="M4" s="1061"/>
      <c r="N4" s="1061"/>
      <c r="O4" s="403"/>
      <c r="P4" s="1061"/>
      <c r="Q4" s="1061"/>
      <c r="R4" s="1061"/>
      <c r="S4" s="905"/>
      <c r="T4" s="1061"/>
      <c r="U4" s="1061"/>
      <c r="V4" s="906"/>
    </row>
    <row r="5" spans="1:61" ht="17.649999999999999" customHeight="1" x14ac:dyDescent="0.25">
      <c r="B5" s="865" t="s">
        <v>755</v>
      </c>
      <c r="C5" s="437"/>
      <c r="D5" s="834">
        <v>4.25</v>
      </c>
      <c r="E5" s="870" t="s">
        <v>766</v>
      </c>
      <c r="F5" s="868"/>
      <c r="G5" s="868"/>
      <c r="H5" s="868"/>
      <c r="I5" s="868"/>
      <c r="J5" s="868"/>
      <c r="K5" s="868"/>
      <c r="L5" s="868"/>
      <c r="M5" s="868"/>
      <c r="N5" s="868"/>
      <c r="O5" s="868"/>
      <c r="P5" s="868"/>
      <c r="Q5" s="868"/>
      <c r="R5" s="868"/>
      <c r="S5" s="868"/>
      <c r="T5" s="868"/>
      <c r="U5" s="868"/>
      <c r="V5" s="317"/>
    </row>
    <row r="6" spans="1:61" s="316" customFormat="1" ht="7.5" customHeight="1" x14ac:dyDescent="0.25">
      <c r="A6" s="427"/>
      <c r="B6" s="683"/>
      <c r="C6" s="403"/>
      <c r="D6" s="1061"/>
      <c r="E6" s="1061"/>
      <c r="F6" s="1061"/>
      <c r="G6" s="403"/>
      <c r="H6" s="1061"/>
      <c r="I6" s="1061"/>
      <c r="J6" s="1061"/>
      <c r="K6" s="403"/>
      <c r="L6" s="1061"/>
      <c r="M6" s="1061"/>
      <c r="N6" s="1061"/>
      <c r="O6" s="403"/>
      <c r="P6" s="1061"/>
      <c r="Q6" s="1061"/>
      <c r="R6" s="1061"/>
      <c r="S6" s="905"/>
      <c r="T6" s="1061"/>
      <c r="U6" s="1061"/>
      <c r="V6" s="906"/>
    </row>
    <row r="7" spans="1:61" s="881" customFormat="1" ht="19.899999999999999" customHeight="1" x14ac:dyDescent="0.25">
      <c r="B7" s="849"/>
      <c r="C7" s="849"/>
      <c r="D7" s="849"/>
      <c r="E7" s="1054" t="str">
        <f>IF(AND(L2="Sim",$D$2&gt;D11,$D$2&lt;=F11),"SIM","NÃO")</f>
        <v>NÃO</v>
      </c>
      <c r="F7" s="853"/>
      <c r="G7" s="849"/>
      <c r="H7" s="853"/>
      <c r="I7" s="1090" t="str">
        <f>IF(AND(L2="Sim",$D$2&gt;H11,$D$2&lt;=J11),"SIM","NÃO")</f>
        <v>NÃO</v>
      </c>
      <c r="J7" s="853"/>
      <c r="K7" s="849"/>
      <c r="L7" s="853"/>
      <c r="M7" s="1054" t="str">
        <f>IF(AND(L2="Sim",$D$2&gt;L11,$D$2&lt;=N11),"SIM","NÃO")</f>
        <v>NÃO</v>
      </c>
      <c r="N7" s="853"/>
      <c r="O7" s="1088"/>
      <c r="P7" s="853"/>
      <c r="Q7" s="1054" t="str">
        <f>IF(AND(L2="Sim",$D$2&gt;P11,$D$2&lt;=R11),"SIM","NÃO")</f>
        <v>NÃO</v>
      </c>
      <c r="R7" s="853"/>
      <c r="S7" s="849"/>
      <c r="T7" s="853"/>
      <c r="U7" s="1091" t="str">
        <f>IF(AND(L2="Sim",$D$2&gt;T11,$D$2&lt;=V11*1.5),"SIM","NÃO")</f>
        <v>NÃO</v>
      </c>
      <c r="V7" s="849"/>
    </row>
    <row r="8" spans="1:61" s="316" customFormat="1" ht="7.5" customHeight="1" thickBot="1" x14ac:dyDescent="0.3">
      <c r="A8" s="427"/>
      <c r="B8" s="683"/>
      <c r="C8" s="403"/>
      <c r="D8" s="1061"/>
      <c r="E8" s="1061"/>
      <c r="F8" s="1061"/>
      <c r="G8" s="403"/>
      <c r="H8" s="1061"/>
      <c r="I8" s="1061"/>
      <c r="J8" s="1061"/>
      <c r="K8" s="403"/>
      <c r="L8" s="1061"/>
      <c r="M8" s="1061"/>
      <c r="N8" s="1061"/>
      <c r="O8" s="403"/>
      <c r="P8" s="1061"/>
      <c r="Q8" s="1061"/>
      <c r="R8" s="1061"/>
      <c r="S8" s="905"/>
      <c r="T8" s="1061"/>
      <c r="U8" s="1061"/>
      <c r="V8" s="906"/>
    </row>
    <row r="9" spans="1:61" ht="17.649999999999999" customHeight="1" thickTop="1" thickBot="1" x14ac:dyDescent="0.35">
      <c r="B9" s="2944" t="s">
        <v>640</v>
      </c>
      <c r="C9" s="901"/>
      <c r="D9" s="2947" t="s">
        <v>646</v>
      </c>
      <c r="E9" s="2948"/>
      <c r="F9" s="2948"/>
      <c r="G9" s="2948"/>
      <c r="H9" s="2948"/>
      <c r="I9" s="2948"/>
      <c r="J9" s="2948"/>
      <c r="K9" s="2948"/>
      <c r="L9" s="2948"/>
      <c r="M9" s="2948"/>
      <c r="N9" s="2948"/>
      <c r="O9" s="2948"/>
      <c r="P9" s="2948"/>
      <c r="Q9" s="2948"/>
      <c r="R9" s="2948"/>
      <c r="S9" s="2948"/>
      <c r="T9" s="2948"/>
      <c r="U9" s="2948"/>
      <c r="V9" s="2949"/>
    </row>
    <row r="10" spans="1:61" ht="7.5" customHeight="1" x14ac:dyDescent="0.25">
      <c r="B10" s="2945"/>
      <c r="C10" s="901"/>
      <c r="D10" s="1072"/>
      <c r="E10" s="898"/>
      <c r="F10" s="898"/>
      <c r="G10" s="850"/>
      <c r="H10" s="898"/>
      <c r="I10" s="898"/>
      <c r="J10" s="898"/>
      <c r="K10" s="850"/>
      <c r="L10" s="898"/>
      <c r="M10" s="898"/>
      <c r="N10" s="898"/>
      <c r="O10" s="850"/>
      <c r="P10" s="898"/>
      <c r="Q10" s="898"/>
      <c r="R10" s="898"/>
      <c r="S10" s="850"/>
      <c r="T10" s="898"/>
      <c r="U10" s="898"/>
      <c r="V10" s="1073"/>
    </row>
    <row r="11" spans="1:61" ht="17.649999999999999" customHeight="1" thickBot="1" x14ac:dyDescent="0.3">
      <c r="B11" s="2946"/>
      <c r="C11" s="901"/>
      <c r="D11" s="1064">
        <v>5</v>
      </c>
      <c r="E11" s="1066" t="s">
        <v>21</v>
      </c>
      <c r="F11" s="1066">
        <v>100</v>
      </c>
      <c r="G11" s="1067"/>
      <c r="H11" s="1066">
        <f>F11</f>
        <v>100</v>
      </c>
      <c r="I11" s="1066" t="s">
        <v>21</v>
      </c>
      <c r="J11" s="1066">
        <v>200</v>
      </c>
      <c r="K11" s="1067"/>
      <c r="L11" s="1066">
        <f>J11</f>
        <v>200</v>
      </c>
      <c r="M11" s="1066" t="s">
        <v>21</v>
      </c>
      <c r="N11" s="1066">
        <v>300</v>
      </c>
      <c r="O11" s="1067"/>
      <c r="P11" s="1066">
        <f>N11</f>
        <v>300</v>
      </c>
      <c r="Q11" s="1066" t="s">
        <v>21</v>
      </c>
      <c r="R11" s="1066">
        <v>400</v>
      </c>
      <c r="S11" s="1067"/>
      <c r="T11" s="1066">
        <f>R11</f>
        <v>400</v>
      </c>
      <c r="U11" s="1066" t="s">
        <v>21</v>
      </c>
      <c r="V11" s="1068">
        <v>800</v>
      </c>
    </row>
    <row r="12" spans="1:61" ht="15" customHeight="1" thickTop="1" thickBot="1" x14ac:dyDescent="0.3">
      <c r="B12" s="1070"/>
      <c r="C12" s="751"/>
      <c r="D12" s="1071"/>
      <c r="E12" s="1071"/>
      <c r="F12" s="1071"/>
      <c r="G12" s="751"/>
      <c r="H12" s="1071"/>
      <c r="I12" s="1071"/>
      <c r="J12" s="1071"/>
      <c r="K12" s="751"/>
      <c r="L12" s="1071"/>
      <c r="M12" s="1071"/>
      <c r="N12" s="1071"/>
      <c r="O12" s="751"/>
      <c r="P12" s="1071"/>
      <c r="Q12" s="1071"/>
      <c r="R12" s="1071"/>
      <c r="S12" s="751"/>
      <c r="T12" s="1071"/>
      <c r="U12" s="1071"/>
      <c r="V12" s="1071"/>
    </row>
    <row r="13" spans="1:61" s="881" customFormat="1" ht="19.899999999999999" customHeight="1" thickTop="1" thickBot="1" x14ac:dyDescent="0.3">
      <c r="B13" s="977" t="s">
        <v>440</v>
      </c>
      <c r="C13" s="903"/>
      <c r="D13" s="979" t="s">
        <v>754</v>
      </c>
      <c r="E13" s="980" t="s">
        <v>442</v>
      </c>
      <c r="F13" s="981" t="s">
        <v>289</v>
      </c>
      <c r="G13" s="869"/>
      <c r="H13" s="979" t="s">
        <v>754</v>
      </c>
      <c r="I13" s="980" t="s">
        <v>442</v>
      </c>
      <c r="J13" s="981" t="s">
        <v>289</v>
      </c>
      <c r="K13" s="869"/>
      <c r="L13" s="979" t="s">
        <v>754</v>
      </c>
      <c r="M13" s="980" t="s">
        <v>442</v>
      </c>
      <c r="N13" s="981" t="s">
        <v>289</v>
      </c>
      <c r="O13" s="869"/>
      <c r="P13" s="979" t="s">
        <v>754</v>
      </c>
      <c r="Q13" s="980" t="s">
        <v>442</v>
      </c>
      <c r="R13" s="981" t="s">
        <v>289</v>
      </c>
      <c r="S13" s="869"/>
      <c r="T13" s="979" t="s">
        <v>754</v>
      </c>
      <c r="U13" s="980" t="s">
        <v>442</v>
      </c>
      <c r="V13" s="981" t="s">
        <v>289</v>
      </c>
    </row>
    <row r="14" spans="1:61" s="316" customFormat="1" ht="7.5" customHeight="1" x14ac:dyDescent="0.25">
      <c r="A14" s="427"/>
      <c r="B14" s="1009"/>
      <c r="C14" s="903"/>
      <c r="D14" s="1015"/>
      <c r="E14" s="331"/>
      <c r="F14" s="924"/>
      <c r="G14" s="903"/>
      <c r="H14" s="1015"/>
      <c r="I14" s="331"/>
      <c r="J14" s="924"/>
      <c r="K14" s="903"/>
      <c r="L14" s="1015"/>
      <c r="M14" s="331"/>
      <c r="N14" s="924"/>
      <c r="O14" s="903"/>
      <c r="P14" s="1015"/>
      <c r="Q14" s="331"/>
      <c r="R14" s="924"/>
      <c r="S14" s="903"/>
      <c r="T14" s="1015"/>
      <c r="U14" s="331"/>
      <c r="V14" s="924"/>
    </row>
    <row r="15" spans="1:61" ht="17.649999999999999" customHeight="1" x14ac:dyDescent="0.25">
      <c r="A15" s="42"/>
      <c r="B15" s="913" t="s">
        <v>376</v>
      </c>
      <c r="C15" s="869"/>
      <c r="D15" s="1075">
        <f>IF('R-Definição'!$L$49&lt;=20,((500000*1/150+2089406/(1000*0.05))/1000),IF(AND('R-Definição'!$L$49&gt;20,'R-Definição'!$L$49&lt;=50),((500000*1/150+2089406/(1000*0.05))/1000)*1.3,IF('R-Definição'!$L$49&gt;50,((500000*1/150+2089406/(1000*0.05))/1000)*1.5,)))</f>
        <v>45.121453333333335</v>
      </c>
      <c r="E15" s="846" t="str">
        <f>IF(E7="SIM",((((H15*(($D$2-D11)/(F11-D11))*$H$2/1000)*E21*$D$5*(1+'R&amp;C-Painel de Controle'!$D$61)+(H15*(($D$2-D11)/(F11-D11))*$H$2/1000)*(1-E21)*'R&amp;C-Painel de Controle'!$D$52*(1+'R&amp;C-Painel de Controle'!$D$54)))+(((D15*((F11-$D$2)/(F11-D11))*$H$2/1000)*E21*$D$5*(1+'R&amp;C-Painel de Controle'!$D$61)+(D15*((F11-$D$2)/(F11-D11))*$H$2/1000)*(1-E21)*'R&amp;C-Painel de Controle'!$D$52*(1+'R&amp;C-Painel de Controle'!$D$54))))/1000, "-")</f>
        <v>-</v>
      </c>
      <c r="F15" s="917">
        <v>0.1</v>
      </c>
      <c r="G15" s="869"/>
      <c r="H15" s="1075">
        <f>IF('R-Definição'!$L$49&lt;=20,((500000*1/150+2089406/(1000*0.05))/1000),IF(AND('R-Definição'!$L$49&gt;20,'R-Definição'!$L$49&lt;=50),((500000*1/150+2089406/(1000*0.05))/1000)*1.3,IF('R-Definição'!$L$49&gt;50,((500000*1/150+2089406/(1000*0.05))/1000)*1.5,)))</f>
        <v>45.121453333333335</v>
      </c>
      <c r="I15" s="846" t="str">
        <f>IF(I7="SIM",((((L15*(($D$2-H11)/(J11-H11))*$H$2/1000)*I21*$D$5*(1+'R&amp;C-Painel de Controle'!$D$61)+(L15*(($D$2-H11)/(J11-H11))*$H$2/1000)*(1-I21)*'R&amp;C-Painel de Controle'!$D$52*(1+'R&amp;C-Painel de Controle'!$D$54)))+(((H15*((J11-$D$2)/(J11-H11))*$H$2/1000)*I21*$D$5*(1+'R&amp;C-Painel de Controle'!$D$61)+(H15*((J11-$D$2)/(J11-H11))*$H$2/1000)*(1-I21)*'R&amp;C-Painel de Controle'!$D$52*(1+'R&amp;C-Painel de Controle'!$D$54))))/1000, "-")</f>
        <v>-</v>
      </c>
      <c r="J15" s="917">
        <v>0.1</v>
      </c>
      <c r="K15" s="869"/>
      <c r="L15" s="1075">
        <f>IF('R-Definição'!$L$49&lt;=20,((500000*1/150+2089406/(1000*0.05))/1000),IF(AND('R-Definição'!$L$49&gt;20,'R-Definição'!$L$49&lt;=50),((500000*1/150+2089406/(1000*0.05))/1000)*1.3,IF('R-Definição'!$L$49&gt;50,((500000*1/150+2089406/(1000*0.05))/1000)*1.5,)))</f>
        <v>45.121453333333335</v>
      </c>
      <c r="M15" s="846" t="str">
        <f>IF(M7="SIM",((((P15*(($D$2-L11)/(N11-L11))*$H$2/1000)*M21*$D$5*(1+'R&amp;C-Painel de Controle'!$D$61)+(P15*(($D$2-L11)/(N11-L11))*$H$2/1000)*(1-M21)*'R&amp;C-Painel de Controle'!$D$52*(1+'R&amp;C-Painel de Controle'!$D$54)))+(((L15*((N11-$D$2)/(N11-L11))*$H$2/1000)*M21*$D$5*(1+'R&amp;C-Painel de Controle'!$D$61)+(L15*((N11-$D$2)/(N11-L11))*$H$2/1000)*(1-M21)*'R&amp;C-Painel de Controle'!$D$52*(1+'R&amp;C-Painel de Controle'!$D$54))))/1000, "-")</f>
        <v>-</v>
      </c>
      <c r="N15" s="917">
        <v>0.1</v>
      </c>
      <c r="O15" s="869"/>
      <c r="P15" s="1075">
        <f>IF('R-Definição'!$L$49&lt;=20,((500000*1/150+2089406/(1000*0.05))/1000),IF(AND('R-Definição'!$L$49&gt;20,'R-Definição'!$L$49&lt;=50),((500000*1/150+2089406/(1000*0.05))/1000)*1.3,IF('R-Definição'!$L$49&gt;50,((500000*1/150+2089406/(1000*0.05))/1000)*1.5,)))</f>
        <v>45.121453333333335</v>
      </c>
      <c r="Q15" s="846" t="str">
        <f>IF(Q7="SIM",((((T15*(($D$2-P11)/(R11-P11))*$H$2/1000)*Q21*$D$5*(1+'R&amp;C-Painel de Controle'!$D$61)+(T15*(($D$2-P11)/(R11-P11))*$H$2/1000)*(1-Q21)*'R&amp;C-Painel de Controle'!$D$52*(1+'R&amp;C-Painel de Controle'!$D$54)))+(((P15*((R11-$D$2)/(R11-P11))*$H$2/1000)*Q21*$D$5*(1+'R&amp;C-Painel de Controle'!$D$61)+(P15*((R11-$D$2)/(R11-P11))*$H$2/1000)*(1-Q21)*'R&amp;C-Painel de Controle'!$D$52*(1+'R&amp;C-Painel de Controle'!$D$54))))/1000, "-")</f>
        <v>-</v>
      </c>
      <c r="R15" s="917">
        <v>0.1</v>
      </c>
      <c r="S15" s="993"/>
      <c r="T15" s="1075">
        <f>IF('R-Definição'!$L$49&lt;=20,((500000*1/150+2089406/(1000*0.05))/1000),IF(AND('R-Definição'!$L$49&gt;20,'R-Definição'!$L$49&lt;=50),((500000*1/150+2089406/(1000*0.05))/1000)*1.3,IF('R-Definição'!$L$49&gt;50,((500000*1/150+2089406/(1000*0.05))/1000)*1.5,)))</f>
        <v>45.121453333333335</v>
      </c>
      <c r="U15" s="846" t="str">
        <f>IF(U7="SIM",((((45*(($D$2-T11)/(V11-T11))*$H$2/1000)*U21*$D$5*(1+'R&amp;C-Painel de Controle'!$D$61)+(45*(($D$2-T11)/(V11-T11))*$H$2/1000)*(1-U21)*'R&amp;C-Painel de Controle'!$D$52*(1+'R&amp;C-Painel de Controle'!$D$54)))+(((T15*((V11-$D$2)/(V11-T11))*$H$2/1000)*U21*$D$5*(1+'R&amp;C-Painel de Controle'!$D$61)+(T15*((V11-$D$2)/(V11-T11))*$H$2/1000)*(1-U21)*'R&amp;C-Painel de Controle'!$D$52*(1+'R&amp;C-Painel de Controle'!$D$54))))/1000, "-")</f>
        <v>-</v>
      </c>
      <c r="V15" s="917">
        <v>0.1</v>
      </c>
      <c r="W15" s="46">
        <v>7.0306133515875011</v>
      </c>
      <c r="X15" s="46">
        <v>14.061226703175002</v>
      </c>
      <c r="Y15" s="46">
        <v>23.435377838624998</v>
      </c>
      <c r="Z15" s="46">
        <v>32.809528974075</v>
      </c>
      <c r="AA15" s="46">
        <v>42.126907242262497</v>
      </c>
      <c r="AB15" s="42"/>
      <c r="AC15" s="42"/>
      <c r="AD15" s="42"/>
      <c r="AE15" s="42"/>
      <c r="AF15" s="42"/>
      <c r="AG15" s="42"/>
      <c r="AH15" s="42"/>
      <c r="AI15" s="42"/>
      <c r="AJ15" s="42"/>
      <c r="AK15" s="42"/>
      <c r="AL15" s="42"/>
      <c r="AM15" s="42"/>
      <c r="AN15" s="42"/>
      <c r="AO15" s="42"/>
      <c r="AP15" s="42"/>
      <c r="AQ15" s="42"/>
      <c r="AR15" s="42"/>
      <c r="AS15" s="42"/>
      <c r="AT15" s="42"/>
      <c r="AU15" s="42"/>
      <c r="AV15" s="42"/>
      <c r="AW15" s="42"/>
      <c r="AX15" s="42"/>
      <c r="AY15" s="42"/>
      <c r="AZ15" s="42"/>
      <c r="BA15" s="42"/>
      <c r="BB15" s="42"/>
      <c r="BC15" s="42"/>
      <c r="BD15" s="42"/>
      <c r="BE15" s="42"/>
      <c r="BF15" s="42"/>
      <c r="BG15" s="42"/>
      <c r="BH15" s="42"/>
      <c r="BI15" s="42"/>
    </row>
    <row r="16" spans="1:61" ht="17.649999999999999" customHeight="1" x14ac:dyDescent="0.25">
      <c r="A16" s="42"/>
      <c r="B16" s="913" t="s">
        <v>641</v>
      </c>
      <c r="C16" s="869"/>
      <c r="D16" s="918" t="s">
        <v>289</v>
      </c>
      <c r="E16" s="846" t="str">
        <f>(IF(E$7="SIM",(F17*('R&amp;C-Painel de Controle'!$D$60))/1000000,"-"))</f>
        <v>-</v>
      </c>
      <c r="F16" s="919">
        <v>0.05</v>
      </c>
      <c r="G16" s="869"/>
      <c r="H16" s="918" t="s">
        <v>289</v>
      </c>
      <c r="I16" s="846" t="str">
        <f>(IF(I$7="SIM",(J17*('R&amp;C-Painel de Controle'!$D$60))/1000000,"-"))</f>
        <v>-</v>
      </c>
      <c r="J16" s="919">
        <v>0.05</v>
      </c>
      <c r="K16" s="869"/>
      <c r="L16" s="918" t="s">
        <v>289</v>
      </c>
      <c r="M16" s="846" t="str">
        <f>(IF(M$7="SIM",(N17*('R&amp;C-Painel de Controle'!$D$60))/1000000,"-"))</f>
        <v>-</v>
      </c>
      <c r="N16" s="919">
        <v>0.05</v>
      </c>
      <c r="O16" s="869"/>
      <c r="P16" s="918" t="s">
        <v>289</v>
      </c>
      <c r="Q16" s="846" t="str">
        <f>(IF(Q$7="SIM",(R17*('R&amp;C-Painel de Controle'!$D$60))/1000000,"-"))</f>
        <v>-</v>
      </c>
      <c r="R16" s="919">
        <v>0.05</v>
      </c>
      <c r="S16" s="993"/>
      <c r="T16" s="918" t="s">
        <v>289</v>
      </c>
      <c r="U16" s="846" t="str">
        <f>(IF(U$7="SIM",(V17*('R&amp;C-Painel de Controle'!$D$60))/1000000,"-"))</f>
        <v>-</v>
      </c>
      <c r="V16" s="919">
        <v>0.05</v>
      </c>
      <c r="W16" s="46">
        <v>0.61875000000000002</v>
      </c>
      <c r="X16" s="46">
        <v>2.1749999999999998</v>
      </c>
      <c r="Y16" s="46">
        <v>4.8375000000000004</v>
      </c>
      <c r="Z16" s="46">
        <v>8.4187499999999993</v>
      </c>
      <c r="AA16" s="46">
        <v>13.143750000000001</v>
      </c>
      <c r="AB16" s="42"/>
      <c r="AC16" s="42"/>
      <c r="AD16" s="42"/>
      <c r="AE16" s="42"/>
      <c r="AF16" s="42"/>
      <c r="AG16" s="42"/>
      <c r="AH16" s="42"/>
      <c r="AI16" s="42"/>
      <c r="AJ16" s="42"/>
      <c r="AK16" s="42"/>
      <c r="AL16" s="42"/>
      <c r="AM16" s="42"/>
      <c r="AN16" s="42"/>
      <c r="AO16" s="42"/>
      <c r="AP16" s="42"/>
      <c r="AQ16" s="42"/>
      <c r="AR16" s="42"/>
      <c r="AS16" s="42"/>
      <c r="AT16" s="42"/>
      <c r="AU16" s="42"/>
      <c r="AV16" s="42"/>
      <c r="AW16" s="42"/>
      <c r="AX16" s="42"/>
      <c r="AY16" s="42"/>
      <c r="AZ16" s="42"/>
      <c r="BA16" s="42"/>
      <c r="BB16" s="42"/>
      <c r="BC16" s="42"/>
      <c r="BD16" s="42"/>
      <c r="BE16" s="42"/>
      <c r="BF16" s="42"/>
      <c r="BG16" s="42"/>
      <c r="BH16" s="42"/>
      <c r="BI16" s="42"/>
    </row>
    <row r="17" spans="1:61" ht="17.649999999999999" customHeight="1" x14ac:dyDescent="0.25">
      <c r="A17" s="42"/>
      <c r="B17" s="913" t="s">
        <v>753</v>
      </c>
      <c r="C17" s="869"/>
      <c r="D17" s="920">
        <f>F17</f>
        <v>825</v>
      </c>
      <c r="E17" s="846" t="str">
        <f>(IF(E$7="SIM",('R&amp;C-Painel de Controle'!$D$55+0.25)*D17/1000000,"-"))</f>
        <v>-</v>
      </c>
      <c r="F17" s="921">
        <f>10*10+10*10+25*25</f>
        <v>825</v>
      </c>
      <c r="G17" s="869"/>
      <c r="H17" s="920">
        <f>J17</f>
        <v>2900</v>
      </c>
      <c r="I17" s="846" t="str">
        <f>(IF(I$7="SIM",('R&amp;C-Painel de Controle'!$D$55+0.25)*H17/1000000,"-"))</f>
        <v>-</v>
      </c>
      <c r="J17" s="921">
        <f>10*10+20*15+50*50</f>
        <v>2900</v>
      </c>
      <c r="K17" s="869"/>
      <c r="L17" s="920">
        <f>N17</f>
        <v>6450</v>
      </c>
      <c r="M17" s="846" t="str">
        <f>(IF(M$7="SIM",('R&amp;C-Painel de Controle'!$D$55+0.25)*L17/1000000,"-"))</f>
        <v>-</v>
      </c>
      <c r="N17" s="921">
        <f>15*15+30*20+75*75</f>
        <v>6450</v>
      </c>
      <c r="O17" s="869"/>
      <c r="P17" s="920">
        <f>R17</f>
        <v>11225</v>
      </c>
      <c r="Q17" s="846" t="str">
        <f>(IF(Q$7="SIM",('R&amp;C-Painel de Controle'!$D$55+0.25)*P17/1000000,"-"))</f>
        <v>-</v>
      </c>
      <c r="R17" s="921">
        <f>15*15+40*25+100*100</f>
        <v>11225</v>
      </c>
      <c r="S17" s="869"/>
      <c r="T17" s="920">
        <f>V17</f>
        <v>17525</v>
      </c>
      <c r="U17" s="846" t="str">
        <f>(IF(U$7="SIM",('R&amp;C-Painel de Controle'!$D$55+0.25)*T17/1000000,"-"))</f>
        <v>-</v>
      </c>
      <c r="V17" s="921">
        <f>20*20+50*30+125*125</f>
        <v>17525</v>
      </c>
      <c r="W17" s="46">
        <v>7.4249999999999997E-2</v>
      </c>
      <c r="X17" s="46">
        <v>0.26100000000000001</v>
      </c>
      <c r="Y17" s="46">
        <v>0.58050000000000002</v>
      </c>
      <c r="Z17" s="46">
        <v>1.0102500000000001</v>
      </c>
      <c r="AA17" s="46">
        <v>1.57725</v>
      </c>
      <c r="AB17" s="42"/>
      <c r="AC17" s="42"/>
      <c r="AD17" s="42"/>
      <c r="AE17" s="42"/>
      <c r="AF17" s="42"/>
      <c r="AG17" s="42"/>
      <c r="AH17" s="42"/>
      <c r="AI17" s="42"/>
      <c r="AJ17" s="42"/>
      <c r="AK17" s="42"/>
      <c r="AL17" s="42"/>
      <c r="AM17" s="42"/>
      <c r="AN17" s="42"/>
      <c r="AO17" s="42"/>
      <c r="AP17" s="42"/>
      <c r="AQ17" s="42"/>
      <c r="AR17" s="42"/>
      <c r="AS17" s="42"/>
      <c r="AT17" s="42"/>
      <c r="AU17" s="42"/>
      <c r="AV17" s="42"/>
      <c r="AW17" s="42"/>
      <c r="AX17" s="42"/>
      <c r="AY17" s="42"/>
      <c r="AZ17" s="42"/>
      <c r="BA17" s="42"/>
      <c r="BB17" s="42"/>
      <c r="BC17" s="42"/>
      <c r="BD17" s="42"/>
      <c r="BE17" s="42"/>
      <c r="BF17" s="42"/>
      <c r="BG17" s="42"/>
      <c r="BH17" s="42"/>
      <c r="BI17" s="42"/>
    </row>
    <row r="18" spans="1:61" ht="17.649999999999999" customHeight="1" x14ac:dyDescent="0.25">
      <c r="A18" s="42"/>
      <c r="B18" s="913" t="s">
        <v>438</v>
      </c>
      <c r="C18" s="869"/>
      <c r="D18" s="1076" t="str">
        <f>IF(E7="SIM",(E15+E16)*F18*1000/$H$2,"-")</f>
        <v>-</v>
      </c>
      <c r="E18" s="846" t="str">
        <f>(IF(E$7="SIM",$H$2*D18/1000,"-"))</f>
        <v>-</v>
      </c>
      <c r="F18" s="917">
        <v>2.5000000000000001E-2</v>
      </c>
      <c r="G18" s="869"/>
      <c r="H18" s="1076" t="str">
        <f>IF(I7="SIM",(I15+I16)*J18*1000/$H$2,"-")</f>
        <v>-</v>
      </c>
      <c r="I18" s="846" t="str">
        <f>(IF(I$7="SIM",$H$2*H18/1000,"-"))</f>
        <v>-</v>
      </c>
      <c r="J18" s="917">
        <v>2.5000000000000001E-2</v>
      </c>
      <c r="K18" s="869"/>
      <c r="L18" s="1076" t="str">
        <f>IF(M7="SIM",(M15+M16)*N18*1000/$H$2,"-")</f>
        <v>-</v>
      </c>
      <c r="M18" s="846" t="str">
        <f>(IF(M$7="SIM",$H$2*L18/1000,"-"))</f>
        <v>-</v>
      </c>
      <c r="N18" s="917">
        <v>2.5000000000000001E-2</v>
      </c>
      <c r="O18" s="869"/>
      <c r="P18" s="1076" t="str">
        <f>IF(Q7="SIM",(Q15+Q16)*R18*1000/$H$2,"-")</f>
        <v>-</v>
      </c>
      <c r="Q18" s="846" t="str">
        <f>(IF(Q$7="SIM",$H$2*P18/1000,"-"))</f>
        <v>-</v>
      </c>
      <c r="R18" s="917">
        <v>2.5000000000000001E-2</v>
      </c>
      <c r="S18" s="869"/>
      <c r="T18" s="1076" t="str">
        <f>IF(U7="SIM",(U15+U16)*V18*1000/$H$2,"-")</f>
        <v>-</v>
      </c>
      <c r="U18" s="846" t="str">
        <f>(IF(U$7="SIM",$H$2*T18/1000,"-"))</f>
        <v>-</v>
      </c>
      <c r="V18" s="917">
        <v>2.5000000000000001E-2</v>
      </c>
      <c r="W18" s="46">
        <v>0.19123408378968754</v>
      </c>
      <c r="X18" s="46">
        <v>0.40590566757937507</v>
      </c>
      <c r="Y18" s="46">
        <v>0.70682194596562509</v>
      </c>
      <c r="Z18" s="46">
        <v>1.0307069743518749</v>
      </c>
      <c r="AA18" s="46">
        <v>1.3817664310565627</v>
      </c>
      <c r="AB18" s="42"/>
      <c r="AC18" s="42"/>
      <c r="AD18" s="42"/>
      <c r="AE18" s="42"/>
      <c r="AF18" s="42"/>
      <c r="AG18" s="42"/>
      <c r="AH18" s="42"/>
      <c r="AI18" s="42"/>
      <c r="AJ18" s="42"/>
      <c r="AK18" s="42"/>
      <c r="AL18" s="42"/>
      <c r="AM18" s="42"/>
      <c r="AN18" s="42"/>
      <c r="AO18" s="42"/>
      <c r="AP18" s="42"/>
      <c r="AQ18" s="42"/>
      <c r="AR18" s="42"/>
      <c r="AS18" s="42"/>
      <c r="AT18" s="42"/>
      <c r="AU18" s="42"/>
      <c r="AV18" s="42"/>
      <c r="AW18" s="42"/>
      <c r="AX18" s="42"/>
      <c r="AY18" s="42"/>
      <c r="AZ18" s="42"/>
      <c r="BA18" s="42"/>
      <c r="BB18" s="42"/>
      <c r="BC18" s="42"/>
      <c r="BD18" s="42"/>
      <c r="BE18" s="42"/>
      <c r="BF18" s="42"/>
      <c r="BG18" s="42"/>
      <c r="BH18" s="42"/>
      <c r="BI18" s="42"/>
    </row>
    <row r="19" spans="1:61" s="885" customFormat="1" ht="19.899999999999999" customHeight="1" collapsed="1" thickBot="1" x14ac:dyDescent="0.3">
      <c r="A19" s="881"/>
      <c r="B19" s="914" t="s">
        <v>377</v>
      </c>
      <c r="C19" s="904"/>
      <c r="D19" s="1052">
        <v>0.05</v>
      </c>
      <c r="E19" s="922" t="str">
        <f>IF(E7="SIM",SUM(E15:E18)*(1+D19),"-")</f>
        <v>-</v>
      </c>
      <c r="F19" s="1051" t="s">
        <v>289</v>
      </c>
      <c r="G19" s="904"/>
      <c r="H19" s="1052">
        <v>0.05</v>
      </c>
      <c r="I19" s="922" t="str">
        <f>IF(I7="SIM",SUM(I15:I18)*(1+H19),"-")</f>
        <v>-</v>
      </c>
      <c r="J19" s="1051" t="s">
        <v>289</v>
      </c>
      <c r="K19" s="904"/>
      <c r="L19" s="1052">
        <v>0.05</v>
      </c>
      <c r="M19" s="922" t="str">
        <f>IF(M7="SIM",SUM(M15:M18)*(1+L19),"-")</f>
        <v>-</v>
      </c>
      <c r="N19" s="1051" t="s">
        <v>289</v>
      </c>
      <c r="O19" s="904"/>
      <c r="P19" s="1050">
        <v>0.05</v>
      </c>
      <c r="Q19" s="922" t="str">
        <f>IF(Q7="SIM",SUM(Q15:Q18)*(1+P19),"-")</f>
        <v>-</v>
      </c>
      <c r="R19" s="1051" t="s">
        <v>289</v>
      </c>
      <c r="S19" s="904"/>
      <c r="T19" s="1050">
        <v>0.05</v>
      </c>
      <c r="U19" s="922" t="str">
        <f>IF(U7="SIM",SUM(U15:U18)*(1+T19),"-")</f>
        <v>-</v>
      </c>
      <c r="V19" s="1051" t="s">
        <v>289</v>
      </c>
      <c r="W19" s="880">
        <v>8.3105898071460498</v>
      </c>
      <c r="X19" s="880">
        <v>17.748288989292096</v>
      </c>
      <c r="Y19" s="880">
        <v>31.03820977382016</v>
      </c>
      <c r="Z19" s="880">
        <v>45.432697745848216</v>
      </c>
      <c r="AA19" s="880">
        <v>61.141157356985019</v>
      </c>
      <c r="AB19" s="881"/>
      <c r="AC19" s="881"/>
      <c r="AD19" s="881"/>
      <c r="AE19" s="881"/>
      <c r="AF19" s="881"/>
      <c r="AG19" s="881"/>
      <c r="AH19" s="881"/>
      <c r="AI19" s="881"/>
      <c r="AJ19" s="881"/>
      <c r="AK19" s="881"/>
      <c r="AL19" s="881"/>
      <c r="AM19" s="881"/>
      <c r="AN19" s="881"/>
      <c r="AO19" s="881"/>
      <c r="AP19" s="881"/>
      <c r="AQ19" s="881"/>
      <c r="AR19" s="881"/>
      <c r="AS19" s="881"/>
      <c r="AT19" s="881"/>
      <c r="AU19" s="881"/>
      <c r="AV19" s="881"/>
      <c r="AW19" s="881"/>
      <c r="AX19" s="881"/>
      <c r="AY19" s="881"/>
      <c r="AZ19" s="881"/>
      <c r="BA19" s="881"/>
      <c r="BB19" s="881"/>
      <c r="BC19" s="881"/>
      <c r="BD19" s="881"/>
      <c r="BE19" s="881"/>
      <c r="BF19" s="881"/>
      <c r="BG19" s="881"/>
      <c r="BH19" s="881"/>
      <c r="BI19" s="881"/>
    </row>
    <row r="20" spans="1:61" ht="18" hidden="1" customHeight="1" outlineLevel="1" thickTop="1" x14ac:dyDescent="0.25">
      <c r="B20" s="1006" t="s">
        <v>378</v>
      </c>
      <c r="C20" s="751"/>
      <c r="D20" s="1007" t="s">
        <v>289</v>
      </c>
      <c r="E20" s="1008" t="str">
        <f>IF(E7="SIM",E19*1000000/$H$2,"-")</f>
        <v>-</v>
      </c>
      <c r="F20" s="1007" t="s">
        <v>289</v>
      </c>
      <c r="G20" s="751"/>
      <c r="H20" s="1007" t="s">
        <v>289</v>
      </c>
      <c r="I20" s="1008" t="str">
        <f>IF(I7="SIM",I19*1000000/$H$2,"-")</f>
        <v>-</v>
      </c>
      <c r="J20" s="1007" t="s">
        <v>289</v>
      </c>
      <c r="K20" s="751"/>
      <c r="L20" s="1007" t="s">
        <v>289</v>
      </c>
      <c r="M20" s="1008" t="str">
        <f>IF(M7="SIM",M19*1000000/$H$2,"-")</f>
        <v>-</v>
      </c>
      <c r="N20" s="1007" t="s">
        <v>289</v>
      </c>
      <c r="O20" s="751"/>
      <c r="P20" s="1007" t="s">
        <v>289</v>
      </c>
      <c r="Q20" s="1008" t="str">
        <f>IF(Q7="SIM",Q19*1000000/$H$2,"-")</f>
        <v>-</v>
      </c>
      <c r="R20" s="1007" t="s">
        <v>289</v>
      </c>
      <c r="S20" s="751"/>
      <c r="T20" s="1007" t="s">
        <v>289</v>
      </c>
      <c r="U20" s="1008" t="str">
        <f>IF(U7="SIM",U19*1000000/$H$2,"-")</f>
        <v>-</v>
      </c>
      <c r="V20" s="1007" t="s">
        <v>289</v>
      </c>
      <c r="W20" s="37">
        <v>354.01873512869224</v>
      </c>
      <c r="X20" s="37">
        <v>378.02532458556118</v>
      </c>
      <c r="Y20" s="37">
        <v>396.6544380040915</v>
      </c>
      <c r="Z20" s="37">
        <v>414.72111132677514</v>
      </c>
      <c r="AA20" s="37">
        <v>434.08702418874702</v>
      </c>
    </row>
    <row r="21" spans="1:61" ht="18" hidden="1" customHeight="1" outlineLevel="1" x14ac:dyDescent="0.25">
      <c r="B21" s="217" t="s">
        <v>639</v>
      </c>
      <c r="C21" s="751"/>
      <c r="D21" s="333"/>
      <c r="E21" s="336">
        <f>'R&amp;C-Painel de Controle'!$G$59</f>
        <v>0.25</v>
      </c>
      <c r="F21" s="334"/>
      <c r="G21" s="752"/>
      <c r="H21" s="334"/>
      <c r="I21" s="336">
        <f>'R&amp;C-Painel de Controle'!$G$59</f>
        <v>0.25</v>
      </c>
      <c r="J21" s="334"/>
      <c r="K21" s="752"/>
      <c r="L21" s="334"/>
      <c r="M21" s="336">
        <f>'R&amp;C-Painel de Controle'!$G$59</f>
        <v>0.25</v>
      </c>
      <c r="N21" s="334"/>
      <c r="O21" s="752"/>
      <c r="P21" s="334"/>
      <c r="Q21" s="336">
        <f>'R&amp;C-Painel de Controle'!$G$59</f>
        <v>0.25</v>
      </c>
      <c r="R21" s="334"/>
      <c r="S21" s="752"/>
      <c r="T21" s="334"/>
      <c r="U21" s="336">
        <f>'R&amp;C-Painel de Controle'!$G$59</f>
        <v>0.25</v>
      </c>
      <c r="V21" s="331"/>
      <c r="X21" s="49">
        <f>(X20-W20)/X20</f>
        <v>6.3505241304105689E-2</v>
      </c>
      <c r="Y21" s="49">
        <f>(Y20-X20)/Y20</f>
        <v>4.696559935713656E-2</v>
      </c>
      <c r="Z21" s="49">
        <f>(Z20-Y20)/Z20</f>
        <v>4.356342811892254E-2</v>
      </c>
      <c r="AA21" s="49">
        <f>(AA20-Z20)/AA20</f>
        <v>4.4612973396669219E-2</v>
      </c>
    </row>
    <row r="22" spans="1:61" ht="18" hidden="1" customHeight="1" outlineLevel="1" x14ac:dyDescent="0.25">
      <c r="B22" s="755"/>
      <c r="C22" s="751"/>
      <c r="D22" s="333"/>
      <c r="E22" s="331"/>
      <c r="F22" s="331"/>
      <c r="G22" s="751"/>
      <c r="H22" s="331"/>
      <c r="I22" s="337"/>
      <c r="J22" s="331"/>
      <c r="K22" s="751"/>
      <c r="L22" s="331"/>
      <c r="M22" s="331"/>
      <c r="N22" s="331"/>
      <c r="O22" s="751"/>
      <c r="P22" s="331"/>
      <c r="Q22" s="331"/>
      <c r="R22" s="331"/>
      <c r="S22" s="751"/>
      <c r="T22" s="331"/>
      <c r="U22" s="331"/>
      <c r="V22" s="331"/>
    </row>
    <row r="23" spans="1:61" ht="18" hidden="1" customHeight="1" outlineLevel="1" x14ac:dyDescent="0.25">
      <c r="B23" s="754" t="s">
        <v>435</v>
      </c>
      <c r="C23" s="751"/>
      <c r="D23" s="338"/>
      <c r="E23" s="337" t="str">
        <f>IF(E7="SIM",(E15*F15+E16*F16)/4,"-")</f>
        <v>-</v>
      </c>
      <c r="F23" s="331"/>
      <c r="G23" s="751"/>
      <c r="H23" s="331"/>
      <c r="I23" s="337" t="str">
        <f>IF(I7="SIM",(I15*J15+I16*J16)/4,"-")</f>
        <v>-</v>
      </c>
      <c r="J23" s="331"/>
      <c r="K23" s="751"/>
      <c r="L23" s="331"/>
      <c r="M23" s="337" t="str">
        <f>IF(M7="SIM",(M15*N15+M16*N16)/4,"-")</f>
        <v>-</v>
      </c>
      <c r="N23" s="331"/>
      <c r="O23" s="751"/>
      <c r="P23" s="331"/>
      <c r="Q23" s="337" t="str">
        <f>IF(Q7="SIM",(Q15*R15+Q16*R16)/4,"-")</f>
        <v>-</v>
      </c>
      <c r="R23" s="331"/>
      <c r="S23" s="751"/>
      <c r="T23" s="331"/>
      <c r="U23" s="337" t="str">
        <f>IF(U7="SIM",(U15*V15+U16*V16)/4,"-")</f>
        <v>-</v>
      </c>
      <c r="V23" s="331"/>
    </row>
    <row r="24" spans="1:61" ht="15" customHeight="1" thickTop="1" thickBot="1" x14ac:dyDescent="0.3">
      <c r="B24" s="934"/>
      <c r="C24" s="751"/>
      <c r="D24" s="935"/>
      <c r="E24" s="935"/>
      <c r="F24" s="935"/>
      <c r="G24" s="751"/>
      <c r="H24" s="935"/>
      <c r="I24" s="935"/>
      <c r="J24" s="935"/>
      <c r="K24" s="751"/>
      <c r="L24" s="935"/>
      <c r="M24" s="935"/>
      <c r="N24" s="935"/>
      <c r="O24" s="751"/>
      <c r="P24" s="935"/>
      <c r="Q24" s="935"/>
      <c r="R24" s="935"/>
      <c r="S24" s="751"/>
      <c r="T24" s="935"/>
      <c r="U24" s="935"/>
      <c r="V24" s="935"/>
    </row>
    <row r="25" spans="1:61" s="885" customFormat="1" ht="19.899999999999999" customHeight="1" thickTop="1" thickBot="1" x14ac:dyDescent="0.3">
      <c r="B25" s="1085" t="s">
        <v>439</v>
      </c>
      <c r="C25" s="901"/>
      <c r="D25" s="982" t="s">
        <v>754</v>
      </c>
      <c r="E25" s="983" t="s">
        <v>763</v>
      </c>
      <c r="F25" s="984" t="s">
        <v>289</v>
      </c>
      <c r="G25" s="403"/>
      <c r="H25" s="985" t="s">
        <v>754</v>
      </c>
      <c r="I25" s="986" t="s">
        <v>763</v>
      </c>
      <c r="J25" s="987" t="s">
        <v>289</v>
      </c>
      <c r="K25" s="403"/>
      <c r="L25" s="985" t="s">
        <v>754</v>
      </c>
      <c r="M25" s="986" t="s">
        <v>763</v>
      </c>
      <c r="N25" s="987" t="s">
        <v>289</v>
      </c>
      <c r="O25" s="403"/>
      <c r="P25" s="985" t="s">
        <v>754</v>
      </c>
      <c r="Q25" s="986" t="s">
        <v>763</v>
      </c>
      <c r="R25" s="987" t="s">
        <v>289</v>
      </c>
      <c r="S25" s="403"/>
      <c r="T25" s="985" t="s">
        <v>754</v>
      </c>
      <c r="U25" s="986" t="s">
        <v>763</v>
      </c>
      <c r="V25" s="987" t="s">
        <v>289</v>
      </c>
    </row>
    <row r="26" spans="1:61" ht="7.5" customHeight="1" x14ac:dyDescent="0.25">
      <c r="B26" s="1084"/>
      <c r="C26" s="903"/>
      <c r="D26" s="1015"/>
      <c r="E26" s="339"/>
      <c r="F26" s="1016"/>
      <c r="G26" s="996"/>
      <c r="H26" s="1031"/>
      <c r="I26" s="339"/>
      <c r="J26" s="1023"/>
      <c r="K26" s="996"/>
      <c r="L26" s="1036"/>
      <c r="M26" s="339"/>
      <c r="N26" s="1023"/>
      <c r="O26" s="996"/>
      <c r="P26" s="1036"/>
      <c r="Q26" s="339"/>
      <c r="R26" s="1023"/>
      <c r="S26" s="996"/>
      <c r="T26" s="1036"/>
      <c r="U26" s="339"/>
      <c r="V26" s="1038"/>
    </row>
    <row r="27" spans="1:61" ht="17.649999999999999" customHeight="1" collapsed="1" x14ac:dyDescent="0.25">
      <c r="A27" s="42"/>
      <c r="B27" s="913" t="s">
        <v>381</v>
      </c>
      <c r="C27" s="869"/>
      <c r="D27" s="1017"/>
      <c r="E27" s="890" t="str">
        <f>(IF(E$7="SIM",(E31)*2.4*12/$H$2,"-"))</f>
        <v>-</v>
      </c>
      <c r="F27" s="917"/>
      <c r="G27" s="993"/>
      <c r="H27" s="1032"/>
      <c r="I27" s="890" t="str">
        <f>(IF(I$7="SIM",(I31)*2.4*12/$H$2,"-"))</f>
        <v>-</v>
      </c>
      <c r="J27" s="1033"/>
      <c r="K27" s="993"/>
      <c r="L27" s="1032"/>
      <c r="M27" s="890" t="str">
        <f>(IF(M$7="SIM",(M31)*2.4*12/$H$2,"-"))</f>
        <v>-</v>
      </c>
      <c r="N27" s="1033"/>
      <c r="O27" s="993"/>
      <c r="P27" s="1032"/>
      <c r="Q27" s="890" t="str">
        <f>(IF(Q$7="SIM",(Q31)*2.4*12/$H$2,"-"))</f>
        <v>-</v>
      </c>
      <c r="R27" s="1033"/>
      <c r="S27" s="993"/>
      <c r="T27" s="1032"/>
      <c r="U27" s="891" t="str">
        <f>(IF(U$7="SIM",(U31)*2.4*12/$H$2,"-"))</f>
        <v>-</v>
      </c>
      <c r="V27" s="1039"/>
      <c r="W27" s="42"/>
      <c r="X27" s="42"/>
      <c r="Y27" s="42"/>
      <c r="Z27" s="42"/>
      <c r="AA27" s="42"/>
      <c r="AB27" s="42"/>
      <c r="AC27" s="42"/>
      <c r="AD27" s="42"/>
      <c r="AE27" s="42"/>
      <c r="AF27" s="42"/>
      <c r="AG27" s="42"/>
      <c r="AH27" s="42"/>
      <c r="AI27" s="42"/>
      <c r="AJ27" s="42"/>
      <c r="AK27" s="42"/>
      <c r="AL27" s="42"/>
      <c r="AM27" s="42"/>
      <c r="AN27" s="42"/>
      <c r="AO27" s="42"/>
      <c r="AP27" s="42"/>
      <c r="AQ27" s="42"/>
      <c r="AR27" s="42"/>
      <c r="AS27" s="42"/>
      <c r="AT27" s="42"/>
      <c r="AU27" s="42"/>
      <c r="AV27" s="42"/>
      <c r="AW27" s="42"/>
      <c r="AX27" s="42"/>
      <c r="AY27" s="42"/>
      <c r="AZ27" s="42"/>
      <c r="BA27" s="42"/>
      <c r="BB27" s="42"/>
      <c r="BC27" s="42"/>
      <c r="BD27" s="42"/>
      <c r="BE27" s="42"/>
      <c r="BF27" s="42"/>
      <c r="BG27" s="42"/>
      <c r="BH27" s="42"/>
      <c r="BI27" s="42"/>
    </row>
    <row r="28" spans="1:61" ht="18" hidden="1" customHeight="1" outlineLevel="1" x14ac:dyDescent="0.25">
      <c r="B28" s="1010"/>
      <c r="C28" s="925"/>
      <c r="D28" s="1015"/>
      <c r="E28" s="332"/>
      <c r="F28" s="1016"/>
      <c r="G28" s="997"/>
      <c r="H28" s="1031"/>
      <c r="I28" s="332"/>
      <c r="J28" s="1034"/>
      <c r="K28" s="997"/>
      <c r="L28" s="1031"/>
      <c r="M28" s="332"/>
      <c r="N28" s="1034"/>
      <c r="O28" s="997"/>
      <c r="P28" s="1031"/>
      <c r="Q28" s="332"/>
      <c r="R28" s="1034"/>
      <c r="S28" s="997"/>
      <c r="T28" s="1031"/>
      <c r="U28" s="341"/>
      <c r="V28" s="924"/>
    </row>
    <row r="29" spans="1:61" ht="18" hidden="1" customHeight="1" outlineLevel="1" x14ac:dyDescent="0.25">
      <c r="B29" s="1011" t="s">
        <v>630</v>
      </c>
      <c r="C29" s="903"/>
      <c r="D29" s="1015"/>
      <c r="E29" s="338">
        <v>2</v>
      </c>
      <c r="F29" s="1016"/>
      <c r="G29" s="998"/>
      <c r="H29" s="1031"/>
      <c r="I29" s="338">
        <v>2</v>
      </c>
      <c r="J29" s="1035"/>
      <c r="K29" s="998"/>
      <c r="L29" s="1037"/>
      <c r="M29" s="338">
        <v>2</v>
      </c>
      <c r="N29" s="1035"/>
      <c r="O29" s="998"/>
      <c r="P29" s="1037"/>
      <c r="Q29" s="338">
        <v>2</v>
      </c>
      <c r="R29" s="1035"/>
      <c r="S29" s="998"/>
      <c r="T29" s="1037"/>
      <c r="U29" s="338">
        <v>2</v>
      </c>
      <c r="V29" s="924"/>
    </row>
    <row r="30" spans="1:61" ht="18" hidden="1" customHeight="1" outlineLevel="1" x14ac:dyDescent="0.25">
      <c r="B30" s="1011" t="s">
        <v>642</v>
      </c>
      <c r="C30" s="903"/>
      <c r="D30" s="1015"/>
      <c r="E30" s="338">
        <v>2</v>
      </c>
      <c r="F30" s="1016"/>
      <c r="G30" s="998"/>
      <c r="H30" s="1031"/>
      <c r="I30" s="338">
        <v>4</v>
      </c>
      <c r="J30" s="1035"/>
      <c r="K30" s="998"/>
      <c r="L30" s="1037"/>
      <c r="M30" s="338">
        <v>4</v>
      </c>
      <c r="N30" s="1035"/>
      <c r="O30" s="998"/>
      <c r="P30" s="1037"/>
      <c r="Q30" s="338">
        <v>6</v>
      </c>
      <c r="R30" s="1035"/>
      <c r="S30" s="998"/>
      <c r="T30" s="1037"/>
      <c r="U30" s="338">
        <v>6</v>
      </c>
      <c r="V30" s="924"/>
    </row>
    <row r="31" spans="1:61" ht="18" hidden="1" customHeight="1" outlineLevel="1" x14ac:dyDescent="0.25">
      <c r="B31" s="1011" t="s">
        <v>632</v>
      </c>
      <c r="C31" s="903"/>
      <c r="D31" s="1015"/>
      <c r="E31" s="335">
        <f>0.6*E29*'R&amp;C-Painel de Controle'!$D$64+E30*E29*'R&amp;C-Painel de Controle'!$D$65</f>
        <v>18000</v>
      </c>
      <c r="F31" s="1016"/>
      <c r="G31" s="996"/>
      <c r="H31" s="1031"/>
      <c r="I31" s="335">
        <f>0.7*I29*'R&amp;C-Painel de Controle'!$D$64+I30*I29*'R&amp;C-Painel de Controle'!$D$65</f>
        <v>26000</v>
      </c>
      <c r="J31" s="1023"/>
      <c r="K31" s="996"/>
      <c r="L31" s="1036"/>
      <c r="M31" s="335">
        <f>0.8*M29*'R&amp;C-Painel de Controle'!$D$64+M30*M29*'R&amp;C-Painel de Controle'!$D$65</f>
        <v>28000</v>
      </c>
      <c r="N31" s="1023"/>
      <c r="O31" s="996"/>
      <c r="P31" s="1036"/>
      <c r="Q31" s="335">
        <f>0.9*Q29*'R&amp;C-Painel de Controle'!$D$64+Q30*Q29*'R&amp;C-Painel de Controle'!$D$65</f>
        <v>36000</v>
      </c>
      <c r="R31" s="1023"/>
      <c r="S31" s="996"/>
      <c r="T31" s="1036"/>
      <c r="U31" s="335">
        <f>1*U29*'R&amp;C-Painel de Controle'!$D$64+U30*U29*'R&amp;C-Painel de Controle'!$D$65</f>
        <v>38000</v>
      </c>
      <c r="V31" s="924"/>
    </row>
    <row r="32" spans="1:61" ht="17.649999999999999" customHeight="1" collapsed="1" x14ac:dyDescent="0.25">
      <c r="A32" s="42"/>
      <c r="B32" s="913" t="s">
        <v>382</v>
      </c>
      <c r="C32" s="869"/>
      <c r="D32" s="1017"/>
      <c r="E32" s="890" t="str">
        <f>(IF(E$7="SIM",(E33*$H$2/1000*'R&amp;C-Painel de Controle'!$D$68+E34/1000*'R&amp;C-Painel de Controle'!$D$69*12)/$H$2,"-"))</f>
        <v>-</v>
      </c>
      <c r="F32" s="917"/>
      <c r="G32" s="993"/>
      <c r="H32" s="1077"/>
      <c r="I32" s="890" t="str">
        <f>(IF(I$7="SIM",(I33*$H$2/1000*'R&amp;C-Painel de Controle'!$D$68+I34/1000*'R&amp;C-Painel de Controle'!$D$69*12)/$H$2,"-"))</f>
        <v>-</v>
      </c>
      <c r="J32" s="1033"/>
      <c r="K32" s="993"/>
      <c r="L32" s="1077"/>
      <c r="M32" s="890" t="str">
        <f>(IF(M$7="SIM",(M33*$H$2/1000*'R&amp;C-Painel de Controle'!$D$68+M34/1000*'R&amp;C-Painel de Controle'!$D$69*12)/$H$2,"-"))</f>
        <v>-</v>
      </c>
      <c r="N32" s="1033"/>
      <c r="O32" s="993"/>
      <c r="P32" s="1077"/>
      <c r="Q32" s="890" t="str">
        <f>(IF(Q$7="SIM",(Q33*$H$2/1000*'R&amp;C-Painel de Controle'!$D$68+Q34/1000*'R&amp;C-Painel de Controle'!$D$69*12)/$H$2,"-"))</f>
        <v>-</v>
      </c>
      <c r="R32" s="1033"/>
      <c r="S32" s="993"/>
      <c r="T32" s="1077"/>
      <c r="U32" s="891" t="str">
        <f>(IF(U$7="SIM",(U33*$H$2/1000*'R&amp;C-Painel de Controle'!$D$68+U34/1000*'R&amp;C-Painel de Controle'!$D$69*12)/$H$2,"-"))</f>
        <v>-</v>
      </c>
      <c r="V32" s="1039"/>
      <c r="W32" s="42"/>
      <c r="X32" s="42"/>
      <c r="Y32" s="42"/>
      <c r="Z32" s="42"/>
      <c r="AA32" s="42"/>
      <c r="AB32" s="42"/>
      <c r="AC32" s="42"/>
      <c r="AD32" s="42"/>
      <c r="AE32" s="42"/>
      <c r="AF32" s="42"/>
      <c r="AG32" s="42"/>
      <c r="AH32" s="42"/>
      <c r="AI32" s="42"/>
      <c r="AJ32" s="42"/>
      <c r="AK32" s="42"/>
      <c r="AL32" s="42"/>
      <c r="AM32" s="42"/>
      <c r="AN32" s="42"/>
      <c r="AO32" s="42"/>
      <c r="AP32" s="42"/>
      <c r="AQ32" s="42"/>
      <c r="AR32" s="42"/>
      <c r="AS32" s="42"/>
      <c r="AT32" s="42"/>
      <c r="AU32" s="42"/>
      <c r="AV32" s="42"/>
      <c r="AW32" s="42"/>
      <c r="AX32" s="42"/>
      <c r="AY32" s="42"/>
      <c r="AZ32" s="42"/>
      <c r="BA32" s="42"/>
      <c r="BB32" s="42"/>
      <c r="BC32" s="42"/>
      <c r="BD32" s="42"/>
      <c r="BE32" s="42"/>
      <c r="BF32" s="42"/>
      <c r="BG32" s="42"/>
      <c r="BH32" s="42"/>
      <c r="BI32" s="42"/>
    </row>
    <row r="33" spans="1:61" ht="18" hidden="1" customHeight="1" outlineLevel="1" x14ac:dyDescent="0.25">
      <c r="B33" s="1011" t="s">
        <v>633</v>
      </c>
      <c r="C33" s="903"/>
      <c r="D33" s="1018"/>
      <c r="E33" s="342">
        <f>IF('R-Definição'!$L$49&lt;=20,32.5,IF(AND('R-Definição'!$L$49&gt;20,'R-Definição'!$L$49&lt;=50),32.5*1.25,IF('R-Definição'!$L$49&gt;50,32.5*1.5,)))</f>
        <v>32.5</v>
      </c>
      <c r="F33" s="1019"/>
      <c r="G33" s="996"/>
      <c r="H33" s="1078"/>
      <c r="I33" s="342">
        <f>IF('R-Definição'!$L$49&lt;=20,32.5,IF(AND('R-Definição'!$L$49&gt;20,'R-Definição'!$L$49&lt;=50),32.5*1.25,IF('R-Definição'!$L$49&gt;50,32.5*1.5,)))</f>
        <v>32.5</v>
      </c>
      <c r="J33" s="1019"/>
      <c r="K33" s="996"/>
      <c r="L33" s="1078"/>
      <c r="M33" s="334">
        <f>IF('R-Definição'!$L$49&lt;=20,32.5,IF(AND('R-Definição'!$L$49&gt;20,'R-Definição'!$L$49&lt;=50),32.5*1.25,IF('R-Definição'!$L$49&gt;50,32.5*1.5,)))</f>
        <v>32.5</v>
      </c>
      <c r="N33" s="1019"/>
      <c r="O33" s="996"/>
      <c r="P33" s="1078"/>
      <c r="Q33" s="334">
        <f>IF('R-Definição'!$L$49&lt;=20,32.5,IF(AND('R-Definição'!$L$49&gt;20,'R-Definição'!$L$49&lt;=50),32.5*1.25,IF('R-Definição'!$L$49&gt;50,32.5*1.5,)))</f>
        <v>32.5</v>
      </c>
      <c r="R33" s="1019"/>
      <c r="S33" s="996"/>
      <c r="T33" s="1078"/>
      <c r="U33" s="334">
        <f>IF('R-Definição'!$L$49&lt;=20,32.5,IF(AND('R-Definição'!$L$49&gt;20,'R-Definição'!$L$49&lt;=50),32.5*1.25,IF('R-Definição'!$L$49&gt;50,32.5*1.5,)))</f>
        <v>32.5</v>
      </c>
      <c r="V33" s="1019"/>
    </row>
    <row r="34" spans="1:61" ht="18" hidden="1" customHeight="1" outlineLevel="1" x14ac:dyDescent="0.25">
      <c r="B34" s="1011" t="s">
        <v>634</v>
      </c>
      <c r="C34" s="925"/>
      <c r="D34" s="1015"/>
      <c r="E34" s="335">
        <f>E33*F11*(0.9)*0.92/16</f>
        <v>168.1875</v>
      </c>
      <c r="F34" s="1016"/>
      <c r="G34" s="999"/>
      <c r="H34" s="1082"/>
      <c r="I34" s="335">
        <f>I33*J11*(0.9)*0.92/16</f>
        <v>336.375</v>
      </c>
      <c r="J34" s="1022"/>
      <c r="K34" s="999"/>
      <c r="L34" s="1079"/>
      <c r="M34" s="335">
        <f>M33*N11*(0.9)*0.92/16</f>
        <v>504.5625</v>
      </c>
      <c r="N34" s="1022"/>
      <c r="O34" s="999"/>
      <c r="P34" s="1079"/>
      <c r="Q34" s="335">
        <f>Q33*R11*(0.9)*0.92/16</f>
        <v>672.75</v>
      </c>
      <c r="R34" s="1022"/>
      <c r="S34" s="999"/>
      <c r="T34" s="1079"/>
      <c r="U34" s="335">
        <f>U33*V11*(0.9)*0.92/16</f>
        <v>1345.5</v>
      </c>
      <c r="V34" s="924"/>
    </row>
    <row r="35" spans="1:61" ht="17.649999999999999" customHeight="1" collapsed="1" x14ac:dyDescent="0.25">
      <c r="A35" s="42"/>
      <c r="B35" s="913" t="s">
        <v>383</v>
      </c>
      <c r="C35" s="869"/>
      <c r="D35" s="1017"/>
      <c r="E35" s="890" t="str">
        <f>(IF(E$7="SIM",(E15*1000000*E36+E37*12)/$H$2,"-"))</f>
        <v>-</v>
      </c>
      <c r="F35" s="1021"/>
      <c r="G35" s="1000"/>
      <c r="H35" s="1080"/>
      <c r="I35" s="890" t="str">
        <f>(IF(I$7="SIM",(I15*1000000*I36+I37*12)/$H$2,"-"))</f>
        <v>-</v>
      </c>
      <c r="J35" s="1021"/>
      <c r="K35" s="1000"/>
      <c r="L35" s="1080"/>
      <c r="M35" s="890" t="str">
        <f>(IF(M$7="SIM",(M15*1000000*M36+M37*12)/$H$2,"-"))</f>
        <v>-</v>
      </c>
      <c r="N35" s="1021"/>
      <c r="O35" s="1000"/>
      <c r="P35" s="1080"/>
      <c r="Q35" s="890" t="str">
        <f>(IF(Q$7="SIM",(Q15*1000000*Q36+Q37*12)/$H$2,"-"))</f>
        <v>-</v>
      </c>
      <c r="R35" s="1021"/>
      <c r="S35" s="1000"/>
      <c r="T35" s="1080"/>
      <c r="U35" s="891" t="str">
        <f>(IF(U$7="SIM",(U15*1000000*U36+U37*12)/$H$2,"-"))</f>
        <v>-</v>
      </c>
      <c r="V35" s="1039"/>
      <c r="W35" s="42"/>
      <c r="X35" s="42"/>
      <c r="Y35" s="42"/>
      <c r="Z35" s="42"/>
      <c r="AA35" s="42"/>
      <c r="AB35" s="42"/>
      <c r="AC35" s="42"/>
      <c r="AD35" s="42"/>
      <c r="AE35" s="42"/>
      <c r="AF35" s="42"/>
      <c r="AG35" s="42"/>
      <c r="AH35" s="42"/>
      <c r="AI35" s="42"/>
      <c r="AJ35" s="42"/>
      <c r="AK35" s="42"/>
      <c r="AL35" s="42"/>
      <c r="AM35" s="42"/>
      <c r="AN35" s="42"/>
      <c r="AO35" s="42"/>
      <c r="AP35" s="42"/>
      <c r="AQ35" s="42"/>
      <c r="AR35" s="42"/>
      <c r="AS35" s="42"/>
      <c r="AT35" s="42"/>
      <c r="AU35" s="42"/>
      <c r="AV35" s="42"/>
      <c r="AW35" s="42"/>
      <c r="AX35" s="42"/>
      <c r="AY35" s="42"/>
      <c r="AZ35" s="42"/>
      <c r="BA35" s="42"/>
      <c r="BB35" s="42"/>
      <c r="BC35" s="42"/>
      <c r="BD35" s="42"/>
      <c r="BE35" s="42"/>
      <c r="BF35" s="42"/>
      <c r="BG35" s="42"/>
      <c r="BH35" s="42"/>
      <c r="BI35" s="42"/>
    </row>
    <row r="36" spans="1:61" ht="18" hidden="1" customHeight="1" outlineLevel="1" x14ac:dyDescent="0.25">
      <c r="B36" s="1011" t="s">
        <v>635</v>
      </c>
      <c r="C36" s="903"/>
      <c r="D36" s="915"/>
      <c r="E36" s="340">
        <v>0.05</v>
      </c>
      <c r="F36" s="1016"/>
      <c r="G36" s="1001"/>
      <c r="H36" s="1081"/>
      <c r="I36" s="340">
        <v>0.05</v>
      </c>
      <c r="J36" s="1016"/>
      <c r="K36" s="1001"/>
      <c r="L36" s="1081"/>
      <c r="M36" s="340">
        <v>0.05</v>
      </c>
      <c r="N36" s="1016"/>
      <c r="O36" s="1001"/>
      <c r="P36" s="1081"/>
      <c r="Q36" s="340">
        <v>0.05</v>
      </c>
      <c r="R36" s="1016"/>
      <c r="S36" s="1001"/>
      <c r="T36" s="1081"/>
      <c r="U36" s="340">
        <v>0.05</v>
      </c>
      <c r="V36" s="924"/>
    </row>
    <row r="37" spans="1:61" ht="18" hidden="1" customHeight="1" outlineLevel="1" x14ac:dyDescent="0.25">
      <c r="A37" s="42"/>
      <c r="B37" s="1011" t="s">
        <v>441</v>
      </c>
      <c r="C37" s="903"/>
      <c r="D37" s="915"/>
      <c r="E37" s="335">
        <v>25000</v>
      </c>
      <c r="F37" s="1022"/>
      <c r="G37" s="999"/>
      <c r="H37" s="1079"/>
      <c r="I37" s="335">
        <v>25000</v>
      </c>
      <c r="J37" s="1022"/>
      <c r="K37" s="999"/>
      <c r="L37" s="1079"/>
      <c r="M37" s="335">
        <v>50000</v>
      </c>
      <c r="N37" s="1022"/>
      <c r="O37" s="999"/>
      <c r="P37" s="1079"/>
      <c r="Q37" s="335">
        <v>50000</v>
      </c>
      <c r="R37" s="1022"/>
      <c r="S37" s="999"/>
      <c r="T37" s="1079"/>
      <c r="U37" s="335">
        <v>50000</v>
      </c>
      <c r="V37" s="924"/>
      <c r="W37" s="42"/>
      <c r="X37" s="42"/>
      <c r="Y37" s="42"/>
      <c r="Z37" s="42"/>
      <c r="AA37" s="42"/>
      <c r="AB37" s="42"/>
      <c r="AC37" s="42"/>
      <c r="AD37" s="42"/>
      <c r="AE37" s="42"/>
      <c r="AF37" s="42"/>
      <c r="AG37" s="42"/>
      <c r="AH37" s="42"/>
      <c r="AI37" s="42"/>
      <c r="AJ37" s="42"/>
      <c r="AK37" s="42"/>
      <c r="AL37" s="42"/>
      <c r="AM37" s="42"/>
      <c r="AN37" s="42"/>
      <c r="AO37" s="42"/>
      <c r="AP37" s="42"/>
      <c r="AQ37" s="42"/>
      <c r="AR37" s="42"/>
      <c r="AS37" s="42"/>
      <c r="AT37" s="42"/>
      <c r="AU37" s="42"/>
      <c r="AV37" s="42"/>
      <c r="AW37" s="42"/>
      <c r="AX37" s="42"/>
      <c r="AY37" s="42"/>
      <c r="AZ37" s="42"/>
      <c r="BA37" s="42"/>
      <c r="BB37" s="42"/>
      <c r="BC37" s="42"/>
      <c r="BD37" s="42"/>
      <c r="BE37" s="42"/>
      <c r="BF37" s="42"/>
      <c r="BG37" s="42"/>
      <c r="BH37" s="42"/>
      <c r="BI37" s="42"/>
    </row>
    <row r="38" spans="1:61" ht="17.649999999999999" customHeight="1" collapsed="1" x14ac:dyDescent="0.25">
      <c r="A38" s="39"/>
      <c r="B38" s="913" t="s">
        <v>638</v>
      </c>
      <c r="C38" s="869"/>
      <c r="D38" s="1074">
        <v>0.5</v>
      </c>
      <c r="E38" s="890" t="str">
        <f>(IF(E$7="SIM",D38*E39*E40*12/$H$2,"-"))</f>
        <v>-</v>
      </c>
      <c r="F38" s="1021"/>
      <c r="G38" s="1000"/>
      <c r="H38" s="1074">
        <f>D38</f>
        <v>0.5</v>
      </c>
      <c r="I38" s="890" t="str">
        <f>(IF(I$7="SIM",H38*I39*I40*12/$H$2,"-"))</f>
        <v>-</v>
      </c>
      <c r="J38" s="1021"/>
      <c r="K38" s="1000"/>
      <c r="L38" s="1074">
        <f>H38</f>
        <v>0.5</v>
      </c>
      <c r="M38" s="890" t="str">
        <f>(IF(M$7="SIM",L38*M39*M40*12/$H$2,"-"))</f>
        <v>-</v>
      </c>
      <c r="N38" s="1021"/>
      <c r="O38" s="1000"/>
      <c r="P38" s="1074">
        <f>L38</f>
        <v>0.5</v>
      </c>
      <c r="Q38" s="890" t="str">
        <f>(IF(Q$7="SIM",P38*Q39*Q40*12/$H$2,"-"))</f>
        <v>-</v>
      </c>
      <c r="R38" s="1021"/>
      <c r="S38" s="1000"/>
      <c r="T38" s="1074">
        <f>P38</f>
        <v>0.5</v>
      </c>
      <c r="U38" s="891" t="str">
        <f>(IF(U$7="SIM",T38*U39*U40*12/$H$2,"-"))</f>
        <v>-</v>
      </c>
      <c r="V38" s="1039"/>
      <c r="W38" s="39"/>
      <c r="X38" s="39"/>
      <c r="Y38" s="39"/>
      <c r="Z38" s="39"/>
      <c r="AA38" s="39"/>
      <c r="AB38" s="39"/>
      <c r="AC38" s="39"/>
      <c r="AD38" s="39"/>
      <c r="AE38" s="39"/>
      <c r="AF38" s="39"/>
      <c r="AG38" s="39"/>
      <c r="AH38" s="39"/>
      <c r="AI38" s="39"/>
      <c r="AJ38" s="39"/>
      <c r="AK38" s="39"/>
      <c r="AL38" s="39"/>
      <c r="AM38" s="39"/>
      <c r="AN38" s="39"/>
      <c r="AO38" s="39"/>
      <c r="AP38" s="39"/>
      <c r="AQ38" s="39"/>
      <c r="AR38" s="39"/>
      <c r="AS38" s="39"/>
      <c r="AT38" s="39"/>
      <c r="AU38" s="39"/>
      <c r="AV38" s="39"/>
      <c r="AW38" s="39"/>
      <c r="AX38" s="39"/>
      <c r="AY38" s="39"/>
      <c r="AZ38" s="39"/>
      <c r="BA38" s="39"/>
      <c r="BB38" s="39"/>
      <c r="BC38" s="39"/>
      <c r="BD38" s="39"/>
      <c r="BE38" s="39"/>
      <c r="BF38" s="39"/>
      <c r="BG38" s="39"/>
      <c r="BH38" s="39"/>
      <c r="BI38" s="39"/>
    </row>
    <row r="39" spans="1:61" ht="18" hidden="1" customHeight="1" outlineLevel="1" x14ac:dyDescent="0.25">
      <c r="A39" s="42"/>
      <c r="B39" s="1011" t="s">
        <v>636</v>
      </c>
      <c r="C39" s="925"/>
      <c r="D39" s="915"/>
      <c r="E39" s="335">
        <f>'R&amp;C-Painel de Controle'!$D$70</f>
        <v>100000</v>
      </c>
      <c r="F39" s="1023"/>
      <c r="G39" s="996"/>
      <c r="H39" s="1082"/>
      <c r="I39" s="335">
        <f>'R&amp;C-Painel de Controle'!$D$70</f>
        <v>100000</v>
      </c>
      <c r="J39" s="1023"/>
      <c r="K39" s="996"/>
      <c r="L39" s="1082"/>
      <c r="M39" s="335">
        <f>'R&amp;C-Painel de Controle'!$D$70</f>
        <v>100000</v>
      </c>
      <c r="N39" s="1023"/>
      <c r="O39" s="996"/>
      <c r="P39" s="1082"/>
      <c r="Q39" s="335">
        <f>'R&amp;C-Painel de Controle'!$D$70</f>
        <v>100000</v>
      </c>
      <c r="R39" s="1023"/>
      <c r="S39" s="996"/>
      <c r="T39" s="1082"/>
      <c r="U39" s="335">
        <f>'R&amp;C-Painel de Controle'!$D$70</f>
        <v>100000</v>
      </c>
      <c r="V39" s="924"/>
      <c r="W39" s="42"/>
      <c r="X39" s="42"/>
      <c r="Y39" s="42"/>
      <c r="Z39" s="42"/>
      <c r="AA39" s="42"/>
      <c r="AB39" s="42"/>
      <c r="AC39" s="42"/>
      <c r="AD39" s="42"/>
      <c r="AE39" s="42"/>
      <c r="AF39" s="42"/>
      <c r="AG39" s="42"/>
      <c r="AH39" s="42"/>
      <c r="AI39" s="42"/>
      <c r="AJ39" s="42"/>
      <c r="AK39" s="42"/>
      <c r="AL39" s="42"/>
      <c r="AM39" s="42"/>
      <c r="AN39" s="42"/>
      <c r="AO39" s="42"/>
      <c r="AP39" s="42"/>
      <c r="AQ39" s="42"/>
      <c r="AR39" s="42"/>
      <c r="AS39" s="42"/>
      <c r="AT39" s="42"/>
      <c r="AU39" s="42"/>
      <c r="AV39" s="42"/>
      <c r="AW39" s="42"/>
      <c r="AX39" s="42"/>
      <c r="AY39" s="42"/>
      <c r="AZ39" s="42"/>
      <c r="BA39" s="42"/>
      <c r="BB39" s="42"/>
      <c r="BC39" s="42"/>
      <c r="BD39" s="42"/>
      <c r="BE39" s="42"/>
      <c r="BF39" s="42"/>
      <c r="BG39" s="42"/>
      <c r="BH39" s="42"/>
      <c r="BI39" s="42"/>
    </row>
    <row r="40" spans="1:61" ht="18" hidden="1" customHeight="1" outlineLevel="1" x14ac:dyDescent="0.25">
      <c r="B40" s="1011" t="s">
        <v>637</v>
      </c>
      <c r="C40" s="925"/>
      <c r="D40" s="915"/>
      <c r="E40" s="336">
        <v>0.05</v>
      </c>
      <c r="F40" s="1023"/>
      <c r="G40" s="996"/>
      <c r="H40" s="1082"/>
      <c r="I40" s="336">
        <v>0.05</v>
      </c>
      <c r="J40" s="1023"/>
      <c r="K40" s="996"/>
      <c r="L40" s="1082"/>
      <c r="M40" s="336">
        <v>0.05</v>
      </c>
      <c r="N40" s="1023"/>
      <c r="O40" s="996"/>
      <c r="P40" s="1082"/>
      <c r="Q40" s="336">
        <v>0.05</v>
      </c>
      <c r="R40" s="1023"/>
      <c r="S40" s="996"/>
      <c r="T40" s="1082"/>
      <c r="U40" s="336">
        <v>0.05</v>
      </c>
      <c r="V40" s="924"/>
    </row>
    <row r="41" spans="1:61" ht="17.649999999999999" customHeight="1" x14ac:dyDescent="0.25">
      <c r="A41" s="42"/>
      <c r="B41" s="913" t="s">
        <v>390</v>
      </c>
      <c r="C41" s="869"/>
      <c r="D41" s="1017"/>
      <c r="E41" s="893" t="str">
        <f>(IF(E$7="SIM",2.5+2.5+1*'R&amp;C-Painel de Controle'!$D$74,"-"))</f>
        <v>-</v>
      </c>
      <c r="F41" s="1021"/>
      <c r="G41" s="1000"/>
      <c r="H41" s="1080"/>
      <c r="I41" s="893" t="str">
        <f>(IF(I$7="SIM",2.5+2.5+1*'R&amp;C-Painel de Controle'!$D$74,"-"))</f>
        <v>-</v>
      </c>
      <c r="J41" s="1021"/>
      <c r="K41" s="1000"/>
      <c r="L41" s="1080"/>
      <c r="M41" s="893" t="str">
        <f>(IF(M$7="SIM",2.5+2.5+1*'R&amp;C-Painel de Controle'!$D$74,"-"))</f>
        <v>-</v>
      </c>
      <c r="N41" s="1021"/>
      <c r="O41" s="1000"/>
      <c r="P41" s="1080"/>
      <c r="Q41" s="893" t="str">
        <f>(IF(Q$7="SIM",2.5+2.5+1*'R&amp;C-Painel de Controle'!$D$74,"-"))</f>
        <v>-</v>
      </c>
      <c r="R41" s="1021"/>
      <c r="S41" s="1000"/>
      <c r="T41" s="1080"/>
      <c r="U41" s="894" t="str">
        <f>(IF(U$7="SIM",2.5+2.5+1*'R&amp;C-Painel de Controle'!$D$74,"-"))</f>
        <v>-</v>
      </c>
      <c r="V41" s="1039"/>
      <c r="W41" s="42"/>
      <c r="X41" s="42"/>
      <c r="Y41" s="42"/>
      <c r="Z41" s="42"/>
      <c r="AA41" s="42"/>
      <c r="AB41" s="42"/>
      <c r="AC41" s="42"/>
      <c r="AD41" s="42"/>
      <c r="AE41" s="42"/>
      <c r="AF41" s="42"/>
      <c r="AG41" s="42"/>
      <c r="AH41" s="42"/>
      <c r="AI41" s="42"/>
      <c r="AJ41" s="42"/>
      <c r="AK41" s="42"/>
      <c r="AL41" s="42"/>
      <c r="AM41" s="42"/>
      <c r="AN41" s="42"/>
      <c r="AO41" s="42"/>
      <c r="AP41" s="42"/>
      <c r="AQ41" s="42"/>
      <c r="AR41" s="42"/>
      <c r="AS41" s="42"/>
      <c r="AT41" s="42"/>
      <c r="AU41" s="42"/>
      <c r="AV41" s="42"/>
      <c r="AW41" s="42"/>
      <c r="AX41" s="42"/>
      <c r="AY41" s="42"/>
      <c r="AZ41" s="42"/>
      <c r="BA41" s="42"/>
      <c r="BB41" s="42"/>
      <c r="BC41" s="42"/>
      <c r="BD41" s="42"/>
      <c r="BE41" s="42"/>
      <c r="BF41" s="42"/>
      <c r="BG41" s="42"/>
      <c r="BH41" s="42"/>
      <c r="BI41" s="42"/>
    </row>
    <row r="42" spans="1:61" s="885" customFormat="1" ht="19.899999999999999" customHeight="1" x14ac:dyDescent="0.25">
      <c r="A42" s="881"/>
      <c r="B42" s="1012" t="s">
        <v>386</v>
      </c>
      <c r="C42" s="904"/>
      <c r="D42" s="1074">
        <v>0.1</v>
      </c>
      <c r="E42" s="887" t="str">
        <f>(IF(E$7="SIM",(E27+E32+E35+E38+E41)*(1+D42),"-"))</f>
        <v>-</v>
      </c>
      <c r="F42" s="1024"/>
      <c r="G42" s="1002"/>
      <c r="H42" s="1074">
        <v>0.1</v>
      </c>
      <c r="I42" s="887" t="str">
        <f>(IF(I$7="SIM",(I27+I32+I35+I38+I41)*(1+H42),"-"))</f>
        <v>-</v>
      </c>
      <c r="J42" s="1024"/>
      <c r="K42" s="1002"/>
      <c r="L42" s="1074">
        <v>0.1</v>
      </c>
      <c r="M42" s="887" t="str">
        <f>(IF(M$7="SIM",(M27+M32+M35+M38+M41)*(1+L42),"-"))</f>
        <v>-</v>
      </c>
      <c r="N42" s="1024"/>
      <c r="O42" s="1002"/>
      <c r="P42" s="1074">
        <v>0.1</v>
      </c>
      <c r="Q42" s="887" t="str">
        <f>(IF(Q$7="SIM",(Q27+Q32+Q35+Q38+Q41)*(1+P42),"-"))</f>
        <v>-</v>
      </c>
      <c r="R42" s="1024"/>
      <c r="S42" s="1002"/>
      <c r="T42" s="1074">
        <v>0.1</v>
      </c>
      <c r="U42" s="888" t="str">
        <f>(IF(U$7="SIM",(U27+U32+U35+U38+U41)*(1+T42),"-"))</f>
        <v>-</v>
      </c>
      <c r="V42" s="1040"/>
      <c r="W42" s="881"/>
      <c r="X42" s="881"/>
      <c r="Y42" s="881"/>
      <c r="Z42" s="881"/>
      <c r="AA42" s="881"/>
      <c r="AB42" s="881"/>
      <c r="AC42" s="881"/>
      <c r="AD42" s="881"/>
      <c r="AE42" s="881"/>
      <c r="AF42" s="881"/>
      <c r="AG42" s="881"/>
      <c r="AH42" s="881"/>
      <c r="AI42" s="881"/>
      <c r="AJ42" s="881"/>
      <c r="AK42" s="881"/>
      <c r="AL42" s="881"/>
      <c r="AM42" s="881"/>
      <c r="AN42" s="881"/>
      <c r="AO42" s="881"/>
      <c r="AP42" s="881"/>
      <c r="AQ42" s="881"/>
      <c r="AR42" s="881"/>
      <c r="AS42" s="881"/>
      <c r="AT42" s="881"/>
      <c r="AU42" s="881"/>
      <c r="AV42" s="881"/>
      <c r="AW42" s="881"/>
      <c r="AX42" s="881"/>
      <c r="AY42" s="881"/>
      <c r="AZ42" s="881"/>
      <c r="BA42" s="881"/>
      <c r="BB42" s="881"/>
      <c r="BC42" s="881"/>
      <c r="BD42" s="881"/>
      <c r="BE42" s="881"/>
      <c r="BF42" s="881"/>
      <c r="BG42" s="881"/>
      <c r="BH42" s="881"/>
      <c r="BI42" s="881"/>
    </row>
    <row r="43" spans="1:61" s="885" customFormat="1" ht="19.899999999999999" customHeight="1" x14ac:dyDescent="0.25">
      <c r="A43" s="881"/>
      <c r="B43" s="1012" t="s">
        <v>387</v>
      </c>
      <c r="C43" s="904"/>
      <c r="D43" s="1025"/>
      <c r="E43" s="886" t="str">
        <f>(IF(E$7="SIM",E42*$H$2/1000000,"-"))</f>
        <v>-</v>
      </c>
      <c r="F43" s="1026"/>
      <c r="G43" s="904"/>
      <c r="H43" s="1025"/>
      <c r="I43" s="886" t="str">
        <f>(IF(I$7="SIM",I42*$H$2/1000000,"-"))</f>
        <v>-</v>
      </c>
      <c r="J43" s="1026"/>
      <c r="K43" s="904"/>
      <c r="L43" s="1025"/>
      <c r="M43" s="886" t="str">
        <f>(IF(M$7="SIM",M42*$H$2/1000000,"-"))</f>
        <v>-</v>
      </c>
      <c r="N43" s="1026"/>
      <c r="O43" s="904"/>
      <c r="P43" s="1083"/>
      <c r="Q43" s="886" t="str">
        <f>(IF(Q$7="SIM",Q42*$H$2/1000000,"-"))</f>
        <v>-</v>
      </c>
      <c r="R43" s="1026"/>
      <c r="S43" s="904"/>
      <c r="T43" s="1025"/>
      <c r="U43" s="851" t="str">
        <f>(IF(U$7="SIM",U42*$H$2/1000000,"-"))</f>
        <v>-</v>
      </c>
      <c r="V43" s="1026"/>
      <c r="W43" s="881"/>
      <c r="X43" s="881"/>
      <c r="Y43" s="881"/>
      <c r="Z43" s="881"/>
      <c r="AA43" s="881"/>
      <c r="AB43" s="881"/>
      <c r="AC43" s="881"/>
      <c r="AD43" s="881"/>
      <c r="AE43" s="881"/>
      <c r="AF43" s="881"/>
      <c r="AG43" s="881"/>
      <c r="AH43" s="881"/>
      <c r="AI43" s="881"/>
      <c r="AJ43" s="881"/>
      <c r="AK43" s="881"/>
      <c r="AL43" s="881"/>
      <c r="AM43" s="881"/>
      <c r="AN43" s="881"/>
      <c r="AO43" s="881"/>
      <c r="AP43" s="881"/>
      <c r="AQ43" s="881"/>
      <c r="AR43" s="881"/>
      <c r="AS43" s="881"/>
      <c r="AT43" s="881"/>
      <c r="AU43" s="881"/>
      <c r="AV43" s="881"/>
      <c r="AW43" s="881"/>
      <c r="AX43" s="881"/>
      <c r="AY43" s="881"/>
      <c r="AZ43" s="881"/>
      <c r="BA43" s="881"/>
      <c r="BB43" s="881"/>
      <c r="BC43" s="881"/>
      <c r="BD43" s="881"/>
      <c r="BE43" s="881"/>
      <c r="BF43" s="881"/>
      <c r="BG43" s="881"/>
      <c r="BH43" s="881"/>
      <c r="BI43" s="881"/>
    </row>
    <row r="44" spans="1:61" ht="17.649999999999999" customHeight="1" x14ac:dyDescent="0.25">
      <c r="B44" s="1013" t="s">
        <v>388</v>
      </c>
      <c r="C44" s="869"/>
      <c r="D44" s="1020"/>
      <c r="E44" s="895" t="str">
        <f>(IF(E$7="SIM",(((E27*$H$2/12)+(E34/1000*'R&amp;C-Painel de Controle'!$D$69*12)+(E37*12)+(E39*E40*12))/1000000),"-"))</f>
        <v>-</v>
      </c>
      <c r="F44" s="1027"/>
      <c r="G44" s="869"/>
      <c r="H44" s="1020"/>
      <c r="I44" s="895" t="str">
        <f>(IF(I$7="SIM",(((I27*$H$2/12)+(I34/1000*'R&amp;C-Painel de Controle'!$D$69*12)+(I37*12)+(I39*I40*12))/1000000),"-"))</f>
        <v>-</v>
      </c>
      <c r="J44" s="1027"/>
      <c r="K44" s="869"/>
      <c r="L44" s="1020"/>
      <c r="M44" s="895" t="str">
        <f>(IF(M$7="SIM",(((M27*$H$2/12)+(M34/1000*'R&amp;C-Painel de Controle'!$D$69*12)+(M37*12)+(M39*M40*12))/1000000),"-"))</f>
        <v>-</v>
      </c>
      <c r="N44" s="1027"/>
      <c r="O44" s="869"/>
      <c r="P44" s="1020"/>
      <c r="Q44" s="895" t="str">
        <f>(IF(Q$7="SIM",(((Q27*$H$2/12)+(Q34/1000*'R&amp;C-Painel de Controle'!$D$69*12)+(Q37*12)+(Q39*Q40*12))/1000000),"-"))</f>
        <v>-</v>
      </c>
      <c r="R44" s="1027"/>
      <c r="S44" s="869"/>
      <c r="T44" s="1020"/>
      <c r="U44" s="896" t="str">
        <f>(IF(U$7="SIM",(((U27*$H$2/12)+(U34/1000*'R&amp;C-Painel de Controle'!$D$69*12)+(U37*12)+(U39*U40*12))/1000000),"-"))</f>
        <v>-</v>
      </c>
      <c r="V44" s="1027"/>
    </row>
    <row r="45" spans="1:61" ht="17.649999999999999" customHeight="1" thickBot="1" x14ac:dyDescent="0.3">
      <c r="B45" s="1014" t="s">
        <v>389</v>
      </c>
      <c r="C45" s="869"/>
      <c r="D45" s="1028"/>
      <c r="E45" s="1029" t="str">
        <f>(IF(E$7="SIM",((E43-E44)*1000000)/$H$2,"-"))</f>
        <v>-</v>
      </c>
      <c r="F45" s="1030"/>
      <c r="G45" s="869"/>
      <c r="H45" s="1028"/>
      <c r="I45" s="1029" t="str">
        <f>(IF(I$7="SIM",((I43-I44)*1000000)/$H$2,"-"))</f>
        <v>-</v>
      </c>
      <c r="J45" s="1030"/>
      <c r="K45" s="869"/>
      <c r="L45" s="1028"/>
      <c r="M45" s="1029" t="str">
        <f>(IF(M$7="SIM",((M43-M44)*1000000)/$H$2,"-"))</f>
        <v>-</v>
      </c>
      <c r="N45" s="1030"/>
      <c r="O45" s="869"/>
      <c r="P45" s="1028"/>
      <c r="Q45" s="1029" t="str">
        <f>(IF(Q$7="SIM",((Q43-Q44)*1000000)/$H$2,"-"))</f>
        <v>-</v>
      </c>
      <c r="R45" s="1030"/>
      <c r="S45" s="869"/>
      <c r="T45" s="1028"/>
      <c r="U45" s="1041" t="str">
        <f>(IF(U$7="SIM",((U43-U44)*1000000)/$H$2,"-"))</f>
        <v>-</v>
      </c>
      <c r="V45" s="1030"/>
    </row>
    <row r="46" spans="1:61" ht="14.25" customHeight="1" thickTop="1" x14ac:dyDescent="0.25">
      <c r="B46" s="317"/>
      <c r="C46" s="316"/>
      <c r="D46" s="316"/>
      <c r="E46" s="316"/>
      <c r="F46" s="316"/>
      <c r="G46" s="316"/>
      <c r="H46" s="316"/>
      <c r="I46" s="316"/>
      <c r="J46" s="316"/>
      <c r="K46" s="316"/>
      <c r="L46" s="316"/>
      <c r="M46" s="316"/>
      <c r="N46" s="316"/>
      <c r="O46" s="316"/>
      <c r="P46" s="316"/>
      <c r="Q46" s="316"/>
      <c r="R46" s="316"/>
      <c r="S46" s="316"/>
      <c r="T46" s="316"/>
      <c r="U46" s="316"/>
      <c r="V46" s="316"/>
    </row>
    <row r="47" spans="1:61" ht="14.25" customHeight="1" x14ac:dyDescent="0.25">
      <c r="B47" s="42"/>
    </row>
    <row r="48" spans="1:61" ht="14.25" customHeight="1" x14ac:dyDescent="0.25">
      <c r="B48" s="42"/>
    </row>
    <row r="49" spans="2:2" ht="14.25" customHeight="1" x14ac:dyDescent="0.25">
      <c r="B49" s="42"/>
    </row>
    <row r="50" spans="2:2" ht="14.25" customHeight="1" x14ac:dyDescent="0.25">
      <c r="B50" s="42"/>
    </row>
    <row r="51" spans="2:2" ht="14.25" customHeight="1" x14ac:dyDescent="0.25">
      <c r="B51" s="42"/>
    </row>
    <row r="52" spans="2:2" ht="14.25" customHeight="1" x14ac:dyDescent="0.25">
      <c r="B52" s="42"/>
    </row>
    <row r="53" spans="2:2" ht="14.25" customHeight="1" x14ac:dyDescent="0.25">
      <c r="B53" s="42"/>
    </row>
    <row r="54" spans="2:2" ht="14.25" customHeight="1" x14ac:dyDescent="0.25">
      <c r="B54" s="42"/>
    </row>
    <row r="55" spans="2:2" ht="14.25" customHeight="1" x14ac:dyDescent="0.25">
      <c r="B55" s="42"/>
    </row>
    <row r="56" spans="2:2" ht="14.25" customHeight="1" x14ac:dyDescent="0.25">
      <c r="B56" s="42"/>
    </row>
    <row r="57" spans="2:2" ht="14.25" customHeight="1" x14ac:dyDescent="0.25">
      <c r="B57" s="42"/>
    </row>
    <row r="58" spans="2:2" ht="14.25" customHeight="1" x14ac:dyDescent="0.25">
      <c r="B58" s="42"/>
    </row>
    <row r="59" spans="2:2" ht="14.25" customHeight="1" x14ac:dyDescent="0.25">
      <c r="B59" s="42"/>
    </row>
    <row r="60" spans="2:2" ht="14.25" customHeight="1" x14ac:dyDescent="0.25">
      <c r="B60" s="42"/>
    </row>
    <row r="61" spans="2:2" ht="14.25" customHeight="1" x14ac:dyDescent="0.25">
      <c r="B61" s="42"/>
    </row>
    <row r="62" spans="2:2" ht="14.25" customHeight="1" x14ac:dyDescent="0.25">
      <c r="B62" s="42"/>
    </row>
    <row r="63" spans="2:2" ht="14.25" customHeight="1" x14ac:dyDescent="0.25">
      <c r="B63" s="42"/>
    </row>
    <row r="64" spans="2:2" ht="14.25" customHeight="1" x14ac:dyDescent="0.25">
      <c r="B64" s="42"/>
    </row>
    <row r="65" spans="2:2" ht="14.25" customHeight="1" x14ac:dyDescent="0.25">
      <c r="B65" s="42"/>
    </row>
    <row r="66" spans="2:2" ht="14.25" customHeight="1" x14ac:dyDescent="0.25">
      <c r="B66" s="42"/>
    </row>
    <row r="67" spans="2:2" ht="14.25" customHeight="1" x14ac:dyDescent="0.25">
      <c r="B67" s="42"/>
    </row>
    <row r="68" spans="2:2" ht="14.25" customHeight="1" x14ac:dyDescent="0.25">
      <c r="B68" s="42"/>
    </row>
    <row r="69" spans="2:2" ht="14.25" customHeight="1" x14ac:dyDescent="0.25">
      <c r="B69" s="42"/>
    </row>
    <row r="70" spans="2:2" ht="14.25" customHeight="1" x14ac:dyDescent="0.25">
      <c r="B70" s="42"/>
    </row>
    <row r="71" spans="2:2" ht="14.25" customHeight="1" x14ac:dyDescent="0.25">
      <c r="B71" s="42"/>
    </row>
    <row r="72" spans="2:2" ht="14.25" customHeight="1" x14ac:dyDescent="0.25">
      <c r="B72" s="42"/>
    </row>
    <row r="73" spans="2:2" ht="14.25" customHeight="1" x14ac:dyDescent="0.25">
      <c r="B73" s="42"/>
    </row>
    <row r="74" spans="2:2" ht="14.25" customHeight="1" x14ac:dyDescent="0.25">
      <c r="B74" s="42"/>
    </row>
    <row r="75" spans="2:2" ht="14.25" customHeight="1" x14ac:dyDescent="0.25">
      <c r="B75" s="42"/>
    </row>
    <row r="76" spans="2:2" ht="14.25" customHeight="1" x14ac:dyDescent="0.25">
      <c r="B76" s="42"/>
    </row>
    <row r="77" spans="2:2" ht="14.25" customHeight="1" x14ac:dyDescent="0.25">
      <c r="B77" s="42"/>
    </row>
    <row r="78" spans="2:2" ht="14.25" customHeight="1" x14ac:dyDescent="0.25">
      <c r="B78" s="42"/>
    </row>
    <row r="79" spans="2:2" ht="14.25" customHeight="1" x14ac:dyDescent="0.25">
      <c r="B79" s="42"/>
    </row>
    <row r="80" spans="2:2" ht="14.25" customHeight="1" x14ac:dyDescent="0.25">
      <c r="B80" s="42"/>
    </row>
    <row r="81" spans="2:2" ht="14.25" customHeight="1" x14ac:dyDescent="0.25">
      <c r="B81" s="42"/>
    </row>
    <row r="82" spans="2:2" ht="14.25" customHeight="1" x14ac:dyDescent="0.25">
      <c r="B82" s="42"/>
    </row>
    <row r="83" spans="2:2" ht="14.25" customHeight="1" x14ac:dyDescent="0.25">
      <c r="B83" s="42"/>
    </row>
    <row r="84" spans="2:2" ht="14.25" customHeight="1" x14ac:dyDescent="0.25">
      <c r="B84" s="42"/>
    </row>
    <row r="85" spans="2:2" ht="14.25" customHeight="1" x14ac:dyDescent="0.25">
      <c r="B85" s="42"/>
    </row>
    <row r="86" spans="2:2" ht="14.25" customHeight="1" x14ac:dyDescent="0.25">
      <c r="B86" s="42"/>
    </row>
    <row r="87" spans="2:2" ht="14.25" customHeight="1" x14ac:dyDescent="0.25">
      <c r="B87" s="42"/>
    </row>
    <row r="88" spans="2:2" ht="14.25" customHeight="1" x14ac:dyDescent="0.25">
      <c r="B88" s="42"/>
    </row>
    <row r="89" spans="2:2" ht="14.25" customHeight="1" x14ac:dyDescent="0.25">
      <c r="B89" s="42"/>
    </row>
    <row r="90" spans="2:2" ht="14.25" customHeight="1" x14ac:dyDescent="0.25">
      <c r="B90" s="42"/>
    </row>
    <row r="91" spans="2:2" ht="14.25" customHeight="1" x14ac:dyDescent="0.25">
      <c r="B91" s="42"/>
    </row>
    <row r="92" spans="2:2" ht="14.25" customHeight="1" x14ac:dyDescent="0.25">
      <c r="B92" s="42"/>
    </row>
    <row r="93" spans="2:2" ht="14.25" customHeight="1" x14ac:dyDescent="0.25">
      <c r="B93" s="42"/>
    </row>
    <row r="94" spans="2:2" ht="14.25" customHeight="1" x14ac:dyDescent="0.25">
      <c r="B94" s="42"/>
    </row>
    <row r="95" spans="2:2" ht="14.25" customHeight="1" x14ac:dyDescent="0.25">
      <c r="B95" s="42"/>
    </row>
    <row r="96" spans="2:2" ht="14.25" customHeight="1" x14ac:dyDescent="0.25">
      <c r="B96" s="42"/>
    </row>
    <row r="97" spans="2:2" ht="14.25" customHeight="1" x14ac:dyDescent="0.25">
      <c r="B97" s="42"/>
    </row>
    <row r="98" spans="2:2" ht="14.25" customHeight="1" x14ac:dyDescent="0.25">
      <c r="B98" s="42"/>
    </row>
    <row r="99" spans="2:2" ht="14.25" customHeight="1" x14ac:dyDescent="0.25">
      <c r="B99" s="42"/>
    </row>
    <row r="100" spans="2:2" ht="14.25" customHeight="1" x14ac:dyDescent="0.25">
      <c r="B100" s="42"/>
    </row>
    <row r="101" spans="2:2" ht="14.25" customHeight="1" x14ac:dyDescent="0.25">
      <c r="B101" s="42"/>
    </row>
    <row r="102" spans="2:2" ht="14.25" customHeight="1" x14ac:dyDescent="0.25">
      <c r="B102" s="42"/>
    </row>
    <row r="103" spans="2:2" ht="14.25" customHeight="1" x14ac:dyDescent="0.25">
      <c r="B103" s="42"/>
    </row>
    <row r="104" spans="2:2" ht="14.25" customHeight="1" x14ac:dyDescent="0.25">
      <c r="B104" s="42"/>
    </row>
  </sheetData>
  <sheetProtection algorithmName="SHA-512" hashValue="hwbljrNphii82wMllbHFjWmyLvaJSgLub70sw34VM/ZTxX+V4fh5Q0djgg5GxDRVgA0vN3LYznsfqX1ONjPNEA==" saltValue="G6sde6p03Su6fAp8WgUKKg==" spinCount="100000" sheet="1" objects="1" scenarios="1"/>
  <mergeCells count="5">
    <mergeCell ref="B9:B11"/>
    <mergeCell ref="D9:V9"/>
    <mergeCell ref="Q2:R2"/>
    <mergeCell ref="U2:V2"/>
    <mergeCell ref="B1:B3"/>
  </mergeCells>
  <conditionalFormatting sqref="U18">
    <cfRule type="expression" dxfId="344" priority="49">
      <formula>U$7="NÃO"</formula>
    </cfRule>
  </conditionalFormatting>
  <conditionalFormatting sqref="U18">
    <cfRule type="expression" dxfId="343" priority="50">
      <formula>U$7= "SIM"</formula>
    </cfRule>
  </conditionalFormatting>
  <conditionalFormatting sqref="U19">
    <cfRule type="expression" dxfId="342" priority="47">
      <formula>U$7="NÃO"</formula>
    </cfRule>
  </conditionalFormatting>
  <conditionalFormatting sqref="U19">
    <cfRule type="expression" dxfId="341" priority="48">
      <formula>U$7= "SIM"</formula>
    </cfRule>
  </conditionalFormatting>
  <conditionalFormatting sqref="Q15">
    <cfRule type="expression" dxfId="340" priority="45">
      <formula>Q$7="NÃO"</formula>
    </cfRule>
  </conditionalFormatting>
  <conditionalFormatting sqref="Q15">
    <cfRule type="expression" dxfId="339" priority="46">
      <formula>Q$7= "SIM"</formula>
    </cfRule>
  </conditionalFormatting>
  <conditionalFormatting sqref="Q16">
    <cfRule type="expression" dxfId="338" priority="43">
      <formula>Q$7="NÃO"</formula>
    </cfRule>
  </conditionalFormatting>
  <conditionalFormatting sqref="Q16">
    <cfRule type="expression" dxfId="337" priority="44">
      <formula>Q$7= "SIM"</formula>
    </cfRule>
  </conditionalFormatting>
  <conditionalFormatting sqref="Q17">
    <cfRule type="expression" dxfId="336" priority="41">
      <formula>Q$7="NÃO"</formula>
    </cfRule>
  </conditionalFormatting>
  <conditionalFormatting sqref="Q17">
    <cfRule type="expression" dxfId="335" priority="42">
      <formula>Q$7= "SIM"</formula>
    </cfRule>
  </conditionalFormatting>
  <conditionalFormatting sqref="Q18">
    <cfRule type="expression" dxfId="334" priority="39">
      <formula>Q$7="NÃO"</formula>
    </cfRule>
  </conditionalFormatting>
  <conditionalFormatting sqref="Q18">
    <cfRule type="expression" dxfId="333" priority="40">
      <formula>Q$7= "SIM"</formula>
    </cfRule>
  </conditionalFormatting>
  <conditionalFormatting sqref="Q19">
    <cfRule type="expression" dxfId="332" priority="37">
      <formula>Q$7="NÃO"</formula>
    </cfRule>
  </conditionalFormatting>
  <conditionalFormatting sqref="Q19">
    <cfRule type="expression" dxfId="331" priority="38">
      <formula>Q$7= "SIM"</formula>
    </cfRule>
  </conditionalFormatting>
  <conditionalFormatting sqref="M15">
    <cfRule type="expression" dxfId="330" priority="35">
      <formula>M$7="NÃO"</formula>
    </cfRule>
  </conditionalFormatting>
  <conditionalFormatting sqref="M15">
    <cfRule type="expression" dxfId="329" priority="36">
      <formula>M$7= "SIM"</formula>
    </cfRule>
  </conditionalFormatting>
  <conditionalFormatting sqref="M16">
    <cfRule type="expression" dxfId="328" priority="33">
      <formula>M$7="NÃO"</formula>
    </cfRule>
  </conditionalFormatting>
  <conditionalFormatting sqref="M16">
    <cfRule type="expression" dxfId="327" priority="34">
      <formula>M$7= "SIM"</formula>
    </cfRule>
  </conditionalFormatting>
  <conditionalFormatting sqref="M17">
    <cfRule type="expression" dxfId="326" priority="31">
      <formula>M$7="NÃO"</formula>
    </cfRule>
  </conditionalFormatting>
  <conditionalFormatting sqref="M17">
    <cfRule type="expression" dxfId="325" priority="32">
      <formula>M$7= "SIM"</formula>
    </cfRule>
  </conditionalFormatting>
  <conditionalFormatting sqref="M18">
    <cfRule type="expression" dxfId="324" priority="29">
      <formula>M$7="NÃO"</formula>
    </cfRule>
  </conditionalFormatting>
  <conditionalFormatting sqref="M18">
    <cfRule type="expression" dxfId="323" priority="30">
      <formula>M$7= "SIM"</formula>
    </cfRule>
  </conditionalFormatting>
  <conditionalFormatting sqref="M19">
    <cfRule type="expression" dxfId="322" priority="27">
      <formula>M$7="NÃO"</formula>
    </cfRule>
  </conditionalFormatting>
  <conditionalFormatting sqref="M19">
    <cfRule type="expression" dxfId="321" priority="28">
      <formula>M$7= "SIM"</formula>
    </cfRule>
  </conditionalFormatting>
  <conditionalFormatting sqref="I15">
    <cfRule type="expression" dxfId="320" priority="25">
      <formula>I$7="NÃO"</formula>
    </cfRule>
  </conditionalFormatting>
  <conditionalFormatting sqref="I15">
    <cfRule type="expression" dxfId="319" priority="26">
      <formula>I$7= "SIM"</formula>
    </cfRule>
  </conditionalFormatting>
  <conditionalFormatting sqref="I16">
    <cfRule type="expression" dxfId="318" priority="23">
      <formula>I$7="NÃO"</formula>
    </cfRule>
  </conditionalFormatting>
  <conditionalFormatting sqref="I16">
    <cfRule type="expression" dxfId="317" priority="24">
      <formula>I$7= "SIM"</formula>
    </cfRule>
  </conditionalFormatting>
  <conditionalFormatting sqref="I17">
    <cfRule type="expression" dxfId="316" priority="21">
      <formula>I$7="NÃO"</formula>
    </cfRule>
  </conditionalFormatting>
  <conditionalFormatting sqref="I17">
    <cfRule type="expression" dxfId="315" priority="22">
      <formula>I$7= "SIM"</formula>
    </cfRule>
  </conditionalFormatting>
  <conditionalFormatting sqref="I18">
    <cfRule type="expression" dxfId="314" priority="19">
      <formula>I$7="NÃO"</formula>
    </cfRule>
  </conditionalFormatting>
  <conditionalFormatting sqref="I18">
    <cfRule type="expression" dxfId="313" priority="20">
      <formula>I$7= "SIM"</formula>
    </cfRule>
  </conditionalFormatting>
  <conditionalFormatting sqref="I19">
    <cfRule type="expression" dxfId="312" priority="17">
      <formula>I$7="NÃO"</formula>
    </cfRule>
  </conditionalFormatting>
  <conditionalFormatting sqref="I19">
    <cfRule type="expression" dxfId="311" priority="18">
      <formula>I$7= "SIM"</formula>
    </cfRule>
  </conditionalFormatting>
  <conditionalFormatting sqref="E15">
    <cfRule type="expression" dxfId="310" priority="15">
      <formula>E$7="NÃO"</formula>
    </cfRule>
  </conditionalFormatting>
  <conditionalFormatting sqref="E15">
    <cfRule type="expression" dxfId="309" priority="16">
      <formula>E$7= "SIM"</formula>
    </cfRule>
  </conditionalFormatting>
  <conditionalFormatting sqref="E16">
    <cfRule type="expression" dxfId="308" priority="13">
      <formula>E$7="NÃO"</formula>
    </cfRule>
  </conditionalFormatting>
  <conditionalFormatting sqref="E16">
    <cfRule type="expression" dxfId="307" priority="14">
      <formula>E$7= "SIM"</formula>
    </cfRule>
  </conditionalFormatting>
  <conditionalFormatting sqref="E17">
    <cfRule type="expression" dxfId="306" priority="11">
      <formula>E$7="NÃO"</formula>
    </cfRule>
  </conditionalFormatting>
  <conditionalFormatting sqref="E17">
    <cfRule type="expression" dxfId="305" priority="12">
      <formula>E$7= "SIM"</formula>
    </cfRule>
  </conditionalFormatting>
  <conditionalFormatting sqref="E18">
    <cfRule type="expression" dxfId="304" priority="9">
      <formula>E$7="NÃO"</formula>
    </cfRule>
  </conditionalFormatting>
  <conditionalFormatting sqref="E18">
    <cfRule type="expression" dxfId="303" priority="10">
      <formula>E$7= "SIM"</formula>
    </cfRule>
  </conditionalFormatting>
  <conditionalFormatting sqref="E19">
    <cfRule type="expression" dxfId="302" priority="7">
      <formula>E$7="NÃO"</formula>
    </cfRule>
  </conditionalFormatting>
  <conditionalFormatting sqref="E19">
    <cfRule type="expression" dxfId="301" priority="8">
      <formula>E$7= "SIM"</formula>
    </cfRule>
  </conditionalFormatting>
  <conditionalFormatting sqref="I7 E7 M7 Q7 U7">
    <cfRule type="expression" dxfId="300" priority="3">
      <formula>E$7="NÃO"</formula>
    </cfRule>
  </conditionalFormatting>
  <conditionalFormatting sqref="I7 E7 M7 Q7 U7">
    <cfRule type="expression" dxfId="299" priority="4">
      <formula>E$7= "SIM"</formula>
    </cfRule>
  </conditionalFormatting>
  <conditionalFormatting sqref="E35 E27:E28 M27:M28 I27:I28 Q27:Q28 U27:U28 E38 E32 I32 M32 Q32 U32 I38 M38 Q38 U38 U41:U45 Q41:Q45 M41:M45 I41:I45 E41:E45 Q35 I35 U35 M35">
    <cfRule type="expression" dxfId="298" priority="57">
      <formula>E$7="NÃO"</formula>
    </cfRule>
  </conditionalFormatting>
  <conditionalFormatting sqref="E35 E27:E28 M27:M28 I27:I28 Q27:Q28 U27:U28 E38 E32 I32 M32 Q32 U32 I38 M38 Q38 U38 U41:U45 Q41:Q45 M41:M45 I41:I45 E41:E45 Q35 I35 U35 M35">
    <cfRule type="expression" dxfId="297" priority="58">
      <formula>E$7= "SIM"</formula>
    </cfRule>
  </conditionalFormatting>
  <conditionalFormatting sqref="U15">
    <cfRule type="expression" dxfId="296" priority="55">
      <formula>U$7="NÃO"</formula>
    </cfRule>
  </conditionalFormatting>
  <conditionalFormatting sqref="U15">
    <cfRule type="expression" dxfId="295" priority="56">
      <formula>U$7= "SIM"</formula>
    </cfRule>
  </conditionalFormatting>
  <conditionalFormatting sqref="U16">
    <cfRule type="expression" dxfId="294" priority="53">
      <formula>U$7="NÃO"</formula>
    </cfRule>
  </conditionalFormatting>
  <conditionalFormatting sqref="U16">
    <cfRule type="expression" dxfId="293" priority="54">
      <formula>U$7= "SIM"</formula>
    </cfRule>
  </conditionalFormatting>
  <conditionalFormatting sqref="U17">
    <cfRule type="expression" dxfId="292" priority="51">
      <formula>U$7="NÃO"</formula>
    </cfRule>
  </conditionalFormatting>
  <conditionalFormatting sqref="U17">
    <cfRule type="expression" dxfId="291" priority="52">
      <formula>U$7= "SIM"</formula>
    </cfRule>
  </conditionalFormatting>
  <conditionalFormatting sqref="L2">
    <cfRule type="expression" dxfId="290" priority="1">
      <formula>L$2="NÃO"</formula>
    </cfRule>
  </conditionalFormatting>
  <conditionalFormatting sqref="L2">
    <cfRule type="expression" dxfId="289" priority="2">
      <formula>L$2= "SIM"</formula>
    </cfRule>
  </conditionalFormatting>
  <conditionalFormatting sqref="D2">
    <cfRule type="expression" dxfId="288" priority="5">
      <formula>AND($L$2="Sim",$D$2&lt;$D$11)</formula>
    </cfRule>
  </conditionalFormatting>
  <conditionalFormatting sqref="D2">
    <cfRule type="expression" dxfId="287" priority="6">
      <formula>AND($L$2="Sim",$D$2&gt;$V$11)</formula>
    </cfRule>
  </conditionalFormatting>
  <pageMargins left="0.511811024" right="0.511811024" top="0.78740157499999996" bottom="0.78740157499999996" header="0" footer="0"/>
  <pageSetup paperSize="9" orientation="portrait"/>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outlinePr summaryBelow="0"/>
  </sheetPr>
  <dimension ref="A1:BI104"/>
  <sheetViews>
    <sheetView zoomScale="75" zoomScaleNormal="75" workbookViewId="0">
      <selection activeCell="D12" sqref="D12"/>
    </sheetView>
  </sheetViews>
  <sheetFormatPr defaultColWidth="14.42578125" defaultRowHeight="15" customHeight="1" outlineLevelRow="1" x14ac:dyDescent="0.25"/>
  <cols>
    <col min="1" max="1" width="1.7109375" customWidth="1"/>
    <col min="2" max="2" width="60.7109375" customWidth="1"/>
    <col min="3" max="3" width="1.7109375" customWidth="1"/>
    <col min="4" max="4" width="11.7109375" customWidth="1"/>
    <col min="5" max="5" width="15.7109375" customWidth="1"/>
    <col min="6" max="6" width="11.7109375" customWidth="1"/>
    <col min="7" max="7" width="1.7109375" customWidth="1"/>
    <col min="8" max="8" width="11.7109375" customWidth="1"/>
    <col min="9" max="9" width="15.7109375" customWidth="1"/>
    <col min="10" max="10" width="11.7109375" customWidth="1"/>
    <col min="11" max="11" width="1.7109375" customWidth="1"/>
    <col min="12" max="12" width="11.7109375" customWidth="1"/>
    <col min="13" max="13" width="15.7109375" customWidth="1"/>
    <col min="14" max="14" width="11.7109375" customWidth="1"/>
    <col min="15" max="15" width="1.7109375" customWidth="1"/>
    <col min="16" max="16" width="11.7109375" customWidth="1"/>
    <col min="17" max="17" width="15.7109375" customWidth="1"/>
    <col min="18" max="18" width="11.7109375" customWidth="1"/>
    <col min="19" max="19" width="1.7109375" customWidth="1"/>
    <col min="20" max="20" width="11.7109375" customWidth="1"/>
    <col min="21" max="21" width="15.7109375" customWidth="1"/>
    <col min="22" max="22" width="11.7109375" customWidth="1"/>
    <col min="23" max="23" width="8.42578125" hidden="1" customWidth="1"/>
    <col min="24" max="24" width="8" hidden="1" customWidth="1"/>
    <col min="25" max="26" width="7.42578125" hidden="1" customWidth="1"/>
    <col min="27" max="27" width="8" hidden="1" customWidth="1"/>
    <col min="28" max="61" width="8.7109375" customWidth="1"/>
  </cols>
  <sheetData>
    <row r="1" spans="1:61" ht="19.899999999999999" customHeight="1" x14ac:dyDescent="0.25">
      <c r="A1" s="406"/>
      <c r="B1" s="2950" t="s">
        <v>768</v>
      </c>
      <c r="C1" s="433"/>
      <c r="D1" s="433"/>
      <c r="E1" s="433"/>
      <c r="F1" s="433"/>
      <c r="G1" s="433"/>
      <c r="H1" s="433"/>
      <c r="I1" s="433"/>
      <c r="J1" s="433"/>
      <c r="K1" s="433"/>
      <c r="L1" s="433"/>
      <c r="M1" s="433"/>
      <c r="N1" s="433"/>
      <c r="O1" s="433"/>
      <c r="P1" s="433"/>
      <c r="Q1" s="433"/>
      <c r="R1" s="433"/>
      <c r="S1" s="433"/>
      <c r="T1" s="433"/>
      <c r="U1" s="433"/>
      <c r="V1" s="433"/>
      <c r="W1" s="33"/>
      <c r="X1" s="33"/>
      <c r="Y1" s="33"/>
      <c r="Z1" s="33"/>
      <c r="AA1" s="33"/>
      <c r="AB1" s="33"/>
      <c r="AC1" s="33"/>
      <c r="AD1" s="33"/>
      <c r="AE1" s="33"/>
      <c r="AF1" s="33"/>
      <c r="AG1" s="33"/>
      <c r="AH1" s="33"/>
      <c r="AI1" s="33"/>
      <c r="AJ1" s="33"/>
      <c r="AK1" s="33"/>
      <c r="AL1" s="33"/>
      <c r="AM1" s="33"/>
      <c r="AN1" s="33"/>
      <c r="AO1" s="33"/>
      <c r="AP1" s="33"/>
      <c r="AQ1" s="33"/>
      <c r="AR1" s="33"/>
      <c r="AS1" s="33"/>
      <c r="AT1" s="33"/>
      <c r="AU1" s="33"/>
      <c r="AV1" s="33"/>
      <c r="AW1" s="33"/>
      <c r="AX1" s="33"/>
      <c r="AY1" s="33"/>
      <c r="AZ1" s="33"/>
      <c r="BA1" s="33"/>
      <c r="BB1" s="33"/>
      <c r="BC1" s="33"/>
      <c r="BD1" s="33"/>
      <c r="BE1" s="33"/>
      <c r="BF1" s="33"/>
      <c r="BG1" s="33"/>
      <c r="BH1" s="33"/>
      <c r="BI1" s="33"/>
    </row>
    <row r="2" spans="1:61" ht="19.899999999999999" customHeight="1" x14ac:dyDescent="0.3">
      <c r="A2" s="434"/>
      <c r="B2" s="2950"/>
      <c r="C2" s="436"/>
      <c r="D2" s="899">
        <f>'R-Resumo Bal. Massa'!B31*(1+'R&amp;C-Painel de Controle'!H62)</f>
        <v>0</v>
      </c>
      <c r="E2" s="900" t="s">
        <v>21</v>
      </c>
      <c r="H2" s="1105">
        <f>D2*313</f>
        <v>0</v>
      </c>
      <c r="I2" s="1104" t="s">
        <v>249</v>
      </c>
      <c r="L2" s="1086" t="str">
        <f>IF(D2&gt;0,"Sim","Não")</f>
        <v>Não</v>
      </c>
      <c r="M2" s="431"/>
      <c r="N2" s="431"/>
      <c r="O2" s="431"/>
      <c r="P2" s="1106" t="s">
        <v>436</v>
      </c>
      <c r="Q2" s="2941" t="str">
        <f>'R-Definição'!D2</f>
        <v>CIRSOP - Consórcio RSU Oeste Paulista</v>
      </c>
      <c r="R2" s="2942"/>
      <c r="S2" s="429"/>
      <c r="T2" s="1106" t="s">
        <v>437</v>
      </c>
      <c r="U2" s="2941" t="str">
        <f>'R-Definição'!D3</f>
        <v>Biodigestão c/ Prod. E. Elétrica</v>
      </c>
      <c r="V2" s="2942"/>
      <c r="W2" s="47"/>
      <c r="X2" s="47"/>
      <c r="Y2" s="47"/>
      <c r="Z2" s="47"/>
      <c r="AA2" s="47"/>
      <c r="AB2" s="47"/>
      <c r="AC2" s="47"/>
      <c r="AD2" s="47"/>
      <c r="AE2" s="47"/>
      <c r="AF2" s="47"/>
      <c r="AG2" s="47"/>
      <c r="AH2" s="47"/>
      <c r="AI2" s="47"/>
      <c r="AJ2" s="47"/>
      <c r="AK2" s="47"/>
      <c r="AL2" s="47"/>
      <c r="AM2" s="47"/>
      <c r="AN2" s="47"/>
      <c r="AO2" s="47"/>
      <c r="AP2" s="47"/>
      <c r="AQ2" s="47"/>
      <c r="AR2" s="47"/>
      <c r="AS2" s="47"/>
      <c r="AT2" s="47"/>
      <c r="AU2" s="47"/>
      <c r="AV2" s="47"/>
      <c r="AW2" s="47"/>
      <c r="AX2" s="47"/>
      <c r="AY2" s="47"/>
      <c r="AZ2" s="47"/>
      <c r="BA2" s="47"/>
      <c r="BB2" s="47"/>
      <c r="BC2" s="47"/>
      <c r="BD2" s="47"/>
      <c r="BE2" s="47"/>
      <c r="BF2" s="47"/>
      <c r="BG2" s="47"/>
      <c r="BH2" s="47"/>
      <c r="BI2" s="47"/>
    </row>
    <row r="3" spans="1:61" ht="19.899999999999999" customHeight="1" x14ac:dyDescent="0.25">
      <c r="A3" s="406"/>
      <c r="B3" s="2950"/>
      <c r="C3" s="427"/>
      <c r="D3" s="426"/>
      <c r="E3" s="426"/>
      <c r="F3" s="426"/>
      <c r="G3" s="426"/>
      <c r="H3" s="426"/>
      <c r="I3" s="426"/>
      <c r="J3" s="426"/>
      <c r="K3" s="426"/>
      <c r="L3" s="426"/>
      <c r="M3" s="426"/>
      <c r="N3" s="426"/>
      <c r="O3" s="431"/>
      <c r="P3" s="426"/>
      <c r="Q3" s="426"/>
      <c r="R3" s="426"/>
      <c r="S3" s="426"/>
      <c r="T3" s="426"/>
      <c r="U3" s="426"/>
      <c r="V3" s="426"/>
      <c r="W3" s="33"/>
      <c r="X3" s="33"/>
      <c r="Y3" s="33"/>
      <c r="Z3" s="33"/>
      <c r="AA3" s="33"/>
      <c r="AB3" s="33"/>
      <c r="AC3" s="33"/>
      <c r="AD3" s="33"/>
      <c r="AE3" s="33"/>
      <c r="AF3" s="33"/>
      <c r="AG3" s="33"/>
      <c r="AH3" s="33"/>
      <c r="AI3" s="33"/>
      <c r="AJ3" s="33"/>
      <c r="AK3" s="33"/>
      <c r="AL3" s="33"/>
      <c r="AM3" s="33"/>
      <c r="AN3" s="33"/>
      <c r="AO3" s="33"/>
      <c r="AP3" s="33"/>
      <c r="AQ3" s="33"/>
      <c r="AR3" s="33"/>
      <c r="AS3" s="33"/>
      <c r="AT3" s="33"/>
      <c r="AU3" s="33"/>
      <c r="AV3" s="33"/>
      <c r="AW3" s="33"/>
      <c r="AX3" s="33"/>
      <c r="AY3" s="33"/>
      <c r="AZ3" s="33"/>
      <c r="BA3" s="33"/>
      <c r="BB3" s="33"/>
      <c r="BC3" s="33"/>
      <c r="BD3" s="33"/>
      <c r="BE3" s="33"/>
      <c r="BF3" s="33"/>
      <c r="BG3" s="33"/>
      <c r="BH3" s="33"/>
      <c r="BI3" s="33"/>
    </row>
    <row r="4" spans="1:61" ht="7.5" customHeight="1" x14ac:dyDescent="0.25">
      <c r="A4" s="406"/>
      <c r="B4" s="683"/>
      <c r="C4" s="403"/>
      <c r="D4" s="1061"/>
      <c r="E4" s="1061"/>
      <c r="F4" s="1061"/>
      <c r="G4" s="403"/>
      <c r="H4" s="1061"/>
      <c r="I4" s="1061"/>
      <c r="J4" s="1061"/>
      <c r="K4" s="403"/>
      <c r="L4" s="1061"/>
      <c r="M4" s="1061"/>
      <c r="N4" s="1061"/>
      <c r="O4" s="403"/>
      <c r="P4" s="1061"/>
      <c r="Q4" s="1061"/>
      <c r="R4" s="1061"/>
      <c r="S4" s="905"/>
      <c r="T4" s="1061"/>
      <c r="U4" s="1061"/>
      <c r="V4" s="906"/>
      <c r="W4" s="33"/>
      <c r="X4" s="33"/>
      <c r="Y4" s="33"/>
      <c r="Z4" s="33"/>
      <c r="AA4" s="33"/>
      <c r="AB4" s="33"/>
      <c r="AC4" s="33"/>
      <c r="AD4" s="33"/>
      <c r="AE4" s="33"/>
      <c r="AF4" s="33"/>
      <c r="AG4" s="33"/>
      <c r="AH4" s="33"/>
      <c r="AI4" s="33"/>
      <c r="AJ4" s="33"/>
      <c r="AK4" s="33"/>
      <c r="AL4" s="33"/>
      <c r="AM4" s="33"/>
      <c r="AN4" s="33"/>
      <c r="AO4" s="33"/>
      <c r="AP4" s="33"/>
      <c r="AQ4" s="33"/>
      <c r="AR4" s="33"/>
      <c r="AS4" s="33"/>
      <c r="AT4" s="33"/>
      <c r="AU4" s="33"/>
      <c r="AV4" s="33"/>
      <c r="AW4" s="33"/>
      <c r="AX4" s="33"/>
      <c r="AY4" s="33"/>
      <c r="AZ4" s="33"/>
      <c r="BA4" s="33"/>
      <c r="BB4" s="33"/>
      <c r="BC4" s="33"/>
      <c r="BD4" s="33"/>
      <c r="BE4" s="33"/>
      <c r="BF4" s="33"/>
      <c r="BG4" s="33"/>
      <c r="BH4" s="33"/>
      <c r="BI4" s="33"/>
    </row>
    <row r="5" spans="1:61" ht="17.649999999999999" customHeight="1" x14ac:dyDescent="0.25">
      <c r="A5" s="406"/>
      <c r="B5" s="865" t="s">
        <v>755</v>
      </c>
      <c r="C5" s="437"/>
      <c r="D5" s="1110">
        <v>4</v>
      </c>
      <c r="E5" s="870" t="s">
        <v>766</v>
      </c>
      <c r="F5" s="868"/>
      <c r="G5" s="868"/>
      <c r="H5" s="868"/>
      <c r="I5" s="868"/>
      <c r="J5" s="868"/>
      <c r="K5" s="868"/>
      <c r="L5" s="868"/>
      <c r="M5" s="868"/>
      <c r="N5" s="868"/>
      <c r="O5" s="868"/>
      <c r="P5" s="868"/>
      <c r="Q5" s="868"/>
      <c r="R5" s="868"/>
      <c r="S5" s="868"/>
      <c r="T5" s="868"/>
      <c r="U5" s="868"/>
      <c r="V5" s="317"/>
      <c r="W5" s="33"/>
      <c r="X5" s="33"/>
      <c r="Y5" s="33"/>
      <c r="Z5" s="33"/>
      <c r="AA5" s="33"/>
      <c r="AB5" s="33"/>
      <c r="AC5" s="33"/>
      <c r="AD5" s="33"/>
      <c r="AE5" s="33"/>
      <c r="AF5" s="33"/>
      <c r="AG5" s="33"/>
      <c r="AH5" s="33"/>
      <c r="AI5" s="33"/>
      <c r="AJ5" s="33"/>
      <c r="AK5" s="33"/>
      <c r="AL5" s="33"/>
      <c r="AM5" s="33"/>
      <c r="AN5" s="33"/>
      <c r="AO5" s="33"/>
      <c r="AP5" s="33"/>
      <c r="AQ5" s="33"/>
      <c r="AR5" s="33"/>
      <c r="AS5" s="33"/>
      <c r="AT5" s="33"/>
      <c r="AU5" s="33"/>
      <c r="AV5" s="33"/>
      <c r="AW5" s="33"/>
      <c r="AX5" s="33"/>
      <c r="AY5" s="33"/>
      <c r="AZ5" s="33"/>
      <c r="BA5" s="33"/>
      <c r="BB5" s="33"/>
      <c r="BC5" s="33"/>
      <c r="BD5" s="33"/>
      <c r="BE5" s="33"/>
      <c r="BF5" s="33"/>
      <c r="BG5" s="33"/>
      <c r="BH5" s="33"/>
      <c r="BI5" s="33"/>
    </row>
    <row r="6" spans="1:61" ht="7.5" customHeight="1" x14ac:dyDescent="0.25">
      <c r="A6" s="406"/>
      <c r="B6" s="683"/>
      <c r="C6" s="403"/>
      <c r="D6" s="1061"/>
      <c r="E6" s="1061"/>
      <c r="F6" s="1061"/>
      <c r="G6" s="403"/>
      <c r="H6" s="1061"/>
      <c r="I6" s="1061"/>
      <c r="J6" s="1061"/>
      <c r="K6" s="403"/>
      <c r="L6" s="1061"/>
      <c r="M6" s="1061"/>
      <c r="N6" s="1061"/>
      <c r="O6" s="403"/>
      <c r="P6" s="1061"/>
      <c r="Q6" s="1061"/>
      <c r="R6" s="1061"/>
      <c r="S6" s="905"/>
      <c r="T6" s="1061"/>
      <c r="U6" s="1061"/>
      <c r="V6" s="906"/>
      <c r="W6" s="33"/>
      <c r="X6" s="33"/>
      <c r="Y6" s="33"/>
      <c r="Z6" s="33"/>
      <c r="AA6" s="33"/>
      <c r="AB6" s="33"/>
      <c r="AC6" s="33"/>
      <c r="AD6" s="33"/>
      <c r="AE6" s="33"/>
      <c r="AF6" s="33"/>
      <c r="AG6" s="33"/>
      <c r="AH6" s="33"/>
      <c r="AI6" s="33"/>
      <c r="AJ6" s="33"/>
      <c r="AK6" s="33"/>
      <c r="AL6" s="33"/>
      <c r="AM6" s="33"/>
      <c r="AN6" s="33"/>
      <c r="AO6" s="33"/>
      <c r="AP6" s="33"/>
      <c r="AQ6" s="33"/>
      <c r="AR6" s="33"/>
      <c r="AS6" s="33"/>
      <c r="AT6" s="33"/>
      <c r="AU6" s="33"/>
      <c r="AV6" s="33"/>
      <c r="AW6" s="33"/>
      <c r="AX6" s="33"/>
      <c r="AY6" s="33"/>
      <c r="AZ6" s="33"/>
      <c r="BA6" s="33"/>
      <c r="BB6" s="33"/>
      <c r="BC6" s="33"/>
      <c r="BD6" s="33"/>
      <c r="BE6" s="33"/>
      <c r="BF6" s="33"/>
      <c r="BG6" s="33"/>
      <c r="BH6" s="33"/>
      <c r="BI6" s="33"/>
    </row>
    <row r="7" spans="1:61" ht="19.899999999999999" customHeight="1" x14ac:dyDescent="0.25">
      <c r="A7" s="406"/>
      <c r="B7" s="849"/>
      <c r="C7" s="849"/>
      <c r="D7" s="849"/>
      <c r="E7" s="1054" t="str">
        <f>IF(AND(L2="Sim",$D$2&gt;D11,$D$2&lt;=F11),"SIM","NÃO")</f>
        <v>NÃO</v>
      </c>
      <c r="F7" s="853"/>
      <c r="G7" s="849"/>
      <c r="H7" s="853"/>
      <c r="I7" s="1090" t="str">
        <f>IF(AND(L2="Sim",$D$2&gt;H11,$D$2&lt;=J11),"SIM","NÃO")</f>
        <v>NÃO</v>
      </c>
      <c r="J7" s="853"/>
      <c r="K7" s="849"/>
      <c r="L7" s="853"/>
      <c r="M7" s="1054" t="str">
        <f>IF(AND(L2="Sim",$D$2&gt;L11,$D$2&lt;=N11),"SIM","NÃO")</f>
        <v>NÃO</v>
      </c>
      <c r="N7" s="853"/>
      <c r="O7" s="1088"/>
      <c r="P7" s="853"/>
      <c r="Q7" s="1054" t="str">
        <f>IF(AND(L2="Sim",$D$2&gt;P11,$D$2&lt;=R11),"SIM","NÃO")</f>
        <v>NÃO</v>
      </c>
      <c r="R7" s="853"/>
      <c r="S7" s="849"/>
      <c r="T7" s="853"/>
      <c r="U7" s="1091" t="str">
        <f>IF(AND(L2="Sim",$D$2&gt;T11,$D$2&lt;=V11*1.5),"SIM","NÃO")</f>
        <v>NÃO</v>
      </c>
      <c r="V7" s="849"/>
      <c r="W7" s="33"/>
      <c r="X7" s="33"/>
      <c r="Y7" s="33"/>
      <c r="Z7" s="33"/>
      <c r="AA7" s="33"/>
      <c r="AB7" s="33"/>
      <c r="AC7" s="33"/>
      <c r="AD7" s="33"/>
      <c r="AE7" s="33"/>
      <c r="AF7" s="33"/>
      <c r="AG7" s="33"/>
      <c r="AH7" s="33"/>
      <c r="AI7" s="33"/>
      <c r="AJ7" s="33"/>
      <c r="AK7" s="33"/>
      <c r="AL7" s="33"/>
      <c r="AM7" s="33"/>
      <c r="AN7" s="33"/>
      <c r="AO7" s="33"/>
      <c r="AP7" s="33"/>
      <c r="AQ7" s="33"/>
      <c r="AR7" s="33"/>
      <c r="AS7" s="33"/>
      <c r="AT7" s="33"/>
      <c r="AU7" s="33"/>
      <c r="AV7" s="33"/>
      <c r="AW7" s="33"/>
      <c r="AX7" s="33"/>
      <c r="AY7" s="33"/>
      <c r="AZ7" s="33"/>
      <c r="BA7" s="33"/>
      <c r="BB7" s="33"/>
      <c r="BC7" s="33"/>
      <c r="BD7" s="33"/>
      <c r="BE7" s="33"/>
      <c r="BF7" s="33"/>
      <c r="BG7" s="33"/>
      <c r="BH7" s="33"/>
      <c r="BI7" s="33"/>
    </row>
    <row r="8" spans="1:61" ht="7.5" customHeight="1" thickBot="1" x14ac:dyDescent="0.3">
      <c r="A8" s="406"/>
      <c r="B8" s="683"/>
      <c r="C8" s="403"/>
      <c r="D8" s="1061"/>
      <c r="E8" s="1061"/>
      <c r="F8" s="1061"/>
      <c r="G8" s="403"/>
      <c r="H8" s="1061"/>
      <c r="I8" s="1061"/>
      <c r="J8" s="1061"/>
      <c r="K8" s="403"/>
      <c r="L8" s="1061"/>
      <c r="M8" s="1061"/>
      <c r="N8" s="1061"/>
      <c r="O8" s="403"/>
      <c r="P8" s="1061"/>
      <c r="Q8" s="1061"/>
      <c r="R8" s="1061"/>
      <c r="S8" s="905"/>
      <c r="T8" s="1061"/>
      <c r="U8" s="1061"/>
      <c r="V8" s="906"/>
      <c r="W8" s="33"/>
      <c r="X8" s="33"/>
      <c r="Y8" s="33"/>
      <c r="Z8" s="33"/>
      <c r="AA8" s="33"/>
      <c r="AB8" s="33"/>
      <c r="AC8" s="33"/>
      <c r="AD8" s="33"/>
      <c r="AE8" s="33"/>
      <c r="AF8" s="33"/>
      <c r="AG8" s="33"/>
      <c r="AH8" s="33"/>
      <c r="AI8" s="33"/>
      <c r="AJ8" s="33"/>
      <c r="AK8" s="33"/>
      <c r="AL8" s="33"/>
      <c r="AM8" s="33"/>
      <c r="AN8" s="33"/>
      <c r="AO8" s="33"/>
      <c r="AP8" s="33"/>
      <c r="AQ8" s="33"/>
      <c r="AR8" s="33"/>
      <c r="AS8" s="33"/>
      <c r="AT8" s="33"/>
      <c r="AU8" s="33"/>
      <c r="AV8" s="33"/>
      <c r="AW8" s="33"/>
      <c r="AX8" s="33"/>
      <c r="AY8" s="33"/>
      <c r="AZ8" s="33"/>
      <c r="BA8" s="33"/>
      <c r="BB8" s="33"/>
      <c r="BC8" s="33"/>
      <c r="BD8" s="33"/>
      <c r="BE8" s="33"/>
      <c r="BF8" s="33"/>
      <c r="BG8" s="33"/>
      <c r="BH8" s="33"/>
      <c r="BI8" s="33"/>
    </row>
    <row r="9" spans="1:61" s="882" customFormat="1" ht="17.649999999999999" customHeight="1" thickTop="1" thickBot="1" x14ac:dyDescent="0.35">
      <c r="A9" s="883"/>
      <c r="B9" s="2944" t="s">
        <v>640</v>
      </c>
      <c r="C9" s="901"/>
      <c r="D9" s="2947" t="s">
        <v>647</v>
      </c>
      <c r="E9" s="2948"/>
      <c r="F9" s="2948"/>
      <c r="G9" s="2948"/>
      <c r="H9" s="2948"/>
      <c r="I9" s="2948"/>
      <c r="J9" s="2948"/>
      <c r="K9" s="2948"/>
      <c r="L9" s="2948"/>
      <c r="M9" s="2948"/>
      <c r="N9" s="2948"/>
      <c r="O9" s="2948"/>
      <c r="P9" s="2948"/>
      <c r="Q9" s="2948"/>
      <c r="R9" s="2948"/>
      <c r="S9" s="2948"/>
      <c r="T9" s="2948"/>
      <c r="U9" s="2948"/>
      <c r="V9" s="2949"/>
      <c r="W9" s="885"/>
      <c r="X9" s="885"/>
      <c r="Y9" s="885"/>
      <c r="Z9" s="885"/>
      <c r="AA9" s="885"/>
      <c r="AB9" s="885"/>
      <c r="AC9" s="885"/>
      <c r="AD9" s="885"/>
      <c r="AE9" s="885"/>
      <c r="AF9" s="885"/>
      <c r="AG9" s="885"/>
      <c r="AH9" s="885"/>
      <c r="AI9" s="885"/>
      <c r="AJ9" s="885"/>
      <c r="AK9" s="885"/>
      <c r="AL9" s="885"/>
      <c r="AM9" s="885"/>
      <c r="AN9" s="885"/>
      <c r="AO9" s="885"/>
      <c r="AP9" s="885"/>
      <c r="AQ9" s="885"/>
      <c r="AR9" s="885"/>
      <c r="AS9" s="885"/>
      <c r="AT9" s="885"/>
      <c r="AU9" s="885"/>
      <c r="AV9" s="885"/>
      <c r="AW9" s="885"/>
      <c r="AX9" s="885"/>
      <c r="AY9" s="885"/>
      <c r="AZ9" s="885"/>
      <c r="BA9" s="885"/>
      <c r="BB9" s="885"/>
      <c r="BC9" s="885"/>
      <c r="BD9" s="885"/>
      <c r="BE9" s="885"/>
      <c r="BF9" s="885"/>
      <c r="BG9" s="885"/>
      <c r="BH9" s="885"/>
      <c r="BI9" s="885"/>
    </row>
    <row r="10" spans="1:61" s="882" customFormat="1" ht="7.5" customHeight="1" x14ac:dyDescent="0.3">
      <c r="A10" s="883"/>
      <c r="B10" s="2945"/>
      <c r="C10" s="901"/>
      <c r="D10" s="1072"/>
      <c r="E10" s="898"/>
      <c r="F10" s="898"/>
      <c r="G10" s="850"/>
      <c r="H10" s="898"/>
      <c r="I10" s="898"/>
      <c r="J10" s="898"/>
      <c r="K10" s="850"/>
      <c r="L10" s="898"/>
      <c r="M10" s="898"/>
      <c r="N10" s="898"/>
      <c r="O10" s="850"/>
      <c r="P10" s="898"/>
      <c r="Q10" s="898"/>
      <c r="R10" s="898"/>
      <c r="S10" s="850"/>
      <c r="T10" s="898"/>
      <c r="U10" s="898"/>
      <c r="V10" s="1073"/>
      <c r="W10" s="885"/>
      <c r="X10" s="885"/>
      <c r="Y10" s="885"/>
      <c r="Z10" s="885"/>
      <c r="AA10" s="885"/>
      <c r="AB10" s="885"/>
      <c r="AC10" s="885"/>
      <c r="AD10" s="885"/>
      <c r="AE10" s="885"/>
      <c r="AF10" s="885"/>
      <c r="AG10" s="885"/>
      <c r="AH10" s="885"/>
      <c r="AI10" s="885"/>
      <c r="AJ10" s="885"/>
      <c r="AK10" s="885"/>
      <c r="AL10" s="885"/>
      <c r="AM10" s="885"/>
      <c r="AN10" s="885"/>
      <c r="AO10" s="885"/>
      <c r="AP10" s="885"/>
      <c r="AQ10" s="885"/>
      <c r="AR10" s="885"/>
      <c r="AS10" s="885"/>
      <c r="AT10" s="885"/>
      <c r="AU10" s="885"/>
      <c r="AV10" s="885"/>
      <c r="AW10" s="885"/>
      <c r="AX10" s="885"/>
      <c r="AY10" s="885"/>
      <c r="AZ10" s="885"/>
      <c r="BA10" s="885"/>
      <c r="BB10" s="885"/>
      <c r="BC10" s="885"/>
      <c r="BD10" s="885"/>
      <c r="BE10" s="885"/>
      <c r="BF10" s="885"/>
      <c r="BG10" s="885"/>
      <c r="BH10" s="885"/>
      <c r="BI10" s="885"/>
    </row>
    <row r="11" spans="1:61" s="882" customFormat="1" ht="17.649999999999999" customHeight="1" thickBot="1" x14ac:dyDescent="0.35">
      <c r="A11" s="883"/>
      <c r="B11" s="2946"/>
      <c r="C11" s="901"/>
      <c r="D11" s="1064">
        <v>5</v>
      </c>
      <c r="E11" s="1066" t="s">
        <v>21</v>
      </c>
      <c r="F11" s="1066">
        <v>350</v>
      </c>
      <c r="G11" s="1067"/>
      <c r="H11" s="1066">
        <f>F11</f>
        <v>350</v>
      </c>
      <c r="I11" s="1066" t="s">
        <v>21</v>
      </c>
      <c r="J11" s="1066">
        <v>500</v>
      </c>
      <c r="K11" s="1067"/>
      <c r="L11" s="1066">
        <f>J11</f>
        <v>500</v>
      </c>
      <c r="M11" s="1066" t="s">
        <v>21</v>
      </c>
      <c r="N11" s="1066">
        <v>1000</v>
      </c>
      <c r="O11" s="1067"/>
      <c r="P11" s="1066">
        <f>N11</f>
        <v>1000</v>
      </c>
      <c r="Q11" s="1066" t="s">
        <v>21</v>
      </c>
      <c r="R11" s="1066">
        <v>1500</v>
      </c>
      <c r="S11" s="1067"/>
      <c r="T11" s="1066">
        <f>R11</f>
        <v>1500</v>
      </c>
      <c r="U11" s="1066" t="s">
        <v>21</v>
      </c>
      <c r="V11" s="1068">
        <v>2000</v>
      </c>
      <c r="W11" s="885"/>
      <c r="X11" s="885"/>
      <c r="Y11" s="885"/>
      <c r="Z11" s="885"/>
      <c r="AA11" s="885"/>
      <c r="AB11" s="885"/>
      <c r="AC11" s="885"/>
      <c r="AD11" s="885"/>
      <c r="AE11" s="885"/>
      <c r="AF11" s="885"/>
      <c r="AG11" s="885"/>
      <c r="AH11" s="885"/>
      <c r="AI11" s="885"/>
      <c r="AJ11" s="885"/>
      <c r="AK11" s="885"/>
      <c r="AL11" s="885"/>
      <c r="AM11" s="885"/>
      <c r="AN11" s="885"/>
      <c r="AO11" s="885"/>
      <c r="AP11" s="885"/>
      <c r="AQ11" s="885"/>
      <c r="AR11" s="885"/>
      <c r="AS11" s="885"/>
      <c r="AT11" s="885"/>
      <c r="AU11" s="885"/>
      <c r="AV11" s="885"/>
      <c r="AW11" s="885"/>
      <c r="AX11" s="885"/>
      <c r="AY11" s="885"/>
      <c r="AZ11" s="885"/>
      <c r="BA11" s="885"/>
      <c r="BB11" s="885"/>
      <c r="BC11" s="885"/>
      <c r="BD11" s="885"/>
      <c r="BE11" s="885"/>
      <c r="BF11" s="885"/>
      <c r="BG11" s="885"/>
      <c r="BH11" s="885"/>
      <c r="BI11" s="885"/>
    </row>
    <row r="12" spans="1:61" ht="15" customHeight="1" thickTop="1" thickBot="1" x14ac:dyDescent="0.3">
      <c r="A12" s="406"/>
      <c r="B12" s="1070"/>
      <c r="C12" s="751"/>
      <c r="D12" s="1071"/>
      <c r="E12" s="1071"/>
      <c r="F12" s="1071"/>
      <c r="G12" s="751"/>
      <c r="H12" s="1071"/>
      <c r="I12" s="1071"/>
      <c r="J12" s="1071"/>
      <c r="K12" s="751"/>
      <c r="L12" s="1071"/>
      <c r="M12" s="1071"/>
      <c r="N12" s="1071"/>
      <c r="O12" s="751"/>
      <c r="P12" s="1071"/>
      <c r="Q12" s="1071"/>
      <c r="R12" s="1071"/>
      <c r="S12" s="751"/>
      <c r="T12" s="1071"/>
      <c r="U12" s="1071"/>
      <c r="V12" s="1071"/>
      <c r="W12" s="33"/>
      <c r="X12" s="33"/>
      <c r="Y12" s="33"/>
      <c r="Z12" s="33"/>
      <c r="AA12" s="33"/>
      <c r="AB12" s="33"/>
      <c r="AC12" s="33"/>
      <c r="AD12" s="33"/>
      <c r="AE12" s="33"/>
      <c r="AF12" s="33"/>
      <c r="AG12" s="33"/>
      <c r="AH12" s="33"/>
      <c r="AI12" s="33"/>
      <c r="AJ12" s="33"/>
      <c r="AK12" s="33"/>
      <c r="AL12" s="33"/>
      <c r="AM12" s="33"/>
      <c r="AN12" s="33"/>
      <c r="AO12" s="33"/>
      <c r="AP12" s="33"/>
      <c r="AQ12" s="33"/>
      <c r="AR12" s="33"/>
      <c r="AS12" s="33"/>
      <c r="AT12" s="33"/>
      <c r="AU12" s="33"/>
      <c r="AV12" s="33"/>
      <c r="AW12" s="33"/>
      <c r="AX12" s="33"/>
      <c r="AY12" s="33"/>
      <c r="AZ12" s="33"/>
      <c r="BA12" s="33"/>
      <c r="BB12" s="33"/>
      <c r="BC12" s="33"/>
      <c r="BD12" s="33"/>
      <c r="BE12" s="33"/>
      <c r="BF12" s="33"/>
      <c r="BG12" s="33"/>
      <c r="BH12" s="33"/>
      <c r="BI12" s="33"/>
    </row>
    <row r="13" spans="1:61" s="882" customFormat="1" ht="19.899999999999999" customHeight="1" thickTop="1" thickBot="1" x14ac:dyDescent="0.35">
      <c r="A13" s="883"/>
      <c r="B13" s="977" t="s">
        <v>443</v>
      </c>
      <c r="C13" s="903"/>
      <c r="D13" s="979" t="s">
        <v>754</v>
      </c>
      <c r="E13" s="980" t="s">
        <v>442</v>
      </c>
      <c r="F13" s="981" t="s">
        <v>289</v>
      </c>
      <c r="G13" s="869"/>
      <c r="H13" s="979" t="s">
        <v>754</v>
      </c>
      <c r="I13" s="980" t="s">
        <v>442</v>
      </c>
      <c r="J13" s="981" t="s">
        <v>289</v>
      </c>
      <c r="K13" s="869"/>
      <c r="L13" s="979" t="s">
        <v>754</v>
      </c>
      <c r="M13" s="980" t="s">
        <v>442</v>
      </c>
      <c r="N13" s="981" t="s">
        <v>289</v>
      </c>
      <c r="O13" s="869"/>
      <c r="P13" s="979" t="s">
        <v>754</v>
      </c>
      <c r="Q13" s="980" t="s">
        <v>442</v>
      </c>
      <c r="R13" s="981" t="s">
        <v>289</v>
      </c>
      <c r="S13" s="869"/>
      <c r="T13" s="979" t="s">
        <v>754</v>
      </c>
      <c r="U13" s="980" t="s">
        <v>442</v>
      </c>
      <c r="V13" s="981" t="s">
        <v>289</v>
      </c>
      <c r="W13" s="885"/>
      <c r="X13" s="885"/>
      <c r="Y13" s="885"/>
      <c r="Z13" s="885"/>
      <c r="AA13" s="885"/>
      <c r="AB13" s="885"/>
      <c r="AC13" s="885"/>
      <c r="AD13" s="885"/>
      <c r="AE13" s="885"/>
      <c r="AF13" s="885"/>
      <c r="AG13" s="885"/>
      <c r="AH13" s="885"/>
      <c r="AI13" s="885"/>
      <c r="AJ13" s="885"/>
      <c r="AK13" s="885"/>
      <c r="AL13" s="885"/>
      <c r="AM13" s="885"/>
      <c r="AN13" s="885"/>
      <c r="AO13" s="885"/>
      <c r="AP13" s="885"/>
      <c r="AQ13" s="885"/>
      <c r="AR13" s="885"/>
      <c r="AS13" s="885"/>
      <c r="AT13" s="885"/>
      <c r="AU13" s="885"/>
      <c r="AV13" s="885"/>
      <c r="AW13" s="885"/>
      <c r="AX13" s="885"/>
      <c r="AY13" s="885"/>
      <c r="AZ13" s="885"/>
      <c r="BA13" s="885"/>
      <c r="BB13" s="885"/>
      <c r="BC13" s="885"/>
      <c r="BD13" s="885"/>
      <c r="BE13" s="885"/>
      <c r="BF13" s="885"/>
      <c r="BG13" s="885"/>
      <c r="BH13" s="885"/>
      <c r="BI13" s="885"/>
    </row>
    <row r="14" spans="1:61" ht="7.5" customHeight="1" x14ac:dyDescent="0.25">
      <c r="A14" s="406"/>
      <c r="B14" s="1009"/>
      <c r="C14" s="903"/>
      <c r="D14" s="1015"/>
      <c r="E14" s="331"/>
      <c r="F14" s="924"/>
      <c r="G14" s="903"/>
      <c r="H14" s="1015"/>
      <c r="I14" s="331"/>
      <c r="J14" s="924"/>
      <c r="K14" s="903"/>
      <c r="L14" s="1015"/>
      <c r="M14" s="331"/>
      <c r="N14" s="924"/>
      <c r="O14" s="903"/>
      <c r="P14" s="1015"/>
      <c r="Q14" s="331"/>
      <c r="R14" s="924"/>
      <c r="S14" s="903"/>
      <c r="T14" s="1015"/>
      <c r="U14" s="331"/>
      <c r="V14" s="924"/>
      <c r="W14" s="33"/>
      <c r="X14" s="33"/>
      <c r="Y14" s="33"/>
      <c r="Z14" s="33"/>
      <c r="AA14" s="33"/>
      <c r="AB14" s="33"/>
      <c r="AC14" s="33"/>
      <c r="AD14" s="33"/>
      <c r="AE14" s="33"/>
      <c r="AF14" s="33"/>
      <c r="AG14" s="33"/>
      <c r="AH14" s="33"/>
      <c r="AI14" s="33"/>
      <c r="AJ14" s="33"/>
      <c r="AK14" s="33"/>
      <c r="AL14" s="33"/>
      <c r="AM14" s="33"/>
      <c r="AN14" s="33"/>
      <c r="AO14" s="33"/>
      <c r="AP14" s="33"/>
      <c r="AQ14" s="33"/>
      <c r="AR14" s="33"/>
      <c r="AS14" s="33"/>
      <c r="AT14" s="33"/>
      <c r="AU14" s="33"/>
      <c r="AV14" s="33"/>
      <c r="AW14" s="33"/>
      <c r="AX14" s="33"/>
      <c r="AY14" s="33"/>
      <c r="AZ14" s="33"/>
      <c r="BA14" s="33"/>
      <c r="BB14" s="33"/>
      <c r="BC14" s="33"/>
      <c r="BD14" s="33"/>
      <c r="BE14" s="33"/>
      <c r="BF14" s="33"/>
      <c r="BG14" s="33"/>
      <c r="BH14" s="33"/>
      <c r="BI14" s="33"/>
    </row>
    <row r="15" spans="1:61" ht="17.649999999999999" customHeight="1" x14ac:dyDescent="0.25">
      <c r="A15" s="407"/>
      <c r="B15" s="913" t="s">
        <v>376</v>
      </c>
      <c r="C15" s="869"/>
      <c r="D15" s="1075">
        <v>101</v>
      </c>
      <c r="E15" s="846" t="str">
        <f>IF(E7="SIM",((((H15*(($D$2-D11)/(F11-D11))*$H$2/1000)*E21*$D$5*(1+'R&amp;C-Painel de Controle'!$D$61)+(H15*(($D$2-D11)/(F11-D11))*$H$2/1000)*(1-E21)*'R&amp;C-Painel de Controle'!$D$52*(1+'R&amp;C-Painel de Controle'!$D$54)))+(((D15*((F11-$D$2)/(F11-D11))*$H$2/1000)*E21*$D$5*(1+'R&amp;C-Painel de Controle'!$D$61)+(D15*((F11-$D$2)/(F11-D11))*$H$2/1000)*(1-E21)*'R&amp;C-Painel de Controle'!$D$52*(1+'R&amp;C-Painel de Controle'!$D$54))))/1000, "-")</f>
        <v>-</v>
      </c>
      <c r="F15" s="917">
        <v>0.1</v>
      </c>
      <c r="G15" s="869"/>
      <c r="H15" s="1075">
        <v>85</v>
      </c>
      <c r="I15" s="846" t="str">
        <f>IF(I7="SIM",((((L15*(($D$2-H11)/(J11-H11))*$H$2/1000)*I21*$D$5*(1+'R&amp;C-Painel de Controle'!$D$61)+(L15*(($D$2-H11)/(J11-H11))*$H$2/1000)*(1-I21)*'R&amp;C-Painel de Controle'!$D$52*(1+'R&amp;C-Painel de Controle'!$D$54)))+(((H15*((J11-$D$2)/(J11-H11))*$H$2/1000)*I21*$D$5*(1+'R&amp;C-Painel de Controle'!$D$61)+(H15*((J11-$D$2)/(J11-H11))*$H$2/1000)*(1-I21)*'R&amp;C-Painel de Controle'!$D$52*(1+'R&amp;C-Painel de Controle'!$D$54))))/1000, "-")</f>
        <v>-</v>
      </c>
      <c r="J15" s="917">
        <v>0.1</v>
      </c>
      <c r="K15" s="869"/>
      <c r="L15" s="1075">
        <v>73</v>
      </c>
      <c r="M15" s="846" t="str">
        <f>IF(M7="SIM",((((P15*(($D$2-L11)/(N11-L11))*$H$2/1000)*M21*$D$5*(1+'R&amp;C-Painel de Controle'!$D$61)+(P15*(($D$2-L11)/(N11-L11))*$H$2/1000)*(1-M21)*'R&amp;C-Painel de Controle'!$D$52*(1+'R&amp;C-Painel de Controle'!$D$54)))+(((L15*((N11-$D$2)/(N11-L11))*$H$2/1000)*M21*$D$5*(1+'R&amp;C-Painel de Controle'!$D$61)+(L15*((N11-$D$2)/(N11-L11))*$H$2/1000)*(1-M21)*'R&amp;C-Painel de Controle'!$D$52*(1+'R&amp;C-Painel de Controle'!$D$54))))/1000, "-")</f>
        <v>-</v>
      </c>
      <c r="N15" s="917">
        <v>0.1</v>
      </c>
      <c r="O15" s="869"/>
      <c r="P15" s="1075">
        <f>L15</f>
        <v>73</v>
      </c>
      <c r="Q15" s="846" t="str">
        <f>IF(Q7="SIM",((((T15*(($D$2-P11)/(R11-P11))*$H$2/1000)*Q21*$D$5*(1+'R&amp;C-Painel de Controle'!$D$61)+(T15*(($D$2-P11)/(R11-P11))*$H$2/1000)*(1-Q21)*'R&amp;C-Painel de Controle'!$D$52*(1+'R&amp;C-Painel de Controle'!$D$54)))+(((P15*((R11-$D$2)/(R11-P11))*$H$2/1000)*Q21*$D$5*(1+'R&amp;C-Painel de Controle'!$D$61)+(P15*((R11-$D$2)/(R11-P11))*$H$2/1000)*(1-Q21)*'R&amp;C-Painel de Controle'!$D$52*(1+'R&amp;C-Painel de Controle'!$D$54))))/1000, "-")</f>
        <v>-</v>
      </c>
      <c r="R15" s="917">
        <v>0.1</v>
      </c>
      <c r="S15" s="993"/>
      <c r="T15" s="1075">
        <f>P15</f>
        <v>73</v>
      </c>
      <c r="U15" s="846" t="str">
        <f>IF(U7="SIM",((((73*(($D$2-T11)/(V11-T11))*$H$2/1000)*U21*$D$5*(1+'R&amp;C-Painel de Controle'!$D$61)+(73*(($D$2-T11)/(V11-T11))*$H$2/1000)*(1-U21)*'R&amp;C-Painel de Controle'!$D$52*(1+'R&amp;C-Painel de Controle'!$D$54)))+(((T15*((V11-$D$2)/(V11-T11))*$H$2/1000)*U21*$D$5*(1+'R&amp;C-Painel de Controle'!$D$61)+(T15*((V11-$D$2)/(V11-T11))*$H$2/1000)*(1-U21)*'R&amp;C-Painel de Controle'!$D$52*(1+'R&amp;C-Painel de Controle'!$D$54))))/1000, "-")</f>
        <v>-</v>
      </c>
      <c r="V15" s="917">
        <v>0.1</v>
      </c>
      <c r="W15" s="35">
        <v>58.29077250000001</v>
      </c>
      <c r="X15" s="35">
        <v>70.147408124999998</v>
      </c>
      <c r="Y15" s="35">
        <v>114.38780625000001</v>
      </c>
      <c r="Z15" s="35">
        <v>190.64634375</v>
      </c>
      <c r="AA15" s="35">
        <v>266.90488125000002</v>
      </c>
      <c r="AB15" s="42"/>
      <c r="AC15" s="42"/>
      <c r="AD15" s="42"/>
      <c r="AE15" s="42"/>
      <c r="AF15" s="42"/>
      <c r="AG15" s="42"/>
      <c r="AH15" s="42"/>
      <c r="AI15" s="42"/>
      <c r="AJ15" s="42"/>
      <c r="AK15" s="42"/>
      <c r="AL15" s="42"/>
      <c r="AM15" s="42"/>
      <c r="AN15" s="42"/>
      <c r="AO15" s="42"/>
      <c r="AP15" s="42"/>
      <c r="AQ15" s="42"/>
      <c r="AR15" s="42"/>
      <c r="AS15" s="42"/>
      <c r="AT15" s="42"/>
      <c r="AU15" s="42"/>
      <c r="AV15" s="42"/>
      <c r="AW15" s="42"/>
      <c r="AX15" s="42"/>
      <c r="AY15" s="42"/>
      <c r="AZ15" s="42"/>
      <c r="BA15" s="42"/>
      <c r="BB15" s="42"/>
      <c r="BC15" s="42"/>
      <c r="BD15" s="42"/>
      <c r="BE15" s="42"/>
      <c r="BF15" s="42"/>
      <c r="BG15" s="42"/>
      <c r="BH15" s="42"/>
      <c r="BI15" s="42"/>
    </row>
    <row r="16" spans="1:61" ht="17.649999999999999" customHeight="1" x14ac:dyDescent="0.25">
      <c r="A16" s="407"/>
      <c r="B16" s="913" t="s">
        <v>641</v>
      </c>
      <c r="C16" s="869"/>
      <c r="D16" s="918">
        <v>70</v>
      </c>
      <c r="E16" s="846" t="str">
        <f>IF(E7="SIM",(((((H16*(($D$2-D11)/(F11-D11))*$H$2/1000)*E21*$D$5*(1+'R&amp;C-Painel de Controle'!$D$54)*(1+'R&amp;C-Painel de Controle'!$D$61)+(H16*(($D$2-D11)/(F11-D11))*$H$2/1000)*(1-E21)*'R&amp;C-Painel de Controle'!$D$52*(1+'R&amp;C-Painel de Controle'!$D$54)))+(((D16*((F11-$D$2)/(F11-D11))*$H$2/1000)*E21*$D$5*(1+'R&amp;C-Painel de Controle'!$D$54)*(1+'R&amp;C-Painel de Controle'!$D$61)+(D16*((F11-$D$2)/(F11-D11))*$H$2/1000)*(1-E21)*'R&amp;C-Painel de Controle'!$D$52*(1+'R&amp;C-Painel de Controle'!$D$54))))/1000*(1+('R&amp;C-Painel de Controle'!$D$59-5000)/5000)+(D17-F17)*'R&amp;C-Painel de Controle'!$D$57/1000000)*(0.65*(1+'R&amp;C-Painel de Controle'!$D$61)+0.35*(1+('R&amp;C-Painel de Controle'!$D$59-5000)/5000)), "-")</f>
        <v>-</v>
      </c>
      <c r="F16" s="919">
        <v>0.05</v>
      </c>
      <c r="G16" s="869"/>
      <c r="H16" s="918">
        <v>53</v>
      </c>
      <c r="I16" s="846" t="str">
        <f>IF(I7="SIM",(((((L16*(($D$2-H11)/(J11-H11))*$H$2/1000)*I21*$D$5*(1+'R&amp;C-Painel de Controle'!$D$54)*(1+'R&amp;C-Painel de Controle'!$D$61)+(L16*(($D$2-H11)/(J11-H11))*$H$2/1000)*(1-I21)*'R&amp;C-Painel de Controle'!$D$52*(1+'R&amp;C-Painel de Controle'!$D$54)))+(((H16*((J11-$D$2)/(J11-H11))*$H$2/1000)*I21*$D$5*(1+'R&amp;C-Painel de Controle'!$D$54)*(1+'R&amp;C-Painel de Controle'!$D$61)+(H16*((J11-$D$2)/(J11-H11))*$H$2/1000)*(1-I21)*'R&amp;C-Painel de Controle'!$D$52*(1+'R&amp;C-Painel de Controle'!$D$54))))/1000*(1+('R&amp;C-Painel de Controle'!$D$59-5000)/5000)+(H17-J17)*'R&amp;C-Painel de Controle'!$D$57/1000000)*(0.65*(1+'R&amp;C-Painel de Controle'!$D$61)+0.35*(1+('R&amp;C-Painel de Controle'!$D$59-5000)/5000)), "-")</f>
        <v>-</v>
      </c>
      <c r="J16" s="919">
        <v>0.05</v>
      </c>
      <c r="K16" s="869"/>
      <c r="L16" s="918">
        <v>38</v>
      </c>
      <c r="M16" s="846" t="str">
        <f>IF(M7="SIM",(((((P16*(($D$2-L11)/(N11-L11))*$H$2/1000)*M21*$D$5*(1+'R&amp;C-Painel de Controle'!$D$54)*(1+'R&amp;C-Painel de Controle'!$D$61)+(P16*(($D$2-L11)/(N11-L11))*$H$2/1000)*(1-M21)*'R&amp;C-Painel de Controle'!$D$52*(1+'R&amp;C-Painel de Controle'!$D$54)))+(((L16*((N11-$D$2)/(N11-L11))*$H$2/1000)*M21*$D$5*(1+'R&amp;C-Painel de Controle'!$D$54)*(1+'R&amp;C-Painel de Controle'!$D$61)+(L16*((N11-$D$2)/(N11-L11))*$H$2/1000)*(1-M21)*'R&amp;C-Painel de Controle'!$D$52*(1+'R&amp;C-Painel de Controle'!$D$54))))/1000*(1+('R&amp;C-Painel de Controle'!$D$59-5000)/5000)+(L17-N17)*'R&amp;C-Painel de Controle'!$D$57/1000000)*(0.65*(1+'R&amp;C-Painel de Controle'!$D$61)+0.35*(1+('R&amp;C-Painel de Controle'!$D$59-5000)/5000)), "-")</f>
        <v>-</v>
      </c>
      <c r="N16" s="919">
        <v>0.05</v>
      </c>
      <c r="O16" s="869"/>
      <c r="P16" s="918">
        <f>L16</f>
        <v>38</v>
      </c>
      <c r="Q16" s="846" t="str">
        <f>IF(Q7="SIM",(((((T16*(($D$2-P11)/(R11-P11))*$H$2/1000)*Q21*$D$5*(1+'R&amp;C-Painel de Controle'!$D$54)*(1+'R&amp;C-Painel de Controle'!$D$61)+(T16*(($D$2-P11)/(R11-P11))*$H$2/1000)*(1-Q21)*'R&amp;C-Painel de Controle'!$D$52*(1+'R&amp;C-Painel de Controle'!$D$54)))+(((P16*((R11-$D$2)/(R11-P11))*$H$2/1000)*Q21*$D$5*(1+'R&amp;C-Painel de Controle'!$D$54)*(1+'R&amp;C-Painel de Controle'!$D$61)+(P16*((R11-$D$2)/(R11-P11))*$H$2/1000)*(1-Q21)*'R&amp;C-Painel de Controle'!$D$52*(1+'R&amp;C-Painel de Controle'!$D$54))))/1000*(1+('R&amp;C-Painel de Controle'!$D$59-5000)/5000)+(P17-R17)*'R&amp;C-Painel de Controle'!$D$57/1000000)*(0.65*(1+'R&amp;C-Painel de Controle'!$D$61)+0.35*(1+('R&amp;C-Painel de Controle'!$D$59-5000)/5000)), "-")</f>
        <v>-</v>
      </c>
      <c r="R16" s="919">
        <v>0.05</v>
      </c>
      <c r="S16" s="993"/>
      <c r="T16" s="918">
        <f>P16</f>
        <v>38</v>
      </c>
      <c r="U16" s="846" t="str">
        <f>IF(U7="SIM",(((((38*(($D$2-T11)/(V11-T11))*$H$2/1000)*U21*$D$5*(1+'R&amp;C-Painel de Controle'!$D$54)*(1+'R&amp;C-Painel de Controle'!$D$61)+(38*(($D$2-T11)/(V11-T11))*$H$2/1000)*(1-U21)*'R&amp;C-Painel de Controle'!$D$52*(1+'R&amp;C-Painel de Controle'!$D$54)))+(((T16*((V11-$D$2)/(V11-T11))*$H$2/1000)*U21*$D$5*(1+'R&amp;C-Painel de Controle'!$D$54)*(1+'R&amp;C-Painel de Controle'!$D$61)+(T16*((V11-$D$2)/(V11-T11))*$H$2/1000)*(1-U21)*'R&amp;C-Painel de Controle'!$D$52*(1+'R&amp;C-Painel de Controle'!$D$54))))/1000*(1+('R&amp;C-Painel de Controle'!$D$59-5000)/5000)+(T17-V17)*'R&amp;C-Painel de Controle'!$D$57/1000000)*(0.65*(1+'R&amp;C-Painel de Controle'!$D$61)+0.35*(1+('R&amp;C-Painel de Controle'!$D$59-5000)/5000)), "-")</f>
        <v>-</v>
      </c>
      <c r="V16" s="919">
        <v>0.05</v>
      </c>
      <c r="W16" s="35">
        <v>40.786862102191982</v>
      </c>
      <c r="X16" s="35">
        <v>43.828243683249724</v>
      </c>
      <c r="Y16" s="35">
        <v>64.175298458218904</v>
      </c>
      <c r="Z16" s="35">
        <v>104.79544085006964</v>
      </c>
      <c r="AA16" s="50">
        <v>145.27056424149947</v>
      </c>
      <c r="AB16" s="42"/>
      <c r="AC16" s="42"/>
      <c r="AD16" s="42"/>
      <c r="AE16" s="42"/>
      <c r="AF16" s="42"/>
      <c r="AG16" s="42"/>
      <c r="AH16" s="42"/>
      <c r="AI16" s="42"/>
      <c r="AJ16" s="42"/>
      <c r="AK16" s="42"/>
      <c r="AL16" s="42"/>
      <c r="AM16" s="42"/>
      <c r="AN16" s="42"/>
      <c r="AO16" s="42"/>
      <c r="AP16" s="42"/>
      <c r="AQ16" s="42"/>
      <c r="AR16" s="42"/>
      <c r="AS16" s="42"/>
      <c r="AT16" s="42"/>
      <c r="AU16" s="42"/>
      <c r="AV16" s="42"/>
      <c r="AW16" s="42"/>
      <c r="AX16" s="42"/>
      <c r="AY16" s="42"/>
      <c r="AZ16" s="42"/>
      <c r="BA16" s="42"/>
      <c r="BB16" s="42"/>
      <c r="BC16" s="42"/>
      <c r="BD16" s="42"/>
      <c r="BE16" s="42"/>
      <c r="BF16" s="42"/>
      <c r="BG16" s="42"/>
      <c r="BH16" s="42"/>
      <c r="BI16" s="42"/>
    </row>
    <row r="17" spans="1:61" ht="17.649999999999999" customHeight="1" x14ac:dyDescent="0.25">
      <c r="A17" s="407"/>
      <c r="B17" s="913" t="s">
        <v>753</v>
      </c>
      <c r="C17" s="869"/>
      <c r="D17" s="920">
        <f>2*(20*(20+(SQRT(F17))+20))+2*(20*(F17/(SQRT(F17))))+F17</f>
        <v>11266.502622129181</v>
      </c>
      <c r="E17" s="846" t="str">
        <f>(IF(E$7="SIM",('R&amp;C-Painel de Controle'!$D$55+0.25)*D17/1000000,"-"))</f>
        <v>-</v>
      </c>
      <c r="F17" s="921">
        <f>(25+75+50+25)*25</f>
        <v>4375</v>
      </c>
      <c r="G17" s="869"/>
      <c r="H17" s="920">
        <f>2*(20*(20+(SQRT(J17))+20))+2*(20*(J17/(SQRT(J17))))+J17</f>
        <v>23044.271909999159</v>
      </c>
      <c r="I17" s="846" t="str">
        <f>(IF(I$7="SIM",('R&amp;C-Painel de Controle'!$D$55+0.25)*H17/1000000,"-"))</f>
        <v>-</v>
      </c>
      <c r="J17" s="921">
        <f>(25+125+75+25)*50</f>
        <v>12500</v>
      </c>
      <c r="K17" s="869"/>
      <c r="L17" s="920">
        <f>2*(20*(20+(SQRT(N17))+20))+2*(20*(N17/(SQRT(N17))))+N17</f>
        <v>39249.11064067352</v>
      </c>
      <c r="M17" s="846" t="str">
        <f>(IF(M$7="SIM",('R&amp;C-Painel de Controle'!$D$55+0.25)*L17/1000000,"-"))</f>
        <v>-</v>
      </c>
      <c r="N17" s="921">
        <f>2*(25+125+75+25)*50</f>
        <v>25000</v>
      </c>
      <c r="O17" s="869"/>
      <c r="P17" s="920">
        <f>2*(20*(20+(SQRT(R17))+20))+2*(20*(R17/(SQRT(R17))))+R17</f>
        <v>54591.933384829666</v>
      </c>
      <c r="Q17" s="846" t="str">
        <f>(IF(Q$7="SIM",('R&amp;C-Painel de Controle'!$D$55+0.25)*P17/1000000,"-"))</f>
        <v>-</v>
      </c>
      <c r="R17" s="921">
        <f>3*(25+125+75+25)*50</f>
        <v>37500</v>
      </c>
      <c r="S17" s="869"/>
      <c r="T17" s="920">
        <f>2*(20*(20+(SQRT(V17))+20))+2*(20*(V17/(SQRT(V17))))+V17</f>
        <v>69488.543819998318</v>
      </c>
      <c r="U17" s="846" t="str">
        <f>(IF(U$7="SIM",('R&amp;C-Painel de Controle'!$D$55+0.25)*T17/1000000,"-"))</f>
        <v>-</v>
      </c>
      <c r="V17" s="921">
        <f>4*(25+125+75+25)*50</f>
        <v>50000</v>
      </c>
      <c r="W17" s="50">
        <v>1.1266502622129182</v>
      </c>
      <c r="X17" s="50">
        <v>2.3044271909999159</v>
      </c>
      <c r="Y17" s="50">
        <v>3.9249110640673521</v>
      </c>
      <c r="Z17" s="50">
        <v>5.459193338482967</v>
      </c>
      <c r="AA17" s="50">
        <v>6.9488543819998316</v>
      </c>
      <c r="AB17" s="42"/>
      <c r="AC17" s="42"/>
      <c r="AD17" s="42"/>
      <c r="AE17" s="42"/>
      <c r="AF17" s="42"/>
      <c r="AG17" s="42"/>
      <c r="AH17" s="42"/>
      <c r="AI17" s="42"/>
      <c r="AJ17" s="42"/>
      <c r="AK17" s="42"/>
      <c r="AL17" s="42"/>
      <c r="AM17" s="42"/>
      <c r="AN17" s="42"/>
      <c r="AO17" s="42"/>
      <c r="AP17" s="42"/>
      <c r="AQ17" s="42"/>
      <c r="AR17" s="42"/>
      <c r="AS17" s="42"/>
      <c r="AT17" s="42"/>
      <c r="AU17" s="42"/>
      <c r="AV17" s="42"/>
      <c r="AW17" s="42"/>
      <c r="AX17" s="42"/>
      <c r="AY17" s="42"/>
      <c r="AZ17" s="42"/>
      <c r="BA17" s="42"/>
      <c r="BB17" s="42"/>
      <c r="BC17" s="42"/>
      <c r="BD17" s="42"/>
      <c r="BE17" s="42"/>
      <c r="BF17" s="42"/>
      <c r="BG17" s="42"/>
      <c r="BH17" s="42"/>
      <c r="BI17" s="42"/>
    </row>
    <row r="18" spans="1:61" ht="17.649999999999999" customHeight="1" x14ac:dyDescent="0.25">
      <c r="A18" s="407"/>
      <c r="B18" s="913" t="s">
        <v>438</v>
      </c>
      <c r="C18" s="869"/>
      <c r="D18" s="1076" t="str">
        <f>IF(E7="SIM",(E15+E16)*F18*1000/$H$2,"-")</f>
        <v>-</v>
      </c>
      <c r="E18" s="846" t="str">
        <f>(IF(E$7="SIM",$H$2*D18/1000,""))</f>
        <v/>
      </c>
      <c r="F18" s="917">
        <v>0.05</v>
      </c>
      <c r="G18" s="869"/>
      <c r="H18" s="1076" t="str">
        <f>IF(I7="SIM",(I15+I16)*J18*1000/$H$2,"-")</f>
        <v>-</v>
      </c>
      <c r="I18" s="846" t="str">
        <f>(IF(I$7="SIM",$H$2*H18/1000,""))</f>
        <v/>
      </c>
      <c r="J18" s="917">
        <v>0.05</v>
      </c>
      <c r="K18" s="869"/>
      <c r="L18" s="1076" t="str">
        <f>IF(M7="SIM",(M15+M16)*N18*1000/$H$2,"-")</f>
        <v>-</v>
      </c>
      <c r="M18" s="846" t="str">
        <f>(IF(M$7="SIM",$H$2*L18/1000,""))</f>
        <v/>
      </c>
      <c r="N18" s="917">
        <v>0.05</v>
      </c>
      <c r="O18" s="869"/>
      <c r="P18" s="1076" t="str">
        <f>IF(Q7="SIM",(Q15+Q16)*R18*1000/$H$2,"-")</f>
        <v>-</v>
      </c>
      <c r="Q18" s="846" t="str">
        <f>(IF(Q$7="SIM",$H$2*P18/1000,""))</f>
        <v/>
      </c>
      <c r="R18" s="917">
        <v>0.05</v>
      </c>
      <c r="S18" s="869"/>
      <c r="T18" s="1076" t="str">
        <f>IF(U7="SIM",(U15+U16)*V18*1000/$H$2,"-")</f>
        <v>-</v>
      </c>
      <c r="U18" s="846" t="str">
        <f>(IF(U$7="SIM",$H$2*T18/1000,""))</f>
        <v/>
      </c>
      <c r="V18" s="917">
        <v>0.05</v>
      </c>
      <c r="W18" s="50">
        <v>4.9538817301096003</v>
      </c>
      <c r="X18" s="50">
        <v>5.6987825904124865</v>
      </c>
      <c r="Y18" s="50">
        <v>8.9281552354109461</v>
      </c>
      <c r="Z18" s="50">
        <v>14.772089230003482</v>
      </c>
      <c r="AA18" s="50">
        <v>20.608772274574974</v>
      </c>
      <c r="AB18" s="42"/>
      <c r="AC18" s="42"/>
      <c r="AD18" s="42"/>
      <c r="AE18" s="42"/>
      <c r="AF18" s="42"/>
      <c r="AG18" s="42"/>
      <c r="AH18" s="42"/>
      <c r="AI18" s="42"/>
      <c r="AJ18" s="42"/>
      <c r="AK18" s="42"/>
      <c r="AL18" s="42"/>
      <c r="AM18" s="42"/>
      <c r="AN18" s="42"/>
      <c r="AO18" s="42"/>
      <c r="AP18" s="42"/>
      <c r="AQ18" s="42"/>
      <c r="AR18" s="42"/>
      <c r="AS18" s="42"/>
      <c r="AT18" s="42"/>
      <c r="AU18" s="42"/>
      <c r="AV18" s="42"/>
      <c r="AW18" s="42"/>
      <c r="AX18" s="42"/>
      <c r="AY18" s="42"/>
      <c r="AZ18" s="42"/>
      <c r="BA18" s="42"/>
      <c r="BB18" s="42"/>
      <c r="BC18" s="42"/>
      <c r="BD18" s="42"/>
      <c r="BE18" s="42"/>
      <c r="BF18" s="42"/>
      <c r="BG18" s="42"/>
      <c r="BH18" s="42"/>
      <c r="BI18" s="42"/>
    </row>
    <row r="19" spans="1:61" s="882" customFormat="1" ht="19.899999999999999" customHeight="1" collapsed="1" thickBot="1" x14ac:dyDescent="0.35">
      <c r="A19" s="879"/>
      <c r="B19" s="914" t="s">
        <v>377</v>
      </c>
      <c r="C19" s="904"/>
      <c r="D19" s="1052">
        <v>0.05</v>
      </c>
      <c r="E19" s="922" t="str">
        <f>IF(E7="SIM",SUM(E15:E18)*(1+D19),"-")</f>
        <v>-</v>
      </c>
      <c r="F19" s="1103" t="str">
        <f>IF(E7="SIM",(E16)/E19,"-")</f>
        <v>-</v>
      </c>
      <c r="G19" s="904"/>
      <c r="H19" s="1052">
        <v>0.05</v>
      </c>
      <c r="I19" s="922" t="str">
        <f>IF(I7="SIM",SUM(I15:I18)*(1+H19),"-")</f>
        <v>-</v>
      </c>
      <c r="J19" s="1103" t="str">
        <f>IF(I7="SIM",(I16)/I19,"-")</f>
        <v>-</v>
      </c>
      <c r="K19" s="904"/>
      <c r="L19" s="1052">
        <v>0.05</v>
      </c>
      <c r="M19" s="922" t="str">
        <f>IF(M7="SIM",SUM(M15:M18)*(1+L19),"-")</f>
        <v>-</v>
      </c>
      <c r="N19" s="1103" t="str">
        <f>IF(M7="SIM",(M16)/M19,"-")</f>
        <v>-</v>
      </c>
      <c r="O19" s="904"/>
      <c r="P19" s="1050">
        <v>0.05</v>
      </c>
      <c r="Q19" s="922" t="str">
        <f>IF(Q7="SIM",SUM(Q15:Q18)*(1+P19),"-")</f>
        <v>-</v>
      </c>
      <c r="R19" s="1103" t="str">
        <f>IF(Q7="SIM",(Q16)/Q19,"-")</f>
        <v>-</v>
      </c>
      <c r="S19" s="904"/>
      <c r="T19" s="1050">
        <v>0.05</v>
      </c>
      <c r="U19" s="922" t="str">
        <f>IF(U7="SIM",SUM(U15:U18)*(1+T19),"-")</f>
        <v>-</v>
      </c>
      <c r="V19" s="1103" t="str">
        <f>IF(U7="SIM",(U16)/U19,"-")</f>
        <v>-</v>
      </c>
      <c r="W19" s="1099">
        <v>110.41607492424025</v>
      </c>
      <c r="X19" s="1099">
        <v>128.07780466914525</v>
      </c>
      <c r="Y19" s="1099">
        <v>200.98697955808208</v>
      </c>
      <c r="Z19" s="1099">
        <v>331.45672052698393</v>
      </c>
      <c r="AA19" s="1099">
        <v>461.71972575547801</v>
      </c>
      <c r="AB19" s="881"/>
      <c r="AC19" s="881"/>
      <c r="AD19" s="881"/>
      <c r="AE19" s="881"/>
      <c r="AF19" s="881"/>
      <c r="AG19" s="881"/>
      <c r="AH19" s="881"/>
      <c r="AI19" s="881"/>
      <c r="AJ19" s="881"/>
      <c r="AK19" s="881"/>
      <c r="AL19" s="881"/>
      <c r="AM19" s="881"/>
      <c r="AN19" s="881"/>
      <c r="AO19" s="881"/>
      <c r="AP19" s="881"/>
      <c r="AQ19" s="881"/>
      <c r="AR19" s="881"/>
      <c r="AS19" s="881"/>
      <c r="AT19" s="881"/>
      <c r="AU19" s="881"/>
      <c r="AV19" s="881"/>
      <c r="AW19" s="881"/>
      <c r="AX19" s="881"/>
      <c r="AY19" s="881"/>
      <c r="AZ19" s="881"/>
      <c r="BA19" s="881"/>
      <c r="BB19" s="881"/>
      <c r="BC19" s="881"/>
      <c r="BD19" s="881"/>
      <c r="BE19" s="881"/>
      <c r="BF19" s="881"/>
      <c r="BG19" s="881"/>
      <c r="BH19" s="881"/>
      <c r="BI19" s="881"/>
    </row>
    <row r="20" spans="1:61" ht="18" hidden="1" customHeight="1" outlineLevel="1" x14ac:dyDescent="0.25">
      <c r="A20" s="406"/>
      <c r="B20" s="1006" t="s">
        <v>378</v>
      </c>
      <c r="C20" s="751"/>
      <c r="D20" s="1007" t="s">
        <v>289</v>
      </c>
      <c r="E20" s="1008" t="str">
        <f>IF(E7="SIM",E19*1000000/$H$2,"-")</f>
        <v>-</v>
      </c>
      <c r="F20" s="1007" t="str">
        <f>IF(E7="SIM",E16/E19,"-")</f>
        <v>-</v>
      </c>
      <c r="G20" s="751"/>
      <c r="H20" s="1007" t="s">
        <v>289</v>
      </c>
      <c r="I20" s="1008" t="str">
        <f>IF(I7="SIM",I19*1000000/$H$2,"-")</f>
        <v>-</v>
      </c>
      <c r="J20" s="1007" t="str">
        <f>IF(I7="SIM",I16/I19,"-")</f>
        <v>-</v>
      </c>
      <c r="K20" s="751"/>
      <c r="L20" s="1007" t="s">
        <v>289</v>
      </c>
      <c r="M20" s="1008" t="str">
        <f>IF(M7="SIM",M19*1000000/$H$2,"-")</f>
        <v>-</v>
      </c>
      <c r="N20" s="1007" t="str">
        <f>IF(M7="SIM",M16/M19,"-")</f>
        <v>-</v>
      </c>
      <c r="O20" s="751"/>
      <c r="P20" s="1007" t="s">
        <v>289</v>
      </c>
      <c r="Q20" s="1008" t="str">
        <f>IF(Q7="SIM",Q19*1000000/$H$2,"-")</f>
        <v>-</v>
      </c>
      <c r="R20" s="1007" t="str">
        <f>IF(Q7="SIM",Q16/Q19,"-")</f>
        <v>-</v>
      </c>
      <c r="S20" s="751"/>
      <c r="T20" s="1007" t="s">
        <v>289</v>
      </c>
      <c r="U20" s="1008" t="str">
        <f>IF(U7="SIM",U19*1000000/$H$2,"-")</f>
        <v>-</v>
      </c>
      <c r="V20" s="1007" t="str">
        <f>IF(U7="SIM",U16/U19,"-")</f>
        <v>-</v>
      </c>
      <c r="W20" s="36">
        <v>1175.8900417916959</v>
      </c>
      <c r="X20" s="36">
        <v>962.81003322041158</v>
      </c>
      <c r="Y20" s="36">
        <v>856.17456680759142</v>
      </c>
      <c r="Z20" s="36">
        <v>847.1737265865404</v>
      </c>
      <c r="AA20" s="36">
        <v>842.93879644998265</v>
      </c>
      <c r="AB20" s="33"/>
      <c r="AC20" s="33"/>
      <c r="AD20" s="33"/>
      <c r="AE20" s="33"/>
      <c r="AF20" s="33"/>
      <c r="AG20" s="33"/>
      <c r="AH20" s="33"/>
      <c r="AI20" s="33"/>
      <c r="AJ20" s="33"/>
      <c r="AK20" s="33"/>
      <c r="AL20" s="33"/>
      <c r="AM20" s="33"/>
      <c r="AN20" s="33"/>
      <c r="AO20" s="33"/>
      <c r="AP20" s="33"/>
      <c r="AQ20" s="33"/>
      <c r="AR20" s="33"/>
      <c r="AS20" s="33"/>
      <c r="AT20" s="33"/>
      <c r="AU20" s="33"/>
      <c r="AV20" s="33"/>
      <c r="AW20" s="33"/>
      <c r="AX20" s="33"/>
      <c r="AY20" s="33"/>
      <c r="AZ20" s="33"/>
      <c r="BA20" s="33"/>
      <c r="BB20" s="33"/>
      <c r="BC20" s="33"/>
      <c r="BD20" s="33"/>
      <c r="BE20" s="33"/>
      <c r="BF20" s="33"/>
      <c r="BG20" s="33"/>
      <c r="BH20" s="33"/>
      <c r="BI20" s="33"/>
    </row>
    <row r="21" spans="1:61" ht="18" hidden="1" customHeight="1" outlineLevel="1" x14ac:dyDescent="0.25">
      <c r="A21" s="406"/>
      <c r="B21" s="217" t="s">
        <v>639</v>
      </c>
      <c r="C21" s="751"/>
      <c r="D21" s="333"/>
      <c r="E21" s="336">
        <f>'R&amp;C-Painel de Controle'!$G$62</f>
        <v>0.25</v>
      </c>
      <c r="F21" s="334"/>
      <c r="G21" s="752"/>
      <c r="H21" s="334"/>
      <c r="I21" s="336">
        <f>'R&amp;C-Painel de Controle'!$G$62</f>
        <v>0.25</v>
      </c>
      <c r="J21" s="334"/>
      <c r="K21" s="752"/>
      <c r="L21" s="334"/>
      <c r="M21" s="336">
        <f>'R&amp;C-Painel de Controle'!$G$62</f>
        <v>0.25</v>
      </c>
      <c r="N21" s="334"/>
      <c r="O21" s="752"/>
      <c r="P21" s="334"/>
      <c r="Q21" s="336">
        <f>'R&amp;C-Painel de Controle'!$G$62</f>
        <v>0.25</v>
      </c>
      <c r="R21" s="334"/>
      <c r="S21" s="752"/>
      <c r="T21" s="334"/>
      <c r="U21" s="336">
        <f>'R&amp;C-Painel de Controle'!$G$62</f>
        <v>0.25</v>
      </c>
      <c r="V21" s="331"/>
      <c r="W21" s="33"/>
      <c r="X21" s="49">
        <f>(X20-W20)/W20</f>
        <v>-0.18120742671365406</v>
      </c>
      <c r="Y21" s="49">
        <f>(Y20-X20)/X20</f>
        <v>-0.11075441959837638</v>
      </c>
      <c r="Z21" s="49">
        <f>(Z20-Y20)/Y20</f>
        <v>-1.0512856337945607E-2</v>
      </c>
      <c r="AA21" s="49">
        <f>(AA20-Z20)/Z20</f>
        <v>-4.998892203162705E-3</v>
      </c>
      <c r="AB21" s="33"/>
      <c r="AC21" s="33"/>
      <c r="AD21" s="33"/>
      <c r="AE21" s="33"/>
      <c r="AF21" s="33"/>
      <c r="AG21" s="33"/>
      <c r="AH21" s="33"/>
      <c r="AI21" s="33"/>
      <c r="AJ21" s="33"/>
      <c r="AK21" s="33"/>
      <c r="AL21" s="33"/>
      <c r="AM21" s="33"/>
      <c r="AN21" s="33"/>
      <c r="AO21" s="33"/>
      <c r="AP21" s="33"/>
      <c r="AQ21" s="33"/>
      <c r="AR21" s="33"/>
      <c r="AS21" s="33"/>
      <c r="AT21" s="33"/>
      <c r="AU21" s="33"/>
      <c r="AV21" s="33"/>
      <c r="AW21" s="33"/>
      <c r="AX21" s="33"/>
      <c r="AY21" s="33"/>
      <c r="AZ21" s="33"/>
      <c r="BA21" s="33"/>
      <c r="BB21" s="33"/>
      <c r="BC21" s="33"/>
      <c r="BD21" s="33"/>
      <c r="BE21" s="33"/>
      <c r="BF21" s="33"/>
      <c r="BG21" s="33"/>
      <c r="BH21" s="33"/>
      <c r="BI21" s="33"/>
    </row>
    <row r="22" spans="1:61" ht="18" hidden="1" customHeight="1" outlineLevel="1" x14ac:dyDescent="0.25">
      <c r="A22" s="406"/>
      <c r="B22" s="755"/>
      <c r="C22" s="751"/>
      <c r="D22" s="333"/>
      <c r="E22" s="331"/>
      <c r="F22" s="331"/>
      <c r="G22" s="751"/>
      <c r="H22" s="331">
        <f>(($D$2-H11)/(J11-H11))</f>
        <v>-2.3333333333333335</v>
      </c>
      <c r="I22" s="337"/>
      <c r="J22" s="331">
        <f>((J11-$D$2)/(J11-H11))</f>
        <v>3.3333333333333335</v>
      </c>
      <c r="K22" s="751"/>
      <c r="L22" s="331"/>
      <c r="M22" s="331"/>
      <c r="N22" s="331"/>
      <c r="O22" s="751"/>
      <c r="P22" s="331"/>
      <c r="Q22" s="331"/>
      <c r="R22" s="331"/>
      <c r="S22" s="751"/>
      <c r="T22" s="331"/>
      <c r="U22" s="331"/>
      <c r="V22" s="331"/>
      <c r="W22" s="33"/>
      <c r="X22" s="33"/>
      <c r="Y22" s="33"/>
      <c r="Z22" s="33"/>
      <c r="AA22" s="33"/>
      <c r="AB22" s="33"/>
      <c r="AC22" s="33"/>
      <c r="AD22" s="33"/>
      <c r="AE22" s="33"/>
      <c r="AF22" s="33"/>
      <c r="AG22" s="33"/>
      <c r="AH22" s="33"/>
      <c r="AI22" s="33"/>
      <c r="AJ22" s="33"/>
      <c r="AK22" s="33"/>
      <c r="AL22" s="33"/>
      <c r="AM22" s="33"/>
      <c r="AN22" s="33"/>
      <c r="AO22" s="33"/>
      <c r="AP22" s="33"/>
      <c r="AQ22" s="33"/>
      <c r="AR22" s="33"/>
      <c r="AS22" s="33"/>
      <c r="AT22" s="33"/>
      <c r="AU22" s="33"/>
      <c r="AV22" s="33"/>
      <c r="AW22" s="33"/>
      <c r="AX22" s="33"/>
      <c r="AY22" s="33"/>
      <c r="AZ22" s="33"/>
      <c r="BA22" s="33"/>
      <c r="BB22" s="33"/>
      <c r="BC22" s="33"/>
      <c r="BD22" s="33"/>
      <c r="BE22" s="33"/>
      <c r="BF22" s="33"/>
      <c r="BG22" s="33"/>
      <c r="BH22" s="33"/>
      <c r="BI22" s="33"/>
    </row>
    <row r="23" spans="1:61" ht="18" hidden="1" customHeight="1" outlineLevel="1" x14ac:dyDescent="0.25">
      <c r="A23" s="406"/>
      <c r="B23" s="754" t="s">
        <v>435</v>
      </c>
      <c r="C23" s="751"/>
      <c r="D23" s="338"/>
      <c r="E23" s="337" t="str">
        <f>IF(E7="SIM",(E15*F15+E16*F16)/4,"-")</f>
        <v>-</v>
      </c>
      <c r="F23" s="331"/>
      <c r="G23" s="751"/>
      <c r="H23" s="331">
        <f>(L15*(($D$2-H11)/(J11-H11))*$H$2/1000)*I21*$D$5*(1+'R&amp;C-Painel de Controle'!$D$54)*(1+'R&amp;C-Painel de Controle'!$D$61)</f>
        <v>0</v>
      </c>
      <c r="I23" s="337" t="str">
        <f>IF(I7="SIM",(I15*J15+I16*J16)/4,"-")</f>
        <v>-</v>
      </c>
      <c r="J23" s="331">
        <f>((L15*(($D$2-H11)/(J11-H11))*$H$2/1000)*(1-I21)*'R&amp;C-Painel de Controle'!$D$52*(1+'R&amp;C-Painel de Controle'!$D$54))/1000</f>
        <v>0</v>
      </c>
      <c r="K23" s="751"/>
      <c r="L23" s="331"/>
      <c r="M23" s="337" t="str">
        <f>IF(M7="SIM",(M15*N15+M16*N16)/4,"-")</f>
        <v>-</v>
      </c>
      <c r="N23" s="331"/>
      <c r="O23" s="751"/>
      <c r="P23" s="331"/>
      <c r="Q23" s="337" t="str">
        <f>IF(Q7="SIM",(Q15*R15+Q16*R16)/4,"-")</f>
        <v>-</v>
      </c>
      <c r="R23" s="331"/>
      <c r="S23" s="751"/>
      <c r="T23" s="331"/>
      <c r="U23" s="337" t="str">
        <f>IF(U7="SIM",(U15*V15+U16*V16)/4,"-")</f>
        <v>-</v>
      </c>
      <c r="V23" s="331"/>
      <c r="W23" s="33"/>
      <c r="X23" s="33"/>
      <c r="Y23" s="33"/>
      <c r="Z23" s="33"/>
      <c r="AA23" s="33"/>
      <c r="AB23" s="33"/>
      <c r="AC23" s="33"/>
      <c r="AD23" s="33"/>
      <c r="AE23" s="33"/>
      <c r="AF23" s="33"/>
      <c r="AG23" s="33"/>
      <c r="AH23" s="33"/>
      <c r="AI23" s="33"/>
      <c r="AJ23" s="33"/>
      <c r="AK23" s="33"/>
      <c r="AL23" s="33"/>
      <c r="AM23" s="33"/>
      <c r="AN23" s="33"/>
      <c r="AO23" s="33"/>
      <c r="AP23" s="33"/>
      <c r="AQ23" s="33"/>
      <c r="AR23" s="33"/>
      <c r="AS23" s="33"/>
      <c r="AT23" s="33"/>
      <c r="AU23" s="33"/>
      <c r="AV23" s="33"/>
      <c r="AW23" s="33"/>
      <c r="AX23" s="33"/>
      <c r="AY23" s="33"/>
      <c r="AZ23" s="33"/>
      <c r="BA23" s="33"/>
      <c r="BB23" s="33"/>
      <c r="BC23" s="33"/>
      <c r="BD23" s="33"/>
      <c r="BE23" s="33"/>
      <c r="BF23" s="33"/>
      <c r="BG23" s="33"/>
      <c r="BH23" s="33"/>
      <c r="BI23" s="33"/>
    </row>
    <row r="24" spans="1:61" ht="15" customHeight="1" thickTop="1" thickBot="1" x14ac:dyDescent="0.3">
      <c r="A24" s="406"/>
      <c r="B24" s="934"/>
      <c r="C24" s="751"/>
      <c r="D24" s="935"/>
      <c r="E24" s="935"/>
      <c r="F24" s="935"/>
      <c r="G24" s="751"/>
      <c r="H24" s="935"/>
      <c r="I24" s="935"/>
      <c r="J24" s="935"/>
      <c r="K24" s="751"/>
      <c r="L24" s="935"/>
      <c r="M24" s="935"/>
      <c r="N24" s="935"/>
      <c r="O24" s="751"/>
      <c r="P24" s="935"/>
      <c r="Q24" s="935"/>
      <c r="R24" s="935"/>
      <c r="S24" s="751"/>
      <c r="T24" s="935"/>
      <c r="U24" s="935"/>
      <c r="V24" s="935"/>
      <c r="W24" s="33"/>
      <c r="X24" s="33"/>
      <c r="Y24" s="33"/>
      <c r="Z24" s="33"/>
      <c r="AA24" s="33"/>
      <c r="AB24" s="33"/>
      <c r="AC24" s="33"/>
      <c r="AD24" s="33"/>
      <c r="AE24" s="33"/>
      <c r="AF24" s="33"/>
      <c r="AG24" s="33"/>
      <c r="AH24" s="33"/>
      <c r="AI24" s="33"/>
      <c r="AJ24" s="33"/>
      <c r="AK24" s="33"/>
      <c r="AL24" s="33"/>
      <c r="AM24" s="33"/>
      <c r="AN24" s="33"/>
      <c r="AO24" s="33"/>
      <c r="AP24" s="33"/>
      <c r="AQ24" s="33"/>
      <c r="AR24" s="33"/>
      <c r="AS24" s="33"/>
      <c r="AT24" s="33"/>
      <c r="AU24" s="33"/>
      <c r="AV24" s="33"/>
      <c r="AW24" s="33"/>
      <c r="AX24" s="33"/>
      <c r="AY24" s="33"/>
      <c r="AZ24" s="33"/>
      <c r="BA24" s="33"/>
      <c r="BB24" s="33"/>
      <c r="BC24" s="33"/>
      <c r="BD24" s="33"/>
      <c r="BE24" s="33"/>
      <c r="BF24" s="33"/>
      <c r="BG24" s="33"/>
      <c r="BH24" s="33"/>
      <c r="BI24" s="33"/>
    </row>
    <row r="25" spans="1:61" ht="19.899999999999999" customHeight="1" thickTop="1" thickBot="1" x14ac:dyDescent="0.3">
      <c r="A25" s="406"/>
      <c r="B25" s="1085" t="s">
        <v>439</v>
      </c>
      <c r="C25" s="901"/>
      <c r="D25" s="982" t="s">
        <v>754</v>
      </c>
      <c r="E25" s="983" t="s">
        <v>763</v>
      </c>
      <c r="F25" s="984" t="s">
        <v>289</v>
      </c>
      <c r="G25" s="403"/>
      <c r="H25" s="985" t="s">
        <v>754</v>
      </c>
      <c r="I25" s="986" t="s">
        <v>763</v>
      </c>
      <c r="J25" s="987" t="s">
        <v>289</v>
      </c>
      <c r="K25" s="403"/>
      <c r="L25" s="985" t="s">
        <v>754</v>
      </c>
      <c r="M25" s="986" t="s">
        <v>763</v>
      </c>
      <c r="N25" s="987" t="s">
        <v>289</v>
      </c>
      <c r="O25" s="403"/>
      <c r="P25" s="985" t="s">
        <v>754</v>
      </c>
      <c r="Q25" s="986" t="s">
        <v>763</v>
      </c>
      <c r="R25" s="987" t="s">
        <v>289</v>
      </c>
      <c r="S25" s="403"/>
      <c r="T25" s="985" t="s">
        <v>754</v>
      </c>
      <c r="U25" s="986" t="s">
        <v>763</v>
      </c>
      <c r="V25" s="987" t="s">
        <v>289</v>
      </c>
      <c r="W25" s="33"/>
      <c r="X25" s="33"/>
      <c r="Y25" s="33"/>
      <c r="Z25" s="33"/>
      <c r="AA25" s="33"/>
      <c r="AB25" s="33"/>
      <c r="AC25" s="33"/>
      <c r="AD25" s="33"/>
      <c r="AE25" s="33"/>
      <c r="AF25" s="33"/>
      <c r="AG25" s="33"/>
      <c r="AH25" s="33"/>
      <c r="AI25" s="33"/>
      <c r="AJ25" s="33"/>
      <c r="AK25" s="33"/>
      <c r="AL25" s="33"/>
      <c r="AM25" s="33"/>
      <c r="AN25" s="33"/>
      <c r="AO25" s="33"/>
      <c r="AP25" s="33"/>
      <c r="AQ25" s="33"/>
      <c r="AR25" s="33"/>
      <c r="AS25" s="33"/>
      <c r="AT25" s="33"/>
      <c r="AU25" s="33"/>
      <c r="AV25" s="33"/>
      <c r="AW25" s="33"/>
      <c r="AX25" s="33"/>
      <c r="AY25" s="33"/>
      <c r="AZ25" s="33"/>
      <c r="BA25" s="33"/>
      <c r="BB25" s="33"/>
      <c r="BC25" s="33"/>
      <c r="BD25" s="33"/>
      <c r="BE25" s="33"/>
      <c r="BF25" s="33"/>
      <c r="BG25" s="33"/>
      <c r="BH25" s="33"/>
      <c r="BI25" s="33"/>
    </row>
    <row r="26" spans="1:61" ht="7.5" customHeight="1" x14ac:dyDescent="0.25">
      <c r="A26" s="406"/>
      <c r="B26" s="1084"/>
      <c r="C26" s="903"/>
      <c r="D26" s="1015"/>
      <c r="E26" s="339"/>
      <c r="F26" s="1016"/>
      <c r="G26" s="996"/>
      <c r="H26" s="1031"/>
      <c r="I26" s="339"/>
      <c r="J26" s="1023"/>
      <c r="K26" s="996"/>
      <c r="L26" s="1036"/>
      <c r="M26" s="339"/>
      <c r="N26" s="1023"/>
      <c r="O26" s="996"/>
      <c r="P26" s="1036"/>
      <c r="Q26" s="339"/>
      <c r="R26" s="1023"/>
      <c r="S26" s="996"/>
      <c r="T26" s="1036"/>
      <c r="U26" s="339"/>
      <c r="V26" s="1038"/>
      <c r="W26" s="33"/>
      <c r="X26" s="33"/>
      <c r="Y26" s="33"/>
      <c r="Z26" s="33"/>
      <c r="AA26" s="33"/>
      <c r="AB26" s="33"/>
      <c r="AC26" s="33"/>
      <c r="AD26" s="33"/>
      <c r="AE26" s="33"/>
      <c r="AF26" s="33"/>
      <c r="AG26" s="33"/>
      <c r="AH26" s="33"/>
      <c r="AI26" s="33"/>
      <c r="AJ26" s="33"/>
      <c r="AK26" s="33"/>
      <c r="AL26" s="33"/>
      <c r="AM26" s="33"/>
      <c r="AN26" s="33"/>
      <c r="AO26" s="33"/>
      <c r="AP26" s="33"/>
      <c r="AQ26" s="33"/>
      <c r="AR26" s="33"/>
      <c r="AS26" s="33"/>
      <c r="AT26" s="33"/>
      <c r="AU26" s="33"/>
      <c r="AV26" s="33"/>
      <c r="AW26" s="33"/>
      <c r="AX26" s="33"/>
      <c r="AY26" s="33"/>
      <c r="AZ26" s="33"/>
      <c r="BA26" s="33"/>
      <c r="BB26" s="33"/>
      <c r="BC26" s="33"/>
      <c r="BD26" s="33"/>
      <c r="BE26" s="33"/>
      <c r="BF26" s="33"/>
      <c r="BG26" s="33"/>
      <c r="BH26" s="33"/>
      <c r="BI26" s="33"/>
    </row>
    <row r="27" spans="1:61" ht="17.649999999999999" customHeight="1" collapsed="1" x14ac:dyDescent="0.25">
      <c r="A27" s="407"/>
      <c r="B27" s="913" t="s">
        <v>381</v>
      </c>
      <c r="C27" s="869"/>
      <c r="D27" s="1017"/>
      <c r="E27" s="890" t="str">
        <f>(IF(E$7="SIM",(E31)*2.4*12/$H$2,"-"))</f>
        <v>-</v>
      </c>
      <c r="F27" s="917"/>
      <c r="G27" s="993"/>
      <c r="H27" s="1032"/>
      <c r="I27" s="890" t="str">
        <f>(IF(I$7="SIM",(I31)*2.4*12/$H$2,"-"))</f>
        <v>-</v>
      </c>
      <c r="J27" s="1033"/>
      <c r="K27" s="993"/>
      <c r="L27" s="1032"/>
      <c r="M27" s="890" t="str">
        <f>(IF(M$7="SIM",(M31)*2.4*12/$H$2,"-"))</f>
        <v>-</v>
      </c>
      <c r="N27" s="1033"/>
      <c r="O27" s="993"/>
      <c r="P27" s="1032"/>
      <c r="Q27" s="890" t="str">
        <f>(IF(Q$7="SIM",(Q31)*2.4*12/$H$2,"-"))</f>
        <v>-</v>
      </c>
      <c r="R27" s="1033"/>
      <c r="S27" s="993"/>
      <c r="T27" s="1032"/>
      <c r="U27" s="891" t="str">
        <f>(IF(U$7="SIM",(U31)*2.4*12/$H$2,"-"))</f>
        <v>-</v>
      </c>
      <c r="V27" s="1039"/>
      <c r="W27" s="42"/>
      <c r="X27" s="42"/>
      <c r="Y27" s="42"/>
      <c r="Z27" s="42"/>
      <c r="AA27" s="42"/>
      <c r="AB27" s="42"/>
      <c r="AC27" s="42"/>
      <c r="AD27" s="42"/>
      <c r="AE27" s="42"/>
      <c r="AF27" s="42"/>
      <c r="AG27" s="42"/>
      <c r="AH27" s="42"/>
      <c r="AI27" s="42"/>
      <c r="AJ27" s="42"/>
      <c r="AK27" s="42"/>
      <c r="AL27" s="42"/>
      <c r="AM27" s="42"/>
      <c r="AN27" s="42"/>
      <c r="AO27" s="42"/>
      <c r="AP27" s="42"/>
      <c r="AQ27" s="42"/>
      <c r="AR27" s="42"/>
      <c r="AS27" s="42"/>
      <c r="AT27" s="42"/>
      <c r="AU27" s="42"/>
      <c r="AV27" s="42"/>
      <c r="AW27" s="42"/>
      <c r="AX27" s="42"/>
      <c r="AY27" s="42"/>
      <c r="AZ27" s="42"/>
      <c r="BA27" s="42"/>
      <c r="BB27" s="42"/>
      <c r="BC27" s="42"/>
      <c r="BD27" s="42"/>
      <c r="BE27" s="42"/>
      <c r="BF27" s="42"/>
      <c r="BG27" s="42"/>
      <c r="BH27" s="42"/>
      <c r="BI27" s="42"/>
    </row>
    <row r="28" spans="1:61" ht="18" hidden="1" customHeight="1" outlineLevel="1" x14ac:dyDescent="0.25">
      <c r="A28" s="406"/>
      <c r="B28" s="1010"/>
      <c r="C28" s="925"/>
      <c r="D28" s="1015"/>
      <c r="E28" s="332"/>
      <c r="F28" s="1016"/>
      <c r="G28" s="997"/>
      <c r="H28" s="1031"/>
      <c r="I28" s="332"/>
      <c r="J28" s="1034"/>
      <c r="K28" s="997"/>
      <c r="L28" s="1031"/>
      <c r="M28" s="332"/>
      <c r="N28" s="1034"/>
      <c r="O28" s="997"/>
      <c r="P28" s="1031"/>
      <c r="Q28" s="332"/>
      <c r="R28" s="1034"/>
      <c r="S28" s="997"/>
      <c r="T28" s="1031"/>
      <c r="U28" s="341"/>
      <c r="V28" s="924"/>
      <c r="W28" s="33"/>
      <c r="X28" s="33"/>
      <c r="Y28" s="33"/>
      <c r="Z28" s="33"/>
      <c r="AA28" s="33"/>
      <c r="AB28" s="33"/>
      <c r="AC28" s="33"/>
      <c r="AD28" s="33"/>
      <c r="AE28" s="33"/>
      <c r="AF28" s="33"/>
      <c r="AG28" s="33"/>
      <c r="AH28" s="33"/>
      <c r="AI28" s="33"/>
      <c r="AJ28" s="33"/>
      <c r="AK28" s="33"/>
      <c r="AL28" s="33"/>
      <c r="AM28" s="33"/>
      <c r="AN28" s="33"/>
      <c r="AO28" s="33"/>
      <c r="AP28" s="33"/>
      <c r="AQ28" s="33"/>
      <c r="AR28" s="33"/>
      <c r="AS28" s="33"/>
      <c r="AT28" s="33"/>
      <c r="AU28" s="33"/>
      <c r="AV28" s="33"/>
      <c r="AW28" s="33"/>
      <c r="AX28" s="33"/>
      <c r="AY28" s="33"/>
      <c r="AZ28" s="33"/>
      <c r="BA28" s="33"/>
      <c r="BB28" s="33"/>
      <c r="BC28" s="33"/>
      <c r="BD28" s="33"/>
      <c r="BE28" s="33"/>
      <c r="BF28" s="33"/>
      <c r="BG28" s="33"/>
      <c r="BH28" s="33"/>
      <c r="BI28" s="33"/>
    </row>
    <row r="29" spans="1:61" ht="18" hidden="1" customHeight="1" outlineLevel="1" x14ac:dyDescent="0.25">
      <c r="A29" s="406"/>
      <c r="B29" s="1011" t="s">
        <v>630</v>
      </c>
      <c r="C29" s="903"/>
      <c r="D29" s="1015"/>
      <c r="E29" s="338">
        <v>2</v>
      </c>
      <c r="F29" s="1016"/>
      <c r="G29" s="998"/>
      <c r="H29" s="1031"/>
      <c r="I29" s="338">
        <v>2</v>
      </c>
      <c r="J29" s="1035"/>
      <c r="K29" s="998"/>
      <c r="L29" s="1037"/>
      <c r="M29" s="338">
        <v>2</v>
      </c>
      <c r="N29" s="1035"/>
      <c r="O29" s="998"/>
      <c r="P29" s="1037"/>
      <c r="Q29" s="338">
        <v>2</v>
      </c>
      <c r="R29" s="1035"/>
      <c r="S29" s="998"/>
      <c r="T29" s="1037"/>
      <c r="U29" s="338">
        <v>2</v>
      </c>
      <c r="V29" s="924"/>
      <c r="W29" s="33"/>
      <c r="X29" s="33"/>
      <c r="Y29" s="33"/>
      <c r="Z29" s="33"/>
      <c r="AA29" s="33"/>
      <c r="AB29" s="33"/>
      <c r="AC29" s="33"/>
      <c r="AD29" s="33"/>
      <c r="AE29" s="33"/>
      <c r="AF29" s="33"/>
      <c r="AG29" s="33"/>
      <c r="AH29" s="33"/>
      <c r="AI29" s="33"/>
      <c r="AJ29" s="33"/>
      <c r="AK29" s="33"/>
      <c r="AL29" s="33"/>
      <c r="AM29" s="33"/>
      <c r="AN29" s="33"/>
      <c r="AO29" s="33"/>
      <c r="AP29" s="33"/>
      <c r="AQ29" s="33"/>
      <c r="AR29" s="33"/>
      <c r="AS29" s="33"/>
      <c r="AT29" s="33"/>
      <c r="AU29" s="33"/>
      <c r="AV29" s="33"/>
      <c r="AW29" s="33"/>
      <c r="AX29" s="33"/>
      <c r="AY29" s="33"/>
      <c r="AZ29" s="33"/>
      <c r="BA29" s="33"/>
      <c r="BB29" s="33"/>
      <c r="BC29" s="33"/>
      <c r="BD29" s="33"/>
      <c r="BE29" s="33"/>
      <c r="BF29" s="33"/>
      <c r="BG29" s="33"/>
      <c r="BH29" s="33"/>
      <c r="BI29" s="33"/>
    </row>
    <row r="30" spans="1:61" ht="18" hidden="1" customHeight="1" outlineLevel="1" x14ac:dyDescent="0.25">
      <c r="A30" s="406"/>
      <c r="B30" s="1011" t="s">
        <v>642</v>
      </c>
      <c r="C30" s="903"/>
      <c r="D30" s="1015"/>
      <c r="E30" s="338">
        <v>5</v>
      </c>
      <c r="F30" s="1016"/>
      <c r="G30" s="998"/>
      <c r="H30" s="1031"/>
      <c r="I30" s="338">
        <v>8</v>
      </c>
      <c r="J30" s="1035"/>
      <c r="K30" s="998"/>
      <c r="L30" s="1037"/>
      <c r="M30" s="338">
        <v>15</v>
      </c>
      <c r="N30" s="1035"/>
      <c r="O30" s="998"/>
      <c r="P30" s="1037"/>
      <c r="Q30" s="338">
        <v>25</v>
      </c>
      <c r="R30" s="1035"/>
      <c r="S30" s="998"/>
      <c r="T30" s="1037"/>
      <c r="U30" s="338">
        <v>30</v>
      </c>
      <c r="V30" s="924"/>
      <c r="W30" s="33"/>
      <c r="X30" s="33"/>
      <c r="Y30" s="33"/>
      <c r="Z30" s="33"/>
      <c r="AA30" s="33"/>
      <c r="AB30" s="33"/>
      <c r="AC30" s="33"/>
      <c r="AD30" s="33"/>
      <c r="AE30" s="33"/>
      <c r="AF30" s="33"/>
      <c r="AG30" s="33"/>
      <c r="AH30" s="33"/>
      <c r="AI30" s="33"/>
      <c r="AJ30" s="33"/>
      <c r="AK30" s="33"/>
      <c r="AL30" s="33"/>
      <c r="AM30" s="33"/>
      <c r="AN30" s="33"/>
      <c r="AO30" s="33"/>
      <c r="AP30" s="33"/>
      <c r="AQ30" s="33"/>
      <c r="AR30" s="33"/>
      <c r="AS30" s="33"/>
      <c r="AT30" s="33"/>
      <c r="AU30" s="33"/>
      <c r="AV30" s="33"/>
      <c r="AW30" s="33"/>
      <c r="AX30" s="33"/>
      <c r="AY30" s="33"/>
      <c r="AZ30" s="33"/>
      <c r="BA30" s="33"/>
      <c r="BB30" s="33"/>
      <c r="BC30" s="33"/>
      <c r="BD30" s="33"/>
      <c r="BE30" s="33"/>
      <c r="BF30" s="33"/>
      <c r="BG30" s="33"/>
      <c r="BH30" s="33"/>
      <c r="BI30" s="33"/>
    </row>
    <row r="31" spans="1:61" ht="18" hidden="1" customHeight="1" outlineLevel="1" x14ac:dyDescent="0.25">
      <c r="A31" s="406"/>
      <c r="B31" s="1011" t="s">
        <v>632</v>
      </c>
      <c r="C31" s="903"/>
      <c r="D31" s="1015"/>
      <c r="E31" s="335">
        <f>0.6*'R&amp;C-Painel de Controle'!$D$63+0.6*E30/10*E29*'R&amp;C-Painel de Controle'!$D$64+E30*E29*'R&amp;C-Painel de Controle'!$D$65</f>
        <v>33000</v>
      </c>
      <c r="F31" s="1016"/>
      <c r="G31" s="996"/>
      <c r="H31" s="1031"/>
      <c r="I31" s="335">
        <f>0.7*'R&amp;C-Painel de Controle'!$D$63+0.7*I30/10*I29*'R&amp;C-Painel de Controle'!$D$64+I30*I29*'R&amp;C-Painel de Controle'!$D$65</f>
        <v>49200</v>
      </c>
      <c r="J31" s="1023"/>
      <c r="K31" s="996"/>
      <c r="L31" s="1036"/>
      <c r="M31" s="335">
        <f>0.8*'R&amp;C-Painel de Controle'!$D$63+0.8*M30/10*M29*'R&amp;C-Painel de Controle'!$D$64+M30*M29*'R&amp;C-Painel de Controle'!$D$65</f>
        <v>85000</v>
      </c>
      <c r="N31" s="1023"/>
      <c r="O31" s="996"/>
      <c r="P31" s="1036"/>
      <c r="Q31" s="335">
        <f>0.9*'R&amp;C-Painel de Controle'!$D$63+0.9*Q30/10*Q29*'R&amp;C-Painel de Controle'!$D$64+Q30*Q29*'R&amp;C-Painel de Controle'!$D$65</f>
        <v>138000</v>
      </c>
      <c r="R31" s="1023"/>
      <c r="S31" s="996"/>
      <c r="T31" s="1036"/>
      <c r="U31" s="335">
        <f>1*'R&amp;C-Painel de Controle'!$D$63+1*U30/10*U29*'R&amp;C-Painel de Controle'!$D$64+U30*U29*'R&amp;C-Painel de Controle'!$D$65</f>
        <v>170000</v>
      </c>
      <c r="V31" s="924"/>
      <c r="W31" s="33"/>
      <c r="X31" s="33"/>
      <c r="Y31" s="33"/>
      <c r="Z31" s="33"/>
      <c r="AA31" s="33"/>
      <c r="AB31" s="33"/>
      <c r="AC31" s="33"/>
      <c r="AD31" s="33"/>
      <c r="AE31" s="33"/>
      <c r="AF31" s="33"/>
      <c r="AG31" s="33"/>
      <c r="AH31" s="33"/>
      <c r="AI31" s="33"/>
      <c r="AJ31" s="33"/>
      <c r="AK31" s="33"/>
      <c r="AL31" s="33"/>
      <c r="AM31" s="33"/>
      <c r="AN31" s="33"/>
      <c r="AO31" s="33"/>
      <c r="AP31" s="33"/>
      <c r="AQ31" s="33"/>
      <c r="AR31" s="33"/>
      <c r="AS31" s="33"/>
      <c r="AT31" s="33"/>
      <c r="AU31" s="33"/>
      <c r="AV31" s="33"/>
      <c r="AW31" s="33"/>
      <c r="AX31" s="33"/>
      <c r="AY31" s="33"/>
      <c r="AZ31" s="33"/>
      <c r="BA31" s="33"/>
      <c r="BB31" s="33"/>
      <c r="BC31" s="33"/>
      <c r="BD31" s="33"/>
      <c r="BE31" s="33"/>
      <c r="BF31" s="33"/>
      <c r="BG31" s="33"/>
      <c r="BH31" s="33"/>
      <c r="BI31" s="33"/>
    </row>
    <row r="32" spans="1:61" ht="17.649999999999999" customHeight="1" collapsed="1" x14ac:dyDescent="0.25">
      <c r="A32" s="407"/>
      <c r="B32" s="913" t="s">
        <v>382</v>
      </c>
      <c r="C32" s="869"/>
      <c r="D32" s="1017"/>
      <c r="E32" s="890" t="str">
        <f>(IF(E$7="SIM",(E33*$H$2/1000*'R&amp;C-Painel de Controle'!$D$68+E34/1000*'R&amp;C-Painel de Controle'!$D$69*12)/$H$2,"-"))</f>
        <v>-</v>
      </c>
      <c r="F32" s="917"/>
      <c r="G32" s="993"/>
      <c r="H32" s="1077"/>
      <c r="I32" s="890" t="str">
        <f>(IF(I$7="SIM",(I33*$H$2/1000*'R&amp;C-Painel de Controle'!$D$68+I34/1000*'R&amp;C-Painel de Controle'!$D$69*12)/$H$2,"-"))</f>
        <v>-</v>
      </c>
      <c r="J32" s="1033"/>
      <c r="K32" s="993"/>
      <c r="L32" s="1077"/>
      <c r="M32" s="890" t="str">
        <f>(IF(M$7="SIM",(M33*$H$2/1000*'R&amp;C-Painel de Controle'!$D$68+M34/1000*'R&amp;C-Painel de Controle'!$D$69*12)/$H$2,"-"))</f>
        <v>-</v>
      </c>
      <c r="N32" s="1033"/>
      <c r="O32" s="993"/>
      <c r="P32" s="1077"/>
      <c r="Q32" s="890" t="str">
        <f>(IF(Q$7="SIM",(Q33*$H$2/1000*'R&amp;C-Painel de Controle'!$D$68+Q34/1000*'R&amp;C-Painel de Controle'!$D$69*12)/$H$2,"-"))</f>
        <v>-</v>
      </c>
      <c r="R32" s="1033"/>
      <c r="S32" s="993"/>
      <c r="T32" s="1077"/>
      <c r="U32" s="891" t="str">
        <f>(IF(U$7="SIM",(U33*$H$2/1000*'R&amp;C-Painel de Controle'!$D$68+U34/1000*'R&amp;C-Painel de Controle'!$D$69*12)/$H$2,"-"))</f>
        <v>-</v>
      </c>
      <c r="V32" s="1039"/>
      <c r="W32" s="42"/>
      <c r="X32" s="42"/>
      <c r="Y32" s="42"/>
      <c r="Z32" s="42"/>
      <c r="AA32" s="42"/>
      <c r="AB32" s="42"/>
      <c r="AC32" s="42"/>
      <c r="AD32" s="42"/>
      <c r="AE32" s="42"/>
      <c r="AF32" s="42"/>
      <c r="AG32" s="42"/>
      <c r="AH32" s="42"/>
      <c r="AI32" s="42"/>
      <c r="AJ32" s="42"/>
      <c r="AK32" s="42"/>
      <c r="AL32" s="42"/>
      <c r="AM32" s="42"/>
      <c r="AN32" s="42"/>
      <c r="AO32" s="42"/>
      <c r="AP32" s="42"/>
      <c r="AQ32" s="42"/>
      <c r="AR32" s="42"/>
      <c r="AS32" s="42"/>
      <c r="AT32" s="42"/>
      <c r="AU32" s="42"/>
      <c r="AV32" s="42"/>
      <c r="AW32" s="42"/>
      <c r="AX32" s="42"/>
      <c r="AY32" s="42"/>
      <c r="AZ32" s="42"/>
      <c r="BA32" s="42"/>
      <c r="BB32" s="42"/>
      <c r="BC32" s="42"/>
      <c r="BD32" s="42"/>
      <c r="BE32" s="42"/>
      <c r="BF32" s="42"/>
      <c r="BG32" s="42"/>
      <c r="BH32" s="42"/>
      <c r="BI32" s="42"/>
    </row>
    <row r="33" spans="1:61" ht="18" hidden="1" customHeight="1" outlineLevel="1" x14ac:dyDescent="0.25">
      <c r="A33" s="407"/>
      <c r="B33" s="1011" t="s">
        <v>633</v>
      </c>
      <c r="C33" s="903"/>
      <c r="D33" s="1018"/>
      <c r="E33" s="342">
        <f>IF('R-Definição'!$L$49&lt;=20,35,IF(AND('R-Definição'!$L$49&gt;20,'R-Definição'!$L$49&lt;=50),35*1.25,IF('R-Definição'!$L$49&gt;50,35*1.5,)))</f>
        <v>35</v>
      </c>
      <c r="F33" s="1019"/>
      <c r="G33" s="996"/>
      <c r="H33" s="1078"/>
      <c r="I33" s="342">
        <f>IF('R-Definição'!$L$49&lt;=20,35,IF(AND('R-Definição'!$L$49&gt;20,'R-Definição'!$L$49&lt;=50),35*1.25,IF('R-Definição'!$L$49&gt;50,35*1.5,)))</f>
        <v>35</v>
      </c>
      <c r="J33" s="1019"/>
      <c r="K33" s="996"/>
      <c r="L33" s="1078"/>
      <c r="M33" s="334">
        <f>IF('R-Definição'!$L$49&lt;=20,35,IF(AND('R-Definição'!$L$49&gt;20,'R-Definição'!$L$49&lt;=50),35*1.25,IF('R-Definição'!$L$49&gt;50,35*1.5,)))</f>
        <v>35</v>
      </c>
      <c r="N33" s="1019"/>
      <c r="O33" s="996"/>
      <c r="P33" s="1078"/>
      <c r="Q33" s="334">
        <f>IF('R-Definição'!$L$49&lt;=20,35,IF(AND('R-Definição'!$L$49&gt;20,'R-Definição'!$L$49&lt;=50),35*1.25,IF('R-Definição'!$L$49&gt;50,35*1.5,)))</f>
        <v>35</v>
      </c>
      <c r="R33" s="1019"/>
      <c r="S33" s="996"/>
      <c r="T33" s="1078"/>
      <c r="U33" s="334">
        <f>IF('R-Definição'!$L$49&lt;=20,35,IF(AND('R-Definição'!$L$49&gt;20,'R-Definição'!$L$49&lt;=50),35*1.25,IF('R-Definição'!$L$49&gt;50,35*1.5,)))</f>
        <v>35</v>
      </c>
      <c r="V33" s="1019"/>
      <c r="W33" s="33"/>
      <c r="X33" s="33"/>
      <c r="Y33" s="33"/>
      <c r="Z33" s="33"/>
      <c r="AA33" s="33"/>
      <c r="AB33" s="33"/>
      <c r="AC33" s="42"/>
      <c r="AD33" s="42"/>
      <c r="AE33" s="42"/>
      <c r="AF33" s="42"/>
      <c r="AG33" s="42"/>
      <c r="AH33" s="42"/>
      <c r="AI33" s="42"/>
      <c r="AJ33" s="42"/>
      <c r="AK33" s="42"/>
      <c r="AL33" s="42"/>
      <c r="AM33" s="42"/>
      <c r="AN33" s="42"/>
      <c r="AO33" s="42"/>
      <c r="AP33" s="42"/>
      <c r="AQ33" s="42"/>
      <c r="AR33" s="42"/>
      <c r="AS33" s="42"/>
      <c r="AT33" s="42"/>
      <c r="AU33" s="42"/>
      <c r="AV33" s="42"/>
      <c r="AW33" s="42"/>
      <c r="AX33" s="42"/>
      <c r="AY33" s="42"/>
      <c r="AZ33" s="42"/>
      <c r="BA33" s="42"/>
      <c r="BB33" s="42"/>
      <c r="BC33" s="42"/>
      <c r="BD33" s="42"/>
      <c r="BE33" s="42"/>
      <c r="BF33" s="42"/>
      <c r="BG33" s="42"/>
      <c r="BH33" s="42"/>
      <c r="BI33" s="42"/>
    </row>
    <row r="34" spans="1:61" ht="18" hidden="1" customHeight="1" outlineLevel="1" x14ac:dyDescent="0.25">
      <c r="A34" s="406"/>
      <c r="B34" s="1011" t="s">
        <v>634</v>
      </c>
      <c r="C34" s="925"/>
      <c r="D34" s="1015"/>
      <c r="E34" s="335">
        <f>E33*F11*(0.9)*0.92/16</f>
        <v>633.9375</v>
      </c>
      <c r="F34" s="1016"/>
      <c r="G34" s="999"/>
      <c r="H34" s="1082"/>
      <c r="I34" s="335">
        <f>I33*J11*(0.9)*0.92/16</f>
        <v>905.625</v>
      </c>
      <c r="J34" s="1022"/>
      <c r="K34" s="999"/>
      <c r="L34" s="1079"/>
      <c r="M34" s="335">
        <f>M33*N11*(0.9)*0.92/16</f>
        <v>1811.25</v>
      </c>
      <c r="N34" s="1022"/>
      <c r="O34" s="999"/>
      <c r="P34" s="1079"/>
      <c r="Q34" s="335">
        <f>Q33*R11*(0.9)*0.92/16</f>
        <v>2716.875</v>
      </c>
      <c r="R34" s="1022"/>
      <c r="S34" s="999"/>
      <c r="T34" s="1079"/>
      <c r="U34" s="335">
        <f>U33*V11*(0.9)*0.92/16</f>
        <v>3622.5</v>
      </c>
      <c r="V34" s="924"/>
      <c r="W34" s="33"/>
      <c r="X34" s="33"/>
      <c r="Y34" s="33"/>
      <c r="Z34" s="33"/>
      <c r="AA34" s="33"/>
      <c r="AB34" s="33"/>
      <c r="AC34" s="33"/>
      <c r="AD34" s="33"/>
      <c r="AE34" s="33"/>
      <c r="AF34" s="33"/>
      <c r="AG34" s="33"/>
      <c r="AH34" s="33"/>
      <c r="AI34" s="33"/>
      <c r="AJ34" s="33"/>
      <c r="AK34" s="33"/>
      <c r="AL34" s="33"/>
      <c r="AM34" s="33"/>
      <c r="AN34" s="33"/>
      <c r="AO34" s="33"/>
      <c r="AP34" s="33"/>
      <c r="AQ34" s="33"/>
      <c r="AR34" s="33"/>
      <c r="AS34" s="33"/>
      <c r="AT34" s="33"/>
      <c r="AU34" s="33"/>
      <c r="AV34" s="33"/>
      <c r="AW34" s="33"/>
      <c r="AX34" s="33"/>
      <c r="AY34" s="33"/>
      <c r="AZ34" s="33"/>
      <c r="BA34" s="33"/>
      <c r="BB34" s="33"/>
      <c r="BC34" s="33"/>
      <c r="BD34" s="33"/>
      <c r="BE34" s="33"/>
      <c r="BF34" s="33"/>
      <c r="BG34" s="33"/>
      <c r="BH34" s="33"/>
      <c r="BI34" s="33"/>
    </row>
    <row r="35" spans="1:61" ht="17.649999999999999" customHeight="1" collapsed="1" x14ac:dyDescent="0.25">
      <c r="A35" s="407"/>
      <c r="B35" s="913" t="s">
        <v>383</v>
      </c>
      <c r="C35" s="869"/>
      <c r="D35" s="1017"/>
      <c r="E35" s="890" t="str">
        <f>(IF(E$7="SIM",(E15*1000000*E36+E37*12)/$H$2,"-"))</f>
        <v>-</v>
      </c>
      <c r="F35" s="1021"/>
      <c r="G35" s="1000"/>
      <c r="H35" s="1080"/>
      <c r="I35" s="890" t="str">
        <f>(IF(I$7="SIM",(I15*1000000*I36+I37*12)/$H$2,"-"))</f>
        <v>-</v>
      </c>
      <c r="J35" s="1021"/>
      <c r="K35" s="1000"/>
      <c r="L35" s="1080"/>
      <c r="M35" s="890" t="str">
        <f>(IF(M$7="SIM",(M15*1000000*M36+M37*12)/$H$2,"-"))</f>
        <v>-</v>
      </c>
      <c r="N35" s="1021"/>
      <c r="O35" s="1000"/>
      <c r="P35" s="1080"/>
      <c r="Q35" s="890" t="str">
        <f>(IF(Q$7="SIM",(Q15*1000000*Q36+Q37*12)/$H$2,"-"))</f>
        <v>-</v>
      </c>
      <c r="R35" s="1021"/>
      <c r="S35" s="1000"/>
      <c r="T35" s="1080"/>
      <c r="U35" s="891" t="str">
        <f>(IF(U$7="SIM",(U15*1000000*U36+U37*12)/$H$2,"-"))</f>
        <v>-</v>
      </c>
      <c r="V35" s="1039"/>
      <c r="W35" s="42"/>
      <c r="X35" s="42"/>
      <c r="Y35" s="42"/>
      <c r="Z35" s="42"/>
      <c r="AA35" s="42"/>
      <c r="AB35" s="42"/>
      <c r="AC35" s="42"/>
      <c r="AD35" s="42"/>
      <c r="AE35" s="42"/>
      <c r="AF35" s="42"/>
      <c r="AG35" s="42"/>
      <c r="AH35" s="42"/>
      <c r="AI35" s="42"/>
      <c r="AJ35" s="42"/>
      <c r="AK35" s="42"/>
      <c r="AL35" s="42"/>
      <c r="AM35" s="42"/>
      <c r="AN35" s="42"/>
      <c r="AO35" s="42"/>
      <c r="AP35" s="42"/>
      <c r="AQ35" s="42"/>
      <c r="AR35" s="42"/>
      <c r="AS35" s="42"/>
      <c r="AT35" s="42"/>
      <c r="AU35" s="42"/>
      <c r="AV35" s="42"/>
      <c r="AW35" s="42"/>
      <c r="AX35" s="42"/>
      <c r="AY35" s="42"/>
      <c r="AZ35" s="42"/>
      <c r="BA35" s="42"/>
      <c r="BB35" s="42"/>
      <c r="BC35" s="42"/>
      <c r="BD35" s="42"/>
      <c r="BE35" s="42"/>
      <c r="BF35" s="42"/>
      <c r="BG35" s="42"/>
      <c r="BH35" s="42"/>
      <c r="BI35" s="42"/>
    </row>
    <row r="36" spans="1:61" ht="18" hidden="1" customHeight="1" outlineLevel="1" x14ac:dyDescent="0.25">
      <c r="A36" s="406"/>
      <c r="B36" s="1011" t="s">
        <v>635</v>
      </c>
      <c r="C36" s="903"/>
      <c r="D36" s="915"/>
      <c r="E36" s="340">
        <v>0.05</v>
      </c>
      <c r="F36" s="1016"/>
      <c r="G36" s="1001"/>
      <c r="H36" s="1081"/>
      <c r="I36" s="340">
        <v>0.05</v>
      </c>
      <c r="J36" s="1016"/>
      <c r="K36" s="1001"/>
      <c r="L36" s="1081"/>
      <c r="M36" s="340">
        <v>0.05</v>
      </c>
      <c r="N36" s="1016"/>
      <c r="O36" s="1001"/>
      <c r="P36" s="1081"/>
      <c r="Q36" s="340">
        <v>0.05</v>
      </c>
      <c r="R36" s="1016"/>
      <c r="S36" s="1001"/>
      <c r="T36" s="1081"/>
      <c r="U36" s="340">
        <v>0.05</v>
      </c>
      <c r="V36" s="924"/>
      <c r="W36" s="33"/>
      <c r="X36" s="33"/>
      <c r="Y36" s="33"/>
      <c r="Z36" s="33"/>
      <c r="AA36" s="33"/>
      <c r="AB36" s="33"/>
      <c r="AC36" s="33"/>
      <c r="AD36" s="33"/>
      <c r="AE36" s="33"/>
      <c r="AF36" s="33"/>
      <c r="AG36" s="33"/>
      <c r="AH36" s="33"/>
      <c r="AI36" s="33"/>
      <c r="AJ36" s="33"/>
      <c r="AK36" s="33"/>
      <c r="AL36" s="33"/>
      <c r="AM36" s="33"/>
      <c r="AN36" s="33"/>
      <c r="AO36" s="33"/>
      <c r="AP36" s="33"/>
      <c r="AQ36" s="33"/>
      <c r="AR36" s="33"/>
      <c r="AS36" s="33"/>
      <c r="AT36" s="33"/>
      <c r="AU36" s="33"/>
      <c r="AV36" s="33"/>
      <c r="AW36" s="33"/>
      <c r="AX36" s="33"/>
      <c r="AY36" s="33"/>
      <c r="AZ36" s="33"/>
      <c r="BA36" s="33"/>
      <c r="BB36" s="33"/>
      <c r="BC36" s="33"/>
      <c r="BD36" s="33"/>
      <c r="BE36" s="33"/>
      <c r="BF36" s="33"/>
      <c r="BG36" s="33"/>
      <c r="BH36" s="33"/>
      <c r="BI36" s="33"/>
    </row>
    <row r="37" spans="1:61" ht="18" hidden="1" customHeight="1" outlineLevel="1" x14ac:dyDescent="0.25">
      <c r="A37" s="406"/>
      <c r="B37" s="1011" t="s">
        <v>441</v>
      </c>
      <c r="C37" s="903"/>
      <c r="D37" s="915"/>
      <c r="E37" s="335">
        <v>50000</v>
      </c>
      <c r="F37" s="1022"/>
      <c r="G37" s="999"/>
      <c r="H37" s="1079"/>
      <c r="I37" s="335">
        <v>50000</v>
      </c>
      <c r="J37" s="1022"/>
      <c r="K37" s="999"/>
      <c r="L37" s="1079"/>
      <c r="M37" s="335">
        <v>50000</v>
      </c>
      <c r="N37" s="1022"/>
      <c r="O37" s="999"/>
      <c r="P37" s="1079"/>
      <c r="Q37" s="335">
        <v>100000</v>
      </c>
      <c r="R37" s="1022"/>
      <c r="S37" s="999"/>
      <c r="T37" s="1079"/>
      <c r="U37" s="335">
        <v>100000</v>
      </c>
      <c r="V37" s="924"/>
      <c r="W37" s="33"/>
      <c r="X37" s="33"/>
      <c r="Y37" s="33"/>
      <c r="Z37" s="33"/>
      <c r="AA37" s="33"/>
      <c r="AB37" s="33"/>
      <c r="AC37" s="33"/>
      <c r="AD37" s="33"/>
      <c r="AE37" s="33"/>
      <c r="AF37" s="33"/>
      <c r="AG37" s="33"/>
      <c r="AH37" s="33"/>
      <c r="AI37" s="33"/>
      <c r="AJ37" s="33"/>
      <c r="AK37" s="33"/>
      <c r="AL37" s="33"/>
      <c r="AM37" s="33"/>
      <c r="AN37" s="33"/>
      <c r="AO37" s="33"/>
      <c r="AP37" s="33"/>
      <c r="AQ37" s="33"/>
      <c r="AR37" s="33"/>
      <c r="AS37" s="33"/>
      <c r="AT37" s="33"/>
      <c r="AU37" s="33"/>
      <c r="AV37" s="33"/>
      <c r="AW37" s="33"/>
      <c r="AX37" s="33"/>
      <c r="AY37" s="33"/>
      <c r="AZ37" s="33"/>
      <c r="BA37" s="33"/>
      <c r="BB37" s="33"/>
      <c r="BC37" s="33"/>
      <c r="BD37" s="33"/>
      <c r="BE37" s="33"/>
      <c r="BF37" s="33"/>
      <c r="BG37" s="33"/>
      <c r="BH37" s="33"/>
      <c r="BI37" s="33"/>
    </row>
    <row r="38" spans="1:61" ht="17.649999999999999" customHeight="1" collapsed="1" x14ac:dyDescent="0.25">
      <c r="A38" s="407"/>
      <c r="B38" s="913" t="s">
        <v>638</v>
      </c>
      <c r="C38" s="869"/>
      <c r="D38" s="1074">
        <v>0.5</v>
      </c>
      <c r="E38" s="890" t="str">
        <f>(IF(E$7="SIM",D38*E39*E40*12/$H$2,"-"))</f>
        <v>-</v>
      </c>
      <c r="F38" s="1021"/>
      <c r="G38" s="1000"/>
      <c r="H38" s="1074">
        <f>D38</f>
        <v>0.5</v>
      </c>
      <c r="I38" s="890" t="str">
        <f>(IF(I$7="SIM",H38*I39*I40*12/$H$2,"-"))</f>
        <v>-</v>
      </c>
      <c r="J38" s="1021"/>
      <c r="K38" s="1000"/>
      <c r="L38" s="1074">
        <f>H38</f>
        <v>0.5</v>
      </c>
      <c r="M38" s="890" t="str">
        <f>(IF(M$7="SIM",L38*M39*M40*12/$H$2,"-"))</f>
        <v>-</v>
      </c>
      <c r="N38" s="1021"/>
      <c r="O38" s="1000"/>
      <c r="P38" s="1074">
        <f>L38</f>
        <v>0.5</v>
      </c>
      <c r="Q38" s="890" t="str">
        <f>(IF(Q$7="SIM",P38*Q39*Q40*12/$H$2,"-"))</f>
        <v>-</v>
      </c>
      <c r="R38" s="1021"/>
      <c r="S38" s="1000"/>
      <c r="T38" s="1074">
        <f>P38</f>
        <v>0.5</v>
      </c>
      <c r="U38" s="891" t="str">
        <f>(IF(U$7="SIM",T38*U39*U40*12/$H$2,"-"))</f>
        <v>-</v>
      </c>
      <c r="V38" s="1039"/>
      <c r="W38" s="42"/>
      <c r="X38" s="42"/>
      <c r="Y38" s="42"/>
      <c r="Z38" s="42"/>
      <c r="AA38" s="42"/>
      <c r="AB38" s="42"/>
      <c r="AC38" s="42"/>
      <c r="AD38" s="42"/>
      <c r="AE38" s="42"/>
      <c r="AF38" s="42"/>
      <c r="AG38" s="42"/>
      <c r="AH38" s="42"/>
      <c r="AI38" s="42"/>
      <c r="AJ38" s="42"/>
      <c r="AK38" s="42"/>
      <c r="AL38" s="42"/>
      <c r="AM38" s="42"/>
      <c r="AN38" s="42"/>
      <c r="AO38" s="42"/>
      <c r="AP38" s="42"/>
      <c r="AQ38" s="42"/>
      <c r="AR38" s="42"/>
      <c r="AS38" s="42"/>
      <c r="AT38" s="42"/>
      <c r="AU38" s="42"/>
      <c r="AV38" s="42"/>
      <c r="AW38" s="42"/>
      <c r="AX38" s="42"/>
      <c r="AY38" s="42"/>
      <c r="AZ38" s="42"/>
      <c r="BA38" s="42"/>
      <c r="BB38" s="42"/>
      <c r="BC38" s="42"/>
      <c r="BD38" s="42"/>
      <c r="BE38" s="42"/>
      <c r="BF38" s="42"/>
      <c r="BG38" s="42"/>
      <c r="BH38" s="42"/>
      <c r="BI38" s="42"/>
    </row>
    <row r="39" spans="1:61" ht="18" hidden="1" customHeight="1" outlineLevel="1" x14ac:dyDescent="0.25">
      <c r="A39" s="406"/>
      <c r="B39" s="1011" t="s">
        <v>636</v>
      </c>
      <c r="C39" s="925"/>
      <c r="D39" s="915"/>
      <c r="E39" s="335">
        <f>'R&amp;C-Painel de Controle'!$D$70</f>
        <v>100000</v>
      </c>
      <c r="F39" s="1023"/>
      <c r="G39" s="996"/>
      <c r="H39" s="1082"/>
      <c r="I39" s="335">
        <f>'R&amp;C-Painel de Controle'!$D$70</f>
        <v>100000</v>
      </c>
      <c r="J39" s="1023"/>
      <c r="K39" s="996"/>
      <c r="L39" s="1082"/>
      <c r="M39" s="335">
        <f>'R&amp;C-Painel de Controle'!$D$70</f>
        <v>100000</v>
      </c>
      <c r="N39" s="1023"/>
      <c r="O39" s="996"/>
      <c r="P39" s="1082"/>
      <c r="Q39" s="335">
        <f>'R&amp;C-Painel de Controle'!$D$70</f>
        <v>100000</v>
      </c>
      <c r="R39" s="1023"/>
      <c r="S39" s="996"/>
      <c r="T39" s="1082"/>
      <c r="U39" s="335">
        <f>'R&amp;C-Painel de Controle'!$D$70</f>
        <v>100000</v>
      </c>
      <c r="V39" s="924"/>
      <c r="W39" s="33"/>
      <c r="X39" s="33"/>
      <c r="Y39" s="33"/>
      <c r="Z39" s="33"/>
      <c r="AA39" s="33"/>
      <c r="AB39" s="33"/>
      <c r="AC39" s="33"/>
      <c r="AD39" s="33"/>
      <c r="AE39" s="33"/>
      <c r="AF39" s="33"/>
      <c r="AG39" s="33"/>
      <c r="AH39" s="33"/>
      <c r="AI39" s="33"/>
      <c r="AJ39" s="33"/>
      <c r="AK39" s="33"/>
      <c r="AL39" s="33"/>
      <c r="AM39" s="33"/>
      <c r="AN39" s="33"/>
      <c r="AO39" s="33"/>
      <c r="AP39" s="33"/>
      <c r="AQ39" s="33"/>
      <c r="AR39" s="33"/>
      <c r="AS39" s="33"/>
      <c r="AT39" s="33"/>
      <c r="AU39" s="33"/>
      <c r="AV39" s="33"/>
      <c r="AW39" s="33"/>
      <c r="AX39" s="33"/>
      <c r="AY39" s="33"/>
      <c r="AZ39" s="33"/>
      <c r="BA39" s="33"/>
      <c r="BB39" s="33"/>
      <c r="BC39" s="33"/>
      <c r="BD39" s="33"/>
      <c r="BE39" s="33"/>
      <c r="BF39" s="33"/>
      <c r="BG39" s="33"/>
      <c r="BH39" s="33"/>
      <c r="BI39" s="33"/>
    </row>
    <row r="40" spans="1:61" ht="18" hidden="1" customHeight="1" outlineLevel="1" x14ac:dyDescent="0.25">
      <c r="A40" s="407"/>
      <c r="B40" s="1011" t="s">
        <v>637</v>
      </c>
      <c r="C40" s="925"/>
      <c r="D40" s="915"/>
      <c r="E40" s="336">
        <v>1</v>
      </c>
      <c r="F40" s="1023"/>
      <c r="G40" s="996"/>
      <c r="H40" s="1082"/>
      <c r="I40" s="336">
        <v>1.25</v>
      </c>
      <c r="J40" s="1023"/>
      <c r="K40" s="996"/>
      <c r="L40" s="1082"/>
      <c r="M40" s="336">
        <v>2</v>
      </c>
      <c r="N40" s="1023"/>
      <c r="O40" s="996"/>
      <c r="P40" s="1082"/>
      <c r="Q40" s="336">
        <v>2.5</v>
      </c>
      <c r="R40" s="1023"/>
      <c r="S40" s="996"/>
      <c r="T40" s="1082"/>
      <c r="U40" s="336">
        <v>3</v>
      </c>
      <c r="V40" s="924"/>
      <c r="W40" s="33"/>
      <c r="X40" s="33"/>
      <c r="Y40" s="33"/>
      <c r="Z40" s="33"/>
      <c r="AA40" s="33"/>
      <c r="AB40" s="33"/>
      <c r="AC40" s="42"/>
      <c r="AD40" s="42"/>
      <c r="AE40" s="42"/>
      <c r="AF40" s="42"/>
      <c r="AG40" s="42"/>
      <c r="AH40" s="42"/>
      <c r="AI40" s="42"/>
      <c r="AJ40" s="42"/>
      <c r="AK40" s="42"/>
      <c r="AL40" s="42"/>
      <c r="AM40" s="42"/>
      <c r="AN40" s="42"/>
      <c r="AO40" s="42"/>
      <c r="AP40" s="42"/>
      <c r="AQ40" s="42"/>
      <c r="AR40" s="42"/>
      <c r="AS40" s="42"/>
      <c r="AT40" s="42"/>
      <c r="AU40" s="42"/>
      <c r="AV40" s="42"/>
      <c r="AW40" s="42"/>
      <c r="AX40" s="42"/>
      <c r="AY40" s="42"/>
      <c r="AZ40" s="42"/>
      <c r="BA40" s="42"/>
      <c r="BB40" s="42"/>
      <c r="BC40" s="42"/>
      <c r="BD40" s="42"/>
      <c r="BE40" s="42"/>
      <c r="BF40" s="42"/>
      <c r="BG40" s="42"/>
      <c r="BH40" s="42"/>
      <c r="BI40" s="42"/>
    </row>
    <row r="41" spans="1:61" ht="17.649999999999999" customHeight="1" x14ac:dyDescent="0.25">
      <c r="A41" s="407"/>
      <c r="B41" s="913" t="s">
        <v>390</v>
      </c>
      <c r="C41" s="869"/>
      <c r="D41" s="1017"/>
      <c r="E41" s="893" t="str">
        <f>(IF(E$7="SIM",5+2.5+1*'R&amp;C-Painel de Controle'!$D$74,"-"))</f>
        <v>-</v>
      </c>
      <c r="F41" s="1021"/>
      <c r="G41" s="1000"/>
      <c r="H41" s="1080"/>
      <c r="I41" s="893" t="str">
        <f>(IF(I$7="SIM",5+2.5+1*'R&amp;C-Painel de Controle'!$D$74,"-"))</f>
        <v>-</v>
      </c>
      <c r="J41" s="1021"/>
      <c r="K41" s="1000"/>
      <c r="L41" s="1080"/>
      <c r="M41" s="893" t="str">
        <f>(IF(M$7="SIM",5+2.5+1*'R&amp;C-Painel de Controle'!$D$74,"-"))</f>
        <v>-</v>
      </c>
      <c r="N41" s="1021"/>
      <c r="O41" s="1000"/>
      <c r="P41" s="1080"/>
      <c r="Q41" s="893" t="str">
        <f>(IF(Q$7="SIM",5+2.5+1*'R&amp;C-Painel de Controle'!$D$74,"-"))</f>
        <v>-</v>
      </c>
      <c r="R41" s="1021"/>
      <c r="S41" s="1000"/>
      <c r="T41" s="1080"/>
      <c r="U41" s="894" t="str">
        <f>(IF(U$7="SIM",5+2.5+1*'R&amp;C-Painel de Controle'!$D$74,"-"))</f>
        <v>-</v>
      </c>
      <c r="V41" s="1039"/>
      <c r="W41" s="42"/>
      <c r="X41" s="42"/>
      <c r="Y41" s="42"/>
      <c r="Z41" s="42"/>
      <c r="AA41" s="42"/>
      <c r="AB41" s="42"/>
      <c r="AC41" s="42"/>
      <c r="AD41" s="42"/>
      <c r="AE41" s="42"/>
      <c r="AF41" s="42"/>
      <c r="AG41" s="42"/>
      <c r="AH41" s="42"/>
      <c r="AI41" s="42"/>
      <c r="AJ41" s="42"/>
      <c r="AK41" s="42"/>
      <c r="AL41" s="42"/>
      <c r="AM41" s="42"/>
      <c r="AN41" s="42"/>
      <c r="AO41" s="42"/>
      <c r="AP41" s="42"/>
      <c r="AQ41" s="42"/>
      <c r="AR41" s="42"/>
      <c r="AS41" s="42"/>
      <c r="AT41" s="42"/>
      <c r="AU41" s="42"/>
      <c r="AV41" s="42"/>
      <c r="AW41" s="42"/>
      <c r="AX41" s="42"/>
      <c r="AY41" s="42"/>
      <c r="AZ41" s="42"/>
      <c r="BA41" s="42"/>
      <c r="BB41" s="42"/>
      <c r="BC41" s="42"/>
      <c r="BD41" s="42"/>
      <c r="BE41" s="42"/>
      <c r="BF41" s="42"/>
      <c r="BG41" s="42"/>
      <c r="BH41" s="42"/>
      <c r="BI41" s="42"/>
    </row>
    <row r="42" spans="1:61" s="1102" customFormat="1" ht="19.899999999999999" customHeight="1" x14ac:dyDescent="0.3">
      <c r="A42" s="1100"/>
      <c r="B42" s="1012" t="s">
        <v>386</v>
      </c>
      <c r="C42" s="904"/>
      <c r="D42" s="1074">
        <v>0.1</v>
      </c>
      <c r="E42" s="887" t="str">
        <f>(IF(E$7="SIM",(E27+E32+E35+E38+E41)*(1+D42),"-"))</f>
        <v>-</v>
      </c>
      <c r="F42" s="1024"/>
      <c r="G42" s="1002"/>
      <c r="H42" s="1074">
        <v>0.1</v>
      </c>
      <c r="I42" s="887" t="str">
        <f>(IF(I$7="SIM",(I27+I32+I35+I38+I41)*(1+H42),"-"))</f>
        <v>-</v>
      </c>
      <c r="J42" s="1024"/>
      <c r="K42" s="1002"/>
      <c r="L42" s="1074">
        <v>0.1</v>
      </c>
      <c r="M42" s="887" t="str">
        <f>(IF(M$7="SIM",(M27+M32+M35+M38+M41)*(1+L42),"-"))</f>
        <v>-</v>
      </c>
      <c r="N42" s="1024"/>
      <c r="O42" s="1002"/>
      <c r="P42" s="1074">
        <v>0.1</v>
      </c>
      <c r="Q42" s="887" t="str">
        <f>(IF(Q$7="SIM",(Q27+Q32+Q35+Q38+Q41)*(1+P42),"-"))</f>
        <v>-</v>
      </c>
      <c r="R42" s="1024"/>
      <c r="S42" s="1002"/>
      <c r="T42" s="1074">
        <v>0.1</v>
      </c>
      <c r="U42" s="888" t="str">
        <f>(IF(U$7="SIM",(U27+U32+U35+U38+U41)*(1+T42),"-"))</f>
        <v>-</v>
      </c>
      <c r="V42" s="1040"/>
      <c r="W42" s="1101"/>
      <c r="X42" s="1101"/>
      <c r="Y42" s="1101"/>
      <c r="Z42" s="1101"/>
      <c r="AA42" s="1101"/>
      <c r="AB42" s="1101"/>
      <c r="AC42" s="1101"/>
      <c r="AD42" s="1101"/>
      <c r="AE42" s="1101"/>
      <c r="AF42" s="1101"/>
      <c r="AG42" s="1101"/>
      <c r="AH42" s="1101"/>
      <c r="AI42" s="1101"/>
      <c r="AJ42" s="1101"/>
      <c r="AK42" s="1101"/>
      <c r="AL42" s="1101"/>
      <c r="AM42" s="1101"/>
      <c r="AN42" s="1101"/>
      <c r="AO42" s="1101"/>
      <c r="AP42" s="1101"/>
      <c r="AQ42" s="1101"/>
      <c r="AR42" s="1101"/>
      <c r="AS42" s="1101"/>
      <c r="AT42" s="1101"/>
      <c r="AU42" s="1101"/>
      <c r="AV42" s="1101"/>
      <c r="AW42" s="1101"/>
      <c r="AX42" s="1101"/>
      <c r="AY42" s="1101"/>
      <c r="AZ42" s="1101"/>
      <c r="BA42" s="1101"/>
      <c r="BB42" s="1101"/>
      <c r="BC42" s="1101"/>
      <c r="BD42" s="1101"/>
      <c r="BE42" s="1101"/>
      <c r="BF42" s="1101"/>
      <c r="BG42" s="1101"/>
      <c r="BH42" s="1101"/>
      <c r="BI42" s="1101"/>
    </row>
    <row r="43" spans="1:61" s="1102" customFormat="1" ht="19.899999999999999" customHeight="1" x14ac:dyDescent="0.3">
      <c r="A43" s="1100"/>
      <c r="B43" s="1012" t="s">
        <v>387</v>
      </c>
      <c r="C43" s="904"/>
      <c r="D43" s="1025"/>
      <c r="E43" s="886" t="str">
        <f>(IF(E$7="SIM",E42*$H$2/1000000,"-"))</f>
        <v>-</v>
      </c>
      <c r="F43" s="1026"/>
      <c r="G43" s="904"/>
      <c r="H43" s="1025"/>
      <c r="I43" s="886" t="str">
        <f>(IF(I$7="SIM",I42*$H$2/1000000,"-"))</f>
        <v>-</v>
      </c>
      <c r="J43" s="1026"/>
      <c r="K43" s="904"/>
      <c r="L43" s="1025"/>
      <c r="M43" s="886" t="str">
        <f>(IF(M$7="SIM",M42*$H$2/1000000,"-"))</f>
        <v>-</v>
      </c>
      <c r="N43" s="1026"/>
      <c r="O43" s="904"/>
      <c r="P43" s="1083"/>
      <c r="Q43" s="886" t="str">
        <f>(IF(Q$7="SIM",Q42*$H$2/1000000,"-"))</f>
        <v>-</v>
      </c>
      <c r="R43" s="1026"/>
      <c r="S43" s="904"/>
      <c r="T43" s="1025"/>
      <c r="U43" s="851" t="str">
        <f>(IF(U$7="SIM",U42*$H$2/1000000,"-"))</f>
        <v>-</v>
      </c>
      <c r="V43" s="1026"/>
      <c r="W43" s="1101"/>
      <c r="X43" s="1101"/>
      <c r="Y43" s="1101"/>
      <c r="Z43" s="1101"/>
      <c r="AA43" s="1101"/>
      <c r="AB43" s="1101"/>
      <c r="AC43" s="1101"/>
      <c r="AD43" s="1101"/>
      <c r="AE43" s="1101"/>
      <c r="AF43" s="1101"/>
      <c r="AG43" s="1101"/>
      <c r="AH43" s="1101"/>
      <c r="AI43" s="1101"/>
      <c r="AJ43" s="1101"/>
      <c r="AK43" s="1101"/>
      <c r="AL43" s="1101"/>
      <c r="AM43" s="1101"/>
      <c r="AN43" s="1101"/>
      <c r="AO43" s="1101"/>
      <c r="AP43" s="1101"/>
      <c r="AQ43" s="1101"/>
      <c r="AR43" s="1101"/>
      <c r="AS43" s="1101"/>
      <c r="AT43" s="1101"/>
      <c r="AU43" s="1101"/>
      <c r="AV43" s="1101"/>
      <c r="AW43" s="1101"/>
      <c r="AX43" s="1101"/>
      <c r="AY43" s="1101"/>
      <c r="AZ43" s="1101"/>
      <c r="BA43" s="1101"/>
      <c r="BB43" s="1101"/>
      <c r="BC43" s="1101"/>
      <c r="BD43" s="1101"/>
      <c r="BE43" s="1101"/>
      <c r="BF43" s="1101"/>
      <c r="BG43" s="1101"/>
      <c r="BH43" s="1101"/>
      <c r="BI43" s="1101"/>
    </row>
    <row r="44" spans="1:61" s="691" customFormat="1" ht="18" customHeight="1" x14ac:dyDescent="0.25">
      <c r="A44" s="657"/>
      <c r="B44" s="1013" t="s">
        <v>388</v>
      </c>
      <c r="C44" s="869"/>
      <c r="D44" s="1020"/>
      <c r="E44" s="895" t="str">
        <f>(IF(E$7="SIM",(((E27*$H$2/12)+(E34/1000*'R&amp;C-Painel de Controle'!$D$69*12)+(E37*12)+(E39*E40*12))/1000000),"-"))</f>
        <v>-</v>
      </c>
      <c r="F44" s="1027"/>
      <c r="G44" s="869"/>
      <c r="H44" s="1020"/>
      <c r="I44" s="895" t="str">
        <f>(IF(I$7="SIM",(((I27*$H$2/12)+(I34/1000*'R&amp;C-Painel de Controle'!$D$69*12)+(I37*12)+(I39*I40*12))/1000000),"-"))</f>
        <v>-</v>
      </c>
      <c r="J44" s="1027"/>
      <c r="K44" s="869"/>
      <c r="L44" s="1020"/>
      <c r="M44" s="895" t="str">
        <f>(IF(M$7="SIM",(((M27*$H$2/12)+(M34/1000*'R&amp;C-Painel de Controle'!$D$69*12)+(M37*12)+(M39*M40*12))/1000000),"-"))</f>
        <v>-</v>
      </c>
      <c r="N44" s="1027"/>
      <c r="O44" s="869"/>
      <c r="P44" s="1020"/>
      <c r="Q44" s="895" t="str">
        <f>(IF(Q$7="SIM",(((Q27*$H$2/12)+(Q34/1000*'R&amp;C-Painel de Controle'!$D$69*12)+(Q37*12)+(Q39*Q40*12))/1000000),"-"))</f>
        <v>-</v>
      </c>
      <c r="R44" s="1027"/>
      <c r="S44" s="869"/>
      <c r="T44" s="1020"/>
      <c r="U44" s="896" t="str">
        <f>(IF(U$7="SIM",(((U27*$H$2/12)+(U34/1000*'R&amp;C-Painel de Controle'!$D$69*12)+(U37*12)+(U39*U40*12))/1000000),"-"))</f>
        <v>-</v>
      </c>
      <c r="V44" s="1027"/>
      <c r="W44" s="38"/>
      <c r="X44" s="38"/>
      <c r="Y44" s="38"/>
      <c r="Z44" s="38"/>
      <c r="AA44" s="38"/>
      <c r="AB44" s="38"/>
      <c r="AC44" s="38"/>
      <c r="AD44" s="38"/>
      <c r="AE44" s="38"/>
      <c r="AF44" s="38"/>
      <c r="AG44" s="38"/>
      <c r="AH44" s="38"/>
      <c r="AI44" s="38"/>
      <c r="AJ44" s="38"/>
      <c r="AK44" s="38"/>
      <c r="AL44" s="38"/>
      <c r="AM44" s="38"/>
      <c r="AN44" s="38"/>
      <c r="AO44" s="38"/>
      <c r="AP44" s="38"/>
      <c r="AQ44" s="38"/>
      <c r="AR44" s="38"/>
      <c r="AS44" s="38"/>
      <c r="AT44" s="38"/>
      <c r="AU44" s="38"/>
      <c r="AV44" s="38"/>
      <c r="AW44" s="38"/>
      <c r="AX44" s="38"/>
      <c r="AY44" s="38"/>
      <c r="AZ44" s="38"/>
      <c r="BA44" s="38"/>
      <c r="BB44" s="38"/>
      <c r="BC44" s="38"/>
      <c r="BD44" s="38"/>
      <c r="BE44" s="38"/>
      <c r="BF44" s="38"/>
      <c r="BG44" s="38"/>
      <c r="BH44" s="38"/>
      <c r="BI44" s="38"/>
    </row>
    <row r="45" spans="1:61" s="691" customFormat="1" ht="18" customHeight="1" thickBot="1" x14ac:dyDescent="0.3">
      <c r="A45" s="657"/>
      <c r="B45" s="1014" t="s">
        <v>389</v>
      </c>
      <c r="C45" s="869"/>
      <c r="D45" s="1028"/>
      <c r="E45" s="1029" t="str">
        <f>(IF(E$7="SIM",((E43-E44)*1000000)/$H$2,"-"))</f>
        <v>-</v>
      </c>
      <c r="F45" s="1030"/>
      <c r="G45" s="869"/>
      <c r="H45" s="1028"/>
      <c r="I45" s="1029" t="str">
        <f>(IF(I$7="SIM",((I43-I44)*1000000)/$H$2,"-"))</f>
        <v>-</v>
      </c>
      <c r="J45" s="1030"/>
      <c r="K45" s="869"/>
      <c r="L45" s="1028"/>
      <c r="M45" s="1029" t="str">
        <f>(IF(M$7="SIM",((M43-M44)*1000000)/$H$2,"-"))</f>
        <v>-</v>
      </c>
      <c r="N45" s="1030"/>
      <c r="O45" s="869"/>
      <c r="P45" s="1028"/>
      <c r="Q45" s="1029" t="str">
        <f>(IF(Q$7="SIM",((Q43-Q44)*1000000)/$H$2,"-"))</f>
        <v>-</v>
      </c>
      <c r="R45" s="1030"/>
      <c r="S45" s="869"/>
      <c r="T45" s="1028"/>
      <c r="U45" s="1041" t="str">
        <f>(IF(U$7="SIM",((U43-U44)*1000000)/$H$2,"-"))</f>
        <v>-</v>
      </c>
      <c r="V45" s="1030"/>
      <c r="W45" s="38"/>
      <c r="X45" s="38"/>
      <c r="Y45" s="38"/>
      <c r="Z45" s="38"/>
      <c r="AA45" s="38"/>
      <c r="AB45" s="38"/>
      <c r="AC45" s="38"/>
      <c r="AD45" s="38"/>
      <c r="AE45" s="38"/>
      <c r="AF45" s="38"/>
      <c r="AG45" s="38"/>
      <c r="AH45" s="38"/>
      <c r="AI45" s="38"/>
      <c r="AJ45" s="38"/>
      <c r="AK45" s="38"/>
      <c r="AL45" s="38"/>
      <c r="AM45" s="38"/>
      <c r="AN45" s="38"/>
      <c r="AO45" s="38"/>
      <c r="AP45" s="38"/>
      <c r="AQ45" s="38"/>
      <c r="AR45" s="38"/>
      <c r="AS45" s="38"/>
      <c r="AT45" s="38"/>
      <c r="AU45" s="38"/>
      <c r="AV45" s="38"/>
      <c r="AW45" s="38"/>
      <c r="AX45" s="38"/>
      <c r="AY45" s="38"/>
      <c r="AZ45" s="38"/>
      <c r="BA45" s="38"/>
      <c r="BB45" s="38"/>
      <c r="BC45" s="38"/>
      <c r="BD45" s="38"/>
      <c r="BE45" s="38"/>
      <c r="BF45" s="38"/>
      <c r="BG45" s="38"/>
      <c r="BH45" s="38"/>
      <c r="BI45" s="38"/>
    </row>
    <row r="46" spans="1:61" ht="14.25" customHeight="1" thickTop="1" x14ac:dyDescent="0.25">
      <c r="A46" s="33"/>
      <c r="B46" s="42"/>
      <c r="C46" s="33"/>
      <c r="D46" s="33"/>
      <c r="E46" s="33"/>
      <c r="F46" s="33"/>
      <c r="G46" s="33"/>
      <c r="H46" s="33"/>
      <c r="I46" s="33"/>
      <c r="J46" s="33"/>
      <c r="K46" s="33"/>
      <c r="L46" s="33"/>
      <c r="M46" s="33"/>
      <c r="N46" s="33"/>
      <c r="O46" s="33"/>
      <c r="P46" s="33"/>
      <c r="Q46" s="33"/>
      <c r="R46" s="33"/>
      <c r="S46" s="33"/>
      <c r="T46" s="33"/>
      <c r="U46" s="33"/>
      <c r="V46" s="33"/>
      <c r="W46" s="33"/>
      <c r="X46" s="33"/>
      <c r="Y46" s="33"/>
      <c r="Z46" s="33"/>
      <c r="AA46" s="33"/>
      <c r="AB46" s="33"/>
      <c r="AC46" s="33"/>
      <c r="AD46" s="33"/>
      <c r="AE46" s="33"/>
      <c r="AF46" s="33"/>
      <c r="AG46" s="33"/>
      <c r="AH46" s="33"/>
      <c r="AI46" s="33"/>
      <c r="AJ46" s="33"/>
      <c r="AK46" s="33"/>
      <c r="AL46" s="33"/>
      <c r="AM46" s="33"/>
      <c r="AN46" s="33"/>
      <c r="AO46" s="33"/>
      <c r="AP46" s="33"/>
      <c r="AQ46" s="33"/>
      <c r="AR46" s="33"/>
      <c r="AS46" s="33"/>
      <c r="AT46" s="33"/>
      <c r="AU46" s="33"/>
      <c r="AV46" s="33"/>
      <c r="AW46" s="33"/>
      <c r="AX46" s="33"/>
      <c r="AY46" s="33"/>
      <c r="AZ46" s="33"/>
      <c r="BA46" s="33"/>
      <c r="BB46" s="33"/>
      <c r="BC46" s="33"/>
      <c r="BD46" s="33"/>
      <c r="BE46" s="33"/>
      <c r="BF46" s="33"/>
      <c r="BG46" s="33"/>
      <c r="BH46" s="33"/>
      <c r="BI46" s="33"/>
    </row>
    <row r="47" spans="1:61" ht="14.25" customHeight="1" x14ac:dyDescent="0.25">
      <c r="A47" s="33"/>
      <c r="B47" s="42"/>
      <c r="C47" s="33"/>
      <c r="D47" s="33"/>
      <c r="E47" s="33"/>
      <c r="F47" s="33"/>
      <c r="G47" s="33"/>
      <c r="H47" s="33"/>
      <c r="I47" s="33"/>
      <c r="J47" s="33"/>
      <c r="K47" s="33"/>
      <c r="L47" s="33"/>
      <c r="M47" s="33"/>
      <c r="N47" s="33"/>
      <c r="O47" s="33"/>
      <c r="P47" s="33"/>
      <c r="Q47" s="33"/>
      <c r="R47" s="33"/>
      <c r="S47" s="33"/>
      <c r="T47" s="33"/>
      <c r="U47" s="33"/>
      <c r="V47" s="33"/>
      <c r="W47" s="33"/>
      <c r="X47" s="33"/>
      <c r="Y47" s="33"/>
      <c r="Z47" s="33"/>
      <c r="AA47" s="33"/>
      <c r="AB47" s="33"/>
      <c r="AC47" s="33"/>
      <c r="AD47" s="33"/>
      <c r="AE47" s="33"/>
      <c r="AF47" s="33"/>
      <c r="AG47" s="33"/>
      <c r="AH47" s="33"/>
      <c r="AI47" s="33"/>
      <c r="AJ47" s="33"/>
      <c r="AK47" s="33"/>
      <c r="AL47" s="33"/>
      <c r="AM47" s="33"/>
      <c r="AN47" s="33"/>
      <c r="AO47" s="33"/>
      <c r="AP47" s="33"/>
      <c r="AQ47" s="33"/>
      <c r="AR47" s="33"/>
      <c r="AS47" s="33"/>
      <c r="AT47" s="33"/>
      <c r="AU47" s="33"/>
      <c r="AV47" s="33"/>
      <c r="AW47" s="33"/>
      <c r="AX47" s="33"/>
      <c r="AY47" s="33"/>
      <c r="AZ47" s="33"/>
      <c r="BA47" s="33"/>
      <c r="BB47" s="33"/>
      <c r="BC47" s="33"/>
      <c r="BD47" s="33"/>
      <c r="BE47" s="33"/>
      <c r="BF47" s="33"/>
      <c r="BG47" s="33"/>
      <c r="BH47" s="33"/>
      <c r="BI47" s="33"/>
    </row>
    <row r="48" spans="1:61" ht="14.25" customHeight="1" x14ac:dyDescent="0.25">
      <c r="A48" s="33"/>
      <c r="B48" s="42"/>
      <c r="C48" s="33"/>
      <c r="D48" s="33"/>
      <c r="E48" s="33"/>
      <c r="F48" s="33"/>
      <c r="G48" s="33"/>
      <c r="H48" s="33"/>
      <c r="I48" s="33"/>
      <c r="J48" s="33"/>
      <c r="K48" s="33"/>
      <c r="L48" s="33"/>
      <c r="M48" s="33"/>
      <c r="N48" s="33"/>
      <c r="O48" s="33"/>
      <c r="P48" s="33"/>
      <c r="Q48" s="33"/>
      <c r="R48" s="33"/>
      <c r="S48" s="33"/>
      <c r="T48" s="33"/>
      <c r="U48" s="33"/>
      <c r="V48" s="33"/>
      <c r="W48" s="33"/>
      <c r="X48" s="33"/>
      <c r="Y48" s="33"/>
      <c r="Z48" s="33"/>
      <c r="AA48" s="33"/>
      <c r="AB48" s="33"/>
      <c r="AC48" s="33"/>
      <c r="AD48" s="33"/>
      <c r="AE48" s="33"/>
      <c r="AF48" s="33"/>
      <c r="AG48" s="33"/>
      <c r="AH48" s="33"/>
      <c r="AI48" s="33"/>
      <c r="AJ48" s="33"/>
      <c r="AK48" s="33"/>
      <c r="AL48" s="33"/>
      <c r="AM48" s="33"/>
      <c r="AN48" s="33"/>
      <c r="AO48" s="33"/>
      <c r="AP48" s="33"/>
      <c r="AQ48" s="33"/>
      <c r="AR48" s="33"/>
      <c r="AS48" s="33"/>
      <c r="AT48" s="33"/>
      <c r="AU48" s="33"/>
      <c r="AV48" s="33"/>
      <c r="AW48" s="33"/>
      <c r="AX48" s="33"/>
      <c r="AY48" s="33"/>
      <c r="AZ48" s="33"/>
      <c r="BA48" s="33"/>
      <c r="BB48" s="33"/>
      <c r="BC48" s="33"/>
      <c r="BD48" s="33"/>
      <c r="BE48" s="33"/>
      <c r="BF48" s="33"/>
      <c r="BG48" s="33"/>
      <c r="BH48" s="33"/>
      <c r="BI48" s="33"/>
    </row>
    <row r="49" spans="1:61" ht="14.25" customHeight="1" x14ac:dyDescent="0.25">
      <c r="A49" s="33"/>
      <c r="B49" s="42"/>
      <c r="C49" s="33"/>
      <c r="D49" s="33"/>
      <c r="E49" s="33"/>
      <c r="F49" s="33"/>
      <c r="G49" s="33"/>
      <c r="H49" s="33"/>
      <c r="I49" s="33"/>
      <c r="J49" s="33"/>
      <c r="K49" s="33"/>
      <c r="L49" s="33"/>
      <c r="M49" s="33"/>
      <c r="N49" s="33"/>
      <c r="O49" s="33"/>
      <c r="P49" s="33"/>
      <c r="Q49" s="33"/>
      <c r="R49" s="33"/>
      <c r="S49" s="33"/>
      <c r="T49" s="33"/>
      <c r="U49" s="33"/>
      <c r="V49" s="33"/>
      <c r="W49" s="33"/>
      <c r="X49" s="33"/>
      <c r="Y49" s="33"/>
      <c r="Z49" s="33"/>
      <c r="AA49" s="33"/>
      <c r="AB49" s="33"/>
      <c r="AC49" s="33"/>
      <c r="AD49" s="33"/>
      <c r="AE49" s="33"/>
      <c r="AF49" s="33"/>
      <c r="AG49" s="33"/>
      <c r="AH49" s="33"/>
      <c r="AI49" s="33"/>
      <c r="AJ49" s="33"/>
      <c r="AK49" s="33"/>
      <c r="AL49" s="33"/>
      <c r="AM49" s="33"/>
      <c r="AN49" s="33"/>
      <c r="AO49" s="33"/>
      <c r="AP49" s="33"/>
      <c r="AQ49" s="33"/>
      <c r="AR49" s="33"/>
      <c r="AS49" s="33"/>
      <c r="AT49" s="33"/>
      <c r="AU49" s="33"/>
      <c r="AV49" s="33"/>
      <c r="AW49" s="33"/>
      <c r="AX49" s="33"/>
      <c r="AY49" s="33"/>
      <c r="AZ49" s="33"/>
      <c r="BA49" s="33"/>
      <c r="BB49" s="33"/>
      <c r="BC49" s="33"/>
      <c r="BD49" s="33"/>
      <c r="BE49" s="33"/>
      <c r="BF49" s="33"/>
      <c r="BG49" s="33"/>
      <c r="BH49" s="33"/>
      <c r="BI49" s="33"/>
    </row>
    <row r="50" spans="1:61" ht="14.25" customHeight="1" x14ac:dyDescent="0.25">
      <c r="A50" s="33"/>
      <c r="B50" s="42"/>
      <c r="C50" s="33"/>
      <c r="D50" s="33"/>
      <c r="E50" s="33"/>
      <c r="F50" s="33"/>
      <c r="G50" s="33"/>
      <c r="H50" s="33"/>
      <c r="I50" s="33"/>
      <c r="J50" s="33"/>
      <c r="K50" s="33"/>
      <c r="L50" s="33"/>
      <c r="M50" s="33"/>
      <c r="N50" s="33"/>
      <c r="O50" s="33"/>
      <c r="P50" s="33"/>
      <c r="Q50" s="33"/>
      <c r="R50" s="33"/>
      <c r="S50" s="33"/>
      <c r="T50" s="33"/>
      <c r="U50" s="33"/>
      <c r="V50" s="33"/>
      <c r="W50" s="33"/>
      <c r="X50" s="33"/>
      <c r="Y50" s="33"/>
      <c r="Z50" s="33"/>
      <c r="AA50" s="33"/>
      <c r="AB50" s="33"/>
      <c r="AC50" s="33"/>
      <c r="AD50" s="33"/>
      <c r="AE50" s="33"/>
      <c r="AF50" s="33"/>
      <c r="AG50" s="33"/>
      <c r="AH50" s="33"/>
      <c r="AI50" s="33"/>
      <c r="AJ50" s="33"/>
      <c r="AK50" s="33"/>
      <c r="AL50" s="33"/>
      <c r="AM50" s="33"/>
      <c r="AN50" s="33"/>
      <c r="AO50" s="33"/>
      <c r="AP50" s="33"/>
      <c r="AQ50" s="33"/>
      <c r="AR50" s="33"/>
      <c r="AS50" s="33"/>
      <c r="AT50" s="33"/>
      <c r="AU50" s="33"/>
      <c r="AV50" s="33"/>
      <c r="AW50" s="33"/>
      <c r="AX50" s="33"/>
      <c r="AY50" s="33"/>
      <c r="AZ50" s="33"/>
      <c r="BA50" s="33"/>
      <c r="BB50" s="33"/>
      <c r="BC50" s="33"/>
      <c r="BD50" s="33"/>
      <c r="BE50" s="33"/>
      <c r="BF50" s="33"/>
      <c r="BG50" s="33"/>
      <c r="BH50" s="33"/>
      <c r="BI50" s="33"/>
    </row>
    <row r="51" spans="1:61" ht="14.25" customHeight="1" x14ac:dyDescent="0.25">
      <c r="A51" s="33"/>
      <c r="B51" s="42"/>
      <c r="C51" s="33"/>
      <c r="D51" s="33"/>
      <c r="E51" s="33"/>
      <c r="F51" s="33"/>
      <c r="G51" s="33"/>
      <c r="H51" s="33"/>
      <c r="I51" s="33"/>
      <c r="J51" s="33"/>
      <c r="K51" s="33"/>
      <c r="L51" s="33"/>
      <c r="M51" s="33"/>
      <c r="N51" s="33"/>
      <c r="O51" s="33"/>
      <c r="P51" s="33"/>
      <c r="Q51" s="33"/>
      <c r="R51" s="33"/>
      <c r="S51" s="33"/>
      <c r="T51" s="33"/>
      <c r="U51" s="33"/>
      <c r="V51" s="33"/>
      <c r="W51" s="33"/>
      <c r="X51" s="33"/>
      <c r="Y51" s="33"/>
      <c r="Z51" s="33"/>
      <c r="AA51" s="33"/>
      <c r="AB51" s="33"/>
      <c r="AC51" s="33"/>
      <c r="AD51" s="33"/>
      <c r="AE51" s="33"/>
      <c r="AF51" s="33"/>
      <c r="AG51" s="33"/>
      <c r="AH51" s="33"/>
      <c r="AI51" s="33"/>
      <c r="AJ51" s="33"/>
      <c r="AK51" s="33"/>
      <c r="AL51" s="33"/>
      <c r="AM51" s="33"/>
      <c r="AN51" s="33"/>
      <c r="AO51" s="33"/>
      <c r="AP51" s="33"/>
      <c r="AQ51" s="33"/>
      <c r="AR51" s="33"/>
      <c r="AS51" s="33"/>
      <c r="AT51" s="33"/>
      <c r="AU51" s="33"/>
      <c r="AV51" s="33"/>
      <c r="AW51" s="33"/>
      <c r="AX51" s="33"/>
      <c r="AY51" s="33"/>
      <c r="AZ51" s="33"/>
      <c r="BA51" s="33"/>
      <c r="BB51" s="33"/>
      <c r="BC51" s="33"/>
      <c r="BD51" s="33"/>
      <c r="BE51" s="33"/>
      <c r="BF51" s="33"/>
      <c r="BG51" s="33"/>
      <c r="BH51" s="33"/>
      <c r="BI51" s="33"/>
    </row>
    <row r="52" spans="1:61" ht="14.25" customHeight="1" x14ac:dyDescent="0.25">
      <c r="A52" s="33"/>
      <c r="B52" s="42"/>
      <c r="C52" s="33"/>
      <c r="D52" s="33"/>
      <c r="E52" s="33"/>
      <c r="F52" s="33"/>
      <c r="G52" s="33"/>
      <c r="H52" s="33"/>
      <c r="I52" s="33"/>
      <c r="J52" s="33"/>
      <c r="K52" s="33"/>
      <c r="L52" s="33"/>
      <c r="M52" s="33"/>
      <c r="N52" s="33"/>
      <c r="O52" s="33"/>
      <c r="P52" s="33"/>
      <c r="Q52" s="33"/>
      <c r="R52" s="33"/>
      <c r="S52" s="33"/>
      <c r="T52" s="33"/>
      <c r="U52" s="33"/>
      <c r="V52" s="33"/>
      <c r="W52" s="33"/>
      <c r="X52" s="33"/>
      <c r="Y52" s="33"/>
      <c r="Z52" s="33"/>
      <c r="AA52" s="33"/>
      <c r="AB52" s="33"/>
      <c r="AC52" s="33"/>
      <c r="AD52" s="33"/>
      <c r="AE52" s="33"/>
      <c r="AF52" s="33"/>
      <c r="AG52" s="33"/>
      <c r="AH52" s="33"/>
      <c r="AI52" s="33"/>
      <c r="AJ52" s="33"/>
      <c r="AK52" s="33"/>
      <c r="AL52" s="33"/>
      <c r="AM52" s="33"/>
      <c r="AN52" s="33"/>
      <c r="AO52" s="33"/>
      <c r="AP52" s="33"/>
      <c r="AQ52" s="33"/>
      <c r="AR52" s="33"/>
      <c r="AS52" s="33"/>
      <c r="AT52" s="33"/>
      <c r="AU52" s="33"/>
      <c r="AV52" s="33"/>
      <c r="AW52" s="33"/>
      <c r="AX52" s="33"/>
      <c r="AY52" s="33"/>
      <c r="AZ52" s="33"/>
      <c r="BA52" s="33"/>
      <c r="BB52" s="33"/>
      <c r="BC52" s="33"/>
      <c r="BD52" s="33"/>
      <c r="BE52" s="33"/>
      <c r="BF52" s="33"/>
      <c r="BG52" s="33"/>
      <c r="BH52" s="33"/>
      <c r="BI52" s="33"/>
    </row>
    <row r="53" spans="1:61" ht="14.25" customHeight="1" x14ac:dyDescent="0.25">
      <c r="A53" s="33"/>
      <c r="B53" s="42"/>
      <c r="C53" s="33"/>
      <c r="D53" s="33"/>
      <c r="E53" s="33"/>
      <c r="F53" s="33"/>
      <c r="G53" s="33"/>
      <c r="H53" s="33"/>
      <c r="I53" s="33"/>
      <c r="J53" s="33"/>
      <c r="K53" s="33"/>
      <c r="L53" s="33"/>
      <c r="M53" s="33"/>
      <c r="N53" s="33"/>
      <c r="O53" s="33"/>
      <c r="P53" s="33"/>
      <c r="Q53" s="33"/>
      <c r="R53" s="33"/>
      <c r="S53" s="33"/>
      <c r="T53" s="33"/>
      <c r="U53" s="33"/>
      <c r="V53" s="33"/>
      <c r="W53" s="33"/>
      <c r="X53" s="33"/>
      <c r="Y53" s="33"/>
      <c r="Z53" s="33"/>
      <c r="AA53" s="33"/>
      <c r="AB53" s="33"/>
      <c r="AC53" s="33"/>
      <c r="AD53" s="33"/>
      <c r="AE53" s="33"/>
      <c r="AF53" s="33"/>
      <c r="AG53" s="33"/>
      <c r="AH53" s="33"/>
      <c r="AI53" s="33"/>
      <c r="AJ53" s="33"/>
      <c r="AK53" s="33"/>
      <c r="AL53" s="33"/>
      <c r="AM53" s="33"/>
      <c r="AN53" s="33"/>
      <c r="AO53" s="33"/>
      <c r="AP53" s="33"/>
      <c r="AQ53" s="33"/>
      <c r="AR53" s="33"/>
      <c r="AS53" s="33"/>
      <c r="AT53" s="33"/>
      <c r="AU53" s="33"/>
      <c r="AV53" s="33"/>
      <c r="AW53" s="33"/>
      <c r="AX53" s="33"/>
      <c r="AY53" s="33"/>
      <c r="AZ53" s="33"/>
      <c r="BA53" s="33"/>
      <c r="BB53" s="33"/>
      <c r="BC53" s="33"/>
      <c r="BD53" s="33"/>
      <c r="BE53" s="33"/>
      <c r="BF53" s="33"/>
      <c r="BG53" s="33"/>
      <c r="BH53" s="33"/>
      <c r="BI53" s="33"/>
    </row>
    <row r="54" spans="1:61" ht="14.25" customHeight="1" x14ac:dyDescent="0.25">
      <c r="A54" s="33"/>
      <c r="B54" s="42"/>
      <c r="C54" s="33"/>
      <c r="D54" s="33"/>
      <c r="E54" s="33"/>
      <c r="F54" s="33"/>
      <c r="G54" s="33"/>
      <c r="H54" s="33"/>
      <c r="I54" s="33"/>
      <c r="J54" s="33"/>
      <c r="K54" s="33"/>
      <c r="L54" s="33"/>
      <c r="M54" s="33"/>
      <c r="N54" s="33"/>
      <c r="O54" s="33"/>
      <c r="P54" s="33"/>
      <c r="Q54" s="33"/>
      <c r="R54" s="33"/>
      <c r="S54" s="33"/>
      <c r="T54" s="33"/>
      <c r="U54" s="33"/>
      <c r="V54" s="33"/>
      <c r="W54" s="33"/>
      <c r="X54" s="33"/>
      <c r="Y54" s="33"/>
      <c r="Z54" s="33"/>
      <c r="AA54" s="33"/>
      <c r="AB54" s="33"/>
      <c r="AC54" s="33"/>
      <c r="AD54" s="33"/>
      <c r="AE54" s="33"/>
      <c r="AF54" s="33"/>
      <c r="AG54" s="33"/>
      <c r="AH54" s="33"/>
      <c r="AI54" s="33"/>
      <c r="AJ54" s="33"/>
      <c r="AK54" s="33"/>
      <c r="AL54" s="33"/>
      <c r="AM54" s="33"/>
      <c r="AN54" s="33"/>
      <c r="AO54" s="33"/>
      <c r="AP54" s="33"/>
      <c r="AQ54" s="33"/>
      <c r="AR54" s="33"/>
      <c r="AS54" s="33"/>
      <c r="AT54" s="33"/>
      <c r="AU54" s="33"/>
      <c r="AV54" s="33"/>
      <c r="AW54" s="33"/>
      <c r="AX54" s="33"/>
      <c r="AY54" s="33"/>
      <c r="AZ54" s="33"/>
      <c r="BA54" s="33"/>
      <c r="BB54" s="33"/>
      <c r="BC54" s="33"/>
      <c r="BD54" s="33"/>
      <c r="BE54" s="33"/>
      <c r="BF54" s="33"/>
      <c r="BG54" s="33"/>
      <c r="BH54" s="33"/>
      <c r="BI54" s="33"/>
    </row>
    <row r="55" spans="1:61" ht="14.25" customHeight="1" x14ac:dyDescent="0.25">
      <c r="A55" s="33"/>
      <c r="B55" s="42"/>
      <c r="C55" s="33"/>
      <c r="D55" s="33"/>
      <c r="E55" s="33"/>
      <c r="F55" s="33"/>
      <c r="G55" s="33"/>
      <c r="H55" s="33"/>
      <c r="I55" s="33"/>
      <c r="J55" s="33"/>
      <c r="K55" s="33"/>
      <c r="L55" s="33"/>
      <c r="M55" s="33"/>
      <c r="N55" s="33"/>
      <c r="O55" s="33"/>
      <c r="P55" s="33"/>
      <c r="Q55" s="33"/>
      <c r="R55" s="33"/>
      <c r="S55" s="33"/>
      <c r="T55" s="33"/>
      <c r="U55" s="33"/>
      <c r="V55" s="33"/>
      <c r="W55" s="33"/>
      <c r="X55" s="33"/>
      <c r="Y55" s="33"/>
      <c r="Z55" s="33"/>
      <c r="AA55" s="33"/>
      <c r="AB55" s="33"/>
      <c r="AC55" s="33"/>
      <c r="AD55" s="33"/>
      <c r="AE55" s="33"/>
      <c r="AF55" s="33"/>
      <c r="AG55" s="33"/>
      <c r="AH55" s="33"/>
      <c r="AI55" s="33"/>
      <c r="AJ55" s="33"/>
      <c r="AK55" s="33"/>
      <c r="AL55" s="33"/>
      <c r="AM55" s="33"/>
      <c r="AN55" s="33"/>
      <c r="AO55" s="33"/>
      <c r="AP55" s="33"/>
      <c r="AQ55" s="33"/>
      <c r="AR55" s="33"/>
      <c r="AS55" s="33"/>
      <c r="AT55" s="33"/>
      <c r="AU55" s="33"/>
      <c r="AV55" s="33"/>
      <c r="AW55" s="33"/>
      <c r="AX55" s="33"/>
      <c r="AY55" s="33"/>
      <c r="AZ55" s="33"/>
      <c r="BA55" s="33"/>
      <c r="BB55" s="33"/>
      <c r="BC55" s="33"/>
      <c r="BD55" s="33"/>
      <c r="BE55" s="33"/>
      <c r="BF55" s="33"/>
      <c r="BG55" s="33"/>
      <c r="BH55" s="33"/>
      <c r="BI55" s="33"/>
    </row>
    <row r="56" spans="1:61" ht="14.25" customHeight="1" x14ac:dyDescent="0.25">
      <c r="A56" s="33"/>
      <c r="B56" s="42"/>
      <c r="C56" s="33"/>
      <c r="D56" s="33"/>
      <c r="E56" s="33"/>
      <c r="F56" s="33"/>
      <c r="G56" s="33"/>
      <c r="H56" s="33"/>
      <c r="I56" s="33"/>
      <c r="J56" s="33"/>
      <c r="K56" s="33"/>
      <c r="L56" s="33"/>
      <c r="M56" s="33"/>
      <c r="N56" s="33"/>
      <c r="O56" s="33"/>
      <c r="P56" s="33"/>
      <c r="Q56" s="33"/>
      <c r="R56" s="33"/>
      <c r="S56" s="33"/>
      <c r="T56" s="33"/>
      <c r="U56" s="33"/>
      <c r="V56" s="33"/>
      <c r="W56" s="33"/>
      <c r="X56" s="33"/>
      <c r="Y56" s="33"/>
      <c r="Z56" s="33"/>
      <c r="AA56" s="33"/>
      <c r="AB56" s="33"/>
      <c r="AC56" s="33"/>
      <c r="AD56" s="33"/>
      <c r="AE56" s="33"/>
      <c r="AF56" s="33"/>
      <c r="AG56" s="33"/>
      <c r="AH56" s="33"/>
      <c r="AI56" s="33"/>
      <c r="AJ56" s="33"/>
      <c r="AK56" s="33"/>
      <c r="AL56" s="33"/>
      <c r="AM56" s="33"/>
      <c r="AN56" s="33"/>
      <c r="AO56" s="33"/>
      <c r="AP56" s="33"/>
      <c r="AQ56" s="33"/>
      <c r="AR56" s="33"/>
      <c r="AS56" s="33"/>
      <c r="AT56" s="33"/>
      <c r="AU56" s="33"/>
      <c r="AV56" s="33"/>
      <c r="AW56" s="33"/>
      <c r="AX56" s="33"/>
      <c r="AY56" s="33"/>
      <c r="AZ56" s="33"/>
      <c r="BA56" s="33"/>
      <c r="BB56" s="33"/>
      <c r="BC56" s="33"/>
      <c r="BD56" s="33"/>
      <c r="BE56" s="33"/>
      <c r="BF56" s="33"/>
      <c r="BG56" s="33"/>
      <c r="BH56" s="33"/>
      <c r="BI56" s="33"/>
    </row>
    <row r="57" spans="1:61" ht="14.25" customHeight="1" x14ac:dyDescent="0.25">
      <c r="A57" s="33"/>
      <c r="B57" s="42"/>
      <c r="C57" s="33"/>
      <c r="D57" s="33"/>
      <c r="E57" s="33"/>
      <c r="F57" s="33"/>
      <c r="G57" s="33"/>
      <c r="H57" s="33"/>
      <c r="I57" s="33"/>
      <c r="J57" s="33"/>
      <c r="K57" s="33"/>
      <c r="L57" s="33"/>
      <c r="M57" s="33"/>
      <c r="N57" s="33"/>
      <c r="O57" s="33"/>
      <c r="P57" s="33"/>
      <c r="Q57" s="33"/>
      <c r="R57" s="33"/>
      <c r="S57" s="33"/>
      <c r="T57" s="33"/>
      <c r="U57" s="33"/>
      <c r="V57" s="33"/>
      <c r="W57" s="33"/>
      <c r="X57" s="33"/>
      <c r="Y57" s="33"/>
      <c r="Z57" s="33"/>
      <c r="AA57" s="33"/>
      <c r="AB57" s="33"/>
      <c r="AC57" s="33"/>
      <c r="AD57" s="33"/>
      <c r="AE57" s="33"/>
      <c r="AF57" s="33"/>
      <c r="AG57" s="33"/>
      <c r="AH57" s="33"/>
      <c r="AI57" s="33"/>
      <c r="AJ57" s="33"/>
      <c r="AK57" s="33"/>
      <c r="AL57" s="33"/>
      <c r="AM57" s="33"/>
      <c r="AN57" s="33"/>
      <c r="AO57" s="33"/>
      <c r="AP57" s="33"/>
      <c r="AQ57" s="33"/>
      <c r="AR57" s="33"/>
      <c r="AS57" s="33"/>
      <c r="AT57" s="33"/>
      <c r="AU57" s="33"/>
      <c r="AV57" s="33"/>
      <c r="AW57" s="33"/>
      <c r="AX57" s="33"/>
      <c r="AY57" s="33"/>
      <c r="AZ57" s="33"/>
      <c r="BA57" s="33"/>
      <c r="BB57" s="33"/>
      <c r="BC57" s="33"/>
      <c r="BD57" s="33"/>
      <c r="BE57" s="33"/>
      <c r="BF57" s="33"/>
      <c r="BG57" s="33"/>
      <c r="BH57" s="33"/>
      <c r="BI57" s="33"/>
    </row>
    <row r="58" spans="1:61" ht="14.25" customHeight="1" x14ac:dyDescent="0.25">
      <c r="A58" s="33"/>
      <c r="B58" s="42"/>
      <c r="C58" s="33"/>
      <c r="D58" s="33"/>
      <c r="E58" s="33"/>
      <c r="F58" s="33"/>
      <c r="G58" s="33"/>
      <c r="H58" s="33"/>
      <c r="I58" s="33"/>
      <c r="J58" s="33"/>
      <c r="K58" s="33"/>
      <c r="L58" s="33"/>
      <c r="M58" s="33"/>
      <c r="N58" s="33"/>
      <c r="O58" s="33"/>
      <c r="P58" s="33"/>
      <c r="Q58" s="33"/>
      <c r="R58" s="33"/>
      <c r="S58" s="33"/>
      <c r="T58" s="33"/>
      <c r="U58" s="33"/>
      <c r="V58" s="33"/>
      <c r="W58" s="33"/>
      <c r="X58" s="33"/>
      <c r="Y58" s="33"/>
      <c r="Z58" s="33"/>
      <c r="AA58" s="33"/>
      <c r="AB58" s="33"/>
      <c r="AC58" s="33"/>
      <c r="AD58" s="33"/>
      <c r="AE58" s="33"/>
      <c r="AF58" s="33"/>
      <c r="AG58" s="33"/>
      <c r="AH58" s="33"/>
      <c r="AI58" s="33"/>
      <c r="AJ58" s="33"/>
      <c r="AK58" s="33"/>
      <c r="AL58" s="33"/>
      <c r="AM58" s="33"/>
      <c r="AN58" s="33"/>
      <c r="AO58" s="33"/>
      <c r="AP58" s="33"/>
      <c r="AQ58" s="33"/>
      <c r="AR58" s="33"/>
      <c r="AS58" s="33"/>
      <c r="AT58" s="33"/>
      <c r="AU58" s="33"/>
      <c r="AV58" s="33"/>
      <c r="AW58" s="33"/>
      <c r="AX58" s="33"/>
      <c r="AY58" s="33"/>
      <c r="AZ58" s="33"/>
      <c r="BA58" s="33"/>
      <c r="BB58" s="33"/>
      <c r="BC58" s="33"/>
      <c r="BD58" s="33"/>
      <c r="BE58" s="33"/>
      <c r="BF58" s="33"/>
      <c r="BG58" s="33"/>
      <c r="BH58" s="33"/>
      <c r="BI58" s="33"/>
    </row>
    <row r="59" spans="1:61" ht="14.25" customHeight="1" x14ac:dyDescent="0.25">
      <c r="A59" s="33"/>
      <c r="B59" s="42"/>
      <c r="C59" s="33"/>
      <c r="D59" s="33"/>
      <c r="E59" s="33"/>
      <c r="F59" s="33"/>
      <c r="G59" s="33"/>
      <c r="H59" s="33"/>
      <c r="I59" s="33"/>
      <c r="J59" s="33"/>
      <c r="K59" s="33"/>
      <c r="L59" s="33"/>
      <c r="M59" s="33"/>
      <c r="N59" s="33"/>
      <c r="O59" s="33"/>
      <c r="P59" s="33"/>
      <c r="Q59" s="33"/>
      <c r="R59" s="33"/>
      <c r="S59" s="33"/>
      <c r="T59" s="33"/>
      <c r="U59" s="33"/>
      <c r="V59" s="33"/>
      <c r="W59" s="33"/>
      <c r="X59" s="33"/>
      <c r="Y59" s="33"/>
      <c r="Z59" s="33"/>
      <c r="AA59" s="33"/>
      <c r="AB59" s="33"/>
      <c r="AC59" s="33"/>
      <c r="AD59" s="33"/>
      <c r="AE59" s="33"/>
      <c r="AF59" s="33"/>
      <c r="AG59" s="33"/>
      <c r="AH59" s="33"/>
      <c r="AI59" s="33"/>
      <c r="AJ59" s="33"/>
      <c r="AK59" s="33"/>
      <c r="AL59" s="33"/>
      <c r="AM59" s="33"/>
      <c r="AN59" s="33"/>
      <c r="AO59" s="33"/>
      <c r="AP59" s="33"/>
      <c r="AQ59" s="33"/>
      <c r="AR59" s="33"/>
      <c r="AS59" s="33"/>
      <c r="AT59" s="33"/>
      <c r="AU59" s="33"/>
      <c r="AV59" s="33"/>
      <c r="AW59" s="33"/>
      <c r="AX59" s="33"/>
      <c r="AY59" s="33"/>
      <c r="AZ59" s="33"/>
      <c r="BA59" s="33"/>
      <c r="BB59" s="33"/>
      <c r="BC59" s="33"/>
      <c r="BD59" s="33"/>
      <c r="BE59" s="33"/>
      <c r="BF59" s="33"/>
      <c r="BG59" s="33"/>
      <c r="BH59" s="33"/>
      <c r="BI59" s="33"/>
    </row>
    <row r="60" spans="1:61" ht="14.25" customHeight="1" x14ac:dyDescent="0.25">
      <c r="A60" s="33"/>
      <c r="B60" s="42"/>
      <c r="C60" s="33"/>
      <c r="D60" s="33"/>
      <c r="E60" s="33"/>
      <c r="F60" s="33"/>
      <c r="G60" s="33"/>
      <c r="H60" s="33"/>
      <c r="I60" s="33"/>
      <c r="J60" s="33"/>
      <c r="K60" s="33"/>
      <c r="L60" s="33"/>
      <c r="M60" s="33"/>
      <c r="N60" s="33"/>
      <c r="O60" s="33"/>
      <c r="P60" s="33"/>
      <c r="Q60" s="33"/>
      <c r="R60" s="33"/>
      <c r="S60" s="33"/>
      <c r="T60" s="33"/>
      <c r="U60" s="33"/>
      <c r="V60" s="33"/>
      <c r="W60" s="33"/>
      <c r="X60" s="33"/>
      <c r="Y60" s="33"/>
      <c r="Z60" s="33"/>
      <c r="AA60" s="33"/>
      <c r="AB60" s="33"/>
      <c r="AC60" s="33"/>
      <c r="AD60" s="33"/>
      <c r="AE60" s="33"/>
      <c r="AF60" s="33"/>
      <c r="AG60" s="33"/>
      <c r="AH60" s="33"/>
      <c r="AI60" s="33"/>
      <c r="AJ60" s="33"/>
      <c r="AK60" s="33"/>
      <c r="AL60" s="33"/>
      <c r="AM60" s="33"/>
      <c r="AN60" s="33"/>
      <c r="AO60" s="33"/>
      <c r="AP60" s="33"/>
      <c r="AQ60" s="33"/>
      <c r="AR60" s="33"/>
      <c r="AS60" s="33"/>
      <c r="AT60" s="33"/>
      <c r="AU60" s="33"/>
      <c r="AV60" s="33"/>
      <c r="AW60" s="33"/>
      <c r="AX60" s="33"/>
      <c r="AY60" s="33"/>
      <c r="AZ60" s="33"/>
      <c r="BA60" s="33"/>
      <c r="BB60" s="33"/>
      <c r="BC60" s="33"/>
      <c r="BD60" s="33"/>
      <c r="BE60" s="33"/>
      <c r="BF60" s="33"/>
      <c r="BG60" s="33"/>
      <c r="BH60" s="33"/>
      <c r="BI60" s="33"/>
    </row>
    <row r="61" spans="1:61" ht="14.25" customHeight="1" x14ac:dyDescent="0.25">
      <c r="A61" s="33"/>
      <c r="B61" s="42"/>
      <c r="C61" s="33"/>
      <c r="D61" s="33"/>
      <c r="E61" s="33"/>
      <c r="F61" s="33"/>
      <c r="G61" s="33"/>
      <c r="H61" s="33"/>
      <c r="I61" s="33"/>
      <c r="J61" s="33"/>
      <c r="K61" s="33"/>
      <c r="L61" s="33"/>
      <c r="M61" s="33"/>
      <c r="N61" s="33"/>
      <c r="O61" s="33"/>
      <c r="P61" s="33"/>
      <c r="Q61" s="33"/>
      <c r="R61" s="33"/>
      <c r="S61" s="33"/>
      <c r="T61" s="33"/>
      <c r="U61" s="33"/>
      <c r="V61" s="33"/>
      <c r="W61" s="33"/>
      <c r="X61" s="33"/>
      <c r="Y61" s="33"/>
      <c r="Z61" s="33"/>
      <c r="AA61" s="33"/>
      <c r="AB61" s="33"/>
      <c r="AC61" s="33"/>
      <c r="AD61" s="33"/>
      <c r="AE61" s="33"/>
      <c r="AF61" s="33"/>
      <c r="AG61" s="33"/>
      <c r="AH61" s="33"/>
      <c r="AI61" s="33"/>
      <c r="AJ61" s="33"/>
      <c r="AK61" s="33"/>
      <c r="AL61" s="33"/>
      <c r="AM61" s="33"/>
      <c r="AN61" s="33"/>
      <c r="AO61" s="33"/>
      <c r="AP61" s="33"/>
      <c r="AQ61" s="33"/>
      <c r="AR61" s="33"/>
      <c r="AS61" s="33"/>
      <c r="AT61" s="33"/>
      <c r="AU61" s="33"/>
      <c r="AV61" s="33"/>
      <c r="AW61" s="33"/>
      <c r="AX61" s="33"/>
      <c r="AY61" s="33"/>
      <c r="AZ61" s="33"/>
      <c r="BA61" s="33"/>
      <c r="BB61" s="33"/>
      <c r="BC61" s="33"/>
      <c r="BD61" s="33"/>
      <c r="BE61" s="33"/>
      <c r="BF61" s="33"/>
      <c r="BG61" s="33"/>
      <c r="BH61" s="33"/>
      <c r="BI61" s="33"/>
    </row>
    <row r="62" spans="1:61" ht="14.25" customHeight="1" x14ac:dyDescent="0.25">
      <c r="A62" s="33"/>
      <c r="B62" s="42"/>
      <c r="C62" s="33"/>
      <c r="D62" s="33"/>
      <c r="E62" s="33"/>
      <c r="F62" s="33"/>
      <c r="G62" s="33"/>
      <c r="H62" s="33"/>
      <c r="I62" s="33"/>
      <c r="J62" s="33"/>
      <c r="K62" s="33"/>
      <c r="L62" s="33"/>
      <c r="M62" s="33"/>
      <c r="N62" s="33"/>
      <c r="O62" s="33"/>
      <c r="P62" s="33"/>
      <c r="Q62" s="33"/>
      <c r="R62" s="33"/>
      <c r="S62" s="33"/>
      <c r="T62" s="33"/>
      <c r="U62" s="33"/>
      <c r="V62" s="33"/>
      <c r="W62" s="33"/>
      <c r="X62" s="33"/>
      <c r="Y62" s="33"/>
      <c r="Z62" s="33"/>
      <c r="AA62" s="33"/>
      <c r="AB62" s="33"/>
      <c r="AC62" s="33"/>
      <c r="AD62" s="33"/>
      <c r="AE62" s="33"/>
      <c r="AF62" s="33"/>
      <c r="AG62" s="33"/>
      <c r="AH62" s="33"/>
      <c r="AI62" s="33"/>
      <c r="AJ62" s="33"/>
      <c r="AK62" s="33"/>
      <c r="AL62" s="33"/>
      <c r="AM62" s="33"/>
      <c r="AN62" s="33"/>
      <c r="AO62" s="33"/>
      <c r="AP62" s="33"/>
      <c r="AQ62" s="33"/>
      <c r="AR62" s="33"/>
      <c r="AS62" s="33"/>
      <c r="AT62" s="33"/>
      <c r="AU62" s="33"/>
      <c r="AV62" s="33"/>
      <c r="AW62" s="33"/>
      <c r="AX62" s="33"/>
      <c r="AY62" s="33"/>
      <c r="AZ62" s="33"/>
      <c r="BA62" s="33"/>
      <c r="BB62" s="33"/>
      <c r="BC62" s="33"/>
      <c r="BD62" s="33"/>
      <c r="BE62" s="33"/>
      <c r="BF62" s="33"/>
      <c r="BG62" s="33"/>
      <c r="BH62" s="33"/>
      <c r="BI62" s="33"/>
    </row>
    <row r="63" spans="1:61" ht="14.25" customHeight="1" x14ac:dyDescent="0.25">
      <c r="A63" s="33"/>
      <c r="B63" s="42"/>
      <c r="C63" s="33"/>
      <c r="D63" s="33"/>
      <c r="E63" s="33"/>
      <c r="F63" s="33"/>
      <c r="G63" s="33"/>
      <c r="H63" s="33"/>
      <c r="I63" s="33"/>
      <c r="J63" s="33"/>
      <c r="K63" s="33"/>
      <c r="L63" s="33"/>
      <c r="M63" s="33"/>
      <c r="N63" s="33"/>
      <c r="O63" s="33"/>
      <c r="P63" s="33"/>
      <c r="Q63" s="33"/>
      <c r="R63" s="33"/>
      <c r="S63" s="33"/>
      <c r="T63" s="33"/>
      <c r="U63" s="33"/>
      <c r="V63" s="33"/>
      <c r="W63" s="33"/>
      <c r="X63" s="33"/>
      <c r="Y63" s="33"/>
      <c r="Z63" s="33"/>
      <c r="AA63" s="33"/>
      <c r="AB63" s="33"/>
      <c r="AC63" s="33"/>
      <c r="AD63" s="33"/>
      <c r="AE63" s="33"/>
      <c r="AF63" s="33"/>
      <c r="AG63" s="33"/>
      <c r="AH63" s="33"/>
      <c r="AI63" s="33"/>
      <c r="AJ63" s="33"/>
      <c r="AK63" s="33"/>
      <c r="AL63" s="33"/>
      <c r="AM63" s="33"/>
      <c r="AN63" s="33"/>
      <c r="AO63" s="33"/>
      <c r="AP63" s="33"/>
      <c r="AQ63" s="33"/>
      <c r="AR63" s="33"/>
      <c r="AS63" s="33"/>
      <c r="AT63" s="33"/>
      <c r="AU63" s="33"/>
      <c r="AV63" s="33"/>
      <c r="AW63" s="33"/>
      <c r="AX63" s="33"/>
      <c r="AY63" s="33"/>
      <c r="AZ63" s="33"/>
      <c r="BA63" s="33"/>
      <c r="BB63" s="33"/>
      <c r="BC63" s="33"/>
      <c r="BD63" s="33"/>
      <c r="BE63" s="33"/>
      <c r="BF63" s="33"/>
      <c r="BG63" s="33"/>
      <c r="BH63" s="33"/>
      <c r="BI63" s="33"/>
    </row>
    <row r="64" spans="1:61" ht="14.25" customHeight="1" x14ac:dyDescent="0.25">
      <c r="A64" s="33"/>
      <c r="B64" s="42"/>
      <c r="C64" s="33"/>
      <c r="D64" s="33"/>
      <c r="E64" s="33"/>
      <c r="F64" s="33"/>
      <c r="G64" s="33"/>
      <c r="H64" s="33"/>
      <c r="I64" s="33"/>
      <c r="J64" s="33"/>
      <c r="K64" s="33"/>
      <c r="L64" s="33"/>
      <c r="M64" s="33"/>
      <c r="N64" s="33"/>
      <c r="O64" s="33"/>
      <c r="P64" s="33"/>
      <c r="Q64" s="33"/>
      <c r="R64" s="33"/>
      <c r="S64" s="33"/>
      <c r="T64" s="33"/>
      <c r="U64" s="33"/>
      <c r="V64" s="33"/>
      <c r="W64" s="33"/>
      <c r="X64" s="33"/>
      <c r="Y64" s="33"/>
      <c r="Z64" s="33"/>
      <c r="AA64" s="33"/>
      <c r="AB64" s="33"/>
      <c r="AC64" s="33"/>
      <c r="AD64" s="33"/>
      <c r="AE64" s="33"/>
      <c r="AF64" s="33"/>
      <c r="AG64" s="33"/>
      <c r="AH64" s="33"/>
      <c r="AI64" s="33"/>
      <c r="AJ64" s="33"/>
      <c r="AK64" s="33"/>
      <c r="AL64" s="33"/>
      <c r="AM64" s="33"/>
      <c r="AN64" s="33"/>
      <c r="AO64" s="33"/>
      <c r="AP64" s="33"/>
      <c r="AQ64" s="33"/>
      <c r="AR64" s="33"/>
      <c r="AS64" s="33"/>
      <c r="AT64" s="33"/>
      <c r="AU64" s="33"/>
      <c r="AV64" s="33"/>
      <c r="AW64" s="33"/>
      <c r="AX64" s="33"/>
      <c r="AY64" s="33"/>
      <c r="AZ64" s="33"/>
      <c r="BA64" s="33"/>
      <c r="BB64" s="33"/>
      <c r="BC64" s="33"/>
      <c r="BD64" s="33"/>
      <c r="BE64" s="33"/>
      <c r="BF64" s="33"/>
      <c r="BG64" s="33"/>
      <c r="BH64" s="33"/>
      <c r="BI64" s="33"/>
    </row>
    <row r="65" spans="1:61" ht="14.25" customHeight="1" x14ac:dyDescent="0.25">
      <c r="A65" s="33"/>
      <c r="B65" s="42"/>
      <c r="C65" s="33"/>
      <c r="D65" s="33"/>
      <c r="E65" s="33"/>
      <c r="F65" s="33"/>
      <c r="G65" s="33"/>
      <c r="H65" s="33"/>
      <c r="I65" s="33"/>
      <c r="J65" s="33"/>
      <c r="K65" s="33"/>
      <c r="L65" s="33"/>
      <c r="M65" s="33"/>
      <c r="N65" s="33"/>
      <c r="O65" s="33"/>
      <c r="P65" s="33"/>
      <c r="Q65" s="33"/>
      <c r="R65" s="33"/>
      <c r="S65" s="33"/>
      <c r="T65" s="33"/>
      <c r="U65" s="33"/>
      <c r="V65" s="33"/>
      <c r="W65" s="33"/>
      <c r="X65" s="33"/>
      <c r="Y65" s="33"/>
      <c r="Z65" s="33"/>
      <c r="AA65" s="33"/>
      <c r="AB65" s="33"/>
      <c r="AC65" s="33"/>
      <c r="AD65" s="33"/>
      <c r="AE65" s="33"/>
      <c r="AF65" s="33"/>
      <c r="AG65" s="33"/>
      <c r="AH65" s="33"/>
      <c r="AI65" s="33"/>
      <c r="AJ65" s="33"/>
      <c r="AK65" s="33"/>
      <c r="AL65" s="33"/>
      <c r="AM65" s="33"/>
      <c r="AN65" s="33"/>
      <c r="AO65" s="33"/>
      <c r="AP65" s="33"/>
      <c r="AQ65" s="33"/>
      <c r="AR65" s="33"/>
      <c r="AS65" s="33"/>
      <c r="AT65" s="33"/>
      <c r="AU65" s="33"/>
      <c r="AV65" s="33"/>
      <c r="AW65" s="33"/>
      <c r="AX65" s="33"/>
      <c r="AY65" s="33"/>
      <c r="AZ65" s="33"/>
      <c r="BA65" s="33"/>
      <c r="BB65" s="33"/>
      <c r="BC65" s="33"/>
      <c r="BD65" s="33"/>
      <c r="BE65" s="33"/>
      <c r="BF65" s="33"/>
      <c r="BG65" s="33"/>
      <c r="BH65" s="33"/>
      <c r="BI65" s="33"/>
    </row>
    <row r="66" spans="1:61" ht="14.25" customHeight="1" x14ac:dyDescent="0.25">
      <c r="A66" s="33"/>
      <c r="B66" s="42"/>
      <c r="C66" s="33"/>
      <c r="D66" s="33"/>
      <c r="E66" s="33"/>
      <c r="F66" s="33"/>
      <c r="G66" s="33"/>
      <c r="H66" s="33"/>
      <c r="I66" s="33"/>
      <c r="J66" s="33"/>
      <c r="K66" s="33"/>
      <c r="L66" s="33"/>
      <c r="M66" s="33"/>
      <c r="N66" s="33"/>
      <c r="O66" s="33"/>
      <c r="P66" s="33"/>
      <c r="Q66" s="33"/>
      <c r="R66" s="33"/>
      <c r="S66" s="33"/>
      <c r="T66" s="33"/>
      <c r="U66" s="33"/>
      <c r="V66" s="33"/>
      <c r="W66" s="33"/>
      <c r="X66" s="33"/>
      <c r="Y66" s="33"/>
      <c r="Z66" s="33"/>
      <c r="AA66" s="33"/>
      <c r="AB66" s="33"/>
      <c r="AC66" s="33"/>
      <c r="AD66" s="33"/>
      <c r="AE66" s="33"/>
      <c r="AF66" s="33"/>
      <c r="AG66" s="33"/>
      <c r="AH66" s="33"/>
      <c r="AI66" s="33"/>
      <c r="AJ66" s="33"/>
      <c r="AK66" s="33"/>
      <c r="AL66" s="33"/>
      <c r="AM66" s="33"/>
      <c r="AN66" s="33"/>
      <c r="AO66" s="33"/>
      <c r="AP66" s="33"/>
      <c r="AQ66" s="33"/>
      <c r="AR66" s="33"/>
      <c r="AS66" s="33"/>
      <c r="AT66" s="33"/>
      <c r="AU66" s="33"/>
      <c r="AV66" s="33"/>
      <c r="AW66" s="33"/>
      <c r="AX66" s="33"/>
      <c r="AY66" s="33"/>
      <c r="AZ66" s="33"/>
      <c r="BA66" s="33"/>
      <c r="BB66" s="33"/>
      <c r="BC66" s="33"/>
      <c r="BD66" s="33"/>
      <c r="BE66" s="33"/>
      <c r="BF66" s="33"/>
      <c r="BG66" s="33"/>
      <c r="BH66" s="33"/>
      <c r="BI66" s="33"/>
    </row>
    <row r="67" spans="1:61" ht="14.25" customHeight="1" x14ac:dyDescent="0.25">
      <c r="A67" s="33"/>
      <c r="B67" s="42"/>
      <c r="C67" s="33"/>
      <c r="D67" s="33"/>
      <c r="E67" s="33"/>
      <c r="F67" s="33"/>
      <c r="G67" s="33"/>
      <c r="H67" s="33"/>
      <c r="I67" s="33"/>
      <c r="J67" s="33"/>
      <c r="K67" s="33"/>
      <c r="L67" s="33"/>
      <c r="M67" s="33"/>
      <c r="N67" s="33"/>
      <c r="O67" s="33"/>
      <c r="P67" s="33"/>
      <c r="Q67" s="33"/>
      <c r="R67" s="33"/>
      <c r="S67" s="33"/>
      <c r="T67" s="33"/>
      <c r="U67" s="33"/>
      <c r="V67" s="33"/>
      <c r="W67" s="33"/>
      <c r="X67" s="33"/>
      <c r="Y67" s="33"/>
      <c r="Z67" s="33"/>
      <c r="AA67" s="33"/>
      <c r="AB67" s="33"/>
      <c r="AC67" s="33"/>
      <c r="AD67" s="33"/>
      <c r="AE67" s="33"/>
      <c r="AF67" s="33"/>
      <c r="AG67" s="33"/>
      <c r="AH67" s="33"/>
      <c r="AI67" s="33"/>
      <c r="AJ67" s="33"/>
      <c r="AK67" s="33"/>
      <c r="AL67" s="33"/>
      <c r="AM67" s="33"/>
      <c r="AN67" s="33"/>
      <c r="AO67" s="33"/>
      <c r="AP67" s="33"/>
      <c r="AQ67" s="33"/>
      <c r="AR67" s="33"/>
      <c r="AS67" s="33"/>
      <c r="AT67" s="33"/>
      <c r="AU67" s="33"/>
      <c r="AV67" s="33"/>
      <c r="AW67" s="33"/>
      <c r="AX67" s="33"/>
      <c r="AY67" s="33"/>
      <c r="AZ67" s="33"/>
      <c r="BA67" s="33"/>
      <c r="BB67" s="33"/>
      <c r="BC67" s="33"/>
      <c r="BD67" s="33"/>
      <c r="BE67" s="33"/>
      <c r="BF67" s="33"/>
      <c r="BG67" s="33"/>
      <c r="BH67" s="33"/>
      <c r="BI67" s="33"/>
    </row>
    <row r="68" spans="1:61" ht="14.25" customHeight="1" x14ac:dyDescent="0.25">
      <c r="A68" s="33"/>
      <c r="B68" s="42"/>
      <c r="C68" s="33"/>
      <c r="D68" s="33"/>
      <c r="E68" s="33"/>
      <c r="F68" s="33"/>
      <c r="G68" s="33"/>
      <c r="H68" s="33"/>
      <c r="I68" s="33"/>
      <c r="J68" s="33"/>
      <c r="K68" s="33"/>
      <c r="L68" s="33"/>
      <c r="M68" s="33"/>
      <c r="N68" s="33"/>
      <c r="O68" s="33"/>
      <c r="P68" s="33"/>
      <c r="Q68" s="33"/>
      <c r="R68" s="33"/>
      <c r="S68" s="33"/>
      <c r="T68" s="33"/>
      <c r="U68" s="33"/>
      <c r="V68" s="33"/>
      <c r="W68" s="33"/>
      <c r="X68" s="33"/>
      <c r="Y68" s="33"/>
      <c r="Z68" s="33"/>
      <c r="AA68" s="33"/>
      <c r="AB68" s="33"/>
      <c r="AC68" s="33"/>
      <c r="AD68" s="33"/>
      <c r="AE68" s="33"/>
      <c r="AF68" s="33"/>
      <c r="AG68" s="33"/>
      <c r="AH68" s="33"/>
      <c r="AI68" s="33"/>
      <c r="AJ68" s="33"/>
      <c r="AK68" s="33"/>
      <c r="AL68" s="33"/>
      <c r="AM68" s="33"/>
      <c r="AN68" s="33"/>
      <c r="AO68" s="33"/>
      <c r="AP68" s="33"/>
      <c r="AQ68" s="33"/>
      <c r="AR68" s="33"/>
      <c r="AS68" s="33"/>
      <c r="AT68" s="33"/>
      <c r="AU68" s="33"/>
      <c r="AV68" s="33"/>
      <c r="AW68" s="33"/>
      <c r="AX68" s="33"/>
      <c r="AY68" s="33"/>
      <c r="AZ68" s="33"/>
      <c r="BA68" s="33"/>
      <c r="BB68" s="33"/>
      <c r="BC68" s="33"/>
      <c r="BD68" s="33"/>
      <c r="BE68" s="33"/>
      <c r="BF68" s="33"/>
      <c r="BG68" s="33"/>
      <c r="BH68" s="33"/>
      <c r="BI68" s="33"/>
    </row>
    <row r="69" spans="1:61" ht="14.25" customHeight="1" x14ac:dyDescent="0.25">
      <c r="A69" s="33"/>
      <c r="B69" s="42"/>
      <c r="C69" s="33"/>
      <c r="D69" s="33"/>
      <c r="E69" s="33"/>
      <c r="F69" s="33"/>
      <c r="G69" s="33"/>
      <c r="H69" s="33"/>
      <c r="I69" s="33"/>
      <c r="J69" s="33"/>
      <c r="K69" s="33"/>
      <c r="L69" s="33"/>
      <c r="M69" s="33"/>
      <c r="N69" s="33"/>
      <c r="O69" s="33"/>
      <c r="P69" s="33"/>
      <c r="Q69" s="33"/>
      <c r="R69" s="33"/>
      <c r="S69" s="33"/>
      <c r="T69" s="33"/>
      <c r="U69" s="33"/>
      <c r="V69" s="33"/>
      <c r="W69" s="33"/>
      <c r="X69" s="33"/>
      <c r="Y69" s="33"/>
      <c r="Z69" s="33"/>
      <c r="AA69" s="33"/>
      <c r="AB69" s="33"/>
      <c r="AC69" s="33"/>
      <c r="AD69" s="33"/>
      <c r="AE69" s="33"/>
      <c r="AF69" s="33"/>
      <c r="AG69" s="33"/>
      <c r="AH69" s="33"/>
      <c r="AI69" s="33"/>
      <c r="AJ69" s="33"/>
      <c r="AK69" s="33"/>
      <c r="AL69" s="33"/>
      <c r="AM69" s="33"/>
      <c r="AN69" s="33"/>
      <c r="AO69" s="33"/>
      <c r="AP69" s="33"/>
      <c r="AQ69" s="33"/>
      <c r="AR69" s="33"/>
      <c r="AS69" s="33"/>
      <c r="AT69" s="33"/>
      <c r="AU69" s="33"/>
      <c r="AV69" s="33"/>
      <c r="AW69" s="33"/>
      <c r="AX69" s="33"/>
      <c r="AY69" s="33"/>
      <c r="AZ69" s="33"/>
      <c r="BA69" s="33"/>
      <c r="BB69" s="33"/>
      <c r="BC69" s="33"/>
      <c r="BD69" s="33"/>
      <c r="BE69" s="33"/>
      <c r="BF69" s="33"/>
      <c r="BG69" s="33"/>
      <c r="BH69" s="33"/>
      <c r="BI69" s="33"/>
    </row>
    <row r="70" spans="1:61" ht="14.25" customHeight="1" x14ac:dyDescent="0.25">
      <c r="A70" s="33"/>
      <c r="B70" s="42"/>
      <c r="C70" s="33"/>
      <c r="D70" s="33"/>
      <c r="E70" s="33"/>
      <c r="F70" s="33"/>
      <c r="G70" s="33"/>
      <c r="H70" s="33"/>
      <c r="I70" s="33"/>
      <c r="J70" s="33"/>
      <c r="K70" s="33"/>
      <c r="L70" s="33"/>
      <c r="M70" s="33"/>
      <c r="N70" s="33"/>
      <c r="O70" s="33"/>
      <c r="P70" s="33"/>
      <c r="Q70" s="33"/>
      <c r="R70" s="33"/>
      <c r="S70" s="33"/>
      <c r="T70" s="33"/>
      <c r="U70" s="33"/>
      <c r="V70" s="33"/>
      <c r="W70" s="33"/>
      <c r="X70" s="33"/>
      <c r="Y70" s="33"/>
      <c r="Z70" s="33"/>
      <c r="AA70" s="33"/>
      <c r="AB70" s="33"/>
      <c r="AC70" s="33"/>
      <c r="AD70" s="33"/>
      <c r="AE70" s="33"/>
      <c r="AF70" s="33"/>
      <c r="AG70" s="33"/>
      <c r="AH70" s="33"/>
      <c r="AI70" s="33"/>
      <c r="AJ70" s="33"/>
      <c r="AK70" s="33"/>
      <c r="AL70" s="33"/>
      <c r="AM70" s="33"/>
      <c r="AN70" s="33"/>
      <c r="AO70" s="33"/>
      <c r="AP70" s="33"/>
      <c r="AQ70" s="33"/>
      <c r="AR70" s="33"/>
      <c r="AS70" s="33"/>
      <c r="AT70" s="33"/>
      <c r="AU70" s="33"/>
      <c r="AV70" s="33"/>
      <c r="AW70" s="33"/>
      <c r="AX70" s="33"/>
      <c r="AY70" s="33"/>
      <c r="AZ70" s="33"/>
      <c r="BA70" s="33"/>
      <c r="BB70" s="33"/>
      <c r="BC70" s="33"/>
      <c r="BD70" s="33"/>
      <c r="BE70" s="33"/>
      <c r="BF70" s="33"/>
      <c r="BG70" s="33"/>
      <c r="BH70" s="33"/>
      <c r="BI70" s="33"/>
    </row>
    <row r="71" spans="1:61" ht="14.25" customHeight="1" x14ac:dyDescent="0.25">
      <c r="A71" s="33"/>
      <c r="B71" s="42"/>
      <c r="C71" s="33"/>
      <c r="D71" s="33"/>
      <c r="E71" s="33"/>
      <c r="F71" s="33"/>
      <c r="G71" s="33"/>
      <c r="H71" s="33"/>
      <c r="I71" s="33"/>
      <c r="J71" s="33"/>
      <c r="K71" s="33"/>
      <c r="L71" s="33"/>
      <c r="M71" s="33"/>
      <c r="N71" s="33"/>
      <c r="O71" s="33"/>
      <c r="P71" s="33"/>
      <c r="Q71" s="33"/>
      <c r="R71" s="33"/>
      <c r="S71" s="33"/>
      <c r="T71" s="33"/>
      <c r="U71" s="33"/>
      <c r="V71" s="33"/>
      <c r="W71" s="33"/>
      <c r="X71" s="33"/>
      <c r="Y71" s="33"/>
      <c r="Z71" s="33"/>
      <c r="AA71" s="33"/>
      <c r="AB71" s="33"/>
      <c r="AC71" s="33"/>
      <c r="AD71" s="33"/>
      <c r="AE71" s="33"/>
      <c r="AF71" s="33"/>
      <c r="AG71" s="33"/>
      <c r="AH71" s="33"/>
      <c r="AI71" s="33"/>
      <c r="AJ71" s="33"/>
      <c r="AK71" s="33"/>
      <c r="AL71" s="33"/>
      <c r="AM71" s="33"/>
      <c r="AN71" s="33"/>
      <c r="AO71" s="33"/>
      <c r="AP71" s="33"/>
      <c r="AQ71" s="33"/>
      <c r="AR71" s="33"/>
      <c r="AS71" s="33"/>
      <c r="AT71" s="33"/>
      <c r="AU71" s="33"/>
      <c r="AV71" s="33"/>
      <c r="AW71" s="33"/>
      <c r="AX71" s="33"/>
      <c r="AY71" s="33"/>
      <c r="AZ71" s="33"/>
      <c r="BA71" s="33"/>
      <c r="BB71" s="33"/>
      <c r="BC71" s="33"/>
      <c r="BD71" s="33"/>
      <c r="BE71" s="33"/>
      <c r="BF71" s="33"/>
      <c r="BG71" s="33"/>
      <c r="BH71" s="33"/>
      <c r="BI71" s="33"/>
    </row>
    <row r="72" spans="1:61" ht="14.25" customHeight="1" x14ac:dyDescent="0.25">
      <c r="A72" s="33"/>
      <c r="B72" s="42"/>
      <c r="C72" s="33"/>
      <c r="D72" s="33"/>
      <c r="E72" s="33"/>
      <c r="F72" s="33"/>
      <c r="G72" s="33"/>
      <c r="H72" s="33"/>
      <c r="I72" s="33"/>
      <c r="J72" s="33"/>
      <c r="K72" s="33"/>
      <c r="L72" s="33"/>
      <c r="M72" s="33"/>
      <c r="N72" s="33"/>
      <c r="O72" s="33"/>
      <c r="P72" s="33"/>
      <c r="Q72" s="33"/>
      <c r="R72" s="33"/>
      <c r="S72" s="33"/>
      <c r="T72" s="33"/>
      <c r="U72" s="33"/>
      <c r="V72" s="33"/>
      <c r="W72" s="33"/>
      <c r="X72" s="33"/>
      <c r="Y72" s="33"/>
      <c r="Z72" s="33"/>
      <c r="AA72" s="33"/>
      <c r="AB72" s="33"/>
      <c r="AC72" s="33"/>
      <c r="AD72" s="33"/>
      <c r="AE72" s="33"/>
      <c r="AF72" s="33"/>
      <c r="AG72" s="33"/>
      <c r="AH72" s="33"/>
      <c r="AI72" s="33"/>
      <c r="AJ72" s="33"/>
      <c r="AK72" s="33"/>
      <c r="AL72" s="33"/>
      <c r="AM72" s="33"/>
      <c r="AN72" s="33"/>
      <c r="AO72" s="33"/>
      <c r="AP72" s="33"/>
      <c r="AQ72" s="33"/>
      <c r="AR72" s="33"/>
      <c r="AS72" s="33"/>
      <c r="AT72" s="33"/>
      <c r="AU72" s="33"/>
      <c r="AV72" s="33"/>
      <c r="AW72" s="33"/>
      <c r="AX72" s="33"/>
      <c r="AY72" s="33"/>
      <c r="AZ72" s="33"/>
      <c r="BA72" s="33"/>
      <c r="BB72" s="33"/>
      <c r="BC72" s="33"/>
      <c r="BD72" s="33"/>
      <c r="BE72" s="33"/>
      <c r="BF72" s="33"/>
      <c r="BG72" s="33"/>
      <c r="BH72" s="33"/>
      <c r="BI72" s="33"/>
    </row>
    <row r="73" spans="1:61" ht="14.25" customHeight="1" x14ac:dyDescent="0.25">
      <c r="A73" s="33"/>
      <c r="B73" s="42"/>
      <c r="C73" s="33"/>
      <c r="D73" s="33"/>
      <c r="E73" s="33"/>
      <c r="F73" s="33"/>
      <c r="G73" s="33"/>
      <c r="H73" s="33"/>
      <c r="I73" s="33"/>
      <c r="J73" s="33"/>
      <c r="K73" s="33"/>
      <c r="L73" s="33"/>
      <c r="M73" s="33"/>
      <c r="N73" s="33"/>
      <c r="O73" s="33"/>
      <c r="P73" s="33"/>
      <c r="Q73" s="33"/>
      <c r="R73" s="33"/>
      <c r="S73" s="33"/>
      <c r="T73" s="33"/>
      <c r="U73" s="33"/>
      <c r="V73" s="33"/>
      <c r="W73" s="33"/>
      <c r="X73" s="33"/>
      <c r="Y73" s="33"/>
      <c r="Z73" s="33"/>
      <c r="AA73" s="33"/>
      <c r="AB73" s="33"/>
      <c r="AC73" s="33"/>
      <c r="AD73" s="33"/>
      <c r="AE73" s="33"/>
      <c r="AF73" s="33"/>
      <c r="AG73" s="33"/>
      <c r="AH73" s="33"/>
      <c r="AI73" s="33"/>
      <c r="AJ73" s="33"/>
      <c r="AK73" s="33"/>
      <c r="AL73" s="33"/>
      <c r="AM73" s="33"/>
      <c r="AN73" s="33"/>
      <c r="AO73" s="33"/>
      <c r="AP73" s="33"/>
      <c r="AQ73" s="33"/>
      <c r="AR73" s="33"/>
      <c r="AS73" s="33"/>
      <c r="AT73" s="33"/>
      <c r="AU73" s="33"/>
      <c r="AV73" s="33"/>
      <c r="AW73" s="33"/>
      <c r="AX73" s="33"/>
      <c r="AY73" s="33"/>
      <c r="AZ73" s="33"/>
      <c r="BA73" s="33"/>
      <c r="BB73" s="33"/>
      <c r="BC73" s="33"/>
      <c r="BD73" s="33"/>
      <c r="BE73" s="33"/>
      <c r="BF73" s="33"/>
      <c r="BG73" s="33"/>
      <c r="BH73" s="33"/>
      <c r="BI73" s="33"/>
    </row>
    <row r="74" spans="1:61" ht="14.25" customHeight="1" x14ac:dyDescent="0.25">
      <c r="A74" s="33"/>
      <c r="B74" s="42"/>
      <c r="C74" s="33"/>
      <c r="D74" s="33"/>
      <c r="E74" s="33"/>
      <c r="F74" s="33"/>
      <c r="G74" s="33"/>
      <c r="H74" s="33"/>
      <c r="I74" s="33"/>
      <c r="J74" s="33"/>
      <c r="K74" s="33"/>
      <c r="L74" s="33"/>
      <c r="M74" s="33"/>
      <c r="N74" s="33"/>
      <c r="O74" s="33"/>
      <c r="P74" s="33"/>
      <c r="Q74" s="33"/>
      <c r="R74" s="33"/>
      <c r="S74" s="33"/>
      <c r="T74" s="33"/>
      <c r="U74" s="33"/>
      <c r="V74" s="33"/>
      <c r="W74" s="33"/>
      <c r="X74" s="33"/>
      <c r="Y74" s="33"/>
      <c r="Z74" s="33"/>
      <c r="AA74" s="33"/>
      <c r="AB74" s="33"/>
      <c r="AC74" s="33"/>
      <c r="AD74" s="33"/>
      <c r="AE74" s="33"/>
      <c r="AF74" s="33"/>
      <c r="AG74" s="33"/>
      <c r="AH74" s="33"/>
      <c r="AI74" s="33"/>
      <c r="AJ74" s="33"/>
      <c r="AK74" s="33"/>
      <c r="AL74" s="33"/>
      <c r="AM74" s="33"/>
      <c r="AN74" s="33"/>
      <c r="AO74" s="33"/>
      <c r="AP74" s="33"/>
      <c r="AQ74" s="33"/>
      <c r="AR74" s="33"/>
      <c r="AS74" s="33"/>
      <c r="AT74" s="33"/>
      <c r="AU74" s="33"/>
      <c r="AV74" s="33"/>
      <c r="AW74" s="33"/>
      <c r="AX74" s="33"/>
      <c r="AY74" s="33"/>
      <c r="AZ74" s="33"/>
      <c r="BA74" s="33"/>
      <c r="BB74" s="33"/>
      <c r="BC74" s="33"/>
      <c r="BD74" s="33"/>
      <c r="BE74" s="33"/>
      <c r="BF74" s="33"/>
      <c r="BG74" s="33"/>
      <c r="BH74" s="33"/>
      <c r="BI74" s="33"/>
    </row>
    <row r="75" spans="1:61" ht="14.25" customHeight="1" x14ac:dyDescent="0.25">
      <c r="A75" s="33"/>
      <c r="B75" s="42"/>
      <c r="C75" s="33"/>
      <c r="D75" s="33"/>
      <c r="E75" s="33"/>
      <c r="F75" s="33"/>
      <c r="G75" s="33"/>
      <c r="H75" s="33"/>
      <c r="I75" s="33"/>
      <c r="J75" s="33"/>
      <c r="K75" s="33"/>
      <c r="L75" s="33"/>
      <c r="M75" s="33"/>
      <c r="N75" s="33"/>
      <c r="O75" s="33"/>
      <c r="P75" s="33"/>
      <c r="Q75" s="33"/>
      <c r="R75" s="33"/>
      <c r="S75" s="33"/>
      <c r="T75" s="33"/>
      <c r="U75" s="33"/>
      <c r="V75" s="33"/>
      <c r="W75" s="33"/>
      <c r="X75" s="33"/>
      <c r="Y75" s="33"/>
      <c r="Z75" s="33"/>
      <c r="AA75" s="33"/>
      <c r="AB75" s="33"/>
      <c r="AC75" s="33"/>
      <c r="AD75" s="33"/>
      <c r="AE75" s="33"/>
      <c r="AF75" s="33"/>
      <c r="AG75" s="33"/>
      <c r="AH75" s="33"/>
      <c r="AI75" s="33"/>
      <c r="AJ75" s="33"/>
      <c r="AK75" s="33"/>
      <c r="AL75" s="33"/>
      <c r="AM75" s="33"/>
      <c r="AN75" s="33"/>
      <c r="AO75" s="33"/>
      <c r="AP75" s="33"/>
      <c r="AQ75" s="33"/>
      <c r="AR75" s="33"/>
      <c r="AS75" s="33"/>
      <c r="AT75" s="33"/>
      <c r="AU75" s="33"/>
      <c r="AV75" s="33"/>
      <c r="AW75" s="33"/>
      <c r="AX75" s="33"/>
      <c r="AY75" s="33"/>
      <c r="AZ75" s="33"/>
      <c r="BA75" s="33"/>
      <c r="BB75" s="33"/>
      <c r="BC75" s="33"/>
      <c r="BD75" s="33"/>
      <c r="BE75" s="33"/>
      <c r="BF75" s="33"/>
      <c r="BG75" s="33"/>
      <c r="BH75" s="33"/>
      <c r="BI75" s="33"/>
    </row>
    <row r="76" spans="1:61" ht="14.25" customHeight="1" x14ac:dyDescent="0.25">
      <c r="A76" s="33"/>
      <c r="B76" s="42"/>
      <c r="C76" s="33"/>
      <c r="D76" s="33"/>
      <c r="E76" s="33"/>
      <c r="F76" s="33"/>
      <c r="G76" s="33"/>
      <c r="H76" s="33"/>
      <c r="I76" s="33"/>
      <c r="J76" s="33"/>
      <c r="K76" s="33"/>
      <c r="L76" s="33"/>
      <c r="M76" s="33"/>
      <c r="N76" s="33"/>
      <c r="O76" s="33"/>
      <c r="P76" s="33"/>
      <c r="Q76" s="33"/>
      <c r="R76" s="33"/>
      <c r="S76" s="33"/>
      <c r="T76" s="33"/>
      <c r="U76" s="33"/>
      <c r="V76" s="33"/>
      <c r="W76" s="33"/>
      <c r="X76" s="33"/>
      <c r="Y76" s="33"/>
      <c r="Z76" s="33"/>
      <c r="AA76" s="33"/>
      <c r="AB76" s="33"/>
      <c r="AC76" s="33"/>
      <c r="AD76" s="33"/>
      <c r="AE76" s="33"/>
      <c r="AF76" s="33"/>
      <c r="AG76" s="33"/>
      <c r="AH76" s="33"/>
      <c r="AI76" s="33"/>
      <c r="AJ76" s="33"/>
      <c r="AK76" s="33"/>
      <c r="AL76" s="33"/>
      <c r="AM76" s="33"/>
      <c r="AN76" s="33"/>
      <c r="AO76" s="33"/>
      <c r="AP76" s="33"/>
      <c r="AQ76" s="33"/>
      <c r="AR76" s="33"/>
      <c r="AS76" s="33"/>
      <c r="AT76" s="33"/>
      <c r="AU76" s="33"/>
      <c r="AV76" s="33"/>
      <c r="AW76" s="33"/>
      <c r="AX76" s="33"/>
      <c r="AY76" s="33"/>
      <c r="AZ76" s="33"/>
      <c r="BA76" s="33"/>
      <c r="BB76" s="33"/>
      <c r="BC76" s="33"/>
      <c r="BD76" s="33"/>
      <c r="BE76" s="33"/>
      <c r="BF76" s="33"/>
      <c r="BG76" s="33"/>
      <c r="BH76" s="33"/>
      <c r="BI76" s="33"/>
    </row>
    <row r="77" spans="1:61" ht="14.25" customHeight="1" x14ac:dyDescent="0.25">
      <c r="A77" s="33"/>
      <c r="B77" s="42"/>
      <c r="C77" s="33"/>
      <c r="D77" s="33"/>
      <c r="E77" s="33"/>
      <c r="F77" s="33"/>
      <c r="G77" s="33"/>
      <c r="H77" s="33"/>
      <c r="I77" s="33"/>
      <c r="J77" s="33"/>
      <c r="K77" s="33"/>
      <c r="L77" s="33"/>
      <c r="M77" s="33"/>
      <c r="N77" s="33"/>
      <c r="O77" s="33"/>
      <c r="P77" s="33"/>
      <c r="Q77" s="33"/>
      <c r="R77" s="33"/>
      <c r="S77" s="33"/>
      <c r="T77" s="33"/>
      <c r="U77" s="33"/>
      <c r="V77" s="33"/>
      <c r="W77" s="33"/>
      <c r="X77" s="33"/>
      <c r="Y77" s="33"/>
      <c r="Z77" s="33"/>
      <c r="AA77" s="33"/>
      <c r="AB77" s="33"/>
      <c r="AC77" s="33"/>
      <c r="AD77" s="33"/>
      <c r="AE77" s="33"/>
      <c r="AF77" s="33"/>
      <c r="AG77" s="33"/>
      <c r="AH77" s="33"/>
      <c r="AI77" s="33"/>
      <c r="AJ77" s="33"/>
      <c r="AK77" s="33"/>
      <c r="AL77" s="33"/>
      <c r="AM77" s="33"/>
      <c r="AN77" s="33"/>
      <c r="AO77" s="33"/>
      <c r="AP77" s="33"/>
      <c r="AQ77" s="33"/>
      <c r="AR77" s="33"/>
      <c r="AS77" s="33"/>
      <c r="AT77" s="33"/>
      <c r="AU77" s="33"/>
      <c r="AV77" s="33"/>
      <c r="AW77" s="33"/>
      <c r="AX77" s="33"/>
      <c r="AY77" s="33"/>
      <c r="AZ77" s="33"/>
      <c r="BA77" s="33"/>
      <c r="BB77" s="33"/>
      <c r="BC77" s="33"/>
      <c r="BD77" s="33"/>
      <c r="BE77" s="33"/>
      <c r="BF77" s="33"/>
      <c r="BG77" s="33"/>
      <c r="BH77" s="33"/>
      <c r="BI77" s="33"/>
    </row>
    <row r="78" spans="1:61" ht="14.25" customHeight="1" x14ac:dyDescent="0.25">
      <c r="A78" s="33"/>
      <c r="B78" s="42"/>
      <c r="C78" s="33"/>
      <c r="D78" s="33"/>
      <c r="E78" s="33"/>
      <c r="F78" s="33"/>
      <c r="G78" s="33"/>
      <c r="H78" s="33"/>
      <c r="I78" s="33"/>
      <c r="J78" s="33"/>
      <c r="K78" s="33"/>
      <c r="L78" s="33"/>
      <c r="M78" s="33"/>
      <c r="N78" s="33"/>
      <c r="O78" s="33"/>
      <c r="P78" s="33"/>
      <c r="Q78" s="33"/>
      <c r="R78" s="33"/>
      <c r="S78" s="33"/>
      <c r="T78" s="33"/>
      <c r="U78" s="33"/>
      <c r="V78" s="33"/>
      <c r="W78" s="33"/>
      <c r="X78" s="33"/>
      <c r="Y78" s="33"/>
      <c r="Z78" s="33"/>
      <c r="AA78" s="33"/>
      <c r="AB78" s="33"/>
      <c r="AC78" s="33"/>
      <c r="AD78" s="33"/>
      <c r="AE78" s="33"/>
      <c r="AF78" s="33"/>
      <c r="AG78" s="33"/>
      <c r="AH78" s="33"/>
      <c r="AI78" s="33"/>
      <c r="AJ78" s="33"/>
      <c r="AK78" s="33"/>
      <c r="AL78" s="33"/>
      <c r="AM78" s="33"/>
      <c r="AN78" s="33"/>
      <c r="AO78" s="33"/>
      <c r="AP78" s="33"/>
      <c r="AQ78" s="33"/>
      <c r="AR78" s="33"/>
      <c r="AS78" s="33"/>
      <c r="AT78" s="33"/>
      <c r="AU78" s="33"/>
      <c r="AV78" s="33"/>
      <c r="AW78" s="33"/>
      <c r="AX78" s="33"/>
      <c r="AY78" s="33"/>
      <c r="AZ78" s="33"/>
      <c r="BA78" s="33"/>
      <c r="BB78" s="33"/>
      <c r="BC78" s="33"/>
      <c r="BD78" s="33"/>
      <c r="BE78" s="33"/>
      <c r="BF78" s="33"/>
      <c r="BG78" s="33"/>
      <c r="BH78" s="33"/>
      <c r="BI78" s="33"/>
    </row>
    <row r="79" spans="1:61" ht="14.25" customHeight="1" x14ac:dyDescent="0.25">
      <c r="A79" s="33"/>
      <c r="B79" s="42"/>
      <c r="C79" s="33"/>
      <c r="D79" s="33"/>
      <c r="E79" s="33"/>
      <c r="F79" s="33"/>
      <c r="G79" s="33"/>
      <c r="H79" s="33"/>
      <c r="I79" s="33"/>
      <c r="J79" s="33"/>
      <c r="K79" s="33"/>
      <c r="L79" s="33"/>
      <c r="M79" s="33"/>
      <c r="N79" s="33"/>
      <c r="O79" s="33"/>
      <c r="P79" s="33"/>
      <c r="Q79" s="33"/>
      <c r="R79" s="33"/>
      <c r="S79" s="33"/>
      <c r="T79" s="33"/>
      <c r="U79" s="33"/>
      <c r="V79" s="33"/>
      <c r="W79" s="33"/>
      <c r="X79" s="33"/>
      <c r="Y79" s="33"/>
      <c r="Z79" s="33"/>
      <c r="AA79" s="33"/>
      <c r="AB79" s="33"/>
      <c r="AC79" s="33"/>
      <c r="AD79" s="33"/>
      <c r="AE79" s="33"/>
      <c r="AF79" s="33"/>
      <c r="AG79" s="33"/>
      <c r="AH79" s="33"/>
      <c r="AI79" s="33"/>
      <c r="AJ79" s="33"/>
      <c r="AK79" s="33"/>
      <c r="AL79" s="33"/>
      <c r="AM79" s="33"/>
      <c r="AN79" s="33"/>
      <c r="AO79" s="33"/>
      <c r="AP79" s="33"/>
      <c r="AQ79" s="33"/>
      <c r="AR79" s="33"/>
      <c r="AS79" s="33"/>
      <c r="AT79" s="33"/>
      <c r="AU79" s="33"/>
      <c r="AV79" s="33"/>
      <c r="AW79" s="33"/>
      <c r="AX79" s="33"/>
      <c r="AY79" s="33"/>
      <c r="AZ79" s="33"/>
      <c r="BA79" s="33"/>
      <c r="BB79" s="33"/>
      <c r="BC79" s="33"/>
      <c r="BD79" s="33"/>
      <c r="BE79" s="33"/>
      <c r="BF79" s="33"/>
      <c r="BG79" s="33"/>
      <c r="BH79" s="33"/>
      <c r="BI79" s="33"/>
    </row>
    <row r="80" spans="1:61" ht="14.25" customHeight="1" x14ac:dyDescent="0.25">
      <c r="A80" s="33"/>
      <c r="B80" s="42"/>
      <c r="C80" s="33"/>
      <c r="D80" s="33"/>
      <c r="E80" s="33"/>
      <c r="F80" s="33"/>
      <c r="G80" s="33"/>
      <c r="H80" s="33"/>
      <c r="I80" s="33"/>
      <c r="J80" s="33"/>
      <c r="K80" s="33"/>
      <c r="L80" s="33"/>
      <c r="M80" s="33"/>
      <c r="N80" s="33"/>
      <c r="O80" s="33"/>
      <c r="P80" s="33"/>
      <c r="Q80" s="33"/>
      <c r="R80" s="33"/>
      <c r="S80" s="33"/>
      <c r="T80" s="33"/>
      <c r="U80" s="33"/>
      <c r="V80" s="33"/>
      <c r="W80" s="33"/>
      <c r="X80" s="33"/>
      <c r="Y80" s="33"/>
      <c r="Z80" s="33"/>
      <c r="AA80" s="33"/>
      <c r="AB80" s="33"/>
      <c r="AC80" s="33"/>
      <c r="AD80" s="33"/>
      <c r="AE80" s="33"/>
      <c r="AF80" s="33"/>
      <c r="AG80" s="33"/>
      <c r="AH80" s="33"/>
      <c r="AI80" s="33"/>
      <c r="AJ80" s="33"/>
      <c r="AK80" s="33"/>
      <c r="AL80" s="33"/>
      <c r="AM80" s="33"/>
      <c r="AN80" s="33"/>
      <c r="AO80" s="33"/>
      <c r="AP80" s="33"/>
      <c r="AQ80" s="33"/>
      <c r="AR80" s="33"/>
      <c r="AS80" s="33"/>
      <c r="AT80" s="33"/>
      <c r="AU80" s="33"/>
      <c r="AV80" s="33"/>
      <c r="AW80" s="33"/>
      <c r="AX80" s="33"/>
      <c r="AY80" s="33"/>
      <c r="AZ80" s="33"/>
      <c r="BA80" s="33"/>
      <c r="BB80" s="33"/>
      <c r="BC80" s="33"/>
      <c r="BD80" s="33"/>
      <c r="BE80" s="33"/>
      <c r="BF80" s="33"/>
      <c r="BG80" s="33"/>
      <c r="BH80" s="33"/>
      <c r="BI80" s="33"/>
    </row>
    <row r="81" spans="1:61" ht="14.25" customHeight="1" x14ac:dyDescent="0.25">
      <c r="A81" s="33"/>
      <c r="B81" s="42"/>
      <c r="C81" s="33"/>
      <c r="D81" s="33"/>
      <c r="E81" s="33"/>
      <c r="F81" s="33"/>
      <c r="G81" s="33"/>
      <c r="H81" s="33"/>
      <c r="I81" s="33"/>
      <c r="J81" s="33"/>
      <c r="K81" s="33"/>
      <c r="L81" s="33"/>
      <c r="M81" s="33"/>
      <c r="N81" s="33"/>
      <c r="O81" s="33"/>
      <c r="P81" s="33"/>
      <c r="Q81" s="33"/>
      <c r="R81" s="33"/>
      <c r="S81" s="33"/>
      <c r="T81" s="33"/>
      <c r="U81" s="33"/>
      <c r="V81" s="33"/>
      <c r="W81" s="33"/>
      <c r="X81" s="33"/>
      <c r="Y81" s="33"/>
      <c r="Z81" s="33"/>
      <c r="AA81" s="33"/>
      <c r="AB81" s="33"/>
      <c r="AC81" s="33"/>
      <c r="AD81" s="33"/>
      <c r="AE81" s="33"/>
      <c r="AF81" s="33"/>
      <c r="AG81" s="33"/>
      <c r="AH81" s="33"/>
      <c r="AI81" s="33"/>
      <c r="AJ81" s="33"/>
      <c r="AK81" s="33"/>
      <c r="AL81" s="33"/>
      <c r="AM81" s="33"/>
      <c r="AN81" s="33"/>
      <c r="AO81" s="33"/>
      <c r="AP81" s="33"/>
      <c r="AQ81" s="33"/>
      <c r="AR81" s="33"/>
      <c r="AS81" s="33"/>
      <c r="AT81" s="33"/>
      <c r="AU81" s="33"/>
      <c r="AV81" s="33"/>
      <c r="AW81" s="33"/>
      <c r="AX81" s="33"/>
      <c r="AY81" s="33"/>
      <c r="AZ81" s="33"/>
      <c r="BA81" s="33"/>
      <c r="BB81" s="33"/>
      <c r="BC81" s="33"/>
      <c r="BD81" s="33"/>
      <c r="BE81" s="33"/>
      <c r="BF81" s="33"/>
      <c r="BG81" s="33"/>
      <c r="BH81" s="33"/>
      <c r="BI81" s="33"/>
    </row>
    <row r="82" spans="1:61" ht="14.25" customHeight="1" x14ac:dyDescent="0.25">
      <c r="A82" s="33"/>
      <c r="B82" s="42"/>
      <c r="C82" s="33"/>
      <c r="D82" s="33"/>
      <c r="E82" s="33"/>
      <c r="F82" s="33"/>
      <c r="G82" s="33"/>
      <c r="H82" s="33"/>
      <c r="I82" s="33"/>
      <c r="J82" s="33"/>
      <c r="K82" s="33"/>
      <c r="L82" s="33"/>
      <c r="M82" s="33"/>
      <c r="N82" s="33"/>
      <c r="O82" s="33"/>
      <c r="P82" s="33"/>
      <c r="Q82" s="33"/>
      <c r="R82" s="33"/>
      <c r="S82" s="33"/>
      <c r="T82" s="33"/>
      <c r="U82" s="33"/>
      <c r="V82" s="33"/>
      <c r="W82" s="33"/>
      <c r="X82" s="33"/>
      <c r="Y82" s="33"/>
      <c r="Z82" s="33"/>
      <c r="AA82" s="33"/>
      <c r="AB82" s="33"/>
      <c r="AC82" s="33"/>
      <c r="AD82" s="33"/>
      <c r="AE82" s="33"/>
      <c r="AF82" s="33"/>
      <c r="AG82" s="33"/>
      <c r="AH82" s="33"/>
      <c r="AI82" s="33"/>
      <c r="AJ82" s="33"/>
      <c r="AK82" s="33"/>
      <c r="AL82" s="33"/>
      <c r="AM82" s="33"/>
      <c r="AN82" s="33"/>
      <c r="AO82" s="33"/>
      <c r="AP82" s="33"/>
      <c r="AQ82" s="33"/>
      <c r="AR82" s="33"/>
      <c r="AS82" s="33"/>
      <c r="AT82" s="33"/>
      <c r="AU82" s="33"/>
      <c r="AV82" s="33"/>
      <c r="AW82" s="33"/>
      <c r="AX82" s="33"/>
      <c r="AY82" s="33"/>
      <c r="AZ82" s="33"/>
      <c r="BA82" s="33"/>
      <c r="BB82" s="33"/>
      <c r="BC82" s="33"/>
      <c r="BD82" s="33"/>
      <c r="BE82" s="33"/>
      <c r="BF82" s="33"/>
      <c r="BG82" s="33"/>
      <c r="BH82" s="33"/>
      <c r="BI82" s="33"/>
    </row>
    <row r="83" spans="1:61" ht="14.25" customHeight="1" x14ac:dyDescent="0.25">
      <c r="A83" s="33"/>
      <c r="B83" s="42"/>
      <c r="C83" s="33"/>
      <c r="D83" s="33"/>
      <c r="E83" s="33"/>
      <c r="F83" s="33"/>
      <c r="G83" s="33"/>
      <c r="H83" s="33"/>
      <c r="I83" s="33"/>
      <c r="J83" s="33"/>
      <c r="K83" s="33"/>
      <c r="L83" s="33"/>
      <c r="M83" s="33"/>
      <c r="N83" s="33"/>
      <c r="O83" s="33"/>
      <c r="P83" s="33"/>
      <c r="Q83" s="33"/>
      <c r="R83" s="33"/>
      <c r="S83" s="33"/>
      <c r="T83" s="33"/>
      <c r="U83" s="33"/>
      <c r="V83" s="33"/>
      <c r="W83" s="33"/>
      <c r="X83" s="33"/>
      <c r="Y83" s="33"/>
      <c r="Z83" s="33"/>
      <c r="AA83" s="33"/>
      <c r="AB83" s="33"/>
      <c r="AC83" s="33"/>
      <c r="AD83" s="33"/>
      <c r="AE83" s="33"/>
      <c r="AF83" s="33"/>
      <c r="AG83" s="33"/>
      <c r="AH83" s="33"/>
      <c r="AI83" s="33"/>
      <c r="AJ83" s="33"/>
      <c r="AK83" s="33"/>
      <c r="AL83" s="33"/>
      <c r="AM83" s="33"/>
      <c r="AN83" s="33"/>
      <c r="AO83" s="33"/>
      <c r="AP83" s="33"/>
      <c r="AQ83" s="33"/>
      <c r="AR83" s="33"/>
      <c r="AS83" s="33"/>
      <c r="AT83" s="33"/>
      <c r="AU83" s="33"/>
      <c r="AV83" s="33"/>
      <c r="AW83" s="33"/>
      <c r="AX83" s="33"/>
      <c r="AY83" s="33"/>
      <c r="AZ83" s="33"/>
      <c r="BA83" s="33"/>
      <c r="BB83" s="33"/>
      <c r="BC83" s="33"/>
      <c r="BD83" s="33"/>
      <c r="BE83" s="33"/>
      <c r="BF83" s="33"/>
      <c r="BG83" s="33"/>
      <c r="BH83" s="33"/>
      <c r="BI83" s="33"/>
    </row>
    <row r="84" spans="1:61" ht="14.25" customHeight="1" x14ac:dyDescent="0.25">
      <c r="A84" s="33"/>
      <c r="B84" s="42"/>
      <c r="C84" s="33"/>
      <c r="D84" s="33"/>
      <c r="E84" s="33"/>
      <c r="F84" s="33"/>
      <c r="G84" s="33"/>
      <c r="H84" s="33"/>
      <c r="I84" s="33"/>
      <c r="J84" s="33"/>
      <c r="K84" s="33"/>
      <c r="L84" s="33"/>
      <c r="M84" s="33"/>
      <c r="N84" s="33"/>
      <c r="O84" s="33"/>
      <c r="P84" s="33"/>
      <c r="Q84" s="33"/>
      <c r="R84" s="33"/>
      <c r="S84" s="33"/>
      <c r="T84" s="33"/>
      <c r="U84" s="33"/>
      <c r="V84" s="33"/>
      <c r="W84" s="33"/>
      <c r="X84" s="33"/>
      <c r="Y84" s="33"/>
      <c r="Z84" s="33"/>
      <c r="AA84" s="33"/>
      <c r="AB84" s="33"/>
      <c r="AC84" s="33"/>
      <c r="AD84" s="33"/>
      <c r="AE84" s="33"/>
      <c r="AF84" s="33"/>
      <c r="AG84" s="33"/>
      <c r="AH84" s="33"/>
      <c r="AI84" s="33"/>
      <c r="AJ84" s="33"/>
      <c r="AK84" s="33"/>
      <c r="AL84" s="33"/>
      <c r="AM84" s="33"/>
      <c r="AN84" s="33"/>
      <c r="AO84" s="33"/>
      <c r="AP84" s="33"/>
      <c r="AQ84" s="33"/>
      <c r="AR84" s="33"/>
      <c r="AS84" s="33"/>
      <c r="AT84" s="33"/>
      <c r="AU84" s="33"/>
      <c r="AV84" s="33"/>
      <c r="AW84" s="33"/>
      <c r="AX84" s="33"/>
      <c r="AY84" s="33"/>
      <c r="AZ84" s="33"/>
      <c r="BA84" s="33"/>
      <c r="BB84" s="33"/>
      <c r="BC84" s="33"/>
      <c r="BD84" s="33"/>
      <c r="BE84" s="33"/>
      <c r="BF84" s="33"/>
      <c r="BG84" s="33"/>
      <c r="BH84" s="33"/>
      <c r="BI84" s="33"/>
    </row>
    <row r="85" spans="1:61" ht="14.25" customHeight="1" x14ac:dyDescent="0.25">
      <c r="A85" s="33"/>
      <c r="B85" s="42"/>
      <c r="C85" s="33"/>
      <c r="D85" s="33"/>
      <c r="E85" s="33"/>
      <c r="F85" s="33"/>
      <c r="G85" s="33"/>
      <c r="H85" s="33"/>
      <c r="I85" s="33"/>
      <c r="J85" s="33"/>
      <c r="K85" s="33"/>
      <c r="L85" s="33"/>
      <c r="M85" s="33"/>
      <c r="N85" s="33"/>
      <c r="O85" s="33"/>
      <c r="P85" s="33"/>
      <c r="Q85" s="33"/>
      <c r="R85" s="33"/>
      <c r="S85" s="33"/>
      <c r="T85" s="33"/>
      <c r="U85" s="33"/>
      <c r="V85" s="33"/>
      <c r="W85" s="33"/>
      <c r="X85" s="33"/>
      <c r="Y85" s="33"/>
      <c r="Z85" s="33"/>
      <c r="AA85" s="33"/>
      <c r="AB85" s="33"/>
      <c r="AC85" s="33"/>
      <c r="AD85" s="33"/>
      <c r="AE85" s="33"/>
      <c r="AF85" s="33"/>
      <c r="AG85" s="33"/>
      <c r="AH85" s="33"/>
      <c r="AI85" s="33"/>
      <c r="AJ85" s="33"/>
      <c r="AK85" s="33"/>
      <c r="AL85" s="33"/>
      <c r="AM85" s="33"/>
      <c r="AN85" s="33"/>
      <c r="AO85" s="33"/>
      <c r="AP85" s="33"/>
      <c r="AQ85" s="33"/>
      <c r="AR85" s="33"/>
      <c r="AS85" s="33"/>
      <c r="AT85" s="33"/>
      <c r="AU85" s="33"/>
      <c r="AV85" s="33"/>
      <c r="AW85" s="33"/>
      <c r="AX85" s="33"/>
      <c r="AY85" s="33"/>
      <c r="AZ85" s="33"/>
      <c r="BA85" s="33"/>
      <c r="BB85" s="33"/>
      <c r="BC85" s="33"/>
      <c r="BD85" s="33"/>
      <c r="BE85" s="33"/>
      <c r="BF85" s="33"/>
      <c r="BG85" s="33"/>
      <c r="BH85" s="33"/>
      <c r="BI85" s="33"/>
    </row>
    <row r="86" spans="1:61" ht="14.25" customHeight="1" x14ac:dyDescent="0.25">
      <c r="A86" s="33"/>
      <c r="B86" s="42"/>
      <c r="C86" s="33"/>
      <c r="D86" s="33"/>
      <c r="E86" s="33"/>
      <c r="F86" s="33"/>
      <c r="G86" s="33"/>
      <c r="H86" s="33"/>
      <c r="I86" s="33"/>
      <c r="J86" s="33"/>
      <c r="K86" s="33"/>
      <c r="L86" s="33"/>
      <c r="M86" s="33"/>
      <c r="N86" s="33"/>
      <c r="O86" s="33"/>
      <c r="P86" s="33"/>
      <c r="Q86" s="33"/>
      <c r="R86" s="33"/>
      <c r="S86" s="33"/>
      <c r="T86" s="33"/>
      <c r="U86" s="33"/>
      <c r="V86" s="33"/>
      <c r="W86" s="33"/>
      <c r="X86" s="33"/>
      <c r="Y86" s="33"/>
      <c r="Z86" s="33"/>
      <c r="AA86" s="33"/>
      <c r="AB86" s="33"/>
      <c r="AC86" s="33"/>
      <c r="AD86" s="33"/>
      <c r="AE86" s="33"/>
      <c r="AF86" s="33"/>
      <c r="AG86" s="33"/>
      <c r="AH86" s="33"/>
      <c r="AI86" s="33"/>
      <c r="AJ86" s="33"/>
      <c r="AK86" s="33"/>
      <c r="AL86" s="33"/>
      <c r="AM86" s="33"/>
      <c r="AN86" s="33"/>
      <c r="AO86" s="33"/>
      <c r="AP86" s="33"/>
      <c r="AQ86" s="33"/>
      <c r="AR86" s="33"/>
      <c r="AS86" s="33"/>
      <c r="AT86" s="33"/>
      <c r="AU86" s="33"/>
      <c r="AV86" s="33"/>
      <c r="AW86" s="33"/>
      <c r="AX86" s="33"/>
      <c r="AY86" s="33"/>
      <c r="AZ86" s="33"/>
      <c r="BA86" s="33"/>
      <c r="BB86" s="33"/>
      <c r="BC86" s="33"/>
      <c r="BD86" s="33"/>
      <c r="BE86" s="33"/>
      <c r="BF86" s="33"/>
      <c r="BG86" s="33"/>
      <c r="BH86" s="33"/>
      <c r="BI86" s="33"/>
    </row>
    <row r="87" spans="1:61" ht="14.25" customHeight="1" x14ac:dyDescent="0.25">
      <c r="A87" s="33"/>
      <c r="B87" s="42"/>
      <c r="C87" s="33"/>
      <c r="D87" s="33"/>
      <c r="E87" s="33"/>
      <c r="F87" s="33"/>
      <c r="G87" s="33"/>
      <c r="H87" s="33"/>
      <c r="I87" s="33"/>
      <c r="J87" s="33"/>
      <c r="K87" s="33"/>
      <c r="L87" s="33"/>
      <c r="M87" s="33"/>
      <c r="N87" s="33"/>
      <c r="O87" s="33"/>
      <c r="P87" s="33"/>
      <c r="Q87" s="33"/>
      <c r="R87" s="33"/>
      <c r="S87" s="33"/>
      <c r="T87" s="33"/>
      <c r="U87" s="33"/>
      <c r="V87" s="33"/>
      <c r="W87" s="33"/>
      <c r="X87" s="33"/>
      <c r="Y87" s="33"/>
      <c r="Z87" s="33"/>
      <c r="AA87" s="33"/>
      <c r="AB87" s="33"/>
      <c r="AC87" s="33"/>
      <c r="AD87" s="33"/>
      <c r="AE87" s="33"/>
      <c r="AF87" s="33"/>
      <c r="AG87" s="33"/>
      <c r="AH87" s="33"/>
      <c r="AI87" s="33"/>
      <c r="AJ87" s="33"/>
      <c r="AK87" s="33"/>
      <c r="AL87" s="33"/>
      <c r="AM87" s="33"/>
      <c r="AN87" s="33"/>
      <c r="AO87" s="33"/>
      <c r="AP87" s="33"/>
      <c r="AQ87" s="33"/>
      <c r="AR87" s="33"/>
      <c r="AS87" s="33"/>
      <c r="AT87" s="33"/>
      <c r="AU87" s="33"/>
      <c r="AV87" s="33"/>
      <c r="AW87" s="33"/>
      <c r="AX87" s="33"/>
      <c r="AY87" s="33"/>
      <c r="AZ87" s="33"/>
      <c r="BA87" s="33"/>
      <c r="BB87" s="33"/>
      <c r="BC87" s="33"/>
      <c r="BD87" s="33"/>
      <c r="BE87" s="33"/>
      <c r="BF87" s="33"/>
      <c r="BG87" s="33"/>
      <c r="BH87" s="33"/>
      <c r="BI87" s="33"/>
    </row>
    <row r="88" spans="1:61" ht="14.25" customHeight="1" x14ac:dyDescent="0.25">
      <c r="A88" s="33"/>
      <c r="B88" s="42"/>
      <c r="C88" s="33"/>
      <c r="D88" s="33"/>
      <c r="E88" s="33"/>
      <c r="F88" s="33"/>
      <c r="G88" s="33"/>
      <c r="H88" s="33"/>
      <c r="I88" s="33"/>
      <c r="J88" s="33"/>
      <c r="K88" s="33"/>
      <c r="L88" s="33"/>
      <c r="M88" s="33"/>
      <c r="N88" s="33"/>
      <c r="O88" s="33"/>
      <c r="P88" s="33"/>
      <c r="Q88" s="33"/>
      <c r="R88" s="33"/>
      <c r="S88" s="33"/>
      <c r="T88" s="33"/>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33"/>
      <c r="AU88" s="33"/>
      <c r="AV88" s="33"/>
      <c r="AW88" s="33"/>
      <c r="AX88" s="33"/>
      <c r="AY88" s="33"/>
      <c r="AZ88" s="33"/>
      <c r="BA88" s="33"/>
      <c r="BB88" s="33"/>
      <c r="BC88" s="33"/>
      <c r="BD88" s="33"/>
      <c r="BE88" s="33"/>
      <c r="BF88" s="33"/>
      <c r="BG88" s="33"/>
      <c r="BH88" s="33"/>
      <c r="BI88" s="33"/>
    </row>
    <row r="89" spans="1:61" ht="14.25" customHeight="1" x14ac:dyDescent="0.25">
      <c r="A89" s="33"/>
      <c r="B89" s="42"/>
      <c r="C89" s="33"/>
      <c r="D89" s="33"/>
      <c r="E89" s="33"/>
      <c r="F89" s="33"/>
      <c r="G89" s="33"/>
      <c r="H89" s="33"/>
      <c r="I89" s="33"/>
      <c r="J89" s="33"/>
      <c r="K89" s="33"/>
      <c r="L89" s="33"/>
      <c r="M89" s="33"/>
      <c r="N89" s="33"/>
      <c r="O89" s="33"/>
      <c r="P89" s="33"/>
      <c r="Q89" s="33"/>
      <c r="R89" s="33"/>
      <c r="S89" s="33"/>
      <c r="T89" s="33"/>
      <c r="U89" s="33"/>
      <c r="V89" s="33"/>
      <c r="W89" s="33"/>
      <c r="X89" s="33"/>
      <c r="Y89" s="33"/>
      <c r="Z89" s="33"/>
      <c r="AA89" s="33"/>
      <c r="AB89" s="33"/>
      <c r="AC89" s="33"/>
      <c r="AD89" s="33"/>
      <c r="AE89" s="33"/>
      <c r="AF89" s="33"/>
      <c r="AG89" s="33"/>
      <c r="AH89" s="33"/>
      <c r="AI89" s="33"/>
      <c r="AJ89" s="33"/>
      <c r="AK89" s="33"/>
      <c r="AL89" s="33"/>
      <c r="AM89" s="33"/>
      <c r="AN89" s="33"/>
      <c r="AO89" s="33"/>
      <c r="AP89" s="33"/>
      <c r="AQ89" s="33"/>
      <c r="AR89" s="33"/>
      <c r="AS89" s="33"/>
      <c r="AT89" s="33"/>
      <c r="AU89" s="33"/>
      <c r="AV89" s="33"/>
      <c r="AW89" s="33"/>
      <c r="AX89" s="33"/>
      <c r="AY89" s="33"/>
      <c r="AZ89" s="33"/>
      <c r="BA89" s="33"/>
      <c r="BB89" s="33"/>
      <c r="BC89" s="33"/>
      <c r="BD89" s="33"/>
      <c r="BE89" s="33"/>
      <c r="BF89" s="33"/>
      <c r="BG89" s="33"/>
      <c r="BH89" s="33"/>
      <c r="BI89" s="33"/>
    </row>
    <row r="90" spans="1:61" ht="14.25" customHeight="1" x14ac:dyDescent="0.25">
      <c r="A90" s="33"/>
      <c r="B90" s="42"/>
      <c r="C90" s="33"/>
      <c r="D90" s="33"/>
      <c r="E90" s="33"/>
      <c r="F90" s="33"/>
      <c r="G90" s="33"/>
      <c r="H90" s="33"/>
      <c r="I90" s="33"/>
      <c r="J90" s="33"/>
      <c r="K90" s="33"/>
      <c r="L90" s="33"/>
      <c r="M90" s="33"/>
      <c r="N90" s="33"/>
      <c r="O90" s="33"/>
      <c r="P90" s="33"/>
      <c r="Q90" s="33"/>
      <c r="R90" s="33"/>
      <c r="S90" s="33"/>
      <c r="T90" s="33"/>
      <c r="U90" s="33"/>
      <c r="V90" s="33"/>
      <c r="W90" s="33"/>
      <c r="X90" s="33"/>
      <c r="Y90" s="33"/>
      <c r="Z90" s="33"/>
      <c r="AA90" s="33"/>
      <c r="AB90" s="33"/>
      <c r="AC90" s="33"/>
      <c r="AD90" s="33"/>
      <c r="AE90" s="33"/>
      <c r="AF90" s="33"/>
      <c r="AG90" s="33"/>
      <c r="AH90" s="33"/>
      <c r="AI90" s="33"/>
      <c r="AJ90" s="33"/>
      <c r="AK90" s="33"/>
      <c r="AL90" s="33"/>
      <c r="AM90" s="33"/>
      <c r="AN90" s="33"/>
      <c r="AO90" s="33"/>
      <c r="AP90" s="33"/>
      <c r="AQ90" s="33"/>
      <c r="AR90" s="33"/>
      <c r="AS90" s="33"/>
      <c r="AT90" s="33"/>
      <c r="AU90" s="33"/>
      <c r="AV90" s="33"/>
      <c r="AW90" s="33"/>
      <c r="AX90" s="33"/>
      <c r="AY90" s="33"/>
      <c r="AZ90" s="33"/>
      <c r="BA90" s="33"/>
      <c r="BB90" s="33"/>
      <c r="BC90" s="33"/>
      <c r="BD90" s="33"/>
      <c r="BE90" s="33"/>
      <c r="BF90" s="33"/>
      <c r="BG90" s="33"/>
      <c r="BH90" s="33"/>
      <c r="BI90" s="33"/>
    </row>
    <row r="91" spans="1:61" ht="14.25" customHeight="1" x14ac:dyDescent="0.25">
      <c r="A91" s="33"/>
      <c r="B91" s="42"/>
      <c r="C91" s="33"/>
      <c r="D91" s="33"/>
      <c r="E91" s="33"/>
      <c r="F91" s="33"/>
      <c r="G91" s="33"/>
      <c r="H91" s="33"/>
      <c r="I91" s="33"/>
      <c r="J91" s="33"/>
      <c r="K91" s="33"/>
      <c r="L91" s="33"/>
      <c r="M91" s="33"/>
      <c r="N91" s="33"/>
      <c r="O91" s="33"/>
      <c r="P91" s="33"/>
      <c r="Q91" s="33"/>
      <c r="R91" s="33"/>
      <c r="S91" s="33"/>
      <c r="T91" s="33"/>
      <c r="U91" s="33"/>
      <c r="V91" s="33"/>
      <c r="W91" s="33"/>
      <c r="X91" s="33"/>
      <c r="Y91" s="33"/>
      <c r="Z91" s="33"/>
      <c r="AA91" s="33"/>
      <c r="AB91" s="33"/>
      <c r="AC91" s="33"/>
      <c r="AD91" s="33"/>
      <c r="AE91" s="33"/>
      <c r="AF91" s="33"/>
      <c r="AG91" s="33"/>
      <c r="AH91" s="33"/>
      <c r="AI91" s="33"/>
      <c r="AJ91" s="33"/>
      <c r="AK91" s="33"/>
      <c r="AL91" s="33"/>
      <c r="AM91" s="33"/>
      <c r="AN91" s="33"/>
      <c r="AO91" s="33"/>
      <c r="AP91" s="33"/>
      <c r="AQ91" s="33"/>
      <c r="AR91" s="33"/>
      <c r="AS91" s="33"/>
      <c r="AT91" s="33"/>
      <c r="AU91" s="33"/>
      <c r="AV91" s="33"/>
      <c r="AW91" s="33"/>
      <c r="AX91" s="33"/>
      <c r="AY91" s="33"/>
      <c r="AZ91" s="33"/>
      <c r="BA91" s="33"/>
      <c r="BB91" s="33"/>
      <c r="BC91" s="33"/>
      <c r="BD91" s="33"/>
      <c r="BE91" s="33"/>
      <c r="BF91" s="33"/>
      <c r="BG91" s="33"/>
      <c r="BH91" s="33"/>
      <c r="BI91" s="33"/>
    </row>
    <row r="92" spans="1:61" ht="14.25" customHeight="1" x14ac:dyDescent="0.25">
      <c r="A92" s="33"/>
      <c r="B92" s="42"/>
      <c r="C92" s="33"/>
      <c r="D92" s="33"/>
      <c r="E92" s="33"/>
      <c r="F92" s="33"/>
      <c r="G92" s="33"/>
      <c r="H92" s="33"/>
      <c r="I92" s="33"/>
      <c r="J92" s="33"/>
      <c r="K92" s="33"/>
      <c r="L92" s="33"/>
      <c r="M92" s="33"/>
      <c r="N92" s="33"/>
      <c r="O92" s="33"/>
      <c r="P92" s="33"/>
      <c r="Q92" s="33"/>
      <c r="R92" s="33"/>
      <c r="S92" s="33"/>
      <c r="T92" s="33"/>
      <c r="U92" s="33"/>
      <c r="V92" s="33"/>
      <c r="W92" s="33"/>
      <c r="X92" s="33"/>
      <c r="Y92" s="33"/>
      <c r="Z92" s="33"/>
      <c r="AA92" s="33"/>
      <c r="AB92" s="33"/>
      <c r="AC92" s="33"/>
      <c r="AD92" s="33"/>
      <c r="AE92" s="33"/>
      <c r="AF92" s="33"/>
      <c r="AG92" s="33"/>
      <c r="AH92" s="33"/>
      <c r="AI92" s="33"/>
      <c r="AJ92" s="33"/>
      <c r="AK92" s="33"/>
      <c r="AL92" s="33"/>
      <c r="AM92" s="33"/>
      <c r="AN92" s="33"/>
      <c r="AO92" s="33"/>
      <c r="AP92" s="33"/>
      <c r="AQ92" s="33"/>
      <c r="AR92" s="33"/>
      <c r="AS92" s="33"/>
      <c r="AT92" s="33"/>
      <c r="AU92" s="33"/>
      <c r="AV92" s="33"/>
      <c r="AW92" s="33"/>
      <c r="AX92" s="33"/>
      <c r="AY92" s="33"/>
      <c r="AZ92" s="33"/>
      <c r="BA92" s="33"/>
      <c r="BB92" s="33"/>
      <c r="BC92" s="33"/>
      <c r="BD92" s="33"/>
      <c r="BE92" s="33"/>
      <c r="BF92" s="33"/>
      <c r="BG92" s="33"/>
      <c r="BH92" s="33"/>
      <c r="BI92" s="33"/>
    </row>
    <row r="93" spans="1:61" ht="14.25" customHeight="1" x14ac:dyDescent="0.25">
      <c r="A93" s="33"/>
      <c r="B93" s="42"/>
      <c r="C93" s="33"/>
      <c r="D93" s="33"/>
      <c r="E93" s="33"/>
      <c r="F93" s="33"/>
      <c r="G93" s="33"/>
      <c r="H93" s="33"/>
      <c r="I93" s="33"/>
      <c r="J93" s="33"/>
      <c r="K93" s="33"/>
      <c r="L93" s="33"/>
      <c r="M93" s="33"/>
      <c r="N93" s="33"/>
      <c r="O93" s="33"/>
      <c r="P93" s="33"/>
      <c r="Q93" s="33"/>
      <c r="R93" s="33"/>
      <c r="S93" s="33"/>
      <c r="T93" s="33"/>
      <c r="U93" s="33"/>
      <c r="V93" s="33"/>
      <c r="W93" s="33"/>
      <c r="X93" s="33"/>
      <c r="Y93" s="33"/>
      <c r="Z93" s="33"/>
      <c r="AA93" s="33"/>
      <c r="AB93" s="33"/>
      <c r="AC93" s="33"/>
      <c r="AD93" s="33"/>
      <c r="AE93" s="33"/>
      <c r="AF93" s="33"/>
      <c r="AG93" s="33"/>
      <c r="AH93" s="33"/>
      <c r="AI93" s="33"/>
      <c r="AJ93" s="33"/>
      <c r="AK93" s="33"/>
      <c r="AL93" s="33"/>
      <c r="AM93" s="33"/>
      <c r="AN93" s="33"/>
      <c r="AO93" s="33"/>
      <c r="AP93" s="33"/>
      <c r="AQ93" s="33"/>
      <c r="AR93" s="33"/>
      <c r="AS93" s="33"/>
      <c r="AT93" s="33"/>
      <c r="AU93" s="33"/>
      <c r="AV93" s="33"/>
      <c r="AW93" s="33"/>
      <c r="AX93" s="33"/>
      <c r="AY93" s="33"/>
      <c r="AZ93" s="33"/>
      <c r="BA93" s="33"/>
      <c r="BB93" s="33"/>
      <c r="BC93" s="33"/>
      <c r="BD93" s="33"/>
      <c r="BE93" s="33"/>
      <c r="BF93" s="33"/>
      <c r="BG93" s="33"/>
      <c r="BH93" s="33"/>
      <c r="BI93" s="33"/>
    </row>
    <row r="94" spans="1:61" ht="14.25" customHeight="1" x14ac:dyDescent="0.25">
      <c r="A94" s="33"/>
      <c r="B94" s="42"/>
      <c r="C94" s="33"/>
      <c r="D94" s="33"/>
      <c r="E94" s="33"/>
      <c r="F94" s="33"/>
      <c r="G94" s="33"/>
      <c r="H94" s="33"/>
      <c r="I94" s="33"/>
      <c r="J94" s="33"/>
      <c r="K94" s="33"/>
      <c r="L94" s="33"/>
      <c r="M94" s="33"/>
      <c r="N94" s="33"/>
      <c r="O94" s="33"/>
      <c r="P94" s="33"/>
      <c r="Q94" s="33"/>
      <c r="R94" s="33"/>
      <c r="S94" s="33"/>
      <c r="T94" s="33"/>
      <c r="U94" s="33"/>
      <c r="V94" s="33"/>
      <c r="W94" s="33"/>
      <c r="X94" s="33"/>
      <c r="Y94" s="33"/>
      <c r="Z94" s="33"/>
      <c r="AA94" s="33"/>
      <c r="AB94" s="33"/>
      <c r="AC94" s="33"/>
      <c r="AD94" s="33"/>
      <c r="AE94" s="33"/>
      <c r="AF94" s="33"/>
      <c r="AG94" s="33"/>
      <c r="AH94" s="33"/>
      <c r="AI94" s="33"/>
      <c r="AJ94" s="33"/>
      <c r="AK94" s="33"/>
      <c r="AL94" s="33"/>
      <c r="AM94" s="33"/>
      <c r="AN94" s="33"/>
      <c r="AO94" s="33"/>
      <c r="AP94" s="33"/>
      <c r="AQ94" s="33"/>
      <c r="AR94" s="33"/>
      <c r="AS94" s="33"/>
      <c r="AT94" s="33"/>
      <c r="AU94" s="33"/>
      <c r="AV94" s="33"/>
      <c r="AW94" s="33"/>
      <c r="AX94" s="33"/>
      <c r="AY94" s="33"/>
      <c r="AZ94" s="33"/>
      <c r="BA94" s="33"/>
      <c r="BB94" s="33"/>
      <c r="BC94" s="33"/>
      <c r="BD94" s="33"/>
      <c r="BE94" s="33"/>
      <c r="BF94" s="33"/>
      <c r="BG94" s="33"/>
      <c r="BH94" s="33"/>
      <c r="BI94" s="33"/>
    </row>
    <row r="95" spans="1:61" ht="14.25" customHeight="1" x14ac:dyDescent="0.25">
      <c r="A95" s="33"/>
      <c r="B95" s="42"/>
      <c r="C95" s="33"/>
      <c r="D95" s="33"/>
      <c r="E95" s="33"/>
      <c r="F95" s="33"/>
      <c r="G95" s="33"/>
      <c r="H95" s="33"/>
      <c r="I95" s="33"/>
      <c r="J95" s="33"/>
      <c r="K95" s="33"/>
      <c r="L95" s="33"/>
      <c r="M95" s="33"/>
      <c r="N95" s="33"/>
      <c r="O95" s="33"/>
      <c r="P95" s="33"/>
      <c r="Q95" s="33"/>
      <c r="R95" s="33"/>
      <c r="S95" s="33"/>
      <c r="T95" s="33"/>
      <c r="U95" s="33"/>
      <c r="V95" s="33"/>
      <c r="W95" s="33"/>
      <c r="X95" s="33"/>
      <c r="Y95" s="33"/>
      <c r="Z95" s="33"/>
      <c r="AA95" s="33"/>
      <c r="AB95" s="33"/>
      <c r="AC95" s="33"/>
      <c r="AD95" s="33"/>
      <c r="AE95" s="33"/>
      <c r="AF95" s="33"/>
      <c r="AG95" s="33"/>
      <c r="AH95" s="33"/>
      <c r="AI95" s="33"/>
      <c r="AJ95" s="33"/>
      <c r="AK95" s="33"/>
      <c r="AL95" s="33"/>
      <c r="AM95" s="33"/>
      <c r="AN95" s="33"/>
      <c r="AO95" s="33"/>
      <c r="AP95" s="33"/>
      <c r="AQ95" s="33"/>
      <c r="AR95" s="33"/>
      <c r="AS95" s="33"/>
      <c r="AT95" s="33"/>
      <c r="AU95" s="33"/>
      <c r="AV95" s="33"/>
      <c r="AW95" s="33"/>
      <c r="AX95" s="33"/>
      <c r="AY95" s="33"/>
      <c r="AZ95" s="33"/>
      <c r="BA95" s="33"/>
      <c r="BB95" s="33"/>
      <c r="BC95" s="33"/>
      <c r="BD95" s="33"/>
      <c r="BE95" s="33"/>
      <c r="BF95" s="33"/>
      <c r="BG95" s="33"/>
      <c r="BH95" s="33"/>
      <c r="BI95" s="33"/>
    </row>
    <row r="96" spans="1:61" ht="14.25" customHeight="1" x14ac:dyDescent="0.25">
      <c r="A96" s="33"/>
      <c r="B96" s="42"/>
      <c r="C96" s="33"/>
      <c r="D96" s="33"/>
      <c r="E96" s="33"/>
      <c r="F96" s="33"/>
      <c r="G96" s="33"/>
      <c r="H96" s="33"/>
      <c r="I96" s="33"/>
      <c r="J96" s="33"/>
      <c r="K96" s="33"/>
      <c r="L96" s="33"/>
      <c r="M96" s="33"/>
      <c r="N96" s="33"/>
      <c r="O96" s="33"/>
      <c r="P96" s="33"/>
      <c r="Q96" s="33"/>
      <c r="R96" s="33"/>
      <c r="S96" s="33"/>
      <c r="T96" s="33"/>
      <c r="U96" s="33"/>
      <c r="V96" s="33"/>
      <c r="W96" s="33"/>
      <c r="X96" s="33"/>
      <c r="Y96" s="33"/>
      <c r="Z96" s="33"/>
      <c r="AA96" s="33"/>
      <c r="AB96" s="33"/>
      <c r="AC96" s="33"/>
      <c r="AD96" s="33"/>
      <c r="AE96" s="33"/>
      <c r="AF96" s="33"/>
      <c r="AG96" s="33"/>
      <c r="AH96" s="33"/>
      <c r="AI96" s="33"/>
      <c r="AJ96" s="33"/>
      <c r="AK96" s="33"/>
      <c r="AL96" s="33"/>
      <c r="AM96" s="33"/>
      <c r="AN96" s="33"/>
      <c r="AO96" s="33"/>
      <c r="AP96" s="33"/>
      <c r="AQ96" s="33"/>
      <c r="AR96" s="33"/>
      <c r="AS96" s="33"/>
      <c r="AT96" s="33"/>
      <c r="AU96" s="33"/>
      <c r="AV96" s="33"/>
      <c r="AW96" s="33"/>
      <c r="AX96" s="33"/>
      <c r="AY96" s="33"/>
      <c r="AZ96" s="33"/>
      <c r="BA96" s="33"/>
      <c r="BB96" s="33"/>
      <c r="BC96" s="33"/>
      <c r="BD96" s="33"/>
      <c r="BE96" s="33"/>
      <c r="BF96" s="33"/>
      <c r="BG96" s="33"/>
      <c r="BH96" s="33"/>
      <c r="BI96" s="33"/>
    </row>
    <row r="97" spans="1:61" ht="14.25" customHeight="1" x14ac:dyDescent="0.25">
      <c r="A97" s="33"/>
      <c r="B97" s="42"/>
      <c r="C97" s="33"/>
      <c r="D97" s="33"/>
      <c r="E97" s="33"/>
      <c r="F97" s="33"/>
      <c r="G97" s="33"/>
      <c r="H97" s="33"/>
      <c r="I97" s="33"/>
      <c r="J97" s="33"/>
      <c r="K97" s="33"/>
      <c r="L97" s="33"/>
      <c r="M97" s="33"/>
      <c r="N97" s="33"/>
      <c r="O97" s="33"/>
      <c r="P97" s="33"/>
      <c r="Q97" s="33"/>
      <c r="R97" s="33"/>
      <c r="S97" s="33"/>
      <c r="T97" s="33"/>
      <c r="U97" s="33"/>
      <c r="V97" s="33"/>
      <c r="W97" s="33"/>
      <c r="X97" s="33"/>
      <c r="Y97" s="33"/>
      <c r="Z97" s="33"/>
      <c r="AA97" s="33"/>
      <c r="AB97" s="33"/>
      <c r="AC97" s="33"/>
      <c r="AD97" s="33"/>
      <c r="AE97" s="33"/>
      <c r="AF97" s="33"/>
      <c r="AG97" s="33"/>
      <c r="AH97" s="33"/>
      <c r="AI97" s="33"/>
      <c r="AJ97" s="33"/>
      <c r="AK97" s="33"/>
      <c r="AL97" s="33"/>
      <c r="AM97" s="33"/>
      <c r="AN97" s="33"/>
      <c r="AO97" s="33"/>
      <c r="AP97" s="33"/>
      <c r="AQ97" s="33"/>
      <c r="AR97" s="33"/>
      <c r="AS97" s="33"/>
      <c r="AT97" s="33"/>
      <c r="AU97" s="33"/>
      <c r="AV97" s="33"/>
      <c r="AW97" s="33"/>
      <c r="AX97" s="33"/>
      <c r="AY97" s="33"/>
      <c r="AZ97" s="33"/>
      <c r="BA97" s="33"/>
      <c r="BB97" s="33"/>
      <c r="BC97" s="33"/>
      <c r="BD97" s="33"/>
      <c r="BE97" s="33"/>
      <c r="BF97" s="33"/>
      <c r="BG97" s="33"/>
      <c r="BH97" s="33"/>
      <c r="BI97" s="33"/>
    </row>
    <row r="98" spans="1:61" ht="14.25" customHeight="1" x14ac:dyDescent="0.25">
      <c r="A98" s="33"/>
      <c r="B98" s="42"/>
      <c r="C98" s="33"/>
      <c r="D98" s="33"/>
      <c r="E98" s="33"/>
      <c r="F98" s="33"/>
      <c r="G98" s="33"/>
      <c r="H98" s="33"/>
      <c r="I98" s="33"/>
      <c r="J98" s="33"/>
      <c r="K98" s="33"/>
      <c r="L98" s="33"/>
      <c r="M98" s="33"/>
      <c r="N98" s="33"/>
      <c r="O98" s="33"/>
      <c r="P98" s="33"/>
      <c r="Q98" s="33"/>
      <c r="R98" s="33"/>
      <c r="S98" s="33"/>
      <c r="T98" s="33"/>
      <c r="U98" s="33"/>
      <c r="V98" s="33"/>
      <c r="W98" s="33"/>
      <c r="X98" s="33"/>
      <c r="Y98" s="33"/>
      <c r="Z98" s="33"/>
      <c r="AA98" s="33"/>
      <c r="AB98" s="33"/>
      <c r="AC98" s="33"/>
      <c r="AD98" s="33"/>
      <c r="AE98" s="33"/>
      <c r="AF98" s="33"/>
      <c r="AG98" s="33"/>
      <c r="AH98" s="33"/>
      <c r="AI98" s="33"/>
      <c r="AJ98" s="33"/>
      <c r="AK98" s="33"/>
      <c r="AL98" s="33"/>
      <c r="AM98" s="33"/>
      <c r="AN98" s="33"/>
      <c r="AO98" s="33"/>
      <c r="AP98" s="33"/>
      <c r="AQ98" s="33"/>
      <c r="AR98" s="33"/>
      <c r="AS98" s="33"/>
      <c r="AT98" s="33"/>
      <c r="AU98" s="33"/>
      <c r="AV98" s="33"/>
      <c r="AW98" s="33"/>
      <c r="AX98" s="33"/>
      <c r="AY98" s="33"/>
      <c r="AZ98" s="33"/>
      <c r="BA98" s="33"/>
      <c r="BB98" s="33"/>
      <c r="BC98" s="33"/>
      <c r="BD98" s="33"/>
      <c r="BE98" s="33"/>
      <c r="BF98" s="33"/>
      <c r="BG98" s="33"/>
      <c r="BH98" s="33"/>
      <c r="BI98" s="33"/>
    </row>
    <row r="99" spans="1:61" ht="14.25" customHeight="1" x14ac:dyDescent="0.25">
      <c r="A99" s="33"/>
      <c r="B99" s="42"/>
      <c r="C99" s="33"/>
      <c r="D99" s="33"/>
      <c r="E99" s="33"/>
      <c r="F99" s="33"/>
      <c r="G99" s="33"/>
      <c r="H99" s="33"/>
      <c r="I99" s="33"/>
      <c r="J99" s="33"/>
      <c r="K99" s="33"/>
      <c r="L99" s="33"/>
      <c r="M99" s="33"/>
      <c r="N99" s="33"/>
      <c r="O99" s="33"/>
      <c r="P99" s="33"/>
      <c r="Q99" s="33"/>
      <c r="R99" s="33"/>
      <c r="S99" s="33"/>
      <c r="T99" s="33"/>
      <c r="U99" s="33"/>
      <c r="V99" s="33"/>
      <c r="W99" s="33"/>
      <c r="X99" s="33"/>
      <c r="Y99" s="33"/>
      <c r="Z99" s="33"/>
      <c r="AA99" s="33"/>
      <c r="AB99" s="33"/>
      <c r="AC99" s="33"/>
      <c r="AD99" s="33"/>
      <c r="AE99" s="33"/>
      <c r="AF99" s="33"/>
      <c r="AG99" s="33"/>
      <c r="AH99" s="33"/>
      <c r="AI99" s="33"/>
      <c r="AJ99" s="33"/>
      <c r="AK99" s="33"/>
      <c r="AL99" s="33"/>
      <c r="AM99" s="33"/>
      <c r="AN99" s="33"/>
      <c r="AO99" s="33"/>
      <c r="AP99" s="33"/>
      <c r="AQ99" s="33"/>
      <c r="AR99" s="33"/>
      <c r="AS99" s="33"/>
      <c r="AT99" s="33"/>
      <c r="AU99" s="33"/>
      <c r="AV99" s="33"/>
      <c r="AW99" s="33"/>
      <c r="AX99" s="33"/>
      <c r="AY99" s="33"/>
      <c r="AZ99" s="33"/>
      <c r="BA99" s="33"/>
      <c r="BB99" s="33"/>
      <c r="BC99" s="33"/>
      <c r="BD99" s="33"/>
      <c r="BE99" s="33"/>
      <c r="BF99" s="33"/>
      <c r="BG99" s="33"/>
      <c r="BH99" s="33"/>
      <c r="BI99" s="33"/>
    </row>
    <row r="100" spans="1:61" ht="14.25" customHeight="1" x14ac:dyDescent="0.25">
      <c r="A100" s="33"/>
      <c r="B100" s="42"/>
      <c r="C100" s="33"/>
      <c r="D100" s="33"/>
      <c r="E100" s="33"/>
      <c r="F100" s="33"/>
      <c r="G100" s="33"/>
      <c r="H100" s="33"/>
      <c r="I100" s="33"/>
      <c r="J100" s="33"/>
      <c r="K100" s="33"/>
      <c r="L100" s="33"/>
      <c r="M100" s="33"/>
      <c r="N100" s="33"/>
      <c r="O100" s="33"/>
      <c r="P100" s="33"/>
      <c r="Q100" s="33"/>
      <c r="R100" s="33"/>
      <c r="S100" s="33"/>
      <c r="T100" s="33"/>
      <c r="U100" s="33"/>
      <c r="V100" s="33"/>
      <c r="W100" s="33"/>
      <c r="X100" s="33"/>
      <c r="Y100" s="33"/>
      <c r="Z100" s="33"/>
      <c r="AA100" s="33"/>
      <c r="AB100" s="33"/>
      <c r="AC100" s="33"/>
      <c r="AD100" s="33"/>
      <c r="AE100" s="33"/>
      <c r="AF100" s="33"/>
      <c r="AG100" s="33"/>
      <c r="AH100" s="33"/>
      <c r="AI100" s="33"/>
      <c r="AJ100" s="33"/>
      <c r="AK100" s="33"/>
      <c r="AL100" s="33"/>
      <c r="AM100" s="33"/>
      <c r="AN100" s="33"/>
      <c r="AO100" s="33"/>
      <c r="AP100" s="33"/>
      <c r="AQ100" s="33"/>
      <c r="AR100" s="33"/>
      <c r="AS100" s="33"/>
      <c r="AT100" s="33"/>
      <c r="AU100" s="33"/>
      <c r="AV100" s="33"/>
      <c r="AW100" s="33"/>
      <c r="AX100" s="33"/>
      <c r="AY100" s="33"/>
      <c r="AZ100" s="33"/>
      <c r="BA100" s="33"/>
      <c r="BB100" s="33"/>
      <c r="BC100" s="33"/>
      <c r="BD100" s="33"/>
      <c r="BE100" s="33"/>
      <c r="BF100" s="33"/>
      <c r="BG100" s="33"/>
      <c r="BH100" s="33"/>
      <c r="BI100" s="33"/>
    </row>
    <row r="101" spans="1:61" ht="14.25" customHeight="1" x14ac:dyDescent="0.25">
      <c r="A101" s="33"/>
      <c r="B101" s="42"/>
      <c r="C101" s="33"/>
      <c r="D101" s="33"/>
      <c r="E101" s="33"/>
      <c r="F101" s="33"/>
      <c r="G101" s="33"/>
      <c r="H101" s="33"/>
      <c r="I101" s="33"/>
      <c r="J101" s="33"/>
      <c r="K101" s="33"/>
      <c r="L101" s="33"/>
      <c r="M101" s="33"/>
      <c r="N101" s="33"/>
      <c r="O101" s="33"/>
      <c r="P101" s="33"/>
      <c r="Q101" s="33"/>
      <c r="R101" s="33"/>
      <c r="S101" s="33"/>
      <c r="T101" s="33"/>
      <c r="U101" s="33"/>
      <c r="V101" s="33"/>
      <c r="W101" s="33"/>
      <c r="X101" s="33"/>
      <c r="Y101" s="33"/>
      <c r="Z101" s="33"/>
      <c r="AA101" s="33"/>
      <c r="AB101" s="33"/>
      <c r="AC101" s="33"/>
      <c r="AD101" s="33"/>
      <c r="AE101" s="33"/>
      <c r="AF101" s="33"/>
      <c r="AG101" s="33"/>
      <c r="AH101" s="33"/>
      <c r="AI101" s="33"/>
      <c r="AJ101" s="33"/>
      <c r="AK101" s="33"/>
      <c r="AL101" s="33"/>
      <c r="AM101" s="33"/>
      <c r="AN101" s="33"/>
      <c r="AO101" s="33"/>
      <c r="AP101" s="33"/>
      <c r="AQ101" s="33"/>
      <c r="AR101" s="33"/>
      <c r="AS101" s="33"/>
      <c r="AT101" s="33"/>
      <c r="AU101" s="33"/>
      <c r="AV101" s="33"/>
      <c r="AW101" s="33"/>
      <c r="AX101" s="33"/>
      <c r="AY101" s="33"/>
      <c r="AZ101" s="33"/>
      <c r="BA101" s="33"/>
      <c r="BB101" s="33"/>
      <c r="BC101" s="33"/>
      <c r="BD101" s="33"/>
      <c r="BE101" s="33"/>
      <c r="BF101" s="33"/>
      <c r="BG101" s="33"/>
      <c r="BH101" s="33"/>
      <c r="BI101" s="33"/>
    </row>
    <row r="102" spans="1:61" ht="14.25" customHeight="1" x14ac:dyDescent="0.25">
      <c r="A102" s="33"/>
      <c r="B102" s="42"/>
      <c r="C102" s="33"/>
      <c r="D102" s="33"/>
      <c r="E102" s="33"/>
      <c r="F102" s="33"/>
      <c r="G102" s="33"/>
      <c r="H102" s="33"/>
      <c r="I102" s="33"/>
      <c r="J102" s="33"/>
      <c r="K102" s="33"/>
      <c r="L102" s="33"/>
      <c r="M102" s="33"/>
      <c r="N102" s="33"/>
      <c r="O102" s="33"/>
      <c r="P102" s="33"/>
      <c r="Q102" s="33"/>
      <c r="R102" s="33"/>
      <c r="S102" s="33"/>
      <c r="T102" s="33"/>
      <c r="U102" s="33"/>
      <c r="V102" s="33"/>
      <c r="W102" s="33"/>
      <c r="X102" s="33"/>
      <c r="Y102" s="33"/>
      <c r="Z102" s="33"/>
      <c r="AA102" s="33"/>
      <c r="AB102" s="33"/>
      <c r="AC102" s="33"/>
      <c r="AD102" s="33"/>
      <c r="AE102" s="33"/>
      <c r="AF102" s="33"/>
      <c r="AG102" s="33"/>
      <c r="AH102" s="33"/>
      <c r="AI102" s="33"/>
      <c r="AJ102" s="33"/>
      <c r="AK102" s="33"/>
      <c r="AL102" s="33"/>
      <c r="AM102" s="33"/>
      <c r="AN102" s="33"/>
      <c r="AO102" s="33"/>
      <c r="AP102" s="33"/>
      <c r="AQ102" s="33"/>
      <c r="AR102" s="33"/>
      <c r="AS102" s="33"/>
      <c r="AT102" s="33"/>
      <c r="AU102" s="33"/>
      <c r="AV102" s="33"/>
      <c r="AW102" s="33"/>
      <c r="AX102" s="33"/>
      <c r="AY102" s="33"/>
      <c r="AZ102" s="33"/>
      <c r="BA102" s="33"/>
      <c r="BB102" s="33"/>
      <c r="BC102" s="33"/>
      <c r="BD102" s="33"/>
      <c r="BE102" s="33"/>
      <c r="BF102" s="33"/>
      <c r="BG102" s="33"/>
      <c r="BH102" s="33"/>
      <c r="BI102" s="33"/>
    </row>
    <row r="103" spans="1:61" ht="14.25" customHeight="1" x14ac:dyDescent="0.25">
      <c r="A103" s="33"/>
      <c r="B103" s="42"/>
      <c r="C103" s="33"/>
      <c r="D103" s="33"/>
      <c r="E103" s="33"/>
      <c r="F103" s="33"/>
      <c r="G103" s="33"/>
      <c r="H103" s="33"/>
      <c r="I103" s="33"/>
      <c r="J103" s="33"/>
      <c r="K103" s="33"/>
      <c r="L103" s="33"/>
      <c r="M103" s="33"/>
      <c r="N103" s="33"/>
      <c r="O103" s="33"/>
      <c r="P103" s="33"/>
      <c r="Q103" s="33"/>
      <c r="R103" s="33"/>
      <c r="S103" s="33"/>
      <c r="T103" s="33"/>
      <c r="U103" s="33"/>
      <c r="V103" s="33"/>
      <c r="W103" s="33"/>
      <c r="X103" s="33"/>
      <c r="Y103" s="33"/>
      <c r="Z103" s="33"/>
      <c r="AA103" s="33"/>
      <c r="AB103" s="33"/>
      <c r="AC103" s="33"/>
      <c r="AD103" s="33"/>
      <c r="AE103" s="33"/>
      <c r="AF103" s="33"/>
      <c r="AG103" s="33"/>
      <c r="AH103" s="33"/>
      <c r="AI103" s="33"/>
      <c r="AJ103" s="33"/>
      <c r="AK103" s="33"/>
      <c r="AL103" s="33"/>
      <c r="AM103" s="33"/>
      <c r="AN103" s="33"/>
      <c r="AO103" s="33"/>
      <c r="AP103" s="33"/>
      <c r="AQ103" s="33"/>
      <c r="AR103" s="33"/>
      <c r="AS103" s="33"/>
      <c r="AT103" s="33"/>
      <c r="AU103" s="33"/>
      <c r="AV103" s="33"/>
      <c r="AW103" s="33"/>
      <c r="AX103" s="33"/>
      <c r="AY103" s="33"/>
      <c r="AZ103" s="33"/>
      <c r="BA103" s="33"/>
      <c r="BB103" s="33"/>
      <c r="BC103" s="33"/>
      <c r="BD103" s="33"/>
      <c r="BE103" s="33"/>
      <c r="BF103" s="33"/>
      <c r="BG103" s="33"/>
      <c r="BH103" s="33"/>
      <c r="BI103" s="33"/>
    </row>
    <row r="104" spans="1:61" ht="14.25" customHeight="1" x14ac:dyDescent="0.25">
      <c r="A104" s="33"/>
      <c r="B104" s="42"/>
      <c r="C104" s="33"/>
      <c r="D104" s="33"/>
      <c r="E104" s="33"/>
      <c r="F104" s="33"/>
      <c r="G104" s="33"/>
      <c r="H104" s="33"/>
      <c r="I104" s="33"/>
      <c r="J104" s="33"/>
      <c r="K104" s="33"/>
      <c r="L104" s="33"/>
      <c r="M104" s="33"/>
      <c r="N104" s="33"/>
      <c r="O104" s="33"/>
      <c r="P104" s="33"/>
      <c r="Q104" s="33"/>
      <c r="R104" s="33"/>
      <c r="S104" s="33"/>
      <c r="T104" s="33"/>
      <c r="U104" s="33"/>
      <c r="V104" s="33"/>
      <c r="W104" s="33"/>
      <c r="X104" s="33"/>
      <c r="Y104" s="33"/>
      <c r="Z104" s="33"/>
      <c r="AA104" s="33"/>
      <c r="AB104" s="33"/>
      <c r="AC104" s="33"/>
      <c r="AD104" s="33"/>
      <c r="AE104" s="33"/>
      <c r="AF104" s="33"/>
      <c r="AG104" s="33"/>
      <c r="AH104" s="33"/>
      <c r="AI104" s="33"/>
      <c r="AJ104" s="33"/>
      <c r="AK104" s="33"/>
      <c r="AL104" s="33"/>
      <c r="AM104" s="33"/>
      <c r="AN104" s="33"/>
      <c r="AO104" s="33"/>
      <c r="AP104" s="33"/>
      <c r="AQ104" s="33"/>
      <c r="AR104" s="33"/>
      <c r="AS104" s="33"/>
      <c r="AT104" s="33"/>
      <c r="AU104" s="33"/>
      <c r="AV104" s="33"/>
      <c r="AW104" s="33"/>
      <c r="AX104" s="33"/>
      <c r="AY104" s="33"/>
      <c r="AZ104" s="33"/>
      <c r="BA104" s="33"/>
      <c r="BB104" s="33"/>
      <c r="BC104" s="33"/>
      <c r="BD104" s="33"/>
      <c r="BE104" s="33"/>
      <c r="BF104" s="33"/>
      <c r="BG104" s="33"/>
      <c r="BH104" s="33"/>
      <c r="BI104" s="33"/>
    </row>
  </sheetData>
  <sheetProtection algorithmName="SHA-512" hashValue="cPWNAHiMSIxCxCvKyMhArbk7KKxy1y8GODUGg9J7BDYe/pSxNuvqyrnwOGo5UfCTBD1dkTfwQsWg5uXi9cpxLQ==" saltValue="3u8zdidF7Tg4m2GZ/rgsww==" spinCount="100000" sheet="1" objects="1" scenarios="1"/>
  <mergeCells count="5">
    <mergeCell ref="B9:B11"/>
    <mergeCell ref="D9:V9"/>
    <mergeCell ref="Q2:R2"/>
    <mergeCell ref="U2:V2"/>
    <mergeCell ref="B1:B3"/>
  </mergeCells>
  <conditionalFormatting sqref="U18">
    <cfRule type="expression" dxfId="286" priority="55">
      <formula>U$7="NÃO"</formula>
    </cfRule>
  </conditionalFormatting>
  <conditionalFormatting sqref="U18">
    <cfRule type="expression" dxfId="285" priority="56">
      <formula>U$7= "SIM"</formula>
    </cfRule>
  </conditionalFormatting>
  <conditionalFormatting sqref="U19">
    <cfRule type="expression" dxfId="284" priority="53">
      <formula>U$7="NÃO"</formula>
    </cfRule>
  </conditionalFormatting>
  <conditionalFormatting sqref="U19">
    <cfRule type="expression" dxfId="283" priority="54">
      <formula>U$7= "SIM"</formula>
    </cfRule>
  </conditionalFormatting>
  <conditionalFormatting sqref="Q15">
    <cfRule type="expression" dxfId="282" priority="51">
      <formula>Q$7="NÃO"</formula>
    </cfRule>
  </conditionalFormatting>
  <conditionalFormatting sqref="Q15">
    <cfRule type="expression" dxfId="281" priority="52">
      <formula>Q$7= "SIM"</formula>
    </cfRule>
  </conditionalFormatting>
  <conditionalFormatting sqref="Q16">
    <cfRule type="expression" dxfId="280" priority="49">
      <formula>Q$7="NÃO"</formula>
    </cfRule>
  </conditionalFormatting>
  <conditionalFormatting sqref="Q16">
    <cfRule type="expression" dxfId="279" priority="50">
      <formula>Q$7= "SIM"</formula>
    </cfRule>
  </conditionalFormatting>
  <conditionalFormatting sqref="Q17">
    <cfRule type="expression" dxfId="278" priority="47">
      <formula>Q$7="NÃO"</formula>
    </cfRule>
  </conditionalFormatting>
  <conditionalFormatting sqref="Q17">
    <cfRule type="expression" dxfId="277" priority="48">
      <formula>Q$7= "SIM"</formula>
    </cfRule>
  </conditionalFormatting>
  <conditionalFormatting sqref="Q18">
    <cfRule type="expression" dxfId="276" priority="45">
      <formula>Q$7="NÃO"</formula>
    </cfRule>
  </conditionalFormatting>
  <conditionalFormatting sqref="Q18">
    <cfRule type="expression" dxfId="275" priority="46">
      <formula>Q$7= "SIM"</formula>
    </cfRule>
  </conditionalFormatting>
  <conditionalFormatting sqref="Q19">
    <cfRule type="expression" dxfId="274" priority="43">
      <formula>Q$7="NÃO"</formula>
    </cfRule>
  </conditionalFormatting>
  <conditionalFormatting sqref="Q19">
    <cfRule type="expression" dxfId="273" priority="44">
      <formula>Q$7= "SIM"</formula>
    </cfRule>
  </conditionalFormatting>
  <conditionalFormatting sqref="M15">
    <cfRule type="expression" dxfId="272" priority="41">
      <formula>M$7="NÃO"</formula>
    </cfRule>
  </conditionalFormatting>
  <conditionalFormatting sqref="M15">
    <cfRule type="expression" dxfId="271" priority="42">
      <formula>M$7= "SIM"</formula>
    </cfRule>
  </conditionalFormatting>
  <conditionalFormatting sqref="M16">
    <cfRule type="expression" dxfId="270" priority="39">
      <formula>M$7="NÃO"</formula>
    </cfRule>
  </conditionalFormatting>
  <conditionalFormatting sqref="M16">
    <cfRule type="expression" dxfId="269" priority="40">
      <formula>M$7= "SIM"</formula>
    </cfRule>
  </conditionalFormatting>
  <conditionalFormatting sqref="M17">
    <cfRule type="expression" dxfId="268" priority="37">
      <formula>M$7="NÃO"</formula>
    </cfRule>
  </conditionalFormatting>
  <conditionalFormatting sqref="M17">
    <cfRule type="expression" dxfId="267" priority="38">
      <formula>M$7= "SIM"</formula>
    </cfRule>
  </conditionalFormatting>
  <conditionalFormatting sqref="M18">
    <cfRule type="expression" dxfId="266" priority="35">
      <formula>M$7="NÃO"</formula>
    </cfRule>
  </conditionalFormatting>
  <conditionalFormatting sqref="M18">
    <cfRule type="expression" dxfId="265" priority="36">
      <formula>M$7= "SIM"</formula>
    </cfRule>
  </conditionalFormatting>
  <conditionalFormatting sqref="M19">
    <cfRule type="expression" dxfId="264" priority="33">
      <formula>M$7="NÃO"</formula>
    </cfRule>
  </conditionalFormatting>
  <conditionalFormatting sqref="M19">
    <cfRule type="expression" dxfId="263" priority="34">
      <formula>M$7= "SIM"</formula>
    </cfRule>
  </conditionalFormatting>
  <conditionalFormatting sqref="I15">
    <cfRule type="expression" dxfId="262" priority="31">
      <formula>I$7="NÃO"</formula>
    </cfRule>
  </conditionalFormatting>
  <conditionalFormatting sqref="I15">
    <cfRule type="expression" dxfId="261" priority="32">
      <formula>I$7= "SIM"</formula>
    </cfRule>
  </conditionalFormatting>
  <conditionalFormatting sqref="I16">
    <cfRule type="expression" dxfId="260" priority="29">
      <formula>I$7="NÃO"</formula>
    </cfRule>
  </conditionalFormatting>
  <conditionalFormatting sqref="I16">
    <cfRule type="expression" dxfId="259" priority="30">
      <formula>I$7= "SIM"</formula>
    </cfRule>
  </conditionalFormatting>
  <conditionalFormatting sqref="I17">
    <cfRule type="expression" dxfId="258" priority="27">
      <formula>I$7="NÃO"</formula>
    </cfRule>
  </conditionalFormatting>
  <conditionalFormatting sqref="I17">
    <cfRule type="expression" dxfId="257" priority="28">
      <formula>I$7= "SIM"</formula>
    </cfRule>
  </conditionalFormatting>
  <conditionalFormatting sqref="I18">
    <cfRule type="expression" dxfId="256" priority="25">
      <formula>I$7="NÃO"</formula>
    </cfRule>
  </conditionalFormatting>
  <conditionalFormatting sqref="I18">
    <cfRule type="expression" dxfId="255" priority="26">
      <formula>I$7= "SIM"</formula>
    </cfRule>
  </conditionalFormatting>
  <conditionalFormatting sqref="I19">
    <cfRule type="expression" dxfId="254" priority="23">
      <formula>I$7="NÃO"</formula>
    </cfRule>
  </conditionalFormatting>
  <conditionalFormatting sqref="I19">
    <cfRule type="expression" dxfId="253" priority="24">
      <formula>I$7= "SIM"</formula>
    </cfRule>
  </conditionalFormatting>
  <conditionalFormatting sqref="E15">
    <cfRule type="expression" dxfId="252" priority="21">
      <formula>E$7="NÃO"</formula>
    </cfRule>
  </conditionalFormatting>
  <conditionalFormatting sqref="E15">
    <cfRule type="expression" dxfId="251" priority="22">
      <formula>E$7= "SIM"</formula>
    </cfRule>
  </conditionalFormatting>
  <conditionalFormatting sqref="E16">
    <cfRule type="expression" dxfId="250" priority="19">
      <formula>E$7="NÃO"</formula>
    </cfRule>
  </conditionalFormatting>
  <conditionalFormatting sqref="E16">
    <cfRule type="expression" dxfId="249" priority="20">
      <formula>E$7= "SIM"</formula>
    </cfRule>
  </conditionalFormatting>
  <conditionalFormatting sqref="E17">
    <cfRule type="expression" dxfId="248" priority="17">
      <formula>E$7="NÃO"</formula>
    </cfRule>
  </conditionalFormatting>
  <conditionalFormatting sqref="E17">
    <cfRule type="expression" dxfId="247" priority="18">
      <formula>E$7= "SIM"</formula>
    </cfRule>
  </conditionalFormatting>
  <conditionalFormatting sqref="E18">
    <cfRule type="expression" dxfId="246" priority="15">
      <formula>E$7="NÃO"</formula>
    </cfRule>
  </conditionalFormatting>
  <conditionalFormatting sqref="E18">
    <cfRule type="expression" dxfId="245" priority="16">
      <formula>E$7= "SIM"</formula>
    </cfRule>
  </conditionalFormatting>
  <conditionalFormatting sqref="E19">
    <cfRule type="expression" dxfId="244" priority="13">
      <formula>E$7="NÃO"</formula>
    </cfRule>
  </conditionalFormatting>
  <conditionalFormatting sqref="E19">
    <cfRule type="expression" dxfId="243" priority="14">
      <formula>E$7= "SIM"</formula>
    </cfRule>
  </conditionalFormatting>
  <conditionalFormatting sqref="E35 E27:E28 M27:M28 I27:I28 Q27:Q28 U27:U28 E38 E32 I32 M32 Q32 U32 I38 M38 Q38 U38 U41:U45 Q41:Q45 M41:M45 I41:I45 E41:E45 Q35 I35 U35 M35">
    <cfRule type="expression" dxfId="242" priority="63">
      <formula>E$7="NÃO"</formula>
    </cfRule>
  </conditionalFormatting>
  <conditionalFormatting sqref="E35 E27:E28 M27:M28 I27:I28 Q27:Q28 U27:U28 E38 E32 I32 M32 Q32 U32 I38 M38 Q38 U38 U41:U45 Q41:Q45 M41:M45 I41:I45 E41:E45 Q35 I35 U35 M35">
    <cfRule type="expression" dxfId="241" priority="64">
      <formula>E$7= "SIM"</formula>
    </cfRule>
  </conditionalFormatting>
  <conditionalFormatting sqref="U15">
    <cfRule type="expression" dxfId="240" priority="61">
      <formula>U$7="NÃO"</formula>
    </cfRule>
  </conditionalFormatting>
  <conditionalFormatting sqref="U15">
    <cfRule type="expression" dxfId="239" priority="62">
      <formula>U$7= "SIM"</formula>
    </cfRule>
  </conditionalFormatting>
  <conditionalFormatting sqref="U16">
    <cfRule type="expression" dxfId="238" priority="59">
      <formula>U$7="NÃO"</formula>
    </cfRule>
  </conditionalFormatting>
  <conditionalFormatting sqref="U16">
    <cfRule type="expression" dxfId="237" priority="60">
      <formula>U$7= "SIM"</formula>
    </cfRule>
  </conditionalFormatting>
  <conditionalFormatting sqref="U17">
    <cfRule type="expression" dxfId="236" priority="57">
      <formula>U$7="NÃO"</formula>
    </cfRule>
  </conditionalFormatting>
  <conditionalFormatting sqref="U17">
    <cfRule type="expression" dxfId="235" priority="58">
      <formula>U$7= "SIM"</formula>
    </cfRule>
  </conditionalFormatting>
  <conditionalFormatting sqref="I7 E7 M7 Q7 U7">
    <cfRule type="expression" dxfId="234" priority="3">
      <formula>E$7="NÃO"</formula>
    </cfRule>
  </conditionalFormatting>
  <conditionalFormatting sqref="I7 E7 M7 Q7 U7">
    <cfRule type="expression" dxfId="233" priority="4">
      <formula>E$7= "SIM"</formula>
    </cfRule>
  </conditionalFormatting>
  <conditionalFormatting sqref="L2">
    <cfRule type="expression" dxfId="232" priority="1">
      <formula>L$2="NÃO"</formula>
    </cfRule>
  </conditionalFormatting>
  <conditionalFormatting sqref="L2">
    <cfRule type="expression" dxfId="231" priority="2">
      <formula>L$2= "SIM"</formula>
    </cfRule>
  </conditionalFormatting>
  <conditionalFormatting sqref="D2">
    <cfRule type="expression" dxfId="230" priority="5">
      <formula>AND($L$2="Sim",$D$2&lt;$D$11)</formula>
    </cfRule>
  </conditionalFormatting>
  <conditionalFormatting sqref="D2">
    <cfRule type="expression" dxfId="229" priority="6">
      <formula>AND($L$2="Sim",$D$2&gt;$V$11)</formula>
    </cfRule>
  </conditionalFormatting>
  <pageMargins left="0.511811024" right="0.511811024" top="0.78740157499999996" bottom="0.78740157499999996" header="0" footer="0"/>
  <pageSetup orientation="landscape"/>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7">
    <outlinePr summaryBelow="0"/>
  </sheetPr>
  <dimension ref="A1:BI104"/>
  <sheetViews>
    <sheetView zoomScale="75" zoomScaleNormal="75" workbookViewId="0">
      <selection activeCell="B1" sqref="B1:B3"/>
    </sheetView>
  </sheetViews>
  <sheetFormatPr defaultColWidth="14.42578125" defaultRowHeight="15" customHeight="1" outlineLevelRow="1" x14ac:dyDescent="0.25"/>
  <cols>
    <col min="1" max="1" width="1.7109375" customWidth="1"/>
    <col min="2" max="2" width="60.7109375" customWidth="1"/>
    <col min="3" max="3" width="1.7109375" customWidth="1"/>
    <col min="4" max="4" width="11.7109375" customWidth="1"/>
    <col min="5" max="5" width="15.7109375" customWidth="1"/>
    <col min="6" max="6" width="11.7109375" customWidth="1"/>
    <col min="7" max="7" width="1.7109375" customWidth="1"/>
    <col min="8" max="8" width="11.7109375" customWidth="1"/>
    <col min="9" max="9" width="15.7109375" customWidth="1"/>
    <col min="10" max="10" width="11.7109375" customWidth="1"/>
    <col min="11" max="11" width="1.7109375" customWidth="1"/>
    <col min="12" max="12" width="11.7109375" customWidth="1"/>
    <col min="13" max="13" width="15.7109375" customWidth="1"/>
    <col min="14" max="14" width="11.7109375" customWidth="1"/>
    <col min="15" max="15" width="1.7109375" customWidth="1"/>
    <col min="16" max="16" width="11.7109375" customWidth="1"/>
    <col min="17" max="17" width="15.7109375" customWidth="1"/>
    <col min="18" max="18" width="11.7109375" customWidth="1"/>
    <col min="19" max="19" width="1.7109375" customWidth="1"/>
    <col min="20" max="20" width="11.7109375" customWidth="1"/>
    <col min="21" max="21" width="15.7109375" customWidth="1"/>
    <col min="22" max="22" width="11.7109375" customWidth="1"/>
    <col min="23" max="23" width="9.42578125" hidden="1" customWidth="1"/>
    <col min="24" max="27" width="8.7109375" hidden="1" customWidth="1"/>
  </cols>
  <sheetData>
    <row r="1" spans="1:61" ht="19.899999999999999" customHeight="1" x14ac:dyDescent="0.25">
      <c r="A1" s="762"/>
      <c r="B1" s="2950" t="s">
        <v>769</v>
      </c>
      <c r="C1" s="433"/>
      <c r="D1" s="433"/>
      <c r="E1" s="433"/>
      <c r="F1" s="433"/>
      <c r="G1" s="433"/>
      <c r="H1" s="433"/>
      <c r="I1" s="433"/>
      <c r="J1" s="433"/>
      <c r="K1" s="433"/>
      <c r="L1" s="433"/>
      <c r="M1" s="433"/>
      <c r="N1" s="433"/>
      <c r="O1" s="433"/>
      <c r="P1" s="433"/>
      <c r="Q1" s="433"/>
      <c r="R1" s="433"/>
      <c r="S1" s="433"/>
      <c r="T1" s="433"/>
      <c r="U1" s="433"/>
      <c r="V1" s="433"/>
      <c r="W1" s="33"/>
      <c r="X1" s="33"/>
      <c r="Y1" s="33"/>
      <c r="Z1" s="33"/>
      <c r="AA1" s="33"/>
    </row>
    <row r="2" spans="1:61" ht="19.899999999999999" customHeight="1" x14ac:dyDescent="0.3">
      <c r="A2" s="763"/>
      <c r="B2" s="2950"/>
      <c r="C2" s="436"/>
      <c r="D2" s="899">
        <f>'R-Resumo Bal. Massa'!B35*(1+'R&amp;C-Painel de Controle'!H68)</f>
        <v>0</v>
      </c>
      <c r="E2" s="900" t="s">
        <v>391</v>
      </c>
      <c r="H2" s="1105">
        <f>D2*313</f>
        <v>0</v>
      </c>
      <c r="I2" s="1104" t="s">
        <v>392</v>
      </c>
      <c r="L2" s="1086" t="str">
        <f>IF(D2&gt;0,"Sim","Não")</f>
        <v>Não</v>
      </c>
      <c r="M2" s="431"/>
      <c r="N2" s="431"/>
      <c r="O2" s="431"/>
      <c r="P2" s="1106" t="s">
        <v>436</v>
      </c>
      <c r="Q2" s="2941" t="str">
        <f>'R-Definição'!D2</f>
        <v>CIRSOP - Consórcio RSU Oeste Paulista</v>
      </c>
      <c r="R2" s="2942"/>
      <c r="S2" s="429"/>
      <c r="T2" s="1106" t="s">
        <v>437</v>
      </c>
      <c r="U2" s="2941" t="str">
        <f>'R-Definição'!D3</f>
        <v>Biodigestão c/ Prod. E. Elétrica</v>
      </c>
      <c r="V2" s="2942"/>
      <c r="W2" s="307"/>
      <c r="X2" s="307"/>
      <c r="Y2" s="307"/>
      <c r="Z2" s="307"/>
      <c r="AA2" s="307"/>
      <c r="AB2" s="68"/>
    </row>
    <row r="3" spans="1:61" ht="19.899999999999999" customHeight="1" x14ac:dyDescent="0.25">
      <c r="A3" s="762"/>
      <c r="B3" s="2950"/>
      <c r="C3" s="427"/>
      <c r="D3" s="426"/>
      <c r="E3" s="426"/>
      <c r="F3" s="426"/>
      <c r="G3" s="426"/>
      <c r="H3" s="426"/>
      <c r="I3" s="426"/>
      <c r="J3" s="426"/>
      <c r="K3" s="426"/>
      <c r="L3" s="426"/>
      <c r="M3" s="426"/>
      <c r="N3" s="426"/>
      <c r="O3" s="431"/>
      <c r="P3" s="426"/>
      <c r="Q3" s="426"/>
      <c r="R3" s="426"/>
      <c r="S3" s="426"/>
      <c r="T3" s="426"/>
      <c r="U3" s="426"/>
      <c r="V3" s="426"/>
      <c r="W3" s="152"/>
      <c r="X3" s="152"/>
      <c r="Y3" s="152"/>
      <c r="Z3" s="152"/>
      <c r="AA3" s="152"/>
      <c r="AB3" s="68"/>
    </row>
    <row r="4" spans="1:61" ht="7.5" customHeight="1" x14ac:dyDescent="0.25">
      <c r="A4" s="406"/>
      <c r="B4" s="683"/>
      <c r="C4" s="403"/>
      <c r="D4" s="1061"/>
      <c r="E4" s="1061"/>
      <c r="F4" s="1061"/>
      <c r="G4" s="403"/>
      <c r="H4" s="1061"/>
      <c r="I4" s="1061"/>
      <c r="J4" s="1061"/>
      <c r="K4" s="403"/>
      <c r="L4" s="1061"/>
      <c r="M4" s="1061"/>
      <c r="N4" s="1061"/>
      <c r="O4" s="403"/>
      <c r="P4" s="1061"/>
      <c r="Q4" s="1061"/>
      <c r="R4" s="1061"/>
      <c r="S4" s="905"/>
      <c r="T4" s="1061"/>
      <c r="U4" s="1061"/>
      <c r="V4" s="906"/>
      <c r="W4" s="33"/>
      <c r="X4" s="33"/>
      <c r="Y4" s="33"/>
      <c r="Z4" s="33"/>
      <c r="AA4" s="33"/>
      <c r="AB4" s="33"/>
      <c r="AC4" s="33"/>
      <c r="AD4" s="33"/>
      <c r="AE4" s="33"/>
      <c r="AF4" s="33"/>
      <c r="AG4" s="33"/>
      <c r="AH4" s="33"/>
      <c r="AI4" s="33"/>
      <c r="AJ4" s="33"/>
      <c r="AK4" s="33"/>
      <c r="AL4" s="33"/>
      <c r="AM4" s="33"/>
      <c r="AN4" s="33"/>
      <c r="AO4" s="33"/>
      <c r="AP4" s="33"/>
      <c r="AQ4" s="33"/>
      <c r="AR4" s="33"/>
      <c r="AS4" s="33"/>
      <c r="AT4" s="33"/>
      <c r="AU4" s="33"/>
      <c r="AV4" s="33"/>
      <c r="AW4" s="33"/>
      <c r="AX4" s="33"/>
      <c r="AY4" s="33"/>
      <c r="AZ4" s="33"/>
      <c r="BA4" s="33"/>
      <c r="BB4" s="33"/>
      <c r="BC4" s="33"/>
      <c r="BD4" s="33"/>
      <c r="BE4" s="33"/>
      <c r="BF4" s="33"/>
      <c r="BG4" s="33"/>
      <c r="BH4" s="33"/>
      <c r="BI4" s="33"/>
    </row>
    <row r="5" spans="1:61" ht="17.649999999999999" customHeight="1" x14ac:dyDescent="0.25">
      <c r="A5" s="762"/>
      <c r="B5" s="865" t="s">
        <v>755</v>
      </c>
      <c r="C5" s="437"/>
      <c r="D5" s="1110">
        <v>4</v>
      </c>
      <c r="E5" s="870" t="s">
        <v>766</v>
      </c>
      <c r="F5" s="868"/>
      <c r="G5" s="868"/>
      <c r="H5" s="868"/>
      <c r="I5" s="868"/>
      <c r="J5" s="868"/>
      <c r="K5" s="868"/>
      <c r="L5" s="868"/>
      <c r="M5" s="868"/>
      <c r="N5" s="868"/>
      <c r="O5" s="868"/>
      <c r="P5" s="868"/>
      <c r="Q5" s="868"/>
      <c r="R5" s="868"/>
      <c r="S5" s="868"/>
      <c r="T5" s="868"/>
      <c r="U5" s="868"/>
      <c r="V5" s="317"/>
      <c r="W5" s="152"/>
      <c r="X5" s="152"/>
      <c r="Y5" s="152"/>
      <c r="Z5" s="152"/>
      <c r="AA5" s="152"/>
      <c r="AB5" s="68"/>
    </row>
    <row r="6" spans="1:61" ht="7.5" customHeight="1" x14ac:dyDescent="0.25">
      <c r="A6" s="406"/>
      <c r="B6" s="683"/>
      <c r="C6" s="403"/>
      <c r="D6" s="1061"/>
      <c r="E6" s="1061"/>
      <c r="F6" s="1061"/>
      <c r="G6" s="403"/>
      <c r="H6" s="1061"/>
      <c r="I6" s="1061"/>
      <c r="J6" s="1061"/>
      <c r="K6" s="403"/>
      <c r="L6" s="1061"/>
      <c r="M6" s="1061"/>
      <c r="N6" s="1061"/>
      <c r="O6" s="403"/>
      <c r="P6" s="1061"/>
      <c r="Q6" s="1061"/>
      <c r="R6" s="1061"/>
      <c r="S6" s="905"/>
      <c r="T6" s="1061"/>
      <c r="U6" s="1061"/>
      <c r="V6" s="906"/>
      <c r="W6" s="33"/>
      <c r="X6" s="33"/>
      <c r="Y6" s="33"/>
      <c r="Z6" s="33"/>
      <c r="AA6" s="33"/>
      <c r="AB6" s="33"/>
      <c r="AC6" s="33"/>
      <c r="AD6" s="33"/>
      <c r="AE6" s="33"/>
      <c r="AF6" s="33"/>
      <c r="AG6" s="33"/>
      <c r="AH6" s="33"/>
      <c r="AI6" s="33"/>
      <c r="AJ6" s="33"/>
      <c r="AK6" s="33"/>
      <c r="AL6" s="33"/>
      <c r="AM6" s="33"/>
      <c r="AN6" s="33"/>
      <c r="AO6" s="33"/>
      <c r="AP6" s="33"/>
      <c r="AQ6" s="33"/>
      <c r="AR6" s="33"/>
      <c r="AS6" s="33"/>
      <c r="AT6" s="33"/>
      <c r="AU6" s="33"/>
      <c r="AV6" s="33"/>
      <c r="AW6" s="33"/>
      <c r="AX6" s="33"/>
      <c r="AY6" s="33"/>
      <c r="AZ6" s="33"/>
      <c r="BA6" s="33"/>
      <c r="BB6" s="33"/>
      <c r="BC6" s="33"/>
      <c r="BD6" s="33"/>
      <c r="BE6" s="33"/>
      <c r="BF6" s="33"/>
      <c r="BG6" s="33"/>
      <c r="BH6" s="33"/>
      <c r="BI6" s="33"/>
    </row>
    <row r="7" spans="1:61" ht="19.899999999999999" customHeight="1" x14ac:dyDescent="0.25">
      <c r="A7" s="762"/>
      <c r="B7" s="849"/>
      <c r="C7" s="849"/>
      <c r="D7" s="849"/>
      <c r="E7" s="1054" t="str">
        <f>IF(AND(L2="Sim",$D$2&gt;D11,$D$2&lt;=F11),"SIM","NÃO")</f>
        <v>NÃO</v>
      </c>
      <c r="F7" s="853"/>
      <c r="G7" s="849"/>
      <c r="H7" s="853"/>
      <c r="I7" s="1090" t="str">
        <f>IF(AND(L2="Sim",$D$2&gt;H11,$D$2&lt;=J11),"SIM","NÃO")</f>
        <v>NÃO</v>
      </c>
      <c r="J7" s="853"/>
      <c r="K7" s="849"/>
      <c r="L7" s="853"/>
      <c r="M7" s="1054" t="str">
        <f>IF(AND(L2="Sim",$D$2&gt;L11,$D$2&lt;=N11),"SIM","NÃO")</f>
        <v>NÃO</v>
      </c>
      <c r="N7" s="853"/>
      <c r="O7" s="1088"/>
      <c r="P7" s="853"/>
      <c r="Q7" s="1054" t="str">
        <f>IF(AND(L2="Sim",$D$2&gt;P11,$D$2&lt;=R11),"SIM","NÃO")</f>
        <v>NÃO</v>
      </c>
      <c r="R7" s="853"/>
      <c r="S7" s="849"/>
      <c r="T7" s="853"/>
      <c r="U7" s="1091" t="str">
        <f>IF(AND(L2="Sim",$D$2&gt;T11,$D$2&lt;=V11*1.5),"SIM","NÃO")</f>
        <v>NÃO</v>
      </c>
      <c r="V7" s="849"/>
      <c r="W7" s="152"/>
      <c r="X7" s="152"/>
      <c r="Y7" s="152"/>
      <c r="Z7" s="152"/>
      <c r="AA7" s="152"/>
      <c r="AB7" s="68"/>
    </row>
    <row r="8" spans="1:61" ht="7.5" customHeight="1" thickBot="1" x14ac:dyDescent="0.3">
      <c r="A8" s="406"/>
      <c r="B8" s="683"/>
      <c r="C8" s="403"/>
      <c r="D8" s="1061"/>
      <c r="E8" s="1061"/>
      <c r="F8" s="1061"/>
      <c r="G8" s="403"/>
      <c r="H8" s="1061"/>
      <c r="I8" s="1061"/>
      <c r="J8" s="1061"/>
      <c r="K8" s="403"/>
      <c r="L8" s="1061"/>
      <c r="M8" s="1061"/>
      <c r="N8" s="1061"/>
      <c r="O8" s="403"/>
      <c r="P8" s="1061"/>
      <c r="Q8" s="1061"/>
      <c r="R8" s="1061"/>
      <c r="S8" s="905"/>
      <c r="T8" s="1061"/>
      <c r="U8" s="1061"/>
      <c r="V8" s="906"/>
      <c r="W8" s="33"/>
      <c r="X8" s="33"/>
      <c r="Y8" s="33"/>
      <c r="Z8" s="33"/>
      <c r="AA8" s="33"/>
      <c r="AB8" s="33"/>
      <c r="AC8" s="33"/>
      <c r="AD8" s="33"/>
      <c r="AE8" s="33"/>
      <c r="AF8" s="33"/>
      <c r="AG8" s="33"/>
      <c r="AH8" s="33"/>
      <c r="AI8" s="33"/>
      <c r="AJ8" s="33"/>
      <c r="AK8" s="33"/>
      <c r="AL8" s="33"/>
      <c r="AM8" s="33"/>
      <c r="AN8" s="33"/>
      <c r="AO8" s="33"/>
      <c r="AP8" s="33"/>
      <c r="AQ8" s="33"/>
      <c r="AR8" s="33"/>
      <c r="AS8" s="33"/>
      <c r="AT8" s="33"/>
      <c r="AU8" s="33"/>
      <c r="AV8" s="33"/>
      <c r="AW8" s="33"/>
      <c r="AX8" s="33"/>
      <c r="AY8" s="33"/>
      <c r="AZ8" s="33"/>
      <c r="BA8" s="33"/>
      <c r="BB8" s="33"/>
      <c r="BC8" s="33"/>
      <c r="BD8" s="33"/>
      <c r="BE8" s="33"/>
      <c r="BF8" s="33"/>
      <c r="BG8" s="33"/>
      <c r="BH8" s="33"/>
      <c r="BI8" s="33"/>
    </row>
    <row r="9" spans="1:61" s="882" customFormat="1" ht="17.649999999999999" customHeight="1" thickTop="1" thickBot="1" x14ac:dyDescent="0.35">
      <c r="A9" s="1109"/>
      <c r="B9" s="2944" t="s">
        <v>640</v>
      </c>
      <c r="C9" s="901"/>
      <c r="D9" s="2947" t="s">
        <v>648</v>
      </c>
      <c r="E9" s="2948"/>
      <c r="F9" s="2948"/>
      <c r="G9" s="2948"/>
      <c r="H9" s="2948"/>
      <c r="I9" s="2948"/>
      <c r="J9" s="2948"/>
      <c r="K9" s="2948"/>
      <c r="L9" s="2948"/>
      <c r="M9" s="2948"/>
      <c r="N9" s="2948"/>
      <c r="O9" s="2948"/>
      <c r="P9" s="2948"/>
      <c r="Q9" s="2948"/>
      <c r="R9" s="2948"/>
      <c r="S9" s="2948"/>
      <c r="T9" s="2948"/>
      <c r="U9" s="2948"/>
      <c r="V9" s="2949"/>
      <c r="W9" s="885"/>
      <c r="X9" s="885"/>
      <c r="Y9" s="885"/>
      <c r="Z9" s="885"/>
      <c r="AA9" s="885"/>
    </row>
    <row r="10" spans="1:61" ht="7.5" customHeight="1" x14ac:dyDescent="0.25">
      <c r="A10" s="762"/>
      <c r="B10" s="2945"/>
      <c r="C10" s="901"/>
      <c r="D10" s="1072"/>
      <c r="E10" s="898"/>
      <c r="F10" s="898"/>
      <c r="G10" s="850"/>
      <c r="H10" s="898"/>
      <c r="I10" s="898"/>
      <c r="J10" s="898"/>
      <c r="K10" s="850"/>
      <c r="L10" s="898"/>
      <c r="M10" s="898"/>
      <c r="N10" s="898"/>
      <c r="O10" s="850"/>
      <c r="P10" s="898"/>
      <c r="Q10" s="898"/>
      <c r="R10" s="898"/>
      <c r="S10" s="850"/>
      <c r="T10" s="898"/>
      <c r="U10" s="898"/>
      <c r="V10" s="1073"/>
      <c r="W10" s="152"/>
      <c r="X10" s="152"/>
      <c r="Y10" s="152"/>
      <c r="Z10" s="152"/>
      <c r="AA10" s="152"/>
      <c r="AB10" s="68"/>
    </row>
    <row r="11" spans="1:61" s="882" customFormat="1" ht="17.649999999999999" customHeight="1" thickBot="1" x14ac:dyDescent="0.35">
      <c r="A11" s="1109"/>
      <c r="B11" s="2946"/>
      <c r="C11" s="901"/>
      <c r="D11" s="1064">
        <v>1</v>
      </c>
      <c r="E11" s="1066" t="s">
        <v>21</v>
      </c>
      <c r="F11" s="1066">
        <v>3</v>
      </c>
      <c r="G11" s="1067"/>
      <c r="H11" s="1066">
        <f>F11</f>
        <v>3</v>
      </c>
      <c r="I11" s="1066" t="s">
        <v>21</v>
      </c>
      <c r="J11" s="1066">
        <v>30</v>
      </c>
      <c r="K11" s="1067"/>
      <c r="L11" s="1066">
        <f>J11</f>
        <v>30</v>
      </c>
      <c r="M11" s="1066" t="s">
        <v>21</v>
      </c>
      <c r="N11" s="1066">
        <v>150</v>
      </c>
      <c r="O11" s="1067"/>
      <c r="P11" s="1066">
        <f>N11</f>
        <v>150</v>
      </c>
      <c r="Q11" s="1066" t="s">
        <v>21</v>
      </c>
      <c r="R11" s="1066">
        <v>350</v>
      </c>
      <c r="S11" s="1067"/>
      <c r="T11" s="1066">
        <f>R11</f>
        <v>350</v>
      </c>
      <c r="U11" s="1066" t="s">
        <v>21</v>
      </c>
      <c r="V11" s="1068">
        <v>750</v>
      </c>
      <c r="W11" s="885"/>
      <c r="X11" s="885"/>
      <c r="Y11" s="885"/>
      <c r="Z11" s="885"/>
      <c r="AA11" s="885"/>
    </row>
    <row r="12" spans="1:61" ht="15" customHeight="1" thickTop="1" thickBot="1" x14ac:dyDescent="0.3">
      <c r="A12" s="406"/>
      <c r="B12" s="1070"/>
      <c r="C12" s="751"/>
      <c r="D12" s="1071"/>
      <c r="E12" s="1071"/>
      <c r="F12" s="1071"/>
      <c r="G12" s="751"/>
      <c r="H12" s="1071"/>
      <c r="I12" s="1071"/>
      <c r="J12" s="1071"/>
      <c r="K12" s="751"/>
      <c r="L12" s="1071"/>
      <c r="M12" s="1071"/>
      <c r="N12" s="1071"/>
      <c r="O12" s="751"/>
      <c r="P12" s="1071"/>
      <c r="Q12" s="1071"/>
      <c r="R12" s="1071"/>
      <c r="S12" s="751"/>
      <c r="T12" s="1071"/>
      <c r="U12" s="1071"/>
      <c r="V12" s="1071"/>
      <c r="W12" s="33"/>
      <c r="X12" s="33"/>
      <c r="Y12" s="33"/>
      <c r="Z12" s="33"/>
      <c r="AA12" s="33"/>
      <c r="AB12" s="33"/>
      <c r="AC12" s="33"/>
      <c r="AD12" s="33"/>
      <c r="AE12" s="33"/>
      <c r="AF12" s="33"/>
      <c r="AG12" s="33"/>
      <c r="AH12" s="33"/>
      <c r="AI12" s="33"/>
      <c r="AJ12" s="33"/>
      <c r="AK12" s="33"/>
      <c r="AL12" s="33"/>
      <c r="AM12" s="33"/>
      <c r="AN12" s="33"/>
      <c r="AO12" s="33"/>
      <c r="AP12" s="33"/>
      <c r="AQ12" s="33"/>
      <c r="AR12" s="33"/>
      <c r="AS12" s="33"/>
      <c r="AT12" s="33"/>
      <c r="AU12" s="33"/>
      <c r="AV12" s="33"/>
      <c r="AW12" s="33"/>
      <c r="AX12" s="33"/>
      <c r="AY12" s="33"/>
      <c r="AZ12" s="33"/>
      <c r="BA12" s="33"/>
      <c r="BB12" s="33"/>
      <c r="BC12" s="33"/>
      <c r="BD12" s="33"/>
      <c r="BE12" s="33"/>
      <c r="BF12" s="33"/>
      <c r="BG12" s="33"/>
      <c r="BH12" s="33"/>
      <c r="BI12" s="33"/>
    </row>
    <row r="13" spans="1:61" s="882" customFormat="1" ht="19.899999999999999" customHeight="1" thickTop="1" thickBot="1" x14ac:dyDescent="0.35">
      <c r="A13" s="1109"/>
      <c r="B13" s="977" t="s">
        <v>443</v>
      </c>
      <c r="C13" s="903"/>
      <c r="D13" s="979" t="s">
        <v>754</v>
      </c>
      <c r="E13" s="980" t="s">
        <v>442</v>
      </c>
      <c r="F13" s="981" t="s">
        <v>289</v>
      </c>
      <c r="G13" s="869"/>
      <c r="H13" s="979" t="s">
        <v>754</v>
      </c>
      <c r="I13" s="980" t="s">
        <v>442</v>
      </c>
      <c r="J13" s="981" t="s">
        <v>289</v>
      </c>
      <c r="K13" s="869"/>
      <c r="L13" s="979" t="s">
        <v>754</v>
      </c>
      <c r="M13" s="980" t="s">
        <v>442</v>
      </c>
      <c r="N13" s="981" t="s">
        <v>289</v>
      </c>
      <c r="O13" s="869"/>
      <c r="P13" s="979" t="s">
        <v>754</v>
      </c>
      <c r="Q13" s="980" t="s">
        <v>442</v>
      </c>
      <c r="R13" s="981" t="s">
        <v>289</v>
      </c>
      <c r="S13" s="869"/>
      <c r="T13" s="979" t="s">
        <v>754</v>
      </c>
      <c r="U13" s="980" t="s">
        <v>442</v>
      </c>
      <c r="V13" s="981" t="s">
        <v>289</v>
      </c>
      <c r="W13" s="885"/>
      <c r="X13" s="885"/>
      <c r="Y13" s="885"/>
      <c r="Z13" s="885"/>
      <c r="AA13" s="885"/>
    </row>
    <row r="14" spans="1:61" ht="7.5" customHeight="1" x14ac:dyDescent="0.25">
      <c r="A14" s="762"/>
      <c r="B14" s="1009"/>
      <c r="C14" s="903"/>
      <c r="D14" s="1015"/>
      <c r="E14" s="1659">
        <v>0.75</v>
      </c>
      <c r="F14" s="1658"/>
      <c r="G14" s="1656"/>
      <c r="H14" s="1657"/>
      <c r="I14" s="1659">
        <f>E14</f>
        <v>0.75</v>
      </c>
      <c r="J14" s="1658"/>
      <c r="K14" s="1656"/>
      <c r="L14" s="1657"/>
      <c r="M14" s="1659">
        <v>0.6</v>
      </c>
      <c r="N14" s="1658"/>
      <c r="O14" s="1656"/>
      <c r="P14" s="1657"/>
      <c r="Q14" s="1659">
        <f>M14</f>
        <v>0.6</v>
      </c>
      <c r="R14" s="1658"/>
      <c r="S14" s="1656"/>
      <c r="T14" s="1657"/>
      <c r="U14" s="1659">
        <f>Q14</f>
        <v>0.6</v>
      </c>
      <c r="V14" s="924"/>
      <c r="W14" s="152"/>
      <c r="X14" s="152"/>
      <c r="Y14" s="152"/>
      <c r="Z14" s="152"/>
      <c r="AA14" s="152"/>
      <c r="AB14" s="68"/>
    </row>
    <row r="15" spans="1:61" ht="17.649999999999999" customHeight="1" x14ac:dyDescent="0.25">
      <c r="A15" s="762"/>
      <c r="B15" s="913" t="s">
        <v>376</v>
      </c>
      <c r="C15" s="869"/>
      <c r="D15" s="1075">
        <f>2706*1.18/(313*2)</f>
        <v>5.1007667731629391</v>
      </c>
      <c r="E15" s="846" t="str">
        <f>(IF(E$7="SIM",(((D15*$H$2)*E21*(1+'R&amp;C-Painel de Controle'!$D$61))+((D15*$H$2)*(1-E21)/$D$5*'R&amp;C-Painel de Controle'!$D$52*(1+'R&amp;C-Painel de Controle'!$D$54)))/1000000,"-"))</f>
        <v>-</v>
      </c>
      <c r="F15" s="917">
        <v>0.1</v>
      </c>
      <c r="G15" s="869"/>
      <c r="H15" s="1075">
        <f>(2706+75000)*1.18/(313*10)</f>
        <v>29.294913738019169</v>
      </c>
      <c r="I15" s="846" t="str">
        <f>(IF(I$7="SIM",(((H15*$H$2)*I21*(1+'R&amp;C-Painel de Controle'!$D$61))+((H15*$H$2)*(1-I21)/$D$5*'R&amp;C-Painel de Controle'!$D$52*(1+'R&amp;C-Painel de Controle'!$D$54)))/1000000,"-"))</f>
        <v>-</v>
      </c>
      <c r="J15" s="917">
        <v>0.1</v>
      </c>
      <c r="K15" s="869"/>
      <c r="L15" s="1075">
        <f>250*M14</f>
        <v>150</v>
      </c>
      <c r="M15" s="846" t="str">
        <f>(IF(M$7="SIM",(((M22*L15*1000+(3731520/2)*((M22/5)/1.5))*M21*(1+'R&amp;C-Painel de Controle'!$D$61))+((M22*L15*1000+(3731520/2)*((M22/5)/1.5))*(1-M21)/$D$5*'R&amp;C-Painel de Controle'!$D$52*(1+'R&amp;C-Painel de Controle'!$D$54)))/1000000,"-"))</f>
        <v>-</v>
      </c>
      <c r="N15" s="917">
        <v>0.35</v>
      </c>
      <c r="O15" s="869"/>
      <c r="P15" s="1075">
        <f>500*Q14</f>
        <v>300</v>
      </c>
      <c r="Q15" s="846" t="str">
        <f>(IF(Q$7="SIM",(((Q22*P15*1000+(3731520/1)*((Q22/5)/1.5))*Q21*(1+'R&amp;C-Painel de Controle'!$D$61))+((Q22*P15*1000+(3731520/1)*((Q22/5)/1.5))*(1-Q21)/$D$5*'R&amp;C-Painel de Controle'!$D$52*(1+'R&amp;C-Painel de Controle'!$D$54)))/1000000,"-"))</f>
        <v>-</v>
      </c>
      <c r="R15" s="917">
        <v>0.35</v>
      </c>
      <c r="S15" s="993"/>
      <c r="T15" s="1075">
        <f>500*U14</f>
        <v>300</v>
      </c>
      <c r="U15" s="846" t="str">
        <f>(IF(U$7="SIM",(((U22*T15*1000+(3731520/1)*((U22/5)/1.5))*U21*(1+'R&amp;C-Painel de Controle'!$D$61))+((U22*T15*1000+(3731520/1)*((U22/5)/1.5))*(1-U21)/$D$5*'R&amp;C-Painel de Controle'!$D$52*(1+'R&amp;C-Painel de Controle'!$D$54)))/1000000,"-"))</f>
        <v>-</v>
      </c>
      <c r="V15" s="917">
        <v>0.35</v>
      </c>
      <c r="W15" s="310">
        <v>2.44073406720013E-3</v>
      </c>
      <c r="X15" s="310">
        <v>4.4118468134400268E-3</v>
      </c>
      <c r="Y15" s="310">
        <v>5.5541252601274449</v>
      </c>
      <c r="Z15" s="310">
        <v>14.407895345202244</v>
      </c>
      <c r="AA15" s="310">
        <v>31.727614145202242</v>
      </c>
      <c r="AB15" s="68"/>
    </row>
    <row r="16" spans="1:61" ht="17.649999999999999" customHeight="1" x14ac:dyDescent="0.25">
      <c r="A16" s="762"/>
      <c r="B16" s="913" t="s">
        <v>641</v>
      </c>
      <c r="C16" s="869"/>
      <c r="D16" s="918">
        <f>38884*1.18/(2*313)</f>
        <v>73.295718849840242</v>
      </c>
      <c r="E16" s="846" t="str">
        <f>(IF(E$7="SIM",((F17*0.15/1.2*('R&amp;C-Painel de Controle'!$D$60))+(D16*$H$2*(1+'R&amp;C-Painel de Controle'!$D$61))+('R&amp;C-Painel de Controle'!$D$6*600*$L$16/100*(1+'R&amp;C-Painel de Controle'!$D$61)))/1000000,"-"))</f>
        <v>-</v>
      </c>
      <c r="F16" s="919">
        <v>0.05</v>
      </c>
      <c r="G16" s="869"/>
      <c r="H16" s="918">
        <f>51600*1.18/(10*313)</f>
        <v>19.453035143769966</v>
      </c>
      <c r="I16" s="846" t="str">
        <f>(IF(I$7="SIM",((J17*0.15/1.2*('R&amp;C-Painel de Controle'!$D$60))+(H16*$H$2*(1+'R&amp;C-Painel de Controle'!$D$61))+('R&amp;C-Painel de Controle'!$D$6*600*$L$16/100*(1+'R&amp;C-Painel de Controle'!$D$61)))/1000000,"-"))</f>
        <v>-</v>
      </c>
      <c r="J16" s="919">
        <v>0.05</v>
      </c>
      <c r="K16" s="869"/>
      <c r="L16" s="918">
        <v>1</v>
      </c>
      <c r="M16" s="846" t="str">
        <f>(IF(M$7="SIM",(((L17-N17)*'R&amp;C-Painel de Controle'!$D$57*0.1)+(N17*('R&amp;C-Painel de Controle'!$D$60*0.25))+(250*(1+'R&amp;C-Painel de Controle'!$D$61)*((500/2)*M22))+('R&amp;C-Painel de Controle'!$D$6*600*L16/100*(1+'R&amp;C-Painel de Controle'!$D$61)))/1000000,"-"))</f>
        <v>-</v>
      </c>
      <c r="N16" s="919">
        <v>0.05</v>
      </c>
      <c r="O16" s="869"/>
      <c r="P16" s="918">
        <v>0.5</v>
      </c>
      <c r="Q16" s="846" t="str">
        <f>(IF(Q$7="SIM",(((P17-R17)*'R&amp;C-Painel de Controle'!$D$57*0.1)+(R17*('R&amp;C-Painel de Controle'!$D$60*0.25))+(250*(1+'R&amp;C-Painel de Controle'!$D$61)*((500/1)*Q22))+('R&amp;C-Painel de Controle'!$D$6*600*P16/100*(1+'R&amp;C-Painel de Controle'!$D$61)))/1000000,"-"))</f>
        <v>-</v>
      </c>
      <c r="R16" s="919">
        <v>0.05</v>
      </c>
      <c r="S16" s="993"/>
      <c r="T16" s="918">
        <v>0.25</v>
      </c>
      <c r="U16" s="846" t="str">
        <f>(IF(U$7="SIM",(((T17-V17)*'R&amp;C-Painel de Controle'!$D$57*0.1)+(V17*('R&amp;C-Painel de Controle'!$D$60*0.25))+(250*(1+'R&amp;C-Painel de Controle'!$D$61)*((500/1)*U22))+('R&amp;C-Painel de Controle'!$D$6*600*T16/100*(1+'R&amp;C-Painel de Controle'!$D$61)))/1000000,"-"))</f>
        <v>-</v>
      </c>
      <c r="V16" s="919">
        <v>0.05</v>
      </c>
      <c r="W16" s="310">
        <v>8.3694133140804483E-2</v>
      </c>
      <c r="X16" s="310">
        <v>0.52357054028400296</v>
      </c>
      <c r="Y16" s="310">
        <v>1.3303792707750766</v>
      </c>
      <c r="Z16" s="310">
        <v>3.264279456372202</v>
      </c>
      <c r="AA16" s="310">
        <v>6.9471436981495014</v>
      </c>
      <c r="AB16" s="68"/>
    </row>
    <row r="17" spans="1:28" ht="17.649999999999999" customHeight="1" x14ac:dyDescent="0.25">
      <c r="A17" s="764"/>
      <c r="B17" s="913" t="s">
        <v>753</v>
      </c>
      <c r="C17" s="869"/>
      <c r="D17" s="920" t="str">
        <f>(IF(E$7="SIM",2*(20*(20+(SQRT(F17))+20))+2*(20*(F17/(SQRT(F17))))+F17,"-"))</f>
        <v>-</v>
      </c>
      <c r="E17" s="846" t="str">
        <f>(IF(E$7="SIM",('R&amp;C-Painel de Controle'!$D$55+0.25)*D17/1000000,"-"))</f>
        <v>-</v>
      </c>
      <c r="F17" s="921" t="str">
        <f>IF(E7="SIM",(500/4*E22)*(1+0.075+0.075),"-")</f>
        <v>-</v>
      </c>
      <c r="G17" s="869"/>
      <c r="H17" s="920" t="str">
        <f>(IF(I$7="SIM",2*(20*(20+(SQRT(J17))+20))+2*(20*(J17/(SQRT(J17))))+J17,"-"))</f>
        <v>-</v>
      </c>
      <c r="I17" s="846" t="str">
        <f>(IF(I$7="SIM",('R&amp;C-Painel de Controle'!$D$55+0.25)*H17/1000000,"-"))</f>
        <v>-</v>
      </c>
      <c r="J17" s="921" t="str">
        <f>IF(I7="SIM",(2500/10*I22)*(1+0.075+0.075),"-")</f>
        <v>-</v>
      </c>
      <c r="K17" s="869"/>
      <c r="L17" s="920" t="str">
        <f>(IF(M$7="SIM",2*(20*(20+(SQRT(N17))+20))+2*(20*(N17/(SQRT(N17))))+N17,"-"))</f>
        <v>-</v>
      </c>
      <c r="M17" s="846" t="str">
        <f>(IF(M$7="SIM",('R&amp;C-Painel de Controle'!$D$55+0.25)*L17/1000000,"-"))</f>
        <v>-</v>
      </c>
      <c r="N17" s="921" t="str">
        <f>IF(M7="SIM",(500/2*M22)*(1+1/2+1/2),"-")</f>
        <v>-</v>
      </c>
      <c r="O17" s="869"/>
      <c r="P17" s="920" t="str">
        <f>(IF(Q$7="SIM",2*(20*(20+(SQRT(R17))+20))+2*(20*(R17/(SQRT(R17))))+R17,"-"))</f>
        <v>-</v>
      </c>
      <c r="Q17" s="846" t="str">
        <f>(IF(Q$7="SIM",('R&amp;C-Painel de Controle'!$D$55+0.25)*P17/1000000,"-"))</f>
        <v>-</v>
      </c>
      <c r="R17" s="921" t="str">
        <f>IF(Q7="SIM",(500*Q22)*(1+1/2+1/2),"-")</f>
        <v>-</v>
      </c>
      <c r="S17" s="869"/>
      <c r="T17" s="920" t="str">
        <f>(IF(U$7="SIM",2*(20*(20+(SQRT(V17))+20))+2*(20*(V17/(SQRT(V17))))+V17,"-"))</f>
        <v>-</v>
      </c>
      <c r="U17" s="846" t="str">
        <f>(IF(U$7="SIM",('R&amp;C-Painel de Controle'!$D$55+0.25)*T17/1000000,"-"))</f>
        <v>-</v>
      </c>
      <c r="V17" s="921" t="str">
        <f>IF(U7="SIM",(500*U22)*(1+1/2+1/2),"-")</f>
        <v>-</v>
      </c>
      <c r="W17" s="310">
        <v>0.35563151831327922</v>
      </c>
      <c r="X17" s="310">
        <v>1.061749817661567</v>
      </c>
      <c r="Y17" s="310">
        <v>0.90132012952401708</v>
      </c>
      <c r="Z17" s="310">
        <v>1.8403385816580575</v>
      </c>
      <c r="AA17" s="310">
        <v>3.3106900948189795</v>
      </c>
      <c r="AB17" s="68"/>
    </row>
    <row r="18" spans="1:28" ht="17.649999999999999" customHeight="1" x14ac:dyDescent="0.25">
      <c r="A18" s="762"/>
      <c r="B18" s="913" t="s">
        <v>438</v>
      </c>
      <c r="C18" s="869"/>
      <c r="D18" s="1076" t="str">
        <f>IF(E7="SIM",(E15+E16)*F18*1000/$H$2,"-")</f>
        <v>-</v>
      </c>
      <c r="E18" s="846" t="str">
        <f>(IF(E$7="SIM",$H$2*D18/1000,""))</f>
        <v/>
      </c>
      <c r="F18" s="917">
        <v>0.5</v>
      </c>
      <c r="G18" s="869"/>
      <c r="H18" s="1076" t="str">
        <f>IF(I7="SIM",(I15+I16)*J18*1000/$H$2,"-")</f>
        <v>-</v>
      </c>
      <c r="I18" s="846" t="str">
        <f>(IF(I$7="SIM",$H$2*H18/1000,""))</f>
        <v/>
      </c>
      <c r="J18" s="917">
        <v>0.35</v>
      </c>
      <c r="K18" s="869"/>
      <c r="L18" s="1076" t="str">
        <f>IF(M7="SIM",(M15+M16)*N18*1000/$H$2,"-")</f>
        <v>-</v>
      </c>
      <c r="M18" s="846" t="str">
        <f>(IF(M$7="SIM",$H$2*L18/1000,""))</f>
        <v/>
      </c>
      <c r="N18" s="917">
        <v>7.4999999999999997E-2</v>
      </c>
      <c r="O18" s="869"/>
      <c r="P18" s="1076" t="str">
        <f>IF(Q7="SIM",(Q15+Q16)*R18*1000/$H$2,"-")</f>
        <v>-</v>
      </c>
      <c r="Q18" s="846" t="str">
        <f>(IF(Q$7="SIM",$H$2*P18/1000,""))</f>
        <v/>
      </c>
      <c r="R18" s="917">
        <v>0.05</v>
      </c>
      <c r="S18" s="869"/>
      <c r="T18" s="1076" t="str">
        <f>IF(U7="SIM",(U15+U16)*V18*1000/$H$2,"-")</f>
        <v>-</v>
      </c>
      <c r="U18" s="846" t="str">
        <f>(IF(U$7="SIM",$H$2*T18/1000,""))</f>
        <v/>
      </c>
      <c r="V18" s="917">
        <v>0.05</v>
      </c>
      <c r="W18" s="310">
        <v>4.3067433604002309E-2</v>
      </c>
      <c r="X18" s="310">
        <v>0.184793835484105</v>
      </c>
      <c r="Y18" s="310">
        <v>0.5163378398176891</v>
      </c>
      <c r="Z18" s="310">
        <v>0.61852611805510582</v>
      </c>
      <c r="AA18" s="310">
        <v>0.96686894608379359</v>
      </c>
      <c r="AB18" s="68"/>
    </row>
    <row r="19" spans="1:28" s="882" customFormat="1" ht="19.899999999999999" customHeight="1" collapsed="1" thickBot="1" x14ac:dyDescent="0.35">
      <c r="A19" s="1107"/>
      <c r="B19" s="914" t="s">
        <v>377</v>
      </c>
      <c r="C19" s="904"/>
      <c r="D19" s="1052">
        <v>2.5000000000000001E-2</v>
      </c>
      <c r="E19" s="922" t="str">
        <f>IF(E7="SIM",SUM(E15:E18)*(1+D19),"-")</f>
        <v>-</v>
      </c>
      <c r="F19" s="1103" t="s">
        <v>289</v>
      </c>
      <c r="G19" s="904"/>
      <c r="H19" s="1052">
        <v>2.5000000000000001E-2</v>
      </c>
      <c r="I19" s="922" t="str">
        <f>IF(I7="SIM",SUM(I15:I18)*(1+H19),"-")</f>
        <v>-</v>
      </c>
      <c r="J19" s="1103" t="s">
        <v>289</v>
      </c>
      <c r="K19" s="904"/>
      <c r="L19" s="1052">
        <v>0.05</v>
      </c>
      <c r="M19" s="922" t="str">
        <f>IF(M7="SIM",SUM(M15:M18)*(1+L19),"-")</f>
        <v>-</v>
      </c>
      <c r="N19" s="1103" t="s">
        <v>289</v>
      </c>
      <c r="O19" s="904"/>
      <c r="P19" s="1050">
        <v>0.05</v>
      </c>
      <c r="Q19" s="922" t="str">
        <f>IF(Q7="SIM",SUM(Q15:Q18)*(1+P19),"-")</f>
        <v>-</v>
      </c>
      <c r="R19" s="1103" t="s">
        <v>289</v>
      </c>
      <c r="S19" s="904"/>
      <c r="T19" s="1050">
        <v>0.05</v>
      </c>
      <c r="U19" s="922" t="str">
        <f>IF(U7="SIM",SUM(U15:U18)*(1+T19),"-")</f>
        <v>-</v>
      </c>
      <c r="V19" s="1103" t="s">
        <v>289</v>
      </c>
      <c r="W19" s="880">
        <v>0.49695466460341825</v>
      </c>
      <c r="X19" s="880">
        <v>1.8188891912491927</v>
      </c>
      <c r="Y19" s="880">
        <v>8.7172706252564396</v>
      </c>
      <c r="Z19" s="880">
        <v>21.137591476351989</v>
      </c>
      <c r="AA19" s="880">
        <v>45.099932728467245</v>
      </c>
    </row>
    <row r="20" spans="1:28" ht="18" hidden="1" customHeight="1" outlineLevel="1" thickTop="1" x14ac:dyDescent="0.25">
      <c r="A20" s="762"/>
      <c r="B20" s="1006" t="s">
        <v>378</v>
      </c>
      <c r="C20" s="751"/>
      <c r="D20" s="1007" t="s">
        <v>289</v>
      </c>
      <c r="E20" s="1008" t="str">
        <f>IF(E7="SIM",E19*1000000/$H$2,"-")</f>
        <v>-</v>
      </c>
      <c r="F20" s="1007" t="s">
        <v>289</v>
      </c>
      <c r="G20" s="751"/>
      <c r="H20" s="1007" t="s">
        <v>289</v>
      </c>
      <c r="I20" s="1008" t="str">
        <f>IF(I7="SIM",I19*1000000/$H$2,"-")</f>
        <v>-</v>
      </c>
      <c r="J20" s="1007" t="s">
        <v>289</v>
      </c>
      <c r="K20" s="751"/>
      <c r="L20" s="1007" t="s">
        <v>289</v>
      </c>
      <c r="M20" s="1008" t="str">
        <f>IF(M7="SIM",M19*1000000/$H$2,"-")</f>
        <v>-</v>
      </c>
      <c r="N20" s="1007" t="s">
        <v>289</v>
      </c>
      <c r="O20" s="751"/>
      <c r="P20" s="1007" t="s">
        <v>289</v>
      </c>
      <c r="Q20" s="1008" t="str">
        <f>IF(Q7="SIM",Q19*1000000/$H$2,"-")</f>
        <v>-</v>
      </c>
      <c r="R20" s="1007" t="s">
        <v>289</v>
      </c>
      <c r="S20" s="751"/>
      <c r="T20" s="1007" t="s">
        <v>289</v>
      </c>
      <c r="U20" s="1008" t="str">
        <f>IF(U7="SIM",U19*1000000/$H$2,"-")</f>
        <v>-</v>
      </c>
      <c r="V20" s="1007" t="s">
        <v>289</v>
      </c>
      <c r="W20" s="311">
        <v>880.13596409587001</v>
      </c>
      <c r="X20" s="311">
        <v>356.42591425470079</v>
      </c>
      <c r="Y20" s="311">
        <v>310.12786442016761</v>
      </c>
      <c r="Z20" s="311">
        <v>270.60149971688458</v>
      </c>
      <c r="AA20" s="311">
        <v>262.18855086864005</v>
      </c>
      <c r="AB20" s="68"/>
    </row>
    <row r="21" spans="1:28" ht="18" hidden="1" customHeight="1" outlineLevel="1" x14ac:dyDescent="0.25">
      <c r="A21" s="762"/>
      <c r="B21" s="217" t="s">
        <v>639</v>
      </c>
      <c r="C21" s="751"/>
      <c r="D21" s="333"/>
      <c r="E21" s="336">
        <f>'R&amp;C-Painel de Controle'!$G$68</f>
        <v>0.25</v>
      </c>
      <c r="F21" s="334"/>
      <c r="G21" s="752"/>
      <c r="H21" s="334"/>
      <c r="I21" s="336">
        <f>'R&amp;C-Painel de Controle'!$G$68</f>
        <v>0.25</v>
      </c>
      <c r="J21" s="334"/>
      <c r="K21" s="752"/>
      <c r="L21" s="334"/>
      <c r="M21" s="336">
        <f>'R&amp;C-Painel de Controle'!$G$68</f>
        <v>0.25</v>
      </c>
      <c r="N21" s="334"/>
      <c r="O21" s="752"/>
      <c r="P21" s="334"/>
      <c r="Q21" s="336">
        <f>'R&amp;C-Painel de Controle'!$G$68</f>
        <v>0.25</v>
      </c>
      <c r="R21" s="334"/>
      <c r="S21" s="752"/>
      <c r="T21" s="334"/>
      <c r="U21" s="336">
        <f>'R&amp;C-Painel de Controle'!$G$68</f>
        <v>0.25</v>
      </c>
      <c r="V21" s="331"/>
      <c r="W21" s="152"/>
      <c r="X21" s="314">
        <f>(X20-W20)/X20</f>
        <v>-1.4693377470498055</v>
      </c>
      <c r="Y21" s="314">
        <f>(Y20-X20)/Y20</f>
        <v>-0.14928697207229216</v>
      </c>
      <c r="Z21" s="314">
        <f>(Z20-Y20)/Z20</f>
        <v>-0.14606853526176791</v>
      </c>
      <c r="AA21" s="314">
        <f>(AA20-Z20)/AA20</f>
        <v>-3.2087399775360612E-2</v>
      </c>
      <c r="AB21" s="68"/>
    </row>
    <row r="22" spans="1:28" ht="18" hidden="1" customHeight="1" outlineLevel="1" x14ac:dyDescent="0.25">
      <c r="A22" s="762"/>
      <c r="B22" s="755" t="s">
        <v>649</v>
      </c>
      <c r="C22" s="751"/>
      <c r="D22" s="333"/>
      <c r="E22" s="331" t="str">
        <f>IF(E7="SIM",($D$2/(2))*4,"-")</f>
        <v>-</v>
      </c>
      <c r="F22" s="331"/>
      <c r="G22" s="751"/>
      <c r="H22" s="331"/>
      <c r="I22" s="337" t="str">
        <f>IF(I7="SIM",($D$2/10)*10,"-")</f>
        <v>-</v>
      </c>
      <c r="J22" s="331"/>
      <c r="K22" s="751"/>
      <c r="L22" s="331"/>
      <c r="M22" s="331" t="str">
        <f>IF(M7="SIM",($D$2/(125/2))*5,"-")</f>
        <v>-</v>
      </c>
      <c r="N22" s="331"/>
      <c r="O22" s="751"/>
      <c r="P22" s="331"/>
      <c r="Q22" s="331" t="str">
        <f>IF(Q7="SIM",($D$2/125)*5,"-")</f>
        <v>-</v>
      </c>
      <c r="R22" s="331"/>
      <c r="S22" s="751"/>
      <c r="T22" s="331"/>
      <c r="U22" s="331" t="str">
        <f>IF(U7="SIM",($D$2/125)*5,"-")</f>
        <v>-</v>
      </c>
      <c r="V22" s="331"/>
      <c r="W22" s="152"/>
      <c r="X22" s="152"/>
      <c r="Y22" s="152"/>
      <c r="Z22" s="152"/>
      <c r="AA22" s="152"/>
      <c r="AB22" s="68"/>
    </row>
    <row r="23" spans="1:28" ht="18" hidden="1" customHeight="1" outlineLevel="1" x14ac:dyDescent="0.25">
      <c r="A23" s="762"/>
      <c r="B23" s="754" t="s">
        <v>435</v>
      </c>
      <c r="C23" s="751"/>
      <c r="D23" s="338"/>
      <c r="E23" s="337" t="str">
        <f>IF(E7="SIM",(E15*F15+E16*F16)/4,"-")</f>
        <v>-</v>
      </c>
      <c r="F23" s="331"/>
      <c r="G23" s="751"/>
      <c r="H23" s="331"/>
      <c r="I23" s="337" t="str">
        <f>IF(I7="SIM",(I15*J15+I16*J16)/4,"-")</f>
        <v>-</v>
      </c>
      <c r="J23" s="331"/>
      <c r="K23" s="751"/>
      <c r="L23" s="331"/>
      <c r="M23" s="337" t="str">
        <f>IF(M7="SIM",(M15*N15+M16*N16)/4,"-")</f>
        <v>-</v>
      </c>
      <c r="N23" s="331"/>
      <c r="O23" s="751"/>
      <c r="P23" s="331"/>
      <c r="Q23" s="337" t="str">
        <f>IF(Q7="SIM",(Q15*R15+Q16*R16)/4,"-")</f>
        <v>-</v>
      </c>
      <c r="R23" s="331"/>
      <c r="S23" s="751"/>
      <c r="T23" s="331"/>
      <c r="U23" s="337" t="str">
        <f>IF(U7="SIM",(U15*V15+U16*V16)/4,"-")</f>
        <v>-</v>
      </c>
      <c r="V23" s="331"/>
      <c r="W23" s="152"/>
      <c r="X23" s="152"/>
      <c r="Y23" s="152"/>
      <c r="Z23" s="152"/>
      <c r="AA23" s="152"/>
      <c r="AB23" s="68"/>
    </row>
    <row r="24" spans="1:28" ht="15" customHeight="1" thickTop="1" thickBot="1" x14ac:dyDescent="0.3">
      <c r="A24" s="762"/>
      <c r="B24" s="934"/>
      <c r="C24" s="751"/>
      <c r="D24" s="935"/>
      <c r="E24" s="935"/>
      <c r="F24" s="935"/>
      <c r="G24" s="751"/>
      <c r="H24" s="935"/>
      <c r="I24" s="935"/>
      <c r="J24" s="935"/>
      <c r="K24" s="751"/>
      <c r="L24" s="935"/>
      <c r="M24" s="935"/>
      <c r="N24" s="935"/>
      <c r="O24" s="751"/>
      <c r="P24" s="935"/>
      <c r="Q24" s="935"/>
      <c r="R24" s="935"/>
      <c r="S24" s="751"/>
      <c r="T24" s="935"/>
      <c r="U24" s="935"/>
      <c r="V24" s="935"/>
      <c r="W24" s="152"/>
      <c r="X24" s="152"/>
      <c r="Y24" s="152"/>
      <c r="Z24" s="152"/>
      <c r="AA24" s="152"/>
      <c r="AB24" s="68"/>
    </row>
    <row r="25" spans="1:28" s="882" customFormat="1" ht="19.899999999999999" customHeight="1" thickTop="1" thickBot="1" x14ac:dyDescent="0.35">
      <c r="A25" s="1109"/>
      <c r="B25" s="1085" t="s">
        <v>439</v>
      </c>
      <c r="C25" s="901"/>
      <c r="D25" s="982" t="s">
        <v>754</v>
      </c>
      <c r="E25" s="983" t="s">
        <v>763</v>
      </c>
      <c r="F25" s="984" t="s">
        <v>289</v>
      </c>
      <c r="G25" s="403"/>
      <c r="H25" s="985" t="s">
        <v>754</v>
      </c>
      <c r="I25" s="986" t="s">
        <v>763</v>
      </c>
      <c r="J25" s="987" t="s">
        <v>289</v>
      </c>
      <c r="K25" s="403"/>
      <c r="L25" s="985" t="s">
        <v>754</v>
      </c>
      <c r="M25" s="986" t="s">
        <v>763</v>
      </c>
      <c r="N25" s="987" t="s">
        <v>289</v>
      </c>
      <c r="O25" s="403"/>
      <c r="P25" s="985" t="s">
        <v>754</v>
      </c>
      <c r="Q25" s="986" t="s">
        <v>763</v>
      </c>
      <c r="R25" s="987" t="s">
        <v>289</v>
      </c>
      <c r="S25" s="403"/>
      <c r="T25" s="985" t="s">
        <v>754</v>
      </c>
      <c r="U25" s="986" t="s">
        <v>763</v>
      </c>
      <c r="V25" s="987" t="s">
        <v>289</v>
      </c>
      <c r="W25" s="885"/>
      <c r="X25" s="885"/>
      <c r="Y25" s="885"/>
      <c r="Z25" s="885"/>
      <c r="AA25" s="885"/>
    </row>
    <row r="26" spans="1:28" ht="7.5" customHeight="1" x14ac:dyDescent="0.25">
      <c r="A26" s="762"/>
      <c r="B26" s="1084"/>
      <c r="C26" s="903"/>
      <c r="D26" s="1015"/>
      <c r="E26" s="339"/>
      <c r="F26" s="1016"/>
      <c r="G26" s="996"/>
      <c r="H26" s="1031"/>
      <c r="I26" s="339"/>
      <c r="J26" s="1023"/>
      <c r="K26" s="996"/>
      <c r="L26" s="1036"/>
      <c r="M26" s="339"/>
      <c r="N26" s="1023"/>
      <c r="O26" s="996"/>
      <c r="P26" s="1036"/>
      <c r="Q26" s="339"/>
      <c r="R26" s="1023"/>
      <c r="S26" s="996"/>
      <c r="T26" s="1036"/>
      <c r="U26" s="339"/>
      <c r="V26" s="1038"/>
      <c r="W26" s="152"/>
      <c r="X26" s="152"/>
      <c r="Y26" s="152"/>
      <c r="Z26" s="152"/>
      <c r="AA26" s="152"/>
      <c r="AB26" s="68"/>
    </row>
    <row r="27" spans="1:28" ht="17.649999999999999" customHeight="1" collapsed="1" x14ac:dyDescent="0.25">
      <c r="A27" s="765"/>
      <c r="B27" s="913" t="s">
        <v>381</v>
      </c>
      <c r="C27" s="869"/>
      <c r="D27" s="1017"/>
      <c r="E27" s="890" t="str">
        <f>(IF(E$7="SIM",(E31)*2.4*12/$H$2,"-"))</f>
        <v>-</v>
      </c>
      <c r="F27" s="917"/>
      <c r="G27" s="993"/>
      <c r="H27" s="1032"/>
      <c r="I27" s="890" t="str">
        <f>(IF(I$7="SIM",(I31)*2.4*12/$H$2,"-"))</f>
        <v>-</v>
      </c>
      <c r="J27" s="1033"/>
      <c r="K27" s="993"/>
      <c r="L27" s="1032"/>
      <c r="M27" s="890" t="str">
        <f>(IF(M$7="SIM",(M31)*2.4*12/$H$2,"-"))</f>
        <v>-</v>
      </c>
      <c r="N27" s="1033"/>
      <c r="O27" s="993"/>
      <c r="P27" s="1032"/>
      <c r="Q27" s="890" t="str">
        <f>(IF(Q$7="SIM",(Q31)*2.4*12/$H$2,"-"))</f>
        <v>-</v>
      </c>
      <c r="R27" s="1033"/>
      <c r="S27" s="993"/>
      <c r="T27" s="1032"/>
      <c r="U27" s="891" t="str">
        <f>(IF(U$7="SIM",(U31)*2.4*12/$H$2,"-"))</f>
        <v>-</v>
      </c>
      <c r="V27" s="1039"/>
      <c r="W27" s="153"/>
      <c r="X27" s="153"/>
      <c r="Y27" s="153"/>
      <c r="Z27" s="153"/>
      <c r="AA27" s="153"/>
      <c r="AB27" s="68"/>
    </row>
    <row r="28" spans="1:28" ht="18" hidden="1" customHeight="1" outlineLevel="1" x14ac:dyDescent="0.25">
      <c r="A28" s="762"/>
      <c r="B28" s="1010"/>
      <c r="C28" s="925"/>
      <c r="D28" s="1015"/>
      <c r="E28" s="332"/>
      <c r="F28" s="1016"/>
      <c r="G28" s="997"/>
      <c r="H28" s="1031"/>
      <c r="I28" s="332"/>
      <c r="J28" s="1034"/>
      <c r="K28" s="997"/>
      <c r="L28" s="1031"/>
      <c r="M28" s="332"/>
      <c r="N28" s="1034"/>
      <c r="O28" s="997"/>
      <c r="P28" s="1031"/>
      <c r="Q28" s="332"/>
      <c r="R28" s="1034"/>
      <c r="S28" s="997"/>
      <c r="T28" s="1031"/>
      <c r="U28" s="341"/>
      <c r="V28" s="924"/>
      <c r="W28" s="152"/>
      <c r="X28" s="152"/>
      <c r="Y28" s="152"/>
      <c r="Z28" s="152"/>
      <c r="AA28" s="152"/>
      <c r="AB28" s="68"/>
    </row>
    <row r="29" spans="1:28" ht="18" hidden="1" customHeight="1" outlineLevel="1" x14ac:dyDescent="0.25">
      <c r="A29" s="762"/>
      <c r="B29" s="1011" t="s">
        <v>630</v>
      </c>
      <c r="C29" s="903"/>
      <c r="D29" s="1015"/>
      <c r="E29" s="338">
        <v>1</v>
      </c>
      <c r="F29" s="1016"/>
      <c r="G29" s="998"/>
      <c r="H29" s="1031"/>
      <c r="I29" s="338">
        <v>1</v>
      </c>
      <c r="J29" s="1035"/>
      <c r="K29" s="998"/>
      <c r="L29" s="1037"/>
      <c r="M29" s="338">
        <v>2</v>
      </c>
      <c r="N29" s="1035"/>
      <c r="O29" s="998"/>
      <c r="P29" s="1037"/>
      <c r="Q29" s="338">
        <v>2</v>
      </c>
      <c r="R29" s="1035"/>
      <c r="S29" s="998"/>
      <c r="T29" s="1037"/>
      <c r="U29" s="338">
        <v>2</v>
      </c>
      <c r="V29" s="924"/>
      <c r="W29" s="152"/>
      <c r="X29" s="152"/>
      <c r="Y29" s="152"/>
      <c r="Z29" s="152"/>
      <c r="AA29" s="152"/>
      <c r="AB29" s="68"/>
    </row>
    <row r="30" spans="1:28" ht="18" hidden="1" customHeight="1" outlineLevel="1" x14ac:dyDescent="0.25">
      <c r="A30" s="762"/>
      <c r="B30" s="1011" t="s">
        <v>642</v>
      </c>
      <c r="C30" s="903"/>
      <c r="D30" s="1015"/>
      <c r="E30" s="338" t="str">
        <f>IF(E7="SIM",($D$2/2)*4,"-")</f>
        <v>-</v>
      </c>
      <c r="F30" s="1016"/>
      <c r="G30" s="998"/>
      <c r="H30" s="1031"/>
      <c r="I30" s="338" t="str">
        <f>IF(I7="SIM",($D$2/10)*5,"-")</f>
        <v>-</v>
      </c>
      <c r="J30" s="1035"/>
      <c r="K30" s="998"/>
      <c r="L30" s="1037"/>
      <c r="M30" s="338" t="str">
        <f>IF(M7="SIM",(M22/5)*3,"-")</f>
        <v>-</v>
      </c>
      <c r="N30" s="1035"/>
      <c r="O30" s="998"/>
      <c r="P30" s="1037"/>
      <c r="Q30" s="338" t="str">
        <f>IF(Q7="SIM",(Q22/5)*3,"-")</f>
        <v>-</v>
      </c>
      <c r="R30" s="1035"/>
      <c r="S30" s="998"/>
      <c r="T30" s="1037"/>
      <c r="U30" s="338" t="str">
        <f>IF(U7="SIM",(U22/5)*3,"-")</f>
        <v>-</v>
      </c>
      <c r="V30" s="924"/>
      <c r="W30" s="152"/>
      <c r="X30" s="152"/>
      <c r="Y30" s="152"/>
      <c r="Z30" s="152"/>
      <c r="AA30" s="152"/>
      <c r="AB30" s="68"/>
    </row>
    <row r="31" spans="1:28" ht="18" hidden="1" customHeight="1" outlineLevel="1" x14ac:dyDescent="0.25">
      <c r="A31" s="762"/>
      <c r="B31" s="1011" t="s">
        <v>632</v>
      </c>
      <c r="C31" s="903"/>
      <c r="D31" s="1015"/>
      <c r="E31" s="335" t="str">
        <f>IF(E7="SIM",0.6*'R&amp;C-Painel de Controle'!$D$63*0.25+0.6*E29*E30/10*'R&amp;C-Painel de Controle'!$D$64*0.25+E30*E29*'R&amp;C-Painel de Controle'!$D$65,"-")</f>
        <v>-</v>
      </c>
      <c r="F31" s="1016"/>
      <c r="G31" s="996"/>
      <c r="H31" s="1031"/>
      <c r="I31" s="335" t="str">
        <f>IF(I7="SIM",0.6*'R&amp;C-Painel de Controle'!$D$63*0.25+0.6*I29*I30/10*'R&amp;C-Painel de Controle'!$D$64*0.25+I30*I29*'R&amp;C-Painel de Controle'!$D$65,"-")</f>
        <v>-</v>
      </c>
      <c r="J31" s="1023"/>
      <c r="K31" s="996"/>
      <c r="L31" s="1036"/>
      <c r="M31" s="335" t="str">
        <f>IF(M7="SIM",0.6*'R&amp;C-Painel de Controle'!$D$63*0.25+0.6*M29*M30/10*'R&amp;C-Painel de Controle'!$D$64*0.25+M30*M29*'R&amp;C-Painel de Controle'!$D$65,"-")</f>
        <v>-</v>
      </c>
      <c r="N31" s="1023"/>
      <c r="O31" s="996"/>
      <c r="P31" s="1036"/>
      <c r="Q31" s="335" t="str">
        <f>IF(Q7="SIM",0.6*'R&amp;C-Painel de Controle'!$D$63*0.25+0.6*Q29*Q30/10*'R&amp;C-Painel de Controle'!$D$64*0.25+Q30*Q29*'R&amp;C-Painel de Controle'!$D$65,"-")</f>
        <v>-</v>
      </c>
      <c r="R31" s="1023"/>
      <c r="S31" s="996"/>
      <c r="T31" s="1036"/>
      <c r="U31" s="335" t="str">
        <f>IF(U7="SIM",0.6*'R&amp;C-Painel de Controle'!$D$63*0.25+0.6*U29*U30/10*'R&amp;C-Painel de Controle'!$D$64*0.25+U30*U29*'R&amp;C-Painel de Controle'!$D$65,"-")</f>
        <v>-</v>
      </c>
      <c r="V31" s="924"/>
      <c r="W31" s="152"/>
      <c r="X31" s="152"/>
      <c r="Y31" s="152"/>
      <c r="Z31" s="152"/>
      <c r="AA31" s="152"/>
      <c r="AB31" s="68"/>
    </row>
    <row r="32" spans="1:28" ht="17.649999999999999" customHeight="1" collapsed="1" x14ac:dyDescent="0.25">
      <c r="A32" s="765"/>
      <c r="B32" s="913" t="s">
        <v>382</v>
      </c>
      <c r="C32" s="869"/>
      <c r="D32" s="1017"/>
      <c r="E32" s="890" t="str">
        <f>(IF(E$7="SIM",(E33*$H$2/1000*'R&amp;C-Painel de Controle'!$D$68+E34/1000*'R&amp;C-Painel de Controle'!$D$69*12)/$H$2,"-"))</f>
        <v>-</v>
      </c>
      <c r="F32" s="917"/>
      <c r="G32" s="993"/>
      <c r="H32" s="1077"/>
      <c r="I32" s="890" t="str">
        <f>(IF(I$7="SIM",(I33*$H$2/1000*'R&amp;C-Painel de Controle'!$D$68+I34/1000*'R&amp;C-Painel de Controle'!$D$69*12)/$H$2,"-"))</f>
        <v>-</v>
      </c>
      <c r="J32" s="1033"/>
      <c r="K32" s="993"/>
      <c r="L32" s="1077"/>
      <c r="M32" s="890" t="str">
        <f>(IF(M$7="SIM",(M33*$H$2/1000*'R&amp;C-Painel de Controle'!$D$68+M34/1000*'R&amp;C-Painel de Controle'!$D$69*12)/$H$2,"-"))</f>
        <v>-</v>
      </c>
      <c r="N32" s="1033"/>
      <c r="O32" s="993"/>
      <c r="P32" s="1077"/>
      <c r="Q32" s="890" t="str">
        <f>(IF(Q$7="SIM",(Q33*$H$2/1000*'R&amp;C-Painel de Controle'!$D$68+Q34/1000*'R&amp;C-Painel de Controle'!$D$69*12)/$H$2,"-"))</f>
        <v>-</v>
      </c>
      <c r="R32" s="1033"/>
      <c r="S32" s="993"/>
      <c r="T32" s="1077"/>
      <c r="U32" s="891" t="str">
        <f>(IF(U$7="SIM",(U33*$H$2/1000*'R&amp;C-Painel de Controle'!$D$68+U34/1000*'R&amp;C-Painel de Controle'!$D$69*12)/$H$2,"-"))</f>
        <v>-</v>
      </c>
      <c r="V32" s="1039"/>
      <c r="W32" s="153"/>
      <c r="X32" s="153"/>
      <c r="Y32" s="153"/>
      <c r="Z32" s="153"/>
      <c r="AA32" s="153"/>
      <c r="AB32" s="68"/>
    </row>
    <row r="33" spans="1:28" ht="18" hidden="1" customHeight="1" outlineLevel="1" x14ac:dyDescent="0.25">
      <c r="A33" s="765"/>
      <c r="B33" s="1011" t="s">
        <v>633</v>
      </c>
      <c r="C33" s="903"/>
      <c r="D33" s="1018"/>
      <c r="E33" s="342">
        <v>5</v>
      </c>
      <c r="F33" s="1019"/>
      <c r="G33" s="996"/>
      <c r="H33" s="1078"/>
      <c r="I33" s="342">
        <v>5</v>
      </c>
      <c r="J33" s="1019"/>
      <c r="K33" s="996"/>
      <c r="L33" s="1078"/>
      <c r="M33" s="334">
        <v>5</v>
      </c>
      <c r="N33" s="1019"/>
      <c r="O33" s="996"/>
      <c r="P33" s="1078"/>
      <c r="Q33" s="334">
        <v>5</v>
      </c>
      <c r="R33" s="1019"/>
      <c r="S33" s="996"/>
      <c r="T33" s="1078"/>
      <c r="U33" s="334">
        <v>5</v>
      </c>
      <c r="V33" s="1019"/>
      <c r="W33" s="153"/>
      <c r="X33" s="153"/>
      <c r="Y33" s="153"/>
      <c r="Z33" s="153"/>
      <c r="AA33" s="153"/>
      <c r="AB33" s="68"/>
    </row>
    <row r="34" spans="1:28" ht="18" hidden="1" customHeight="1" outlineLevel="1" x14ac:dyDescent="0.25">
      <c r="A34" s="762"/>
      <c r="B34" s="1011" t="s">
        <v>634</v>
      </c>
      <c r="C34" s="925"/>
      <c r="D34" s="1015"/>
      <c r="E34" s="335">
        <f>E33*F11*(0.9)*0.92/16</f>
        <v>0.77625</v>
      </c>
      <c r="F34" s="1016"/>
      <c r="G34" s="999"/>
      <c r="H34" s="1082"/>
      <c r="I34" s="335">
        <f>I33*J11*(0.9)*0.92/16</f>
        <v>7.7625000000000002</v>
      </c>
      <c r="J34" s="1022"/>
      <c r="K34" s="999"/>
      <c r="L34" s="1079"/>
      <c r="M34" s="335">
        <f>M33*N11*(0.9)*0.92/16</f>
        <v>38.8125</v>
      </c>
      <c r="N34" s="1022"/>
      <c r="O34" s="999"/>
      <c r="P34" s="1079"/>
      <c r="Q34" s="335">
        <f>Q33*R11*(0.9)*0.92/16</f>
        <v>90.5625</v>
      </c>
      <c r="R34" s="1022"/>
      <c r="S34" s="999"/>
      <c r="T34" s="1079"/>
      <c r="U34" s="335">
        <f>U33*V11*(0.9)*0.92/16</f>
        <v>194.0625</v>
      </c>
      <c r="V34" s="924"/>
      <c r="W34" s="152"/>
      <c r="X34" s="152"/>
      <c r="Y34" s="152"/>
      <c r="Z34" s="152"/>
      <c r="AA34" s="152"/>
      <c r="AB34" s="68"/>
    </row>
    <row r="35" spans="1:28" ht="17.649999999999999" customHeight="1" collapsed="1" x14ac:dyDescent="0.25">
      <c r="A35" s="765"/>
      <c r="B35" s="913" t="s">
        <v>383</v>
      </c>
      <c r="C35" s="869"/>
      <c r="D35" s="1017"/>
      <c r="E35" s="890" t="str">
        <f>(IF(E$7="SIM",(E15*1000000*E36+E37*12)/$H$2,"-"))</f>
        <v>-</v>
      </c>
      <c r="F35" s="1021"/>
      <c r="G35" s="1000"/>
      <c r="H35" s="1080"/>
      <c r="I35" s="890" t="str">
        <f>(IF(I$7="SIM",(I15*1000000*I36+I37*12)/$H$2,"-"))</f>
        <v>-</v>
      </c>
      <c r="J35" s="1021"/>
      <c r="K35" s="1000"/>
      <c r="L35" s="1080"/>
      <c r="M35" s="890" t="str">
        <f>(IF(M$7="SIM",(M15*1000000*M36+M37*12)/$H$2,"-"))</f>
        <v>-</v>
      </c>
      <c r="N35" s="1021"/>
      <c r="O35" s="1000"/>
      <c r="P35" s="1080"/>
      <c r="Q35" s="890" t="str">
        <f>(IF(Q$7="SIM",(Q15*1000000*Q36+Q37*12)/$H$2,"-"))</f>
        <v>-</v>
      </c>
      <c r="R35" s="1021"/>
      <c r="S35" s="1000"/>
      <c r="T35" s="1080"/>
      <c r="U35" s="891" t="str">
        <f>(IF(U$7="SIM",(U15*1000000*U36+U37*12)/$H$2,"-"))</f>
        <v>-</v>
      </c>
      <c r="V35" s="1039"/>
      <c r="W35" s="153"/>
      <c r="X35" s="153"/>
      <c r="Y35" s="153"/>
      <c r="Z35" s="153"/>
      <c r="AA35" s="153"/>
      <c r="AB35" s="68"/>
    </row>
    <row r="36" spans="1:28" ht="18" hidden="1" customHeight="1" outlineLevel="1" x14ac:dyDescent="0.25">
      <c r="A36" s="762"/>
      <c r="B36" s="1011" t="s">
        <v>650</v>
      </c>
      <c r="C36" s="903"/>
      <c r="D36" s="915"/>
      <c r="E36" s="340">
        <v>0.01</v>
      </c>
      <c r="F36" s="1016"/>
      <c r="G36" s="1001"/>
      <c r="H36" s="1081"/>
      <c r="I36" s="340">
        <v>0.01</v>
      </c>
      <c r="J36" s="1016"/>
      <c r="K36" s="1001"/>
      <c r="L36" s="1081"/>
      <c r="M36" s="340">
        <v>2.5000000000000001E-2</v>
      </c>
      <c r="N36" s="1016"/>
      <c r="O36" s="1001"/>
      <c r="P36" s="1081"/>
      <c r="Q36" s="340">
        <v>2.5000000000000001E-2</v>
      </c>
      <c r="R36" s="1016"/>
      <c r="S36" s="1001"/>
      <c r="T36" s="1081"/>
      <c r="U36" s="340">
        <v>2.5000000000000001E-2</v>
      </c>
      <c r="V36" s="924"/>
      <c r="W36" s="152"/>
      <c r="X36" s="152"/>
      <c r="Y36" s="152"/>
      <c r="Z36" s="152"/>
      <c r="AA36" s="152"/>
      <c r="AB36" s="68"/>
    </row>
    <row r="37" spans="1:28" ht="18" hidden="1" customHeight="1" outlineLevel="1" x14ac:dyDescent="0.25">
      <c r="A37" s="762"/>
      <c r="B37" s="1011" t="s">
        <v>441</v>
      </c>
      <c r="C37" s="903"/>
      <c r="D37" s="915"/>
      <c r="E37" s="335">
        <v>20000</v>
      </c>
      <c r="F37" s="1022"/>
      <c r="G37" s="999"/>
      <c r="H37" s="1079"/>
      <c r="I37" s="335">
        <v>20000</v>
      </c>
      <c r="J37" s="1022"/>
      <c r="K37" s="999"/>
      <c r="L37" s="1079"/>
      <c r="M37" s="335">
        <v>10000</v>
      </c>
      <c r="N37" s="1022"/>
      <c r="O37" s="999"/>
      <c r="P37" s="1079"/>
      <c r="Q37" s="335">
        <v>20000</v>
      </c>
      <c r="R37" s="1022"/>
      <c r="S37" s="999"/>
      <c r="T37" s="1079"/>
      <c r="U37" s="335">
        <v>25000</v>
      </c>
      <c r="V37" s="924"/>
      <c r="W37" s="152"/>
      <c r="X37" s="152"/>
      <c r="Y37" s="152"/>
      <c r="Z37" s="152"/>
      <c r="AA37" s="152"/>
      <c r="AB37" s="68"/>
    </row>
    <row r="38" spans="1:28" ht="17.649999999999999" customHeight="1" collapsed="1" x14ac:dyDescent="0.25">
      <c r="A38" s="765"/>
      <c r="B38" s="913" t="s">
        <v>638</v>
      </c>
      <c r="C38" s="869"/>
      <c r="D38" s="1074">
        <v>0.25</v>
      </c>
      <c r="E38" s="890" t="str">
        <f>(IF(E$7="SIM",D38*E39*E40*12/$H$2,"-"))</f>
        <v>-</v>
      </c>
      <c r="F38" s="1021"/>
      <c r="G38" s="1000"/>
      <c r="H38" s="1074">
        <v>0.25</v>
      </c>
      <c r="I38" s="890" t="str">
        <f>(IF(I$7="SIM",H38*I39*I40*12/$H$2,"-"))</f>
        <v>-</v>
      </c>
      <c r="J38" s="1021"/>
      <c r="K38" s="1000"/>
      <c r="L38" s="1074">
        <v>0.25</v>
      </c>
      <c r="M38" s="890" t="str">
        <f>(IF(M$7="SIM",L38*M39*M40*12/$H$2,"-"))</f>
        <v>-</v>
      </c>
      <c r="N38" s="1021"/>
      <c r="O38" s="1000"/>
      <c r="P38" s="1074">
        <v>0.25</v>
      </c>
      <c r="Q38" s="890" t="str">
        <f>(IF(Q$7="SIM",P38*Q39*Q40*12/$H$2,"-"))</f>
        <v>-</v>
      </c>
      <c r="R38" s="1021"/>
      <c r="S38" s="1000"/>
      <c r="T38" s="1074">
        <v>0.25</v>
      </c>
      <c r="U38" s="891" t="str">
        <f>(IF(U$7="SIM",T38*U39*U40*12/$H$2,"-"))</f>
        <v>-</v>
      </c>
      <c r="V38" s="1039"/>
      <c r="W38" s="153"/>
      <c r="X38" s="153"/>
      <c r="Y38" s="153"/>
      <c r="Z38" s="153"/>
      <c r="AA38" s="153"/>
      <c r="AB38" s="68"/>
    </row>
    <row r="39" spans="1:28" ht="18" hidden="1" customHeight="1" outlineLevel="1" x14ac:dyDescent="0.25">
      <c r="A39" s="762"/>
      <c r="B39" s="1011" t="s">
        <v>636</v>
      </c>
      <c r="C39" s="925"/>
      <c r="D39" s="915"/>
      <c r="E39" s="335">
        <f>'R&amp;C-Painel de Controle'!$D$70</f>
        <v>100000</v>
      </c>
      <c r="F39" s="1023"/>
      <c r="G39" s="996"/>
      <c r="H39" s="1082"/>
      <c r="I39" s="335">
        <f>'R&amp;C-Painel de Controle'!$D$70</f>
        <v>100000</v>
      </c>
      <c r="J39" s="1023"/>
      <c r="K39" s="996"/>
      <c r="L39" s="1082"/>
      <c r="M39" s="335">
        <f>'R&amp;C-Painel de Controle'!$D$70</f>
        <v>100000</v>
      </c>
      <c r="N39" s="1023"/>
      <c r="O39" s="996"/>
      <c r="P39" s="1082"/>
      <c r="Q39" s="335">
        <f>'R&amp;C-Painel de Controle'!$D$70</f>
        <v>100000</v>
      </c>
      <c r="R39" s="1023"/>
      <c r="S39" s="996"/>
      <c r="T39" s="1082"/>
      <c r="U39" s="335">
        <f>'R&amp;C-Painel de Controle'!$D$70</f>
        <v>100000</v>
      </c>
      <c r="V39" s="924"/>
      <c r="W39" s="152"/>
      <c r="X39" s="152"/>
      <c r="Y39" s="152"/>
      <c r="Z39" s="152"/>
      <c r="AA39" s="152"/>
      <c r="AB39" s="68"/>
    </row>
    <row r="40" spans="1:28" ht="18" hidden="1" customHeight="1" outlineLevel="1" x14ac:dyDescent="0.25">
      <c r="A40" s="765"/>
      <c r="B40" s="1011" t="s">
        <v>384</v>
      </c>
      <c r="C40" s="925"/>
      <c r="D40" s="915"/>
      <c r="E40" s="336">
        <v>0.2</v>
      </c>
      <c r="F40" s="1023"/>
      <c r="G40" s="996"/>
      <c r="H40" s="1082"/>
      <c r="I40" s="336">
        <v>0.2</v>
      </c>
      <c r="J40" s="1023"/>
      <c r="K40" s="996"/>
      <c r="L40" s="1082"/>
      <c r="M40" s="336">
        <v>0.2</v>
      </c>
      <c r="N40" s="1023"/>
      <c r="O40" s="996"/>
      <c r="P40" s="1082"/>
      <c r="Q40" s="336">
        <v>0.25</v>
      </c>
      <c r="R40" s="1023"/>
      <c r="S40" s="996"/>
      <c r="T40" s="1082"/>
      <c r="U40" s="336">
        <v>0.25</v>
      </c>
      <c r="V40" s="924"/>
      <c r="W40" s="153"/>
      <c r="X40" s="153"/>
      <c r="Y40" s="153"/>
      <c r="Z40" s="153"/>
      <c r="AA40" s="153"/>
      <c r="AB40" s="68"/>
    </row>
    <row r="41" spans="1:28" ht="17.649999999999999" customHeight="1" x14ac:dyDescent="0.25">
      <c r="A41" s="765"/>
      <c r="B41" s="913" t="s">
        <v>390</v>
      </c>
      <c r="C41" s="869"/>
      <c r="D41" s="1017"/>
      <c r="E41" s="893" t="str">
        <f>(IF(E$7="SIM",10+0.25*'R&amp;C-Painel de Controle'!$D$74+0.025*'R&amp;C-Painel de Controle'!$D$73,"-"))</f>
        <v>-</v>
      </c>
      <c r="F41" s="1021"/>
      <c r="G41" s="1000"/>
      <c r="H41" s="1080"/>
      <c r="I41" s="893" t="str">
        <f>(IF(I$7="SIM",7.5+0.25*'R&amp;C-Painel de Controle'!$D$74+0.025*'R&amp;C-Painel de Controle'!$D$73,"-"))</f>
        <v>-</v>
      </c>
      <c r="J41" s="1021"/>
      <c r="K41" s="1000"/>
      <c r="L41" s="1080"/>
      <c r="M41" s="893" t="str">
        <f>(IF(M$7="SIM",10+0.25*'R&amp;C-Painel de Controle'!$D$74+0.025*'R&amp;C-Painel de Controle'!$D$73,"-"))</f>
        <v>-</v>
      </c>
      <c r="N41" s="1021"/>
      <c r="O41" s="1000"/>
      <c r="P41" s="1080"/>
      <c r="Q41" s="893" t="str">
        <f>(IF(Q$7="SIM",10+0.25*'R&amp;C-Painel de Controle'!$D$74+0.025*'R&amp;C-Painel de Controle'!$D$73,"-"))</f>
        <v>-</v>
      </c>
      <c r="R41" s="1021"/>
      <c r="S41" s="1000"/>
      <c r="T41" s="1080"/>
      <c r="U41" s="894" t="str">
        <f>(IF(U$7="SIM",10+0.25*'R&amp;C-Painel de Controle'!$D$74+0.025*'R&amp;C-Painel de Controle'!$D$73,"-"))</f>
        <v>-</v>
      </c>
      <c r="V41" s="1039"/>
      <c r="W41" s="153"/>
      <c r="X41" s="153"/>
      <c r="Y41" s="153"/>
      <c r="Z41" s="153"/>
      <c r="AA41" s="153"/>
      <c r="AB41" s="68"/>
    </row>
    <row r="42" spans="1:28" s="882" customFormat="1" ht="19.899999999999999" customHeight="1" x14ac:dyDescent="0.3">
      <c r="A42" s="1107"/>
      <c r="B42" s="1012" t="s">
        <v>386</v>
      </c>
      <c r="C42" s="904"/>
      <c r="D42" s="1074">
        <v>0.05</v>
      </c>
      <c r="E42" s="887" t="str">
        <f>(IF(E$7="SIM",(E27+E32+E35+E38+E41)*(1+D42),"-"))</f>
        <v>-</v>
      </c>
      <c r="F42" s="1024"/>
      <c r="G42" s="1002"/>
      <c r="H42" s="1074">
        <v>0.05</v>
      </c>
      <c r="I42" s="887" t="str">
        <f>(IF(I$7="SIM",(I27+I32+I35+I38+I41)*(1+H42),"-"))</f>
        <v>-</v>
      </c>
      <c r="J42" s="1024"/>
      <c r="K42" s="1002"/>
      <c r="L42" s="1074">
        <v>0.05</v>
      </c>
      <c r="M42" s="887" t="str">
        <f>(IF(M$7="SIM",(M27+M32+M35+M38+M41)*(1+L42),"-"))</f>
        <v>-</v>
      </c>
      <c r="N42" s="1024"/>
      <c r="O42" s="1002"/>
      <c r="P42" s="1074">
        <v>0.05</v>
      </c>
      <c r="Q42" s="887" t="str">
        <f>(IF(Q$7="SIM",(Q27+Q32+Q35+Q38+Q41)*(1+P42),"-"))</f>
        <v>-</v>
      </c>
      <c r="R42" s="1024"/>
      <c r="S42" s="1002"/>
      <c r="T42" s="1074">
        <v>0.05</v>
      </c>
      <c r="U42" s="888" t="str">
        <f>(IF(U$7="SIM",(U27+U32+U35+U38+U41)*(1+T42),"-"))</f>
        <v>-</v>
      </c>
      <c r="V42" s="1040"/>
      <c r="W42" s="881"/>
      <c r="X42" s="881"/>
      <c r="Y42" s="881"/>
      <c r="Z42" s="881"/>
      <c r="AA42" s="881"/>
    </row>
    <row r="43" spans="1:28" s="882" customFormat="1" ht="19.899999999999999" customHeight="1" x14ac:dyDescent="0.3">
      <c r="A43" s="1107"/>
      <c r="B43" s="1012" t="s">
        <v>387</v>
      </c>
      <c r="C43" s="904"/>
      <c r="D43" s="1025"/>
      <c r="E43" s="886" t="str">
        <f>(IF(E$7="SIM",E42*$H$2/1000000,"-"))</f>
        <v>-</v>
      </c>
      <c r="F43" s="1026"/>
      <c r="G43" s="904"/>
      <c r="H43" s="1025"/>
      <c r="I43" s="886" t="str">
        <f>(IF(I$7="SIM",I42*$H$2/1000000,"-"))</f>
        <v>-</v>
      </c>
      <c r="J43" s="1026"/>
      <c r="K43" s="904"/>
      <c r="L43" s="1025"/>
      <c r="M43" s="886" t="str">
        <f>(IF(M$7="SIM",M42*$H$2/1000000,"-"))</f>
        <v>-</v>
      </c>
      <c r="N43" s="1026"/>
      <c r="O43" s="904"/>
      <c r="P43" s="1083"/>
      <c r="Q43" s="886" t="str">
        <f>(IF(Q$7="SIM",Q42*$H$2/1000000,"-"))</f>
        <v>-</v>
      </c>
      <c r="R43" s="1026"/>
      <c r="S43" s="904"/>
      <c r="T43" s="1025"/>
      <c r="U43" s="851" t="str">
        <f>(IF(U$7="SIM",U42*$H$2/1000000,"-"))</f>
        <v>-</v>
      </c>
      <c r="V43" s="1026"/>
      <c r="W43" s="881"/>
      <c r="X43" s="881"/>
      <c r="Y43" s="881"/>
      <c r="Z43" s="881"/>
      <c r="AA43" s="881"/>
    </row>
    <row r="44" spans="1:28" s="691" customFormat="1" ht="18" customHeight="1" x14ac:dyDescent="0.25">
      <c r="A44" s="1108"/>
      <c r="B44" s="1013" t="s">
        <v>388</v>
      </c>
      <c r="C44" s="869"/>
      <c r="D44" s="1020"/>
      <c r="E44" s="895" t="str">
        <f>(IF(E$7="SIM",(((E27*$H$2/12)+(E34/1000*'R&amp;C-Painel de Controle'!$D$69*12)+(E37*12)+(E39*E40*12))/1000000),"-"))</f>
        <v>-</v>
      </c>
      <c r="F44" s="1027"/>
      <c r="G44" s="869"/>
      <c r="H44" s="1020"/>
      <c r="I44" s="895" t="str">
        <f>(IF(I$7="SIM",(((I27*$H$2/12)+(I34/1000*'R&amp;C-Painel de Controle'!$D$69*12)+(I37*12)+(I39*I40*12))/1000000),"-"))</f>
        <v>-</v>
      </c>
      <c r="J44" s="1027"/>
      <c r="K44" s="869"/>
      <c r="L44" s="1020"/>
      <c r="M44" s="895" t="str">
        <f>(IF(M$7="SIM",(((M27*$H$2/12)+(M34/1000*'R&amp;C-Painel de Controle'!$D$69*12)+(M37*12)+(M39*M40*12))/1000000),"-"))</f>
        <v>-</v>
      </c>
      <c r="N44" s="1027"/>
      <c r="O44" s="869"/>
      <c r="P44" s="1020"/>
      <c r="Q44" s="895" t="str">
        <f>(IF(Q$7="SIM",(((Q27*$H$2/12)+(Q34/1000*'R&amp;C-Painel de Controle'!$D$69*12)+(Q37*12)+(Q39*Q40*12))/1000000),"-"))</f>
        <v>-</v>
      </c>
      <c r="R44" s="1027"/>
      <c r="S44" s="869"/>
      <c r="T44" s="1020"/>
      <c r="U44" s="896" t="str">
        <f>(IF(U$7="SIM",(((U27*$H$2/12)+(U34/1000*'R&amp;C-Painel de Controle'!$D$69*12)+(U37*12)+(U39*U40*12))/1000000),"-"))</f>
        <v>-</v>
      </c>
      <c r="V44" s="1027"/>
      <c r="W44" s="38"/>
      <c r="X44" s="38"/>
      <c r="Y44" s="38"/>
      <c r="Z44" s="38"/>
      <c r="AA44" s="38"/>
    </row>
    <row r="45" spans="1:28" s="691" customFormat="1" ht="18" customHeight="1" thickBot="1" x14ac:dyDescent="0.3">
      <c r="A45" s="1108"/>
      <c r="B45" s="1014" t="s">
        <v>389</v>
      </c>
      <c r="C45" s="869"/>
      <c r="D45" s="1028"/>
      <c r="E45" s="1029" t="str">
        <f>(IF(E$7="SIM",((E43-E44)*1000000)/$H$2,"-"))</f>
        <v>-</v>
      </c>
      <c r="F45" s="1030"/>
      <c r="G45" s="869"/>
      <c r="H45" s="1028"/>
      <c r="I45" s="1029" t="str">
        <f>(IF(I$7="SIM",((I43-I44)*1000000)/$H$2,"-"))</f>
        <v>-</v>
      </c>
      <c r="J45" s="1030"/>
      <c r="K45" s="869"/>
      <c r="L45" s="1028"/>
      <c r="M45" s="1029" t="str">
        <f>(IF(M$7="SIM",((M43-M44)*1000000)/$H$2,"-"))</f>
        <v>-</v>
      </c>
      <c r="N45" s="1030"/>
      <c r="O45" s="869"/>
      <c r="P45" s="1028"/>
      <c r="Q45" s="1029" t="str">
        <f>(IF(Q$7="SIM",((Q43-Q44)*1000000)/$H$2,"-"))</f>
        <v>-</v>
      </c>
      <c r="R45" s="1030"/>
      <c r="S45" s="869"/>
      <c r="T45" s="1028"/>
      <c r="U45" s="1041" t="str">
        <f>(IF(U$7="SIM",((U43-U44)*1000000)/$H$2,"-"))</f>
        <v>-</v>
      </c>
      <c r="V45" s="1030"/>
      <c r="W45" s="38"/>
      <c r="X45" s="38"/>
      <c r="Y45" s="38"/>
      <c r="Z45" s="38"/>
      <c r="AA45" s="38"/>
    </row>
    <row r="46" spans="1:28" ht="14.25" customHeight="1" thickTop="1" x14ac:dyDescent="0.25">
      <c r="A46" s="33"/>
      <c r="B46" s="42"/>
      <c r="C46" s="33"/>
      <c r="D46" s="33"/>
      <c r="E46" s="33"/>
      <c r="F46" s="33"/>
      <c r="G46" s="33"/>
      <c r="H46" s="33"/>
      <c r="I46" s="33"/>
      <c r="J46" s="33"/>
      <c r="K46" s="33"/>
      <c r="L46" s="33"/>
      <c r="M46" s="33"/>
      <c r="N46" s="33"/>
      <c r="O46" s="33"/>
      <c r="P46" s="33"/>
      <c r="Q46" s="33"/>
      <c r="R46" s="33"/>
      <c r="S46" s="33"/>
      <c r="T46" s="33"/>
      <c r="U46" s="33"/>
      <c r="V46" s="33"/>
      <c r="W46" s="33"/>
      <c r="X46" s="33"/>
      <c r="Y46" s="33"/>
      <c r="Z46" s="33"/>
      <c r="AA46" s="33"/>
    </row>
    <row r="47" spans="1:28" ht="14.25" customHeight="1" x14ac:dyDescent="0.25">
      <c r="A47" s="33"/>
      <c r="B47" s="42"/>
      <c r="C47" s="33"/>
      <c r="D47" s="33"/>
      <c r="E47" s="33"/>
      <c r="F47" s="33"/>
      <c r="G47" s="33"/>
      <c r="H47" s="33"/>
      <c r="I47" s="33"/>
      <c r="J47" s="33"/>
      <c r="K47" s="33"/>
      <c r="L47" s="33"/>
      <c r="M47" s="33"/>
      <c r="N47" s="33"/>
      <c r="O47" s="33"/>
      <c r="P47" s="33"/>
      <c r="Q47" s="33"/>
      <c r="R47" s="33"/>
      <c r="S47" s="33"/>
      <c r="T47" s="33"/>
      <c r="U47" s="33"/>
      <c r="V47" s="33"/>
      <c r="W47" s="33"/>
      <c r="X47" s="33"/>
      <c r="Y47" s="33"/>
      <c r="Z47" s="33"/>
      <c r="AA47" s="33"/>
    </row>
    <row r="48" spans="1:28" ht="14.25" customHeight="1" x14ac:dyDescent="0.25">
      <c r="A48" s="33"/>
      <c r="B48" s="42"/>
      <c r="C48" s="33"/>
      <c r="D48" s="33"/>
      <c r="E48" s="33"/>
      <c r="F48" s="33"/>
      <c r="G48" s="33"/>
      <c r="H48" s="33"/>
      <c r="I48" s="33"/>
      <c r="J48" s="33"/>
      <c r="K48" s="33"/>
      <c r="L48" s="33"/>
      <c r="M48" s="33"/>
      <c r="N48" s="33"/>
      <c r="O48" s="33"/>
      <c r="P48" s="33"/>
      <c r="Q48" s="33"/>
      <c r="R48" s="33"/>
      <c r="S48" s="33"/>
      <c r="T48" s="33"/>
      <c r="U48" s="33"/>
      <c r="V48" s="33"/>
      <c r="W48" s="33"/>
      <c r="X48" s="33"/>
      <c r="Y48" s="33"/>
      <c r="Z48" s="33"/>
      <c r="AA48" s="33"/>
    </row>
    <row r="49" spans="1:27" ht="14.25" customHeight="1" x14ac:dyDescent="0.25">
      <c r="A49" s="33"/>
      <c r="B49" s="42"/>
      <c r="C49" s="33"/>
      <c r="D49" s="33"/>
      <c r="E49" s="33"/>
      <c r="F49" s="33"/>
      <c r="G49" s="33"/>
      <c r="H49" s="33"/>
      <c r="I49" s="33"/>
      <c r="J49" s="33"/>
      <c r="K49" s="33"/>
      <c r="L49" s="33"/>
      <c r="M49" s="33"/>
      <c r="N49" s="33"/>
      <c r="O49" s="33"/>
      <c r="P49" s="33"/>
      <c r="Q49" s="33"/>
      <c r="R49" s="33"/>
      <c r="S49" s="33"/>
      <c r="T49" s="33"/>
      <c r="U49" s="33"/>
      <c r="V49" s="33"/>
      <c r="W49" s="33"/>
      <c r="X49" s="33"/>
      <c r="Y49" s="33"/>
      <c r="Z49" s="33"/>
      <c r="AA49" s="33"/>
    </row>
    <row r="50" spans="1:27" ht="14.25" customHeight="1" x14ac:dyDescent="0.25">
      <c r="A50" s="33"/>
      <c r="B50" s="42"/>
      <c r="C50" s="33"/>
      <c r="D50" s="33"/>
      <c r="E50" s="33"/>
      <c r="F50" s="33"/>
      <c r="G50" s="33"/>
      <c r="H50" s="33"/>
      <c r="I50" s="33"/>
      <c r="J50" s="33"/>
      <c r="K50" s="33"/>
      <c r="L50" s="33"/>
      <c r="M50" s="33"/>
      <c r="N50" s="33"/>
      <c r="O50" s="33"/>
      <c r="P50" s="33"/>
      <c r="Q50" s="33"/>
      <c r="R50" s="33"/>
      <c r="S50" s="33"/>
      <c r="T50" s="33"/>
      <c r="U50" s="33"/>
      <c r="V50" s="33"/>
      <c r="W50" s="33"/>
      <c r="X50" s="33"/>
      <c r="Y50" s="33"/>
      <c r="Z50" s="33"/>
      <c r="AA50" s="33"/>
    </row>
    <row r="51" spans="1:27" ht="14.25" customHeight="1" x14ac:dyDescent="0.25">
      <c r="A51" s="33"/>
      <c r="B51" s="42"/>
      <c r="C51" s="33"/>
      <c r="D51" s="33"/>
      <c r="E51" s="33"/>
      <c r="F51" s="33"/>
      <c r="G51" s="33"/>
      <c r="H51" s="33"/>
      <c r="I51" s="33"/>
      <c r="J51" s="33"/>
      <c r="K51" s="33"/>
      <c r="L51" s="33"/>
      <c r="M51" s="33"/>
      <c r="N51" s="33"/>
      <c r="O51" s="33"/>
      <c r="P51" s="33"/>
      <c r="Q51" s="33"/>
      <c r="R51" s="33"/>
      <c r="S51" s="33"/>
      <c r="T51" s="33"/>
      <c r="U51" s="33"/>
      <c r="V51" s="33"/>
      <c r="W51" s="33"/>
      <c r="X51" s="33"/>
      <c r="Y51" s="33"/>
      <c r="Z51" s="33"/>
      <c r="AA51" s="33"/>
    </row>
    <row r="52" spans="1:27" ht="14.25" customHeight="1" x14ac:dyDescent="0.25">
      <c r="A52" s="33"/>
      <c r="B52" s="42"/>
      <c r="C52" s="33"/>
      <c r="D52" s="33"/>
      <c r="E52" s="33"/>
      <c r="F52" s="33"/>
      <c r="G52" s="33"/>
      <c r="H52" s="33"/>
      <c r="I52" s="33"/>
      <c r="J52" s="33"/>
      <c r="K52" s="33"/>
      <c r="L52" s="33"/>
      <c r="M52" s="33"/>
      <c r="N52" s="33"/>
      <c r="O52" s="33"/>
      <c r="P52" s="33"/>
      <c r="Q52" s="33"/>
      <c r="R52" s="33"/>
      <c r="S52" s="33"/>
      <c r="T52" s="33"/>
      <c r="U52" s="33"/>
      <c r="V52" s="33"/>
      <c r="W52" s="33"/>
      <c r="X52" s="33"/>
      <c r="Y52" s="33"/>
      <c r="Z52" s="33"/>
      <c r="AA52" s="33"/>
    </row>
    <row r="53" spans="1:27" ht="14.25" customHeight="1" x14ac:dyDescent="0.25">
      <c r="A53" s="33"/>
      <c r="B53" s="42"/>
      <c r="C53" s="33"/>
      <c r="D53" s="33"/>
      <c r="E53" s="33"/>
      <c r="F53" s="33"/>
      <c r="G53" s="33"/>
      <c r="H53" s="33"/>
      <c r="I53" s="33"/>
      <c r="J53" s="33"/>
      <c r="K53" s="33"/>
      <c r="L53" s="33"/>
      <c r="M53" s="33"/>
      <c r="N53" s="33"/>
      <c r="O53" s="33"/>
      <c r="P53" s="33"/>
      <c r="Q53" s="33"/>
      <c r="R53" s="33"/>
      <c r="S53" s="33"/>
      <c r="T53" s="33"/>
      <c r="U53" s="33"/>
      <c r="V53" s="33"/>
      <c r="W53" s="33"/>
      <c r="X53" s="33"/>
      <c r="Y53" s="33"/>
      <c r="Z53" s="33"/>
      <c r="AA53" s="33"/>
    </row>
    <row r="54" spans="1:27" ht="14.25" customHeight="1" x14ac:dyDescent="0.25">
      <c r="A54" s="33"/>
      <c r="B54" s="42"/>
      <c r="C54" s="33"/>
      <c r="D54" s="33"/>
      <c r="E54" s="33"/>
      <c r="F54" s="33"/>
      <c r="G54" s="33"/>
      <c r="H54" s="33"/>
      <c r="I54" s="33"/>
      <c r="J54" s="33"/>
      <c r="K54" s="33"/>
      <c r="L54" s="33"/>
      <c r="M54" s="33"/>
      <c r="N54" s="33"/>
      <c r="O54" s="33"/>
      <c r="P54" s="33"/>
      <c r="Q54" s="33"/>
      <c r="R54" s="33"/>
      <c r="S54" s="33"/>
      <c r="T54" s="33"/>
      <c r="U54" s="33"/>
      <c r="V54" s="33"/>
      <c r="W54" s="33"/>
      <c r="X54" s="33"/>
      <c r="Y54" s="33"/>
      <c r="Z54" s="33"/>
      <c r="AA54" s="33"/>
    </row>
    <row r="55" spans="1:27" ht="14.25" customHeight="1" x14ac:dyDescent="0.25">
      <c r="A55" s="33"/>
      <c r="B55" s="42"/>
      <c r="C55" s="33"/>
      <c r="D55" s="33"/>
      <c r="E55" s="33"/>
      <c r="F55" s="33"/>
      <c r="G55" s="33"/>
      <c r="H55" s="33"/>
      <c r="I55" s="33"/>
      <c r="J55" s="33"/>
      <c r="K55" s="33"/>
      <c r="L55" s="33"/>
      <c r="M55" s="33"/>
      <c r="N55" s="33"/>
      <c r="O55" s="33"/>
      <c r="P55" s="33"/>
      <c r="Q55" s="33"/>
      <c r="R55" s="33"/>
      <c r="S55" s="33"/>
      <c r="T55" s="33"/>
      <c r="U55" s="33"/>
      <c r="V55" s="33"/>
      <c r="W55" s="33"/>
      <c r="X55" s="33"/>
      <c r="Y55" s="33"/>
      <c r="Z55" s="33"/>
      <c r="AA55" s="33"/>
    </row>
    <row r="56" spans="1:27" ht="14.25" customHeight="1" x14ac:dyDescent="0.25">
      <c r="A56" s="33"/>
      <c r="B56" s="42"/>
      <c r="C56" s="33"/>
      <c r="D56" s="33"/>
      <c r="E56" s="33"/>
      <c r="F56" s="33"/>
      <c r="G56" s="33"/>
      <c r="H56" s="33"/>
      <c r="I56" s="33"/>
      <c r="J56" s="33"/>
      <c r="K56" s="33"/>
      <c r="L56" s="33"/>
      <c r="M56" s="33"/>
      <c r="N56" s="33"/>
      <c r="O56" s="33"/>
      <c r="P56" s="33"/>
      <c r="Q56" s="33"/>
      <c r="R56" s="33"/>
      <c r="S56" s="33"/>
      <c r="T56" s="33"/>
      <c r="U56" s="33"/>
      <c r="V56" s="33"/>
      <c r="W56" s="33"/>
      <c r="X56" s="33"/>
      <c r="Y56" s="33"/>
      <c r="Z56" s="33"/>
      <c r="AA56" s="33"/>
    </row>
    <row r="57" spans="1:27" ht="14.25" customHeight="1" x14ac:dyDescent="0.25">
      <c r="A57" s="33"/>
      <c r="B57" s="42"/>
      <c r="C57" s="33"/>
      <c r="D57" s="33"/>
      <c r="E57" s="33"/>
      <c r="F57" s="33"/>
      <c r="G57" s="33"/>
      <c r="H57" s="33"/>
      <c r="I57" s="33"/>
      <c r="J57" s="33"/>
      <c r="K57" s="33"/>
      <c r="L57" s="33"/>
      <c r="M57" s="33"/>
      <c r="N57" s="33"/>
      <c r="O57" s="33"/>
      <c r="P57" s="33"/>
      <c r="Q57" s="33"/>
      <c r="R57" s="33"/>
      <c r="S57" s="33"/>
      <c r="T57" s="33"/>
      <c r="U57" s="33"/>
      <c r="V57" s="33"/>
      <c r="W57" s="33"/>
      <c r="X57" s="33"/>
      <c r="Y57" s="33"/>
      <c r="Z57" s="33"/>
      <c r="AA57" s="33"/>
    </row>
    <row r="58" spans="1:27" ht="14.25" customHeight="1" x14ac:dyDescent="0.25">
      <c r="A58" s="33"/>
      <c r="B58" s="42"/>
      <c r="C58" s="33"/>
      <c r="D58" s="33"/>
      <c r="E58" s="33"/>
      <c r="F58" s="33"/>
      <c r="G58" s="33"/>
      <c r="H58" s="33"/>
      <c r="I58" s="33"/>
      <c r="J58" s="33"/>
      <c r="K58" s="33"/>
      <c r="L58" s="33"/>
      <c r="M58" s="33"/>
      <c r="N58" s="33"/>
      <c r="O58" s="33"/>
      <c r="P58" s="33"/>
      <c r="Q58" s="33"/>
      <c r="R58" s="33"/>
      <c r="S58" s="33"/>
      <c r="T58" s="33"/>
      <c r="U58" s="33"/>
      <c r="V58" s="33"/>
      <c r="W58" s="33"/>
      <c r="X58" s="33"/>
      <c r="Y58" s="33"/>
      <c r="Z58" s="33"/>
      <c r="AA58" s="33"/>
    </row>
    <row r="59" spans="1:27" ht="14.25" customHeight="1" x14ac:dyDescent="0.25">
      <c r="A59" s="33"/>
      <c r="B59" s="42"/>
      <c r="C59" s="33"/>
      <c r="D59" s="33"/>
      <c r="E59" s="33"/>
      <c r="F59" s="33"/>
      <c r="G59" s="33"/>
      <c r="H59" s="33"/>
      <c r="I59" s="33"/>
      <c r="J59" s="33"/>
      <c r="K59" s="33"/>
      <c r="L59" s="33"/>
      <c r="M59" s="33"/>
      <c r="N59" s="33"/>
      <c r="O59" s="33"/>
      <c r="P59" s="33"/>
      <c r="Q59" s="33"/>
      <c r="R59" s="33"/>
      <c r="S59" s="33"/>
      <c r="T59" s="33"/>
      <c r="U59" s="33"/>
      <c r="V59" s="33"/>
      <c r="W59" s="33"/>
      <c r="X59" s="33"/>
      <c r="Y59" s="33"/>
      <c r="Z59" s="33"/>
      <c r="AA59" s="33"/>
    </row>
    <row r="60" spans="1:27" ht="14.25" customHeight="1" x14ac:dyDescent="0.25">
      <c r="A60" s="33"/>
      <c r="B60" s="42"/>
      <c r="C60" s="33"/>
      <c r="D60" s="33"/>
      <c r="E60" s="33"/>
      <c r="F60" s="33"/>
      <c r="G60" s="33"/>
      <c r="H60" s="33"/>
      <c r="I60" s="33"/>
      <c r="J60" s="33"/>
      <c r="K60" s="33"/>
      <c r="L60" s="33"/>
      <c r="M60" s="33"/>
      <c r="N60" s="33"/>
      <c r="O60" s="33"/>
      <c r="P60" s="33"/>
      <c r="Q60" s="33"/>
      <c r="R60" s="33"/>
      <c r="S60" s="33"/>
      <c r="T60" s="33"/>
      <c r="U60" s="33"/>
      <c r="V60" s="33"/>
      <c r="W60" s="33"/>
      <c r="X60" s="33"/>
      <c r="Y60" s="33"/>
      <c r="Z60" s="33"/>
      <c r="AA60" s="33"/>
    </row>
    <row r="61" spans="1:27" ht="14.25" customHeight="1" x14ac:dyDescent="0.25">
      <c r="A61" s="33"/>
      <c r="B61" s="42"/>
      <c r="C61" s="33"/>
      <c r="D61" s="33"/>
      <c r="E61" s="33"/>
      <c r="F61" s="33"/>
      <c r="G61" s="33"/>
      <c r="H61" s="33"/>
      <c r="I61" s="33"/>
      <c r="J61" s="33"/>
      <c r="K61" s="33"/>
      <c r="L61" s="33"/>
      <c r="M61" s="33"/>
      <c r="N61" s="33"/>
      <c r="O61" s="33"/>
      <c r="P61" s="33"/>
      <c r="Q61" s="33"/>
      <c r="R61" s="33"/>
      <c r="S61" s="33"/>
      <c r="T61" s="33"/>
      <c r="U61" s="33"/>
      <c r="V61" s="33"/>
      <c r="W61" s="33"/>
      <c r="X61" s="33"/>
      <c r="Y61" s="33"/>
      <c r="Z61" s="33"/>
      <c r="AA61" s="33"/>
    </row>
    <row r="62" spans="1:27" ht="14.25" customHeight="1" x14ac:dyDescent="0.25">
      <c r="A62" s="33"/>
      <c r="B62" s="42"/>
      <c r="C62" s="33"/>
      <c r="D62" s="33"/>
      <c r="E62" s="33"/>
      <c r="F62" s="33"/>
      <c r="G62" s="33"/>
      <c r="H62" s="33"/>
      <c r="I62" s="33"/>
      <c r="J62" s="33"/>
      <c r="K62" s="33"/>
      <c r="L62" s="33"/>
      <c r="M62" s="33"/>
      <c r="N62" s="33"/>
      <c r="O62" s="33"/>
      <c r="P62" s="33"/>
      <c r="Q62" s="33"/>
      <c r="R62" s="33"/>
      <c r="S62" s="33"/>
      <c r="T62" s="33"/>
      <c r="U62" s="33"/>
      <c r="V62" s="33"/>
      <c r="W62" s="33"/>
      <c r="X62" s="33"/>
      <c r="Y62" s="33"/>
      <c r="Z62" s="33"/>
      <c r="AA62" s="33"/>
    </row>
    <row r="63" spans="1:27" ht="14.25" customHeight="1" x14ac:dyDescent="0.25">
      <c r="A63" s="33"/>
      <c r="B63" s="42"/>
      <c r="C63" s="33"/>
      <c r="D63" s="33"/>
      <c r="E63" s="33"/>
      <c r="F63" s="33"/>
      <c r="G63" s="33"/>
      <c r="H63" s="33"/>
      <c r="I63" s="33"/>
      <c r="J63" s="33"/>
      <c r="K63" s="33"/>
      <c r="L63" s="33"/>
      <c r="M63" s="33"/>
      <c r="N63" s="33"/>
      <c r="O63" s="33"/>
      <c r="P63" s="33"/>
      <c r="Q63" s="33"/>
      <c r="R63" s="33"/>
      <c r="S63" s="33"/>
      <c r="T63" s="33"/>
      <c r="U63" s="33"/>
      <c r="V63" s="33"/>
      <c r="W63" s="33"/>
      <c r="X63" s="33"/>
      <c r="Y63" s="33"/>
      <c r="Z63" s="33"/>
      <c r="AA63" s="33"/>
    </row>
    <row r="64" spans="1:27" ht="14.25" customHeight="1" x14ac:dyDescent="0.25">
      <c r="A64" s="33"/>
      <c r="B64" s="42"/>
      <c r="C64" s="33"/>
      <c r="D64" s="33"/>
      <c r="E64" s="33"/>
      <c r="F64" s="33"/>
      <c r="G64" s="33"/>
      <c r="H64" s="33"/>
      <c r="I64" s="33"/>
      <c r="J64" s="33"/>
      <c r="K64" s="33"/>
      <c r="L64" s="33"/>
      <c r="M64" s="33"/>
      <c r="N64" s="33"/>
      <c r="O64" s="33"/>
      <c r="P64" s="33"/>
      <c r="Q64" s="33"/>
      <c r="R64" s="33"/>
      <c r="S64" s="33"/>
      <c r="T64" s="33"/>
      <c r="U64" s="33"/>
      <c r="V64" s="33"/>
      <c r="W64" s="33"/>
      <c r="X64" s="33"/>
      <c r="Y64" s="33"/>
      <c r="Z64" s="33"/>
      <c r="AA64" s="33"/>
    </row>
    <row r="65" spans="1:27" ht="14.25" customHeight="1" x14ac:dyDescent="0.25">
      <c r="A65" s="33"/>
      <c r="B65" s="42"/>
      <c r="C65" s="33"/>
      <c r="D65" s="33"/>
      <c r="E65" s="33"/>
      <c r="F65" s="33"/>
      <c r="G65" s="33"/>
      <c r="H65" s="33"/>
      <c r="I65" s="33"/>
      <c r="J65" s="33"/>
      <c r="K65" s="33"/>
      <c r="L65" s="33"/>
      <c r="M65" s="33"/>
      <c r="N65" s="33"/>
      <c r="O65" s="33"/>
      <c r="P65" s="33"/>
      <c r="Q65" s="33"/>
      <c r="R65" s="33"/>
      <c r="S65" s="33"/>
      <c r="T65" s="33"/>
      <c r="U65" s="33"/>
      <c r="V65" s="33"/>
      <c r="W65" s="33"/>
      <c r="X65" s="33"/>
      <c r="Y65" s="33"/>
      <c r="Z65" s="33"/>
      <c r="AA65" s="33"/>
    </row>
    <row r="66" spans="1:27" ht="14.25" customHeight="1" x14ac:dyDescent="0.25">
      <c r="A66" s="33"/>
      <c r="B66" s="42"/>
      <c r="C66" s="33"/>
      <c r="D66" s="33"/>
      <c r="E66" s="33"/>
      <c r="F66" s="33"/>
      <c r="G66" s="33"/>
      <c r="H66" s="33"/>
      <c r="I66" s="33"/>
      <c r="J66" s="33"/>
      <c r="K66" s="33"/>
      <c r="L66" s="33"/>
      <c r="M66" s="33"/>
      <c r="N66" s="33"/>
      <c r="O66" s="33"/>
      <c r="P66" s="33"/>
      <c r="Q66" s="33"/>
      <c r="R66" s="33"/>
      <c r="S66" s="33"/>
      <c r="T66" s="33"/>
      <c r="U66" s="33"/>
      <c r="V66" s="33"/>
      <c r="W66" s="33"/>
      <c r="X66" s="33"/>
      <c r="Y66" s="33"/>
      <c r="Z66" s="33"/>
      <c r="AA66" s="33"/>
    </row>
    <row r="67" spans="1:27" ht="14.25" customHeight="1" x14ac:dyDescent="0.25">
      <c r="A67" s="33"/>
      <c r="B67" s="42"/>
      <c r="C67" s="33"/>
      <c r="D67" s="33"/>
      <c r="E67" s="33"/>
      <c r="F67" s="33"/>
      <c r="G67" s="33"/>
      <c r="H67" s="33"/>
      <c r="I67" s="33"/>
      <c r="J67" s="33"/>
      <c r="K67" s="33"/>
      <c r="L67" s="33"/>
      <c r="M67" s="33"/>
      <c r="N67" s="33"/>
      <c r="O67" s="33"/>
      <c r="P67" s="33"/>
      <c r="Q67" s="33"/>
      <c r="R67" s="33"/>
      <c r="S67" s="33"/>
      <c r="T67" s="33"/>
      <c r="U67" s="33"/>
      <c r="V67" s="33"/>
      <c r="W67" s="33"/>
      <c r="X67" s="33"/>
      <c r="Y67" s="33"/>
      <c r="Z67" s="33"/>
      <c r="AA67" s="33"/>
    </row>
    <row r="68" spans="1:27" ht="14.25" customHeight="1" x14ac:dyDescent="0.25">
      <c r="A68" s="33"/>
      <c r="B68" s="42"/>
      <c r="C68" s="33"/>
      <c r="D68" s="33"/>
      <c r="E68" s="33"/>
      <c r="F68" s="33"/>
      <c r="G68" s="33"/>
      <c r="H68" s="33"/>
      <c r="I68" s="33"/>
      <c r="J68" s="33"/>
      <c r="K68" s="33"/>
      <c r="L68" s="33"/>
      <c r="M68" s="33"/>
      <c r="N68" s="33"/>
      <c r="O68" s="33"/>
      <c r="P68" s="33"/>
      <c r="Q68" s="33"/>
      <c r="R68" s="33"/>
      <c r="S68" s="33"/>
      <c r="T68" s="33"/>
      <c r="U68" s="33"/>
      <c r="V68" s="33"/>
      <c r="W68" s="33"/>
      <c r="X68" s="33"/>
      <c r="Y68" s="33"/>
      <c r="Z68" s="33"/>
      <c r="AA68" s="33"/>
    </row>
    <row r="69" spans="1:27" ht="14.25" customHeight="1" x14ac:dyDescent="0.25">
      <c r="A69" s="33"/>
      <c r="B69" s="42"/>
      <c r="C69" s="33"/>
      <c r="D69" s="33"/>
      <c r="E69" s="33"/>
      <c r="F69" s="33"/>
      <c r="G69" s="33"/>
      <c r="H69" s="33"/>
      <c r="I69" s="33"/>
      <c r="J69" s="33"/>
      <c r="K69" s="33"/>
      <c r="L69" s="33"/>
      <c r="M69" s="33"/>
      <c r="N69" s="33"/>
      <c r="O69" s="33"/>
      <c r="P69" s="33"/>
      <c r="Q69" s="33"/>
      <c r="R69" s="33"/>
      <c r="S69" s="33"/>
      <c r="T69" s="33"/>
      <c r="U69" s="33"/>
      <c r="V69" s="33"/>
      <c r="W69" s="33"/>
      <c r="X69" s="33"/>
      <c r="Y69" s="33"/>
      <c r="Z69" s="33"/>
      <c r="AA69" s="33"/>
    </row>
    <row r="70" spans="1:27" ht="14.25" customHeight="1" x14ac:dyDescent="0.25">
      <c r="A70" s="33"/>
      <c r="B70" s="42"/>
      <c r="C70" s="33"/>
      <c r="D70" s="33"/>
      <c r="E70" s="33"/>
      <c r="F70" s="33"/>
      <c r="G70" s="33"/>
      <c r="H70" s="33"/>
      <c r="I70" s="33"/>
      <c r="J70" s="33"/>
      <c r="K70" s="33"/>
      <c r="L70" s="33"/>
      <c r="M70" s="33"/>
      <c r="N70" s="33"/>
      <c r="O70" s="33"/>
      <c r="P70" s="33"/>
      <c r="Q70" s="33"/>
      <c r="R70" s="33"/>
      <c r="S70" s="33"/>
      <c r="T70" s="33"/>
      <c r="U70" s="33"/>
      <c r="V70" s="33"/>
      <c r="W70" s="33"/>
      <c r="X70" s="33"/>
      <c r="Y70" s="33"/>
      <c r="Z70" s="33"/>
      <c r="AA70" s="33"/>
    </row>
    <row r="71" spans="1:27" ht="14.25" customHeight="1" x14ac:dyDescent="0.25">
      <c r="A71" s="33"/>
      <c r="B71" s="42"/>
      <c r="C71" s="33"/>
      <c r="D71" s="33"/>
      <c r="E71" s="33"/>
      <c r="F71" s="33"/>
      <c r="G71" s="33"/>
      <c r="H71" s="33"/>
      <c r="I71" s="33"/>
      <c r="J71" s="33"/>
      <c r="K71" s="33"/>
      <c r="L71" s="33"/>
      <c r="M71" s="33"/>
      <c r="N71" s="33"/>
      <c r="O71" s="33"/>
      <c r="P71" s="33"/>
      <c r="Q71" s="33"/>
      <c r="R71" s="33"/>
      <c r="S71" s="33"/>
      <c r="T71" s="33"/>
      <c r="U71" s="33"/>
      <c r="V71" s="33"/>
      <c r="W71" s="33"/>
      <c r="X71" s="33"/>
      <c r="Y71" s="33"/>
      <c r="Z71" s="33"/>
      <c r="AA71" s="33"/>
    </row>
    <row r="72" spans="1:27" ht="14.25" customHeight="1" x14ac:dyDescent="0.25">
      <c r="A72" s="33"/>
      <c r="B72" s="42"/>
      <c r="C72" s="33"/>
      <c r="D72" s="33"/>
      <c r="E72" s="33"/>
      <c r="F72" s="33"/>
      <c r="G72" s="33"/>
      <c r="H72" s="33"/>
      <c r="I72" s="33"/>
      <c r="J72" s="33"/>
      <c r="K72" s="33"/>
      <c r="L72" s="33"/>
      <c r="M72" s="33"/>
      <c r="N72" s="33"/>
      <c r="O72" s="33"/>
      <c r="P72" s="33"/>
      <c r="Q72" s="33"/>
      <c r="R72" s="33"/>
      <c r="S72" s="33"/>
      <c r="T72" s="33"/>
      <c r="U72" s="33"/>
      <c r="V72" s="33"/>
      <c r="W72" s="33"/>
      <c r="X72" s="33"/>
      <c r="Y72" s="33"/>
      <c r="Z72" s="33"/>
      <c r="AA72" s="33"/>
    </row>
    <row r="73" spans="1:27" ht="14.25" customHeight="1" x14ac:dyDescent="0.25">
      <c r="A73" s="33"/>
      <c r="B73" s="42"/>
      <c r="C73" s="33"/>
      <c r="D73" s="33"/>
      <c r="E73" s="33"/>
      <c r="F73" s="33"/>
      <c r="G73" s="33"/>
      <c r="H73" s="33"/>
      <c r="I73" s="33"/>
      <c r="J73" s="33"/>
      <c r="K73" s="33"/>
      <c r="L73" s="33"/>
      <c r="M73" s="33"/>
      <c r="N73" s="33"/>
      <c r="O73" s="33"/>
      <c r="P73" s="33"/>
      <c r="Q73" s="33"/>
      <c r="R73" s="33"/>
      <c r="S73" s="33"/>
      <c r="T73" s="33"/>
      <c r="U73" s="33"/>
      <c r="V73" s="33"/>
      <c r="W73" s="33"/>
      <c r="X73" s="33"/>
      <c r="Y73" s="33"/>
      <c r="Z73" s="33"/>
      <c r="AA73" s="33"/>
    </row>
    <row r="74" spans="1:27" ht="14.25" customHeight="1" x14ac:dyDescent="0.25">
      <c r="A74" s="33"/>
      <c r="B74" s="42"/>
      <c r="C74" s="33"/>
      <c r="D74" s="33"/>
      <c r="E74" s="33"/>
      <c r="F74" s="33"/>
      <c r="G74" s="33"/>
      <c r="H74" s="33"/>
      <c r="I74" s="33"/>
      <c r="J74" s="33"/>
      <c r="K74" s="33"/>
      <c r="L74" s="33"/>
      <c r="M74" s="33"/>
      <c r="N74" s="33"/>
      <c r="O74" s="33"/>
      <c r="P74" s="33"/>
      <c r="Q74" s="33"/>
      <c r="R74" s="33"/>
      <c r="S74" s="33"/>
      <c r="T74" s="33"/>
      <c r="U74" s="33"/>
      <c r="V74" s="33"/>
      <c r="W74" s="33"/>
      <c r="X74" s="33"/>
      <c r="Y74" s="33"/>
      <c r="Z74" s="33"/>
      <c r="AA74" s="33"/>
    </row>
    <row r="75" spans="1:27" ht="14.25" customHeight="1" x14ac:dyDescent="0.25">
      <c r="A75" s="33"/>
      <c r="B75" s="42"/>
      <c r="C75" s="33"/>
      <c r="D75" s="33"/>
      <c r="E75" s="33"/>
      <c r="F75" s="33"/>
      <c r="G75" s="33"/>
      <c r="H75" s="33"/>
      <c r="I75" s="33"/>
      <c r="J75" s="33"/>
      <c r="K75" s="33"/>
      <c r="L75" s="33"/>
      <c r="M75" s="33"/>
      <c r="N75" s="33"/>
      <c r="O75" s="33"/>
      <c r="P75" s="33"/>
      <c r="Q75" s="33"/>
      <c r="R75" s="33"/>
      <c r="S75" s="33"/>
      <c r="T75" s="33"/>
      <c r="U75" s="33"/>
      <c r="V75" s="33"/>
      <c r="W75" s="33"/>
      <c r="X75" s="33"/>
      <c r="Y75" s="33"/>
      <c r="Z75" s="33"/>
      <c r="AA75" s="33"/>
    </row>
    <row r="76" spans="1:27" ht="14.25" customHeight="1" x14ac:dyDescent="0.25">
      <c r="A76" s="33"/>
      <c r="B76" s="42"/>
      <c r="C76" s="33"/>
      <c r="D76" s="33"/>
      <c r="E76" s="33"/>
      <c r="F76" s="33"/>
      <c r="G76" s="33"/>
      <c r="H76" s="33"/>
      <c r="I76" s="33"/>
      <c r="J76" s="33"/>
      <c r="K76" s="33"/>
      <c r="L76" s="33"/>
      <c r="M76" s="33"/>
      <c r="N76" s="33"/>
      <c r="O76" s="33"/>
      <c r="P76" s="33"/>
      <c r="Q76" s="33"/>
      <c r="R76" s="33"/>
      <c r="S76" s="33"/>
      <c r="T76" s="33"/>
      <c r="U76" s="33"/>
      <c r="V76" s="33"/>
      <c r="W76" s="33"/>
      <c r="X76" s="33"/>
      <c r="Y76" s="33"/>
      <c r="Z76" s="33"/>
      <c r="AA76" s="33"/>
    </row>
    <row r="77" spans="1:27" ht="14.25" customHeight="1" x14ac:dyDescent="0.25">
      <c r="A77" s="33"/>
      <c r="B77" s="42"/>
      <c r="C77" s="33"/>
      <c r="D77" s="33"/>
      <c r="E77" s="33"/>
      <c r="F77" s="33"/>
      <c r="G77" s="33"/>
      <c r="H77" s="33"/>
      <c r="I77" s="33"/>
      <c r="J77" s="33"/>
      <c r="K77" s="33"/>
      <c r="L77" s="33"/>
      <c r="M77" s="33"/>
      <c r="N77" s="33"/>
      <c r="O77" s="33"/>
      <c r="P77" s="33"/>
      <c r="Q77" s="33"/>
      <c r="R77" s="33"/>
      <c r="S77" s="33"/>
      <c r="T77" s="33"/>
      <c r="U77" s="33"/>
      <c r="V77" s="33"/>
      <c r="W77" s="33"/>
      <c r="X77" s="33"/>
      <c r="Y77" s="33"/>
      <c r="Z77" s="33"/>
      <c r="AA77" s="33"/>
    </row>
    <row r="78" spans="1:27" ht="14.25" customHeight="1" x14ac:dyDescent="0.25">
      <c r="A78" s="33"/>
      <c r="B78" s="42"/>
      <c r="C78" s="33"/>
      <c r="D78" s="33"/>
      <c r="E78" s="33"/>
      <c r="F78" s="33"/>
      <c r="G78" s="33"/>
      <c r="H78" s="33"/>
      <c r="I78" s="33"/>
      <c r="J78" s="33"/>
      <c r="K78" s="33"/>
      <c r="L78" s="33"/>
      <c r="M78" s="33"/>
      <c r="N78" s="33"/>
      <c r="O78" s="33"/>
      <c r="P78" s="33"/>
      <c r="Q78" s="33"/>
      <c r="R78" s="33"/>
      <c r="S78" s="33"/>
      <c r="T78" s="33"/>
      <c r="U78" s="33"/>
      <c r="V78" s="33"/>
      <c r="W78" s="33"/>
      <c r="X78" s="33"/>
      <c r="Y78" s="33"/>
      <c r="Z78" s="33"/>
      <c r="AA78" s="33"/>
    </row>
    <row r="79" spans="1:27" ht="14.25" customHeight="1" x14ac:dyDescent="0.25">
      <c r="A79" s="33"/>
      <c r="B79" s="42"/>
      <c r="C79" s="33"/>
      <c r="D79" s="33"/>
      <c r="E79" s="33"/>
      <c r="F79" s="33"/>
      <c r="G79" s="33"/>
      <c r="H79" s="33"/>
      <c r="I79" s="33"/>
      <c r="J79" s="33"/>
      <c r="K79" s="33"/>
      <c r="L79" s="33"/>
      <c r="M79" s="33"/>
      <c r="N79" s="33"/>
      <c r="O79" s="33"/>
      <c r="P79" s="33"/>
      <c r="Q79" s="33"/>
      <c r="R79" s="33"/>
      <c r="S79" s="33"/>
      <c r="T79" s="33"/>
      <c r="U79" s="33"/>
      <c r="V79" s="33"/>
      <c r="W79" s="33"/>
      <c r="X79" s="33"/>
      <c r="Y79" s="33"/>
      <c r="Z79" s="33"/>
      <c r="AA79" s="33"/>
    </row>
    <row r="80" spans="1:27" ht="14.25" customHeight="1" x14ac:dyDescent="0.25">
      <c r="A80" s="33"/>
      <c r="B80" s="42"/>
      <c r="C80" s="33"/>
      <c r="D80" s="33"/>
      <c r="E80" s="33"/>
      <c r="F80" s="33"/>
      <c r="G80" s="33"/>
      <c r="H80" s="33"/>
      <c r="I80" s="33"/>
      <c r="J80" s="33"/>
      <c r="K80" s="33"/>
      <c r="L80" s="33"/>
      <c r="M80" s="33"/>
      <c r="N80" s="33"/>
      <c r="O80" s="33"/>
      <c r="P80" s="33"/>
      <c r="Q80" s="33"/>
      <c r="R80" s="33"/>
      <c r="S80" s="33"/>
      <c r="T80" s="33"/>
      <c r="U80" s="33"/>
      <c r="V80" s="33"/>
      <c r="W80" s="33"/>
      <c r="X80" s="33"/>
      <c r="Y80" s="33"/>
      <c r="Z80" s="33"/>
      <c r="AA80" s="33"/>
    </row>
    <row r="81" spans="1:27" ht="14.25" customHeight="1" x14ac:dyDescent="0.25">
      <c r="A81" s="33"/>
      <c r="B81" s="42"/>
      <c r="C81" s="33"/>
      <c r="D81" s="33"/>
      <c r="E81" s="33"/>
      <c r="F81" s="33"/>
      <c r="G81" s="33"/>
      <c r="H81" s="33"/>
      <c r="I81" s="33"/>
      <c r="J81" s="33"/>
      <c r="K81" s="33"/>
      <c r="L81" s="33"/>
      <c r="M81" s="33"/>
      <c r="N81" s="33"/>
      <c r="O81" s="33"/>
      <c r="P81" s="33"/>
      <c r="Q81" s="33"/>
      <c r="R81" s="33"/>
      <c r="S81" s="33"/>
      <c r="T81" s="33"/>
      <c r="U81" s="33"/>
      <c r="V81" s="33"/>
      <c r="W81" s="33"/>
      <c r="X81" s="33"/>
      <c r="Y81" s="33"/>
      <c r="Z81" s="33"/>
      <c r="AA81" s="33"/>
    </row>
    <row r="82" spans="1:27" ht="14.25" customHeight="1" x14ac:dyDescent="0.25">
      <c r="A82" s="33"/>
      <c r="B82" s="42"/>
      <c r="C82" s="33"/>
      <c r="D82" s="33"/>
      <c r="E82" s="33"/>
      <c r="F82" s="33"/>
      <c r="G82" s="33"/>
      <c r="H82" s="33"/>
      <c r="I82" s="33"/>
      <c r="J82" s="33"/>
      <c r="K82" s="33"/>
      <c r="L82" s="33"/>
      <c r="M82" s="33"/>
      <c r="N82" s="33"/>
      <c r="O82" s="33"/>
      <c r="P82" s="33"/>
      <c r="Q82" s="33"/>
      <c r="R82" s="33"/>
      <c r="S82" s="33"/>
      <c r="T82" s="33"/>
      <c r="U82" s="33"/>
      <c r="V82" s="33"/>
      <c r="W82" s="33"/>
      <c r="X82" s="33"/>
      <c r="Y82" s="33"/>
      <c r="Z82" s="33"/>
      <c r="AA82" s="33"/>
    </row>
    <row r="83" spans="1:27" ht="14.25" customHeight="1" x14ac:dyDescent="0.25">
      <c r="A83" s="33"/>
      <c r="B83" s="42"/>
      <c r="C83" s="33"/>
      <c r="D83" s="33"/>
      <c r="E83" s="33"/>
      <c r="F83" s="33"/>
      <c r="G83" s="33"/>
      <c r="H83" s="33"/>
      <c r="I83" s="33"/>
      <c r="J83" s="33"/>
      <c r="K83" s="33"/>
      <c r="L83" s="33"/>
      <c r="M83" s="33"/>
      <c r="N83" s="33"/>
      <c r="O83" s="33"/>
      <c r="P83" s="33"/>
      <c r="Q83" s="33"/>
      <c r="R83" s="33"/>
      <c r="S83" s="33"/>
      <c r="T83" s="33"/>
      <c r="U83" s="33"/>
      <c r="V83" s="33"/>
      <c r="W83" s="33"/>
      <c r="X83" s="33"/>
      <c r="Y83" s="33"/>
      <c r="Z83" s="33"/>
      <c r="AA83" s="33"/>
    </row>
    <row r="84" spans="1:27" ht="14.25" customHeight="1" x14ac:dyDescent="0.25">
      <c r="A84" s="33"/>
      <c r="B84" s="42"/>
      <c r="C84" s="33"/>
      <c r="D84" s="33"/>
      <c r="E84" s="33"/>
      <c r="F84" s="33"/>
      <c r="G84" s="33"/>
      <c r="H84" s="33"/>
      <c r="I84" s="33"/>
      <c r="J84" s="33"/>
      <c r="K84" s="33"/>
      <c r="L84" s="33"/>
      <c r="M84" s="33"/>
      <c r="N84" s="33"/>
      <c r="O84" s="33"/>
      <c r="P84" s="33"/>
      <c r="Q84" s="33"/>
      <c r="R84" s="33"/>
      <c r="S84" s="33"/>
      <c r="T84" s="33"/>
      <c r="U84" s="33"/>
      <c r="V84" s="33"/>
      <c r="W84" s="33"/>
      <c r="X84" s="33"/>
      <c r="Y84" s="33"/>
      <c r="Z84" s="33"/>
      <c r="AA84" s="33"/>
    </row>
    <row r="85" spans="1:27" ht="14.25" customHeight="1" x14ac:dyDescent="0.25">
      <c r="A85" s="33"/>
      <c r="B85" s="42"/>
      <c r="C85" s="33"/>
      <c r="D85" s="33"/>
      <c r="E85" s="33"/>
      <c r="F85" s="33"/>
      <c r="G85" s="33"/>
      <c r="H85" s="33"/>
      <c r="I85" s="33"/>
      <c r="J85" s="33"/>
      <c r="K85" s="33"/>
      <c r="L85" s="33"/>
      <c r="M85" s="33"/>
      <c r="N85" s="33"/>
      <c r="O85" s="33"/>
      <c r="P85" s="33"/>
      <c r="Q85" s="33"/>
      <c r="R85" s="33"/>
      <c r="S85" s="33"/>
      <c r="T85" s="33"/>
      <c r="U85" s="33"/>
      <c r="V85" s="33"/>
      <c r="W85" s="33"/>
      <c r="X85" s="33"/>
      <c r="Y85" s="33"/>
      <c r="Z85" s="33"/>
      <c r="AA85" s="33"/>
    </row>
    <row r="86" spans="1:27" ht="14.25" customHeight="1" x14ac:dyDescent="0.25">
      <c r="A86" s="33"/>
      <c r="B86" s="42"/>
      <c r="C86" s="33"/>
      <c r="D86" s="33"/>
      <c r="E86" s="33"/>
      <c r="F86" s="33"/>
      <c r="G86" s="33"/>
      <c r="H86" s="33"/>
      <c r="I86" s="33"/>
      <c r="J86" s="33"/>
      <c r="K86" s="33"/>
      <c r="L86" s="33"/>
      <c r="M86" s="33"/>
      <c r="N86" s="33"/>
      <c r="O86" s="33"/>
      <c r="P86" s="33"/>
      <c r="Q86" s="33"/>
      <c r="R86" s="33"/>
      <c r="S86" s="33"/>
      <c r="T86" s="33"/>
      <c r="U86" s="33"/>
      <c r="V86" s="33"/>
      <c r="W86" s="33"/>
      <c r="X86" s="33"/>
      <c r="Y86" s="33"/>
      <c r="Z86" s="33"/>
      <c r="AA86" s="33"/>
    </row>
    <row r="87" spans="1:27" ht="14.25" customHeight="1" x14ac:dyDescent="0.25">
      <c r="A87" s="33"/>
      <c r="B87" s="42"/>
      <c r="C87" s="33"/>
      <c r="D87" s="33"/>
      <c r="E87" s="33"/>
      <c r="F87" s="33"/>
      <c r="G87" s="33"/>
      <c r="H87" s="33"/>
      <c r="I87" s="33"/>
      <c r="J87" s="33"/>
      <c r="K87" s="33"/>
      <c r="L87" s="33"/>
      <c r="M87" s="33"/>
      <c r="N87" s="33"/>
      <c r="O87" s="33"/>
      <c r="P87" s="33"/>
      <c r="Q87" s="33"/>
      <c r="R87" s="33"/>
      <c r="S87" s="33"/>
      <c r="T87" s="33"/>
      <c r="U87" s="33"/>
      <c r="V87" s="33"/>
      <c r="W87" s="33"/>
      <c r="X87" s="33"/>
      <c r="Y87" s="33"/>
      <c r="Z87" s="33"/>
      <c r="AA87" s="33"/>
    </row>
    <row r="88" spans="1:27" ht="14.25" customHeight="1" x14ac:dyDescent="0.25">
      <c r="A88" s="33"/>
      <c r="B88" s="42"/>
      <c r="C88" s="33"/>
      <c r="D88" s="33"/>
      <c r="E88" s="33"/>
      <c r="F88" s="33"/>
      <c r="G88" s="33"/>
      <c r="H88" s="33"/>
      <c r="I88" s="33"/>
      <c r="J88" s="33"/>
      <c r="K88" s="33"/>
      <c r="L88" s="33"/>
      <c r="M88" s="33"/>
      <c r="N88" s="33"/>
      <c r="O88" s="33"/>
      <c r="P88" s="33"/>
      <c r="Q88" s="33"/>
      <c r="R88" s="33"/>
      <c r="S88" s="33"/>
      <c r="T88" s="33"/>
      <c r="U88" s="33"/>
      <c r="V88" s="33"/>
      <c r="W88" s="33"/>
      <c r="X88" s="33"/>
      <c r="Y88" s="33"/>
      <c r="Z88" s="33"/>
      <c r="AA88" s="33"/>
    </row>
    <row r="89" spans="1:27" ht="14.25" customHeight="1" x14ac:dyDescent="0.25">
      <c r="A89" s="33"/>
      <c r="B89" s="42"/>
      <c r="C89" s="33"/>
      <c r="D89" s="33"/>
      <c r="E89" s="33"/>
      <c r="F89" s="33"/>
      <c r="G89" s="33"/>
      <c r="H89" s="33"/>
      <c r="I89" s="33"/>
      <c r="J89" s="33"/>
      <c r="K89" s="33"/>
      <c r="L89" s="33"/>
      <c r="M89" s="33"/>
      <c r="N89" s="33"/>
      <c r="O89" s="33"/>
      <c r="P89" s="33"/>
      <c r="Q89" s="33"/>
      <c r="R89" s="33"/>
      <c r="S89" s="33"/>
      <c r="T89" s="33"/>
      <c r="U89" s="33"/>
      <c r="V89" s="33"/>
      <c r="W89" s="33"/>
      <c r="X89" s="33"/>
      <c r="Y89" s="33"/>
      <c r="Z89" s="33"/>
      <c r="AA89" s="33"/>
    </row>
    <row r="90" spans="1:27" ht="14.25" customHeight="1" x14ac:dyDescent="0.25">
      <c r="A90" s="33"/>
      <c r="B90" s="42"/>
      <c r="C90" s="33"/>
      <c r="D90" s="33"/>
      <c r="E90" s="33"/>
      <c r="F90" s="33"/>
      <c r="G90" s="33"/>
      <c r="H90" s="33"/>
      <c r="I90" s="33"/>
      <c r="J90" s="33"/>
      <c r="K90" s="33"/>
      <c r="L90" s="33"/>
      <c r="M90" s="33"/>
      <c r="N90" s="33"/>
      <c r="O90" s="33"/>
      <c r="P90" s="33"/>
      <c r="Q90" s="33"/>
      <c r="R90" s="33"/>
      <c r="S90" s="33"/>
      <c r="T90" s="33"/>
      <c r="U90" s="33"/>
      <c r="V90" s="33"/>
      <c r="W90" s="33"/>
      <c r="X90" s="33"/>
      <c r="Y90" s="33"/>
      <c r="Z90" s="33"/>
      <c r="AA90" s="33"/>
    </row>
    <row r="91" spans="1:27" ht="14.25" customHeight="1" x14ac:dyDescent="0.25">
      <c r="A91" s="33"/>
      <c r="B91" s="42"/>
      <c r="C91" s="33"/>
      <c r="D91" s="33"/>
      <c r="E91" s="33"/>
      <c r="F91" s="33"/>
      <c r="G91" s="33"/>
      <c r="H91" s="33"/>
      <c r="I91" s="33"/>
      <c r="J91" s="33"/>
      <c r="K91" s="33"/>
      <c r="L91" s="33"/>
      <c r="M91" s="33"/>
      <c r="N91" s="33"/>
      <c r="O91" s="33"/>
      <c r="P91" s="33"/>
      <c r="Q91" s="33"/>
      <c r="R91" s="33"/>
      <c r="S91" s="33"/>
      <c r="T91" s="33"/>
      <c r="U91" s="33"/>
      <c r="V91" s="33"/>
      <c r="W91" s="33"/>
      <c r="X91" s="33"/>
      <c r="Y91" s="33"/>
      <c r="Z91" s="33"/>
      <c r="AA91" s="33"/>
    </row>
    <row r="92" spans="1:27" ht="14.25" customHeight="1" x14ac:dyDescent="0.25">
      <c r="A92" s="33"/>
      <c r="B92" s="42"/>
      <c r="C92" s="33"/>
      <c r="D92" s="33"/>
      <c r="E92" s="33"/>
      <c r="F92" s="33"/>
      <c r="G92" s="33"/>
      <c r="H92" s="33"/>
      <c r="I92" s="33"/>
      <c r="J92" s="33"/>
      <c r="K92" s="33"/>
      <c r="L92" s="33"/>
      <c r="M92" s="33"/>
      <c r="N92" s="33"/>
      <c r="O92" s="33"/>
      <c r="P92" s="33"/>
      <c r="Q92" s="33"/>
      <c r="R92" s="33"/>
      <c r="S92" s="33"/>
      <c r="T92" s="33"/>
      <c r="U92" s="33"/>
      <c r="V92" s="33"/>
      <c r="W92" s="33"/>
      <c r="X92" s="33"/>
      <c r="Y92" s="33"/>
      <c r="Z92" s="33"/>
      <c r="AA92" s="33"/>
    </row>
    <row r="93" spans="1:27" ht="14.25" customHeight="1" x14ac:dyDescent="0.25">
      <c r="A93" s="33"/>
      <c r="B93" s="42"/>
      <c r="C93" s="33"/>
      <c r="D93" s="33"/>
      <c r="E93" s="33"/>
      <c r="F93" s="33"/>
      <c r="G93" s="33"/>
      <c r="H93" s="33"/>
      <c r="I93" s="33"/>
      <c r="J93" s="33"/>
      <c r="K93" s="33"/>
      <c r="L93" s="33"/>
      <c r="M93" s="33"/>
      <c r="N93" s="33"/>
      <c r="O93" s="33"/>
      <c r="P93" s="33"/>
      <c r="Q93" s="33"/>
      <c r="R93" s="33"/>
      <c r="S93" s="33"/>
      <c r="T93" s="33"/>
      <c r="U93" s="33"/>
      <c r="V93" s="33"/>
      <c r="W93" s="33"/>
      <c r="X93" s="33"/>
      <c r="Y93" s="33"/>
      <c r="Z93" s="33"/>
      <c r="AA93" s="33"/>
    </row>
    <row r="94" spans="1:27" ht="14.25" customHeight="1" x14ac:dyDescent="0.25">
      <c r="A94" s="33"/>
      <c r="B94" s="42"/>
      <c r="C94" s="33"/>
      <c r="D94" s="33"/>
      <c r="E94" s="33"/>
      <c r="F94" s="33"/>
      <c r="G94" s="33"/>
      <c r="H94" s="33"/>
      <c r="I94" s="33"/>
      <c r="J94" s="33"/>
      <c r="K94" s="33"/>
      <c r="L94" s="33"/>
      <c r="M94" s="33"/>
      <c r="N94" s="33"/>
      <c r="O94" s="33"/>
      <c r="P94" s="33"/>
      <c r="Q94" s="33"/>
      <c r="R94" s="33"/>
      <c r="S94" s="33"/>
      <c r="T94" s="33"/>
      <c r="U94" s="33"/>
      <c r="V94" s="33"/>
      <c r="W94" s="33"/>
      <c r="X94" s="33"/>
      <c r="Y94" s="33"/>
      <c r="Z94" s="33"/>
      <c r="AA94" s="33"/>
    </row>
    <row r="95" spans="1:27" ht="14.25" customHeight="1" x14ac:dyDescent="0.25">
      <c r="A95" s="33"/>
      <c r="B95" s="42"/>
      <c r="C95" s="33"/>
      <c r="D95" s="33"/>
      <c r="E95" s="33"/>
      <c r="F95" s="33"/>
      <c r="G95" s="33"/>
      <c r="H95" s="33"/>
      <c r="I95" s="33"/>
      <c r="J95" s="33"/>
      <c r="K95" s="33"/>
      <c r="L95" s="33"/>
      <c r="M95" s="33"/>
      <c r="N95" s="33"/>
      <c r="O95" s="33"/>
      <c r="P95" s="33"/>
      <c r="Q95" s="33"/>
      <c r="R95" s="33"/>
      <c r="S95" s="33"/>
      <c r="T95" s="33"/>
      <c r="U95" s="33"/>
      <c r="V95" s="33"/>
      <c r="W95" s="33"/>
      <c r="X95" s="33"/>
      <c r="Y95" s="33"/>
      <c r="Z95" s="33"/>
      <c r="AA95" s="33"/>
    </row>
    <row r="96" spans="1:27" ht="14.25" customHeight="1" x14ac:dyDescent="0.25">
      <c r="A96" s="33"/>
      <c r="B96" s="42"/>
      <c r="C96" s="33"/>
      <c r="D96" s="33"/>
      <c r="E96" s="33"/>
      <c r="F96" s="33"/>
      <c r="G96" s="33"/>
      <c r="H96" s="33"/>
      <c r="I96" s="33"/>
      <c r="J96" s="33"/>
      <c r="K96" s="33"/>
      <c r="L96" s="33"/>
      <c r="M96" s="33"/>
      <c r="N96" s="33"/>
      <c r="O96" s="33"/>
      <c r="P96" s="33"/>
      <c r="Q96" s="33"/>
      <c r="R96" s="33"/>
      <c r="S96" s="33"/>
      <c r="T96" s="33"/>
      <c r="U96" s="33"/>
      <c r="V96" s="33"/>
      <c r="W96" s="33"/>
      <c r="X96" s="33"/>
      <c r="Y96" s="33"/>
      <c r="Z96" s="33"/>
      <c r="AA96" s="33"/>
    </row>
    <row r="97" spans="1:27" ht="14.25" customHeight="1" x14ac:dyDescent="0.25">
      <c r="A97" s="33"/>
      <c r="B97" s="42"/>
      <c r="C97" s="33"/>
      <c r="D97" s="33"/>
      <c r="E97" s="33"/>
      <c r="F97" s="33"/>
      <c r="G97" s="33"/>
      <c r="H97" s="33"/>
      <c r="I97" s="33"/>
      <c r="J97" s="33"/>
      <c r="K97" s="33"/>
      <c r="L97" s="33"/>
      <c r="M97" s="33"/>
      <c r="N97" s="33"/>
      <c r="O97" s="33"/>
      <c r="P97" s="33"/>
      <c r="Q97" s="33"/>
      <c r="R97" s="33"/>
      <c r="S97" s="33"/>
      <c r="T97" s="33"/>
      <c r="U97" s="33"/>
      <c r="V97" s="33"/>
      <c r="W97" s="33"/>
      <c r="X97" s="33"/>
      <c r="Y97" s="33"/>
      <c r="Z97" s="33"/>
      <c r="AA97" s="33"/>
    </row>
    <row r="98" spans="1:27" ht="14.25" customHeight="1" x14ac:dyDescent="0.25">
      <c r="A98" s="33"/>
      <c r="B98" s="42"/>
      <c r="C98" s="33"/>
      <c r="D98" s="33"/>
      <c r="E98" s="33"/>
      <c r="F98" s="33"/>
      <c r="G98" s="33"/>
      <c r="H98" s="33"/>
      <c r="I98" s="33"/>
      <c r="J98" s="33"/>
      <c r="K98" s="33"/>
      <c r="L98" s="33"/>
      <c r="M98" s="33"/>
      <c r="N98" s="33"/>
      <c r="O98" s="33"/>
      <c r="P98" s="33"/>
      <c r="Q98" s="33"/>
      <c r="R98" s="33"/>
      <c r="S98" s="33"/>
      <c r="T98" s="33"/>
      <c r="U98" s="33"/>
      <c r="V98" s="33"/>
      <c r="W98" s="33"/>
      <c r="X98" s="33"/>
      <c r="Y98" s="33"/>
      <c r="Z98" s="33"/>
      <c r="AA98" s="33"/>
    </row>
    <row r="99" spans="1:27" ht="14.25" customHeight="1" x14ac:dyDescent="0.25">
      <c r="A99" s="33"/>
      <c r="B99" s="42"/>
      <c r="C99" s="33"/>
      <c r="D99" s="33"/>
      <c r="E99" s="33"/>
      <c r="F99" s="33"/>
      <c r="G99" s="33"/>
      <c r="H99" s="33"/>
      <c r="I99" s="33"/>
      <c r="J99" s="33"/>
      <c r="K99" s="33"/>
      <c r="L99" s="33"/>
      <c r="M99" s="33"/>
      <c r="N99" s="33"/>
      <c r="O99" s="33"/>
      <c r="P99" s="33"/>
      <c r="Q99" s="33"/>
      <c r="R99" s="33"/>
      <c r="S99" s="33"/>
      <c r="T99" s="33"/>
      <c r="U99" s="33"/>
      <c r="V99" s="33"/>
      <c r="W99" s="33"/>
      <c r="X99" s="33"/>
      <c r="Y99" s="33"/>
      <c r="Z99" s="33"/>
      <c r="AA99" s="33"/>
    </row>
    <row r="100" spans="1:27" ht="14.25" customHeight="1" x14ac:dyDescent="0.25">
      <c r="A100" s="33"/>
      <c r="B100" s="42"/>
      <c r="C100" s="33"/>
      <c r="D100" s="33"/>
      <c r="E100" s="33"/>
      <c r="F100" s="33"/>
      <c r="G100" s="33"/>
      <c r="H100" s="33"/>
      <c r="I100" s="33"/>
      <c r="J100" s="33"/>
      <c r="K100" s="33"/>
      <c r="L100" s="33"/>
      <c r="M100" s="33"/>
      <c r="N100" s="33"/>
      <c r="O100" s="33"/>
      <c r="P100" s="33"/>
      <c r="Q100" s="33"/>
      <c r="R100" s="33"/>
      <c r="S100" s="33"/>
      <c r="T100" s="33"/>
      <c r="U100" s="33"/>
      <c r="V100" s="33"/>
      <c r="W100" s="33"/>
      <c r="X100" s="33"/>
      <c r="Y100" s="33"/>
      <c r="Z100" s="33"/>
      <c r="AA100" s="33"/>
    </row>
    <row r="101" spans="1:27" ht="14.25" customHeight="1" x14ac:dyDescent="0.25">
      <c r="A101" s="33"/>
      <c r="B101" s="42"/>
      <c r="C101" s="33"/>
      <c r="D101" s="33"/>
      <c r="E101" s="33"/>
      <c r="F101" s="33"/>
      <c r="G101" s="33"/>
      <c r="H101" s="33"/>
      <c r="I101" s="33"/>
      <c r="J101" s="33"/>
      <c r="K101" s="33"/>
      <c r="L101" s="33"/>
      <c r="M101" s="33"/>
      <c r="N101" s="33"/>
      <c r="O101" s="33"/>
      <c r="P101" s="33"/>
      <c r="Q101" s="33"/>
      <c r="R101" s="33"/>
      <c r="S101" s="33"/>
      <c r="T101" s="33"/>
      <c r="U101" s="33"/>
      <c r="V101" s="33"/>
      <c r="W101" s="33"/>
      <c r="X101" s="33"/>
      <c r="Y101" s="33"/>
      <c r="Z101" s="33"/>
      <c r="AA101" s="33"/>
    </row>
    <row r="102" spans="1:27" ht="14.25" customHeight="1" x14ac:dyDescent="0.25">
      <c r="A102" s="33"/>
      <c r="B102" s="42"/>
      <c r="C102" s="33"/>
      <c r="D102" s="33"/>
      <c r="E102" s="33"/>
      <c r="F102" s="33"/>
      <c r="G102" s="33"/>
      <c r="H102" s="33"/>
      <c r="I102" s="33"/>
      <c r="J102" s="33"/>
      <c r="K102" s="33"/>
      <c r="L102" s="33"/>
      <c r="M102" s="33"/>
      <c r="N102" s="33"/>
      <c r="O102" s="33"/>
      <c r="P102" s="33"/>
      <c r="Q102" s="33"/>
      <c r="R102" s="33"/>
      <c r="S102" s="33"/>
      <c r="T102" s="33"/>
      <c r="U102" s="33"/>
      <c r="V102" s="33"/>
      <c r="W102" s="33"/>
      <c r="X102" s="33"/>
      <c r="Y102" s="33"/>
      <c r="Z102" s="33"/>
      <c r="AA102" s="33"/>
    </row>
    <row r="103" spans="1:27" ht="14.25" customHeight="1" x14ac:dyDescent="0.25">
      <c r="A103" s="33"/>
      <c r="B103" s="42"/>
      <c r="C103" s="33"/>
      <c r="D103" s="33"/>
      <c r="E103" s="33"/>
      <c r="F103" s="33"/>
      <c r="G103" s="33"/>
      <c r="H103" s="33"/>
      <c r="I103" s="33"/>
      <c r="J103" s="33"/>
      <c r="K103" s="33"/>
      <c r="L103" s="33"/>
      <c r="M103" s="33"/>
      <c r="N103" s="33"/>
      <c r="O103" s="33"/>
      <c r="P103" s="33"/>
      <c r="Q103" s="33"/>
      <c r="R103" s="33"/>
      <c r="S103" s="33"/>
      <c r="T103" s="33"/>
      <c r="U103" s="33"/>
      <c r="V103" s="33"/>
      <c r="W103" s="33"/>
      <c r="X103" s="33"/>
      <c r="Y103" s="33"/>
      <c r="Z103" s="33"/>
      <c r="AA103" s="33"/>
    </row>
    <row r="104" spans="1:27" ht="14.25" customHeight="1" x14ac:dyDescent="0.25">
      <c r="A104" s="33"/>
      <c r="B104" s="42"/>
      <c r="C104" s="33"/>
      <c r="D104" s="33"/>
      <c r="E104" s="33"/>
      <c r="F104" s="33"/>
      <c r="G104" s="33"/>
      <c r="H104" s="33"/>
      <c r="I104" s="33"/>
      <c r="J104" s="33"/>
      <c r="K104" s="33"/>
      <c r="L104" s="33"/>
      <c r="M104" s="33"/>
      <c r="N104" s="33"/>
      <c r="O104" s="33"/>
      <c r="P104" s="33"/>
      <c r="Q104" s="33"/>
      <c r="R104" s="33"/>
      <c r="S104" s="33"/>
      <c r="T104" s="33"/>
      <c r="U104" s="33"/>
      <c r="V104" s="33"/>
      <c r="W104" s="33"/>
      <c r="X104" s="33"/>
      <c r="Y104" s="33"/>
      <c r="Z104" s="33"/>
      <c r="AA104" s="33"/>
    </row>
  </sheetData>
  <sheetProtection algorithmName="SHA-512" hashValue="XEwcKIdE5OYQygpF76GQQ0noLZ25amTLFo5J2eTAgJszIktId123zQURQbxr1r+cR6w3muoS7lNLu2P594d/9w==" saltValue="3P8VI8QHhcGu3xT1NFOYaQ==" spinCount="100000" sheet="1" objects="1" scenarios="1"/>
  <mergeCells count="5">
    <mergeCell ref="B9:B11"/>
    <mergeCell ref="D9:V9"/>
    <mergeCell ref="Q2:R2"/>
    <mergeCell ref="U2:V2"/>
    <mergeCell ref="B1:B3"/>
  </mergeCells>
  <conditionalFormatting sqref="U18">
    <cfRule type="expression" dxfId="228" priority="49">
      <formula>U$7="NÃO"</formula>
    </cfRule>
  </conditionalFormatting>
  <conditionalFormatting sqref="U18">
    <cfRule type="expression" dxfId="227" priority="50">
      <formula>U$7= "SIM"</formula>
    </cfRule>
  </conditionalFormatting>
  <conditionalFormatting sqref="U19">
    <cfRule type="expression" dxfId="226" priority="47">
      <formula>U$7="NÃO"</formula>
    </cfRule>
  </conditionalFormatting>
  <conditionalFormatting sqref="U19">
    <cfRule type="expression" dxfId="225" priority="48">
      <formula>U$7= "SIM"</formula>
    </cfRule>
  </conditionalFormatting>
  <conditionalFormatting sqref="Q15">
    <cfRule type="expression" dxfId="224" priority="45">
      <formula>Q$7="NÃO"</formula>
    </cfRule>
  </conditionalFormatting>
  <conditionalFormatting sqref="Q15">
    <cfRule type="expression" dxfId="223" priority="46">
      <formula>Q$7= "SIM"</formula>
    </cfRule>
  </conditionalFormatting>
  <conditionalFormatting sqref="Q16">
    <cfRule type="expression" dxfId="222" priority="43">
      <formula>Q$7="NÃO"</formula>
    </cfRule>
  </conditionalFormatting>
  <conditionalFormatting sqref="Q16">
    <cfRule type="expression" dxfId="221" priority="44">
      <formula>Q$7= "SIM"</formula>
    </cfRule>
  </conditionalFormatting>
  <conditionalFormatting sqref="Q17">
    <cfRule type="expression" dxfId="220" priority="41">
      <formula>Q$7="NÃO"</formula>
    </cfRule>
  </conditionalFormatting>
  <conditionalFormatting sqref="Q17">
    <cfRule type="expression" dxfId="219" priority="42">
      <formula>Q$7= "SIM"</formula>
    </cfRule>
  </conditionalFormatting>
  <conditionalFormatting sqref="Q18">
    <cfRule type="expression" dxfId="218" priority="39">
      <formula>Q$7="NÃO"</formula>
    </cfRule>
  </conditionalFormatting>
  <conditionalFormatting sqref="Q18">
    <cfRule type="expression" dxfId="217" priority="40">
      <formula>Q$7= "SIM"</formula>
    </cfRule>
  </conditionalFormatting>
  <conditionalFormatting sqref="Q19">
    <cfRule type="expression" dxfId="216" priority="37">
      <formula>Q$7="NÃO"</formula>
    </cfRule>
  </conditionalFormatting>
  <conditionalFormatting sqref="Q19">
    <cfRule type="expression" dxfId="215" priority="38">
      <formula>Q$7= "SIM"</formula>
    </cfRule>
  </conditionalFormatting>
  <conditionalFormatting sqref="M15">
    <cfRule type="expression" dxfId="214" priority="35">
      <formula>M$7="NÃO"</formula>
    </cfRule>
  </conditionalFormatting>
  <conditionalFormatting sqref="M15">
    <cfRule type="expression" dxfId="213" priority="36">
      <formula>M$7= "SIM"</formula>
    </cfRule>
  </conditionalFormatting>
  <conditionalFormatting sqref="M16">
    <cfRule type="expression" dxfId="212" priority="33">
      <formula>M$7="NÃO"</formula>
    </cfRule>
  </conditionalFormatting>
  <conditionalFormatting sqref="M16">
    <cfRule type="expression" dxfId="211" priority="34">
      <formula>M$7= "SIM"</formula>
    </cfRule>
  </conditionalFormatting>
  <conditionalFormatting sqref="M17">
    <cfRule type="expression" dxfId="210" priority="31">
      <formula>M$7="NÃO"</formula>
    </cfRule>
  </conditionalFormatting>
  <conditionalFormatting sqref="M17">
    <cfRule type="expression" dxfId="209" priority="32">
      <formula>M$7= "SIM"</formula>
    </cfRule>
  </conditionalFormatting>
  <conditionalFormatting sqref="M18">
    <cfRule type="expression" dxfId="208" priority="29">
      <formula>M$7="NÃO"</formula>
    </cfRule>
  </conditionalFormatting>
  <conditionalFormatting sqref="M18">
    <cfRule type="expression" dxfId="207" priority="30">
      <formula>M$7= "SIM"</formula>
    </cfRule>
  </conditionalFormatting>
  <conditionalFormatting sqref="M19">
    <cfRule type="expression" dxfId="206" priority="27">
      <formula>M$7="NÃO"</formula>
    </cfRule>
  </conditionalFormatting>
  <conditionalFormatting sqref="M19">
    <cfRule type="expression" dxfId="205" priority="28">
      <formula>M$7= "SIM"</formula>
    </cfRule>
  </conditionalFormatting>
  <conditionalFormatting sqref="I15">
    <cfRule type="expression" dxfId="204" priority="25">
      <formula>I$7="NÃO"</formula>
    </cfRule>
  </conditionalFormatting>
  <conditionalFormatting sqref="I15">
    <cfRule type="expression" dxfId="203" priority="26">
      <formula>I$7= "SIM"</formula>
    </cfRule>
  </conditionalFormatting>
  <conditionalFormatting sqref="I16">
    <cfRule type="expression" dxfId="202" priority="23">
      <formula>I$7="NÃO"</formula>
    </cfRule>
  </conditionalFormatting>
  <conditionalFormatting sqref="I16">
    <cfRule type="expression" dxfId="201" priority="24">
      <formula>I$7= "SIM"</formula>
    </cfRule>
  </conditionalFormatting>
  <conditionalFormatting sqref="I17">
    <cfRule type="expression" dxfId="200" priority="21">
      <formula>I$7="NÃO"</formula>
    </cfRule>
  </conditionalFormatting>
  <conditionalFormatting sqref="I17">
    <cfRule type="expression" dxfId="199" priority="22">
      <formula>I$7= "SIM"</formula>
    </cfRule>
  </conditionalFormatting>
  <conditionalFormatting sqref="I18">
    <cfRule type="expression" dxfId="198" priority="19">
      <formula>I$7="NÃO"</formula>
    </cfRule>
  </conditionalFormatting>
  <conditionalFormatting sqref="I18">
    <cfRule type="expression" dxfId="197" priority="20">
      <formula>I$7= "SIM"</formula>
    </cfRule>
  </conditionalFormatting>
  <conditionalFormatting sqref="I19">
    <cfRule type="expression" dxfId="196" priority="17">
      <formula>I$7="NÃO"</formula>
    </cfRule>
  </conditionalFormatting>
  <conditionalFormatting sqref="I19">
    <cfRule type="expression" dxfId="195" priority="18">
      <formula>I$7= "SIM"</formula>
    </cfRule>
  </conditionalFormatting>
  <conditionalFormatting sqref="E15">
    <cfRule type="expression" dxfId="194" priority="15">
      <formula>E$7="NÃO"</formula>
    </cfRule>
  </conditionalFormatting>
  <conditionalFormatting sqref="E15">
    <cfRule type="expression" dxfId="193" priority="16">
      <formula>E$7= "SIM"</formula>
    </cfRule>
  </conditionalFormatting>
  <conditionalFormatting sqref="E16">
    <cfRule type="expression" dxfId="192" priority="13">
      <formula>E$7="NÃO"</formula>
    </cfRule>
  </conditionalFormatting>
  <conditionalFormatting sqref="E16">
    <cfRule type="expression" dxfId="191" priority="14">
      <formula>E$7= "SIM"</formula>
    </cfRule>
  </conditionalFormatting>
  <conditionalFormatting sqref="E17">
    <cfRule type="expression" dxfId="190" priority="11">
      <formula>E$7="NÃO"</formula>
    </cfRule>
  </conditionalFormatting>
  <conditionalFormatting sqref="E17">
    <cfRule type="expression" dxfId="189" priority="12">
      <formula>E$7= "SIM"</formula>
    </cfRule>
  </conditionalFormatting>
  <conditionalFormatting sqref="E18">
    <cfRule type="expression" dxfId="188" priority="9">
      <formula>E$7="NÃO"</formula>
    </cfRule>
  </conditionalFormatting>
  <conditionalFormatting sqref="E18">
    <cfRule type="expression" dxfId="187" priority="10">
      <formula>E$7= "SIM"</formula>
    </cfRule>
  </conditionalFormatting>
  <conditionalFormatting sqref="E19">
    <cfRule type="expression" dxfId="186" priority="7">
      <formula>E$7="NÃO"</formula>
    </cfRule>
  </conditionalFormatting>
  <conditionalFormatting sqref="E19">
    <cfRule type="expression" dxfId="185" priority="8">
      <formula>E$7= "SIM"</formula>
    </cfRule>
  </conditionalFormatting>
  <conditionalFormatting sqref="E35 E27:E28 M27:M28 I27:I28 Q27:Q28 U27:U28 E38 E32 I32 M32 Q32 U32 I38 M38 Q38 U38 U41:U45 Q41:Q45 M41:M45 I41:I45 E41:E45 Q35 I35 U35 M35">
    <cfRule type="expression" dxfId="184" priority="57">
      <formula>E$7="NÃO"</formula>
    </cfRule>
  </conditionalFormatting>
  <conditionalFormatting sqref="E35 E27:E28 M27:M28 I27:I28 Q27:Q28 U27:U28 E38 E32 I32 M32 Q32 U32 I38 M38 Q38 U38 U41:U45 Q41:Q45 M41:M45 I41:I45 E41:E45 Q35 I35 U35 M35">
    <cfRule type="expression" dxfId="183" priority="58">
      <formula>E$7= "SIM"</formula>
    </cfRule>
  </conditionalFormatting>
  <conditionalFormatting sqref="U15">
    <cfRule type="expression" dxfId="182" priority="55">
      <formula>U$7="NÃO"</formula>
    </cfRule>
  </conditionalFormatting>
  <conditionalFormatting sqref="U15">
    <cfRule type="expression" dxfId="181" priority="56">
      <formula>U$7= "SIM"</formula>
    </cfRule>
  </conditionalFormatting>
  <conditionalFormatting sqref="U16">
    <cfRule type="expression" dxfId="180" priority="53">
      <formula>U$7="NÃO"</formula>
    </cfRule>
  </conditionalFormatting>
  <conditionalFormatting sqref="U16">
    <cfRule type="expression" dxfId="179" priority="54">
      <formula>U$7= "SIM"</formula>
    </cfRule>
  </conditionalFormatting>
  <conditionalFormatting sqref="U17">
    <cfRule type="expression" dxfId="178" priority="51">
      <formula>U$7="NÃO"</formula>
    </cfRule>
  </conditionalFormatting>
  <conditionalFormatting sqref="U17">
    <cfRule type="expression" dxfId="177" priority="52">
      <formula>U$7= "SIM"</formula>
    </cfRule>
  </conditionalFormatting>
  <conditionalFormatting sqref="I7 E7 M7 Q7 U7">
    <cfRule type="expression" dxfId="176" priority="3">
      <formula>E$7="NÃO"</formula>
    </cfRule>
  </conditionalFormatting>
  <conditionalFormatting sqref="I7 E7 M7 Q7 U7">
    <cfRule type="expression" dxfId="175" priority="4">
      <formula>E$7= "SIM"</formula>
    </cfRule>
  </conditionalFormatting>
  <conditionalFormatting sqref="L2">
    <cfRule type="expression" dxfId="174" priority="1">
      <formula>L$2="NÃO"</formula>
    </cfRule>
  </conditionalFormatting>
  <conditionalFormatting sqref="L2">
    <cfRule type="expression" dxfId="173" priority="2">
      <formula>L$2= "SIM"</formula>
    </cfRule>
  </conditionalFormatting>
  <conditionalFormatting sqref="D2">
    <cfRule type="expression" dxfId="172" priority="5">
      <formula>AND($L$2="Sim",$D$2&lt;$D$11)</formula>
    </cfRule>
  </conditionalFormatting>
  <conditionalFormatting sqref="D2">
    <cfRule type="expression" dxfId="171" priority="6">
      <formula>AND($L$2="Sim",$D$2&gt;$V$11)</formula>
    </cfRule>
  </conditionalFormatting>
  <pageMargins left="0.511811024" right="0.511811024" top="0.78740157499999996" bottom="0.78740157499999996" header="0" footer="0"/>
  <pageSetup orientation="landscape"/>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8">
    <outlinePr summaryBelow="0"/>
  </sheetPr>
  <dimension ref="A1:AB109"/>
  <sheetViews>
    <sheetView zoomScale="75" zoomScaleNormal="75" workbookViewId="0">
      <selection activeCell="D12" sqref="D12"/>
    </sheetView>
  </sheetViews>
  <sheetFormatPr defaultColWidth="14.42578125" defaultRowHeight="15" customHeight="1" outlineLevelRow="1" x14ac:dyDescent="0.25"/>
  <cols>
    <col min="1" max="1" width="1.7109375" customWidth="1"/>
    <col min="2" max="2" width="60.7109375" customWidth="1"/>
    <col min="3" max="3" width="1.7109375" customWidth="1"/>
    <col min="4" max="4" width="11.7109375" customWidth="1"/>
    <col min="5" max="5" width="15.7109375" customWidth="1"/>
    <col min="6" max="6" width="11.7109375" customWidth="1"/>
    <col min="7" max="7" width="1.7109375" customWidth="1"/>
    <col min="8" max="8" width="11.7109375" customWidth="1"/>
    <col min="9" max="9" width="15.7109375" customWidth="1"/>
    <col min="10" max="10" width="11.7109375" customWidth="1"/>
    <col min="11" max="11" width="1.7109375" customWidth="1"/>
    <col min="12" max="12" width="11.7109375" customWidth="1"/>
    <col min="13" max="13" width="15.7109375" customWidth="1"/>
    <col min="14" max="14" width="11.7109375" customWidth="1"/>
    <col min="15" max="15" width="1.7109375" customWidth="1"/>
    <col min="16" max="16" width="11.7109375" customWidth="1"/>
    <col min="17" max="17" width="15.7109375" customWidth="1"/>
    <col min="18" max="18" width="11.7109375" customWidth="1"/>
    <col min="19" max="19" width="1.7109375" customWidth="1"/>
    <col min="20" max="20" width="11.7109375" customWidth="1"/>
    <col min="21" max="21" width="15.7109375" customWidth="1"/>
    <col min="22" max="22" width="11.7109375" customWidth="1"/>
    <col min="23" max="24" width="6.42578125" hidden="1" customWidth="1"/>
    <col min="25" max="27" width="7.42578125" hidden="1" customWidth="1"/>
    <col min="28" max="28" width="8.7109375" customWidth="1"/>
  </cols>
  <sheetData>
    <row r="1" spans="1:28" ht="19.899999999999999" customHeight="1" x14ac:dyDescent="0.25">
      <c r="A1" s="406"/>
      <c r="B1" s="2950" t="s">
        <v>770</v>
      </c>
      <c r="C1" s="433"/>
      <c r="D1" s="433"/>
      <c r="E1" s="433"/>
      <c r="F1" s="433"/>
      <c r="G1" s="433"/>
      <c r="H1" s="433"/>
      <c r="I1" s="433"/>
      <c r="J1" s="433"/>
      <c r="K1" s="433"/>
      <c r="L1" s="433"/>
      <c r="M1" s="433"/>
      <c r="N1" s="433"/>
      <c r="O1" s="433"/>
      <c r="P1" s="433"/>
      <c r="Q1" s="433"/>
      <c r="R1" s="433"/>
      <c r="S1" s="433"/>
      <c r="T1" s="433"/>
      <c r="U1" s="433"/>
      <c r="V1" s="433"/>
      <c r="W1" s="152"/>
      <c r="X1" s="152"/>
      <c r="Y1" s="152"/>
      <c r="Z1" s="152"/>
      <c r="AA1" s="152"/>
      <c r="AB1" s="152"/>
    </row>
    <row r="2" spans="1:28" ht="19.899999999999999" customHeight="1" x14ac:dyDescent="0.3">
      <c r="A2" s="434"/>
      <c r="B2" s="2950"/>
      <c r="C2" s="436"/>
      <c r="D2" s="899">
        <f>'R-Resumo Bal. Massa'!B34*(1+'R&amp;C-Painel de Controle'!H65)</f>
        <v>0</v>
      </c>
      <c r="E2" s="900" t="s">
        <v>21</v>
      </c>
      <c r="H2" s="1105">
        <f>D2*313</f>
        <v>0</v>
      </c>
      <c r="I2" s="1104" t="s">
        <v>249</v>
      </c>
      <c r="L2" s="1086" t="str">
        <f>IF(D2&gt;0,"Sim","Não'")</f>
        <v>Não'</v>
      </c>
      <c r="M2" s="431"/>
      <c r="N2" s="431"/>
      <c r="O2" s="431"/>
      <c r="P2" s="1106" t="s">
        <v>436</v>
      </c>
      <c r="Q2" s="2941" t="str">
        <f>'R-Definição'!D2</f>
        <v>CIRSOP - Consórcio RSU Oeste Paulista</v>
      </c>
      <c r="R2" s="2942"/>
      <c r="S2" s="429"/>
      <c r="T2" s="1106" t="s">
        <v>437</v>
      </c>
      <c r="U2" s="2941" t="str">
        <f>'R-Definição'!D3</f>
        <v>Biodigestão c/ Prod. E. Elétrica</v>
      </c>
      <c r="V2" s="2942"/>
      <c r="W2" s="307"/>
      <c r="X2" s="307"/>
      <c r="Y2" s="307"/>
      <c r="Z2" s="307"/>
      <c r="AA2" s="307"/>
      <c r="AB2" s="307"/>
    </row>
    <row r="3" spans="1:28" ht="19.899999999999999" customHeight="1" x14ac:dyDescent="0.25">
      <c r="A3" s="406"/>
      <c r="B3" s="2950"/>
      <c r="C3" s="427"/>
      <c r="D3" s="426"/>
      <c r="E3" s="426"/>
      <c r="F3" s="426"/>
      <c r="G3" s="426"/>
      <c r="H3" s="426"/>
      <c r="I3" s="426"/>
      <c r="J3" s="426"/>
      <c r="K3" s="426"/>
      <c r="L3" s="426"/>
      <c r="M3" s="426"/>
      <c r="N3" s="426"/>
      <c r="O3" s="431"/>
      <c r="P3" s="426"/>
      <c r="Q3" s="426"/>
      <c r="R3" s="426"/>
      <c r="S3" s="426"/>
      <c r="T3" s="426"/>
      <c r="U3" s="426"/>
      <c r="V3" s="426"/>
      <c r="W3" s="152"/>
      <c r="X3" s="152"/>
      <c r="Y3" s="152"/>
      <c r="Z3" s="152"/>
      <c r="AA3" s="152"/>
      <c r="AB3" s="152"/>
    </row>
    <row r="4" spans="1:28" ht="7.5" customHeight="1" x14ac:dyDescent="0.25">
      <c r="A4" s="406"/>
      <c r="B4" s="683"/>
      <c r="C4" s="403"/>
      <c r="D4" s="1061"/>
      <c r="E4" s="1061"/>
      <c r="F4" s="1061"/>
      <c r="G4" s="403"/>
      <c r="H4" s="1061"/>
      <c r="I4" s="1061"/>
      <c r="J4" s="1061"/>
      <c r="K4" s="403"/>
      <c r="L4" s="1061"/>
      <c r="M4" s="1061"/>
      <c r="N4" s="1061"/>
      <c r="O4" s="403"/>
      <c r="P4" s="1061"/>
      <c r="Q4" s="1061"/>
      <c r="R4" s="1061"/>
      <c r="S4" s="905"/>
      <c r="T4" s="1061"/>
      <c r="U4" s="1061"/>
      <c r="V4" s="906"/>
      <c r="W4" s="170"/>
      <c r="X4" s="170"/>
      <c r="Y4" s="170"/>
      <c r="Z4" s="170"/>
      <c r="AA4" s="170"/>
      <c r="AB4" s="152"/>
    </row>
    <row r="5" spans="1:28" ht="17.649999999999999" customHeight="1" x14ac:dyDescent="0.25">
      <c r="A5" s="406"/>
      <c r="B5" s="865" t="s">
        <v>755</v>
      </c>
      <c r="C5" s="437"/>
      <c r="D5" s="1110">
        <v>4.5</v>
      </c>
      <c r="E5" s="870" t="s">
        <v>766</v>
      </c>
      <c r="F5" s="868"/>
      <c r="G5" s="868"/>
      <c r="H5" s="868"/>
      <c r="I5" s="868"/>
      <c r="J5" s="868"/>
      <c r="K5" s="868"/>
      <c r="L5" s="868"/>
      <c r="M5" s="868"/>
      <c r="N5" s="868"/>
      <c r="O5" s="868"/>
      <c r="P5" s="868"/>
      <c r="Q5" s="868"/>
      <c r="R5" s="868"/>
      <c r="S5" s="868"/>
      <c r="T5" s="868"/>
      <c r="U5" s="868"/>
      <c r="V5" s="317"/>
      <c r="W5" s="152"/>
      <c r="X5" s="152"/>
      <c r="Y5" s="152"/>
      <c r="Z5" s="152"/>
      <c r="AA5" s="152"/>
      <c r="AB5" s="152"/>
    </row>
    <row r="6" spans="1:28" ht="7.5" customHeight="1" x14ac:dyDescent="0.25">
      <c r="A6" s="406"/>
      <c r="B6" s="683"/>
      <c r="C6" s="403"/>
      <c r="D6" s="1061"/>
      <c r="E6" s="1061"/>
      <c r="F6" s="1061"/>
      <c r="G6" s="403"/>
      <c r="H6" s="1061"/>
      <c r="I6" s="1061"/>
      <c r="J6" s="1061"/>
      <c r="K6" s="403"/>
      <c r="L6" s="1061"/>
      <c r="M6" s="1061"/>
      <c r="N6" s="1061"/>
      <c r="O6" s="403"/>
      <c r="P6" s="1061"/>
      <c r="Q6" s="1061"/>
      <c r="R6" s="1061"/>
      <c r="S6" s="905"/>
      <c r="T6" s="1061"/>
      <c r="U6" s="1061"/>
      <c r="V6" s="906"/>
      <c r="W6" s="170"/>
      <c r="X6" s="170"/>
      <c r="Y6" s="170"/>
      <c r="Z6" s="170"/>
      <c r="AA6" s="170"/>
      <c r="AB6" s="152"/>
    </row>
    <row r="7" spans="1:28" ht="19.899999999999999" customHeight="1" x14ac:dyDescent="0.25">
      <c r="A7" s="406"/>
      <c r="B7" s="849"/>
      <c r="C7" s="849"/>
      <c r="D7" s="849"/>
      <c r="E7" s="1054" t="str">
        <f>IF(AND(L2="Sim",$D$2&gt;D11,$D$2&lt;=F11),"SIM","NÃO")</f>
        <v>NÃO</v>
      </c>
      <c r="F7" s="853"/>
      <c r="G7" s="849"/>
      <c r="H7" s="853"/>
      <c r="I7" s="1090" t="str">
        <f>IF(AND(L2="Sim",$D$2&gt;H11,$D$2&lt;=J11),"SIM","NÃO")</f>
        <v>NÃO</v>
      </c>
      <c r="J7" s="853"/>
      <c r="K7" s="849"/>
      <c r="L7" s="853"/>
      <c r="M7" s="1054" t="str">
        <f>IF(AND(L2="Sim",$D$2&gt;L11,$D$2&lt;=N11),"SIM","NÃO")</f>
        <v>NÃO</v>
      </c>
      <c r="N7" s="853"/>
      <c r="O7" s="1088"/>
      <c r="P7" s="853"/>
      <c r="Q7" s="1054" t="str">
        <f>IF(AND(L2="Sim",$D$2&gt;P11,$D$2&lt;=R11),"SIM","NÃO")</f>
        <v>NÃO</v>
      </c>
      <c r="R7" s="853"/>
      <c r="S7" s="849"/>
      <c r="T7" s="853"/>
      <c r="U7" s="1091" t="str">
        <f>IF(AND(L2="Sim",$D$2&gt;T11,$D$2&lt;=V11*1.5),"SIM","NÃO")</f>
        <v>NÃO</v>
      </c>
      <c r="V7" s="849"/>
      <c r="W7" s="152"/>
      <c r="X7" s="152"/>
      <c r="Y7" s="152"/>
      <c r="Z7" s="152"/>
      <c r="AA7" s="152"/>
      <c r="AB7" s="152"/>
    </row>
    <row r="8" spans="1:28" ht="7.5" customHeight="1" thickBot="1" x14ac:dyDescent="0.3">
      <c r="A8" s="406"/>
      <c r="B8" s="683"/>
      <c r="C8" s="403"/>
      <c r="D8" s="1061"/>
      <c r="E8" s="1061"/>
      <c r="F8" s="1061"/>
      <c r="G8" s="403"/>
      <c r="H8" s="1061"/>
      <c r="I8" s="1061"/>
      <c r="J8" s="1061"/>
      <c r="K8" s="403"/>
      <c r="L8" s="1061"/>
      <c r="M8" s="1061"/>
      <c r="N8" s="1061"/>
      <c r="O8" s="403"/>
      <c r="P8" s="1061"/>
      <c r="Q8" s="1061"/>
      <c r="R8" s="1061"/>
      <c r="S8" s="905"/>
      <c r="T8" s="1061"/>
      <c r="U8" s="1061"/>
      <c r="V8" s="906"/>
      <c r="W8" s="170"/>
      <c r="X8" s="170"/>
      <c r="Y8" s="170"/>
      <c r="Z8" s="170"/>
      <c r="AA8" s="170"/>
      <c r="AB8" s="152"/>
    </row>
    <row r="9" spans="1:28" s="882" customFormat="1" ht="17.649999999999999" customHeight="1" thickTop="1" thickBot="1" x14ac:dyDescent="0.35">
      <c r="A9" s="883"/>
      <c r="B9" s="2944" t="s">
        <v>640</v>
      </c>
      <c r="C9" s="901"/>
      <c r="D9" s="2947" t="s">
        <v>651</v>
      </c>
      <c r="E9" s="2948"/>
      <c r="F9" s="2948"/>
      <c r="G9" s="2948"/>
      <c r="H9" s="2948"/>
      <c r="I9" s="2948"/>
      <c r="J9" s="2948"/>
      <c r="K9" s="2948"/>
      <c r="L9" s="2948"/>
      <c r="M9" s="2948"/>
      <c r="N9" s="2948"/>
      <c r="O9" s="2948"/>
      <c r="P9" s="2948"/>
      <c r="Q9" s="2948"/>
      <c r="R9" s="2948"/>
      <c r="S9" s="2948"/>
      <c r="T9" s="2948"/>
      <c r="U9" s="2948"/>
      <c r="V9" s="2949"/>
      <c r="W9" s="1099"/>
      <c r="X9" s="1099"/>
      <c r="Y9" s="1099"/>
      <c r="Z9" s="1099"/>
      <c r="AA9" s="1112"/>
      <c r="AB9" s="885"/>
    </row>
    <row r="10" spans="1:28" ht="7.5" customHeight="1" x14ac:dyDescent="0.25">
      <c r="A10" s="406"/>
      <c r="B10" s="2945"/>
      <c r="C10" s="901"/>
      <c r="D10" s="1072"/>
      <c r="E10" s="898"/>
      <c r="F10" s="898"/>
      <c r="G10" s="850"/>
      <c r="H10" s="898"/>
      <c r="I10" s="898"/>
      <c r="J10" s="898"/>
      <c r="K10" s="850"/>
      <c r="L10" s="898"/>
      <c r="M10" s="898"/>
      <c r="N10" s="898"/>
      <c r="O10" s="850"/>
      <c r="P10" s="898"/>
      <c r="Q10" s="898"/>
      <c r="R10" s="898"/>
      <c r="S10" s="850"/>
      <c r="T10" s="898"/>
      <c r="U10" s="898"/>
      <c r="V10" s="1073"/>
      <c r="W10" s="170"/>
      <c r="X10" s="170"/>
      <c r="Y10" s="170"/>
      <c r="Z10" s="170"/>
      <c r="AA10" s="170"/>
      <c r="AB10" s="152"/>
    </row>
    <row r="11" spans="1:28" s="882" customFormat="1" ht="17.649999999999999" customHeight="1" thickBot="1" x14ac:dyDescent="0.35">
      <c r="A11" s="883"/>
      <c r="B11" s="2946"/>
      <c r="C11" s="901"/>
      <c r="D11" s="1064">
        <v>5</v>
      </c>
      <c r="E11" s="1066" t="s">
        <v>21</v>
      </c>
      <c r="F11" s="1066">
        <v>150</v>
      </c>
      <c r="G11" s="1067"/>
      <c r="H11" s="1066">
        <f>F11</f>
        <v>150</v>
      </c>
      <c r="I11" s="1066" t="s">
        <v>21</v>
      </c>
      <c r="J11" s="1066">
        <v>300</v>
      </c>
      <c r="K11" s="1067"/>
      <c r="L11" s="1066">
        <f>J11</f>
        <v>300</v>
      </c>
      <c r="M11" s="1066" t="s">
        <v>21</v>
      </c>
      <c r="N11" s="1066">
        <v>500</v>
      </c>
      <c r="O11" s="1067"/>
      <c r="P11" s="1066">
        <f>N11</f>
        <v>500</v>
      </c>
      <c r="Q11" s="1066" t="s">
        <v>21</v>
      </c>
      <c r="R11" s="1066">
        <v>1000</v>
      </c>
      <c r="S11" s="1067"/>
      <c r="T11" s="1066">
        <f>R11</f>
        <v>1000</v>
      </c>
      <c r="U11" s="1066" t="s">
        <v>21</v>
      </c>
      <c r="V11" s="1068">
        <v>1500</v>
      </c>
      <c r="W11" s="1112"/>
      <c r="X11" s="1113"/>
      <c r="Y11" s="1113"/>
      <c r="Z11" s="1113"/>
      <c r="AA11" s="1113"/>
      <c r="AB11" s="885"/>
    </row>
    <row r="12" spans="1:28" ht="15" customHeight="1" thickTop="1" thickBot="1" x14ac:dyDescent="0.3">
      <c r="A12" s="406"/>
      <c r="B12" s="1070"/>
      <c r="C12" s="751"/>
      <c r="D12" s="1071"/>
      <c r="E12" s="1071"/>
      <c r="F12" s="1071"/>
      <c r="G12" s="751"/>
      <c r="H12" s="1071"/>
      <c r="I12" s="1071"/>
      <c r="J12" s="1071"/>
      <c r="K12" s="751"/>
      <c r="L12" s="1071"/>
      <c r="M12" s="1071"/>
      <c r="N12" s="1071"/>
      <c r="O12" s="751"/>
      <c r="P12" s="1071"/>
      <c r="Q12" s="1071"/>
      <c r="R12" s="1071"/>
      <c r="S12" s="751"/>
      <c r="T12" s="1071"/>
      <c r="U12" s="1071"/>
      <c r="V12" s="1071"/>
      <c r="W12" s="170"/>
      <c r="X12" s="170"/>
      <c r="Y12" s="170"/>
      <c r="Z12" s="170"/>
      <c r="AA12" s="170"/>
      <c r="AB12" s="152"/>
    </row>
    <row r="13" spans="1:28" s="882" customFormat="1" ht="19.899999999999999" customHeight="1" thickTop="1" thickBot="1" x14ac:dyDescent="0.35">
      <c r="A13" s="883"/>
      <c r="B13" s="977" t="s">
        <v>440</v>
      </c>
      <c r="C13" s="903"/>
      <c r="D13" s="979" t="s">
        <v>754</v>
      </c>
      <c r="E13" s="980" t="s">
        <v>442</v>
      </c>
      <c r="F13" s="981" t="s">
        <v>289</v>
      </c>
      <c r="G13" s="869"/>
      <c r="H13" s="979" t="s">
        <v>754</v>
      </c>
      <c r="I13" s="980" t="s">
        <v>442</v>
      </c>
      <c r="J13" s="981" t="s">
        <v>289</v>
      </c>
      <c r="K13" s="869"/>
      <c r="L13" s="979" t="s">
        <v>754</v>
      </c>
      <c r="M13" s="980" t="s">
        <v>442</v>
      </c>
      <c r="N13" s="981" t="s">
        <v>289</v>
      </c>
      <c r="O13" s="869"/>
      <c r="P13" s="979" t="s">
        <v>754</v>
      </c>
      <c r="Q13" s="980" t="s">
        <v>442</v>
      </c>
      <c r="R13" s="981" t="s">
        <v>289</v>
      </c>
      <c r="S13" s="869"/>
      <c r="T13" s="979" t="s">
        <v>754</v>
      </c>
      <c r="U13" s="980" t="s">
        <v>442</v>
      </c>
      <c r="V13" s="981" t="s">
        <v>289</v>
      </c>
      <c r="W13" s="1112">
        <v>100</v>
      </c>
      <c r="X13" s="1112">
        <v>225</v>
      </c>
      <c r="Y13" s="1112">
        <v>400</v>
      </c>
      <c r="Z13" s="1112">
        <v>750</v>
      </c>
      <c r="AA13" s="1112">
        <v>1250</v>
      </c>
      <c r="AB13" s="885"/>
    </row>
    <row r="14" spans="1:28" s="1407" customFormat="1" ht="7.5" customHeight="1" x14ac:dyDescent="0.25">
      <c r="A14" s="1654"/>
      <c r="B14" s="1655"/>
      <c r="C14" s="1656"/>
      <c r="D14" s="1657"/>
      <c r="E14" s="1659">
        <v>0.7</v>
      </c>
      <c r="F14" s="1658"/>
      <c r="G14" s="1656"/>
      <c r="H14" s="1657"/>
      <c r="I14" s="1659">
        <f>E14</f>
        <v>0.7</v>
      </c>
      <c r="J14" s="1658"/>
      <c r="K14" s="1656"/>
      <c r="L14" s="1657"/>
      <c r="M14" s="1659">
        <f>I14</f>
        <v>0.7</v>
      </c>
      <c r="N14" s="1658"/>
      <c r="O14" s="1656"/>
      <c r="P14" s="1657"/>
      <c r="Q14" s="1659">
        <f>M14</f>
        <v>0.7</v>
      </c>
      <c r="R14" s="1658"/>
      <c r="S14" s="1656"/>
      <c r="T14" s="1657"/>
      <c r="U14" s="1659">
        <f>Q14</f>
        <v>0.7</v>
      </c>
      <c r="V14" s="1658"/>
      <c r="W14" s="1660"/>
      <c r="X14" s="1660"/>
      <c r="Y14" s="1660"/>
      <c r="Z14" s="1660"/>
      <c r="AA14" s="1660"/>
      <c r="AB14" s="1661"/>
    </row>
    <row r="15" spans="1:28" ht="17.649999999999999" customHeight="1" x14ac:dyDescent="0.25">
      <c r="A15" s="407"/>
      <c r="B15" s="913" t="s">
        <v>376</v>
      </c>
      <c r="C15" s="869"/>
      <c r="D15" s="1075">
        <f>204.23509527105*E14</f>
        <v>142.96456668973499</v>
      </c>
      <c r="E15" s="846" t="str">
        <f>IF(E7="SIM",((((H15*(($D$2-D11)/(F11-D11))*$H$2/1000)*E21*$D$5*(1+'R&amp;C-Painel de Controle'!$D$61)+(H15*(($D$2-D11)/(F11-D11))*$H$2/1000)*(1-E21)*'R&amp;C-Painel de Controle'!$D$52*(1+'R&amp;C-Painel de Controle'!$D$54)))+(((D15*((F11-$D$2)/(F11-D11))*$H$2/1000)*E21*$D$5*(1+'R&amp;C-Painel de Controle'!$D$61)+(D15*((F11-$D$2)/(F11-D11))*$H$2/1000)*(1-E21)*'R&amp;C-Painel de Controle'!$D$52*(1+'R&amp;C-Painel de Controle'!$D$54))))/1000, "-")</f>
        <v>-</v>
      </c>
      <c r="F15" s="917">
        <v>0.1</v>
      </c>
      <c r="G15" s="869"/>
      <c r="H15" s="1075">
        <f>107.513406509516*I14</f>
        <v>75.259384556661203</v>
      </c>
      <c r="I15" s="846" t="str">
        <f>IF(I7="SIM",((((L15*(($D$2-H11)/(J11-H11))*$H$2/1000)*I21*$D$5*(1+'R&amp;C-Painel de Controle'!$D$61)+(L15*(($D$2-H11)/(J11-H11))*$H$2/1000)*(1-I21)*'R&amp;C-Painel de Controle'!$D$52*(1+'R&amp;C-Painel de Controle'!$D$54)))+(((H15*((J11-$D$2)/(J11-H11))*$H$2/1000)*I21*$D$5*(1+'R&amp;C-Painel de Controle'!$D$61)+(H15*((J11-$D$2)/(J11-H11))*$H$2/1000)*(1-I21)*'R&amp;C-Painel de Controle'!$D$52*(1+'R&amp;C-Painel de Controle'!$D$54))))/1000, "-")</f>
        <v>-</v>
      </c>
      <c r="J15" s="917">
        <v>0.1</v>
      </c>
      <c r="K15" s="869"/>
      <c r="L15" s="1075">
        <f>86.8641794831933*M14</f>
        <v>60.804925638235304</v>
      </c>
      <c r="M15" s="846" t="str">
        <f>IF(M7="SIM",((((P15*(($D$2-L11)/(N11-L11))*$H$2/1000)*M21*$D$5*(1+'R&amp;C-Painel de Controle'!$D$61)+(P15*(($D$2-L11)/(N11-L11))*$H$2/1000)*(1-M21)*'R&amp;C-Painel de Controle'!$D$52*(1+'R&amp;C-Painel de Controle'!$D$54)))+(((L15*((N11-$D$2)/(N11-L11))*$H$2/1000)*M21*$D$5*(1+'R&amp;C-Painel de Controle'!$D$61)+(L15*((N11-$D$2)/(N11-L11))*$H$2/1000)*(1-M21)*'R&amp;C-Painel de Controle'!$D$52*(1+'R&amp;C-Painel de Controle'!$D$54))))/1000, "-")</f>
        <v>-</v>
      </c>
      <c r="N15" s="917">
        <v>0.1</v>
      </c>
      <c r="O15" s="869"/>
      <c r="P15" s="1075">
        <f>115.146141149983*Q14</f>
        <v>80.602298804988095</v>
      </c>
      <c r="Q15" s="846" t="str">
        <f>IF(Q7="SIM",((((T15*(($D$2-P11)/(R11-P11))*$H$2/1000)*Q21*$D$5*(1+'R&amp;C-Painel de Controle'!$D$61)+(T15*(($D$2-P11)/(R11-P11))*$H$2/1000)*(1-Q21)*'R&amp;C-Painel de Controle'!$D$52*(1+'R&amp;C-Painel de Controle'!$D$54)))+(((P15*((R11-$D$2)/(R11-P11))*$H$2/1000)*Q21*$D$5*(1+'R&amp;C-Painel de Controle'!$D$61)+(P15*((R11-$D$2)/(R11-P11))*$H$2/1000)*(1-Q21)*'R&amp;C-Painel de Controle'!$D$52*(1+'R&amp;C-Painel de Controle'!$D$54))))/1000, "-")</f>
        <v>-</v>
      </c>
      <c r="R15" s="917">
        <v>0.1</v>
      </c>
      <c r="S15" s="993"/>
      <c r="T15" s="1075">
        <f>82.6080101595676*U14</f>
        <v>57.825607111697316</v>
      </c>
      <c r="U15" s="846" t="str">
        <f>IF(U7="SIM",((((61.11233923305*(($D$2-T11)/(V11-T11))*$H$2/1000)*U21*$D$5*(1+'R&amp;C-Painel de Controle'!$D$61)+(61.11233923305*(($D$2-T11)/(V11-T11))*$H$2/1000)*(1-U21)*'R&amp;C-Painel de Controle'!$D$52*(1+'R&amp;C-Painel de Controle'!$D$54)))+(((T15*((V11-$D$2)/(V11-T11))*$H$2/1000)*U21*$D$5*(1+'R&amp;C-Painel de Controle'!$D$61)+(T15*((V11-$D$2)/(V11-T11))*$H$2/1000)*(1-U21)*'R&amp;C-Painel de Controle'!$D$52*(1+'R&amp;C-Painel de Controle'!$D$54))))/1000, "-")</f>
        <v>-</v>
      </c>
      <c r="V15" s="917">
        <v>0.1</v>
      </c>
      <c r="W15" s="313">
        <v>30.188026315489164</v>
      </c>
      <c r="X15" s="313">
        <v>42.350533674649149</v>
      </c>
      <c r="Y15" s="313">
        <v>78.246319046111907</v>
      </c>
      <c r="Z15" s="329">
        <v>143.62054388829955</v>
      </c>
      <c r="AA15" s="313">
        <v>173.96339444813808</v>
      </c>
      <c r="AB15" s="153"/>
    </row>
    <row r="16" spans="1:28" ht="17.649999999999999" customHeight="1" x14ac:dyDescent="0.25">
      <c r="A16" s="407"/>
      <c r="B16" s="913" t="s">
        <v>641</v>
      </c>
      <c r="C16" s="869"/>
      <c r="D16" s="918">
        <f>70.5882352941177*(1-E25)</f>
        <v>56.470588235294159</v>
      </c>
      <c r="E16" s="846" t="str">
        <f>IF(E7="SIM",(((((H16*(($D$2-D11)/(F11-D11))*$H$2/1000)*E21*$D$5*(1+'R&amp;C-Painel de Controle'!$D$54)*(1+'R&amp;C-Painel de Controle'!$D$61)+(H16*(($D$2-D11)/(F11-D11))*$H$2/1000)*(1-E21)*'R&amp;C-Painel de Controle'!$D$52*(1+'R&amp;C-Painel de Controle'!$D$54)))+(((D16*((F11-$D$2)/(F11-D11))*$H$2/1000)*E21*$D$5*(1+'R&amp;C-Painel de Controle'!$D$54)*(1+'R&amp;C-Painel de Controle'!$D$61)+(D16*((F11-$D$2)/(F11-D11))*$H$2/1000)*(1-E21)*'R&amp;C-Painel de Controle'!$D$52*(1+'R&amp;C-Painel de Controle'!$D$54))))/1000*(1+('R&amp;C-Painel de Controle'!$D$59-5000)/5000)+(D17-F17)*'R&amp;C-Painel de Controle'!$D$57/1000000)*(0.65*(1+'R&amp;C-Painel de Controle'!$D$61)+0.35*(1+('R&amp;C-Painel de Controle'!$D$59-5000)/5000)), "-")</f>
        <v>-</v>
      </c>
      <c r="F16" s="919">
        <v>0.05</v>
      </c>
      <c r="G16" s="869"/>
      <c r="H16" s="918">
        <f>67.573159666955*(1-I25)</f>
        <v>54.058527733563999</v>
      </c>
      <c r="I16" s="846" t="str">
        <f>IF(I7="SIM",(((((L16*(($D$2-H11)/(J11-H11))*$H$2/1000)*I21*$D$5*(1+'R&amp;C-Painel de Controle'!$D$54)*(1+'R&amp;C-Painel de Controle'!$D$61)+(L16*(($D$2-H11)/(J11-H11))*$H$2/1000)*(1-I21)*'R&amp;C-Painel de Controle'!$D$52*(1+'R&amp;C-Painel de Controle'!$D$54)))+(((H16*((J11-$D$2)/(J11-H11))*$H$2/1000)*I21*$D$5*(1+'R&amp;C-Painel de Controle'!$D$54)*(1+'R&amp;C-Painel de Controle'!$D$61)+(H16*((J11-$D$2)/(J11-H11))*$H$2/1000)*(1-I21)*'R&amp;C-Painel de Controle'!$D$52*(1+'R&amp;C-Painel de Controle'!$D$54))))/1000*(1+('R&amp;C-Painel de Controle'!$D$59-5000)/5000)+(H17-J17)*'R&amp;C-Painel de Controle'!$D$57/1000000)*(0.65*(1+'R&amp;C-Painel de Controle'!$D$61)+0.35*(1+('R&amp;C-Painel de Controle'!$D$59-5000)/5000)), "-")</f>
        <v>-</v>
      </c>
      <c r="J16" s="919">
        <v>0.05</v>
      </c>
      <c r="K16" s="869"/>
      <c r="L16" s="918">
        <f>63.0570176722689*(1-M25)</f>
        <v>50.44561413781512</v>
      </c>
      <c r="M16" s="846" t="str">
        <f>IF(M7="SIM",(((((P16*(($D$2-L11)/(N11-L11))*$H$2/1000)*M21*$D$5*(1+'R&amp;C-Painel de Controle'!$D$54)*(1+'R&amp;C-Painel de Controle'!$D$61)+(P16*(($D$2-L11)/(N11-L11))*$H$2/1000)*(1-M21)*'R&amp;C-Painel de Controle'!$D$52*(1+'R&amp;C-Painel de Controle'!$D$54)))+(((L16*((N11-$D$2)/(N11-L11))*$H$2/1000)*M21*$D$5*(1+'R&amp;C-Painel de Controle'!$D$54)*(1+'R&amp;C-Painel de Controle'!$D$61)+(L16*((N11-$D$2)/(N11-L11))*$H$2/1000)*(1-M21)*'R&amp;C-Painel de Controle'!$D$52*(1+'R&amp;C-Painel de Controle'!$D$54))))/1000*(1+('R&amp;C-Painel de Controle'!$D$59-5000)/5000)+(L17-N17)*'R&amp;C-Painel de Controle'!$D$57/1000000)*(0.65*(1+'R&amp;C-Painel de Controle'!$D$61)+0.35*(1+('R&amp;C-Painel de Controle'!$D$59-5000)/5000)), "-")</f>
        <v>-</v>
      </c>
      <c r="N16" s="919">
        <v>0.05</v>
      </c>
      <c r="O16" s="869"/>
      <c r="P16" s="918">
        <f>61.6827698459384*(1-Q25)</f>
        <v>49.346215876750726</v>
      </c>
      <c r="Q16" s="846" t="str">
        <f>IF(Q7="SIM",(((((T16*(($D$2-P11)/(R11-P11))*$H$2/1000)*Q21*$D$5*(1+'R&amp;C-Painel de Controle'!$D$54)*(1+'R&amp;C-Painel de Controle'!$D$61)+(T16*(($D$2-P11)/(R11-P11))*$H$2/1000)*(1-Q21)*'R&amp;C-Painel de Controle'!$D$52*(1+'R&amp;C-Painel de Controle'!$D$54)))+(((P16*((R11-$D$2)/(R11-P11))*$H$2/1000)*Q21*$D$5*(1+'R&amp;C-Painel de Controle'!$D$54)*(1+'R&amp;C-Painel de Controle'!$D$61)+(P16*((R11-$D$2)/(R11-P11))*$H$2/1000)*(1-Q21)*'R&amp;C-Painel de Controle'!$D$52*(1+'R&amp;C-Painel de Controle'!$D$54))))/1000*(1+('R&amp;C-Painel de Controle'!$D$59-5000)/5000)+(P17-R17)*'R&amp;C-Painel de Controle'!$D$57/1000000)*(0.65*(1+'R&amp;C-Painel de Controle'!$D$61)+0.35*(1+('R&amp;C-Painel de Controle'!$D$59-5000)/5000)), "-")</f>
        <v>-</v>
      </c>
      <c r="R16" s="919">
        <v>0.05</v>
      </c>
      <c r="S16" s="993"/>
      <c r="T16" s="918">
        <f>62.8*(1-U25)</f>
        <v>50.24</v>
      </c>
      <c r="U16" s="846" t="str">
        <f>IF(U7="SIM",(((((62.8*(($D$2-T11)/(V11-T11))*$H$2/1000)*U21*$D$5*(1+'R&amp;C-Painel de Controle'!$D$54)*(1+'R&amp;C-Painel de Controle'!$D$61)+(62.8*(($D$2-T11)/(V11-T11))*$H$2/1000)*(1-U21)*'R&amp;C-Painel de Controle'!$D$52*(1+'R&amp;C-Painel de Controle'!$D$54)))+(((T16*((V11-$D$2)/(V11-T11))*$H$2/1000)*U21*$D$5*(1+'R&amp;C-Painel de Controle'!$D$54)*(1+'R&amp;C-Painel de Controle'!$D$61)+(T16*((V11-$D$2)/(V11-T11))*$H$2/1000)*(1-U21)*'R&amp;C-Painel de Controle'!$D$52*(1+'R&amp;C-Painel de Controle'!$D$54))))/1000*(1+('R&amp;C-Painel de Controle'!$D$59-5000)/5000)+(T17-V17)*'R&amp;C-Painel de Controle'!$D$57/1000000)*(0.65*(1+'R&amp;C-Painel de Controle'!$D$61)+0.35*(1+('R&amp;C-Painel de Controle'!$D$59-5000)/5000)), "-")</f>
        <v>-</v>
      </c>
      <c r="V16" s="919">
        <v>0.05</v>
      </c>
      <c r="W16" s="313">
        <v>15.867406442759496</v>
      </c>
      <c r="X16" s="313">
        <v>31.323852009522192</v>
      </c>
      <c r="Y16" s="313">
        <v>51.205676013371999</v>
      </c>
      <c r="Z16" s="329">
        <v>92.407443447205281</v>
      </c>
      <c r="AA16" s="313">
        <v>164.33217074614245</v>
      </c>
      <c r="AB16" s="153"/>
    </row>
    <row r="17" spans="1:28" ht="17.649999999999999" customHeight="1" x14ac:dyDescent="0.25">
      <c r="A17" s="407"/>
      <c r="B17" s="913" t="s">
        <v>753</v>
      </c>
      <c r="C17" s="869"/>
      <c r="D17" s="920" t="str">
        <f>(IF(E$7="SIM",2*(20*(20+(SQRT(F17))+20))+2*(20*(F17/(SQRT(F17))))+F17,"-"))</f>
        <v>-</v>
      </c>
      <c r="E17" s="846" t="str">
        <f>(IF(E$7="SIM",('R&amp;C-Painel de Controle'!$D$55+0.25)*D17/1000000,"-"))</f>
        <v>-</v>
      </c>
      <c r="F17" s="921" t="str">
        <f>IF(E7="SIM",(E22*E24)/0.0825,"-")</f>
        <v>-</v>
      </c>
      <c r="G17" s="869"/>
      <c r="H17" s="920" t="str">
        <f>(IF(I$7="SIM",2*(20*(20+(SQRT(J17))+20))+2*(20*(J17/(SQRT(J17))))+J17,"-"))</f>
        <v>-</v>
      </c>
      <c r="I17" s="846" t="str">
        <f>(IF(I$7="SIM",('R&amp;C-Painel de Controle'!$D$55+0.25)*H17/1000000,"-"))</f>
        <v>-</v>
      </c>
      <c r="J17" s="921" t="str">
        <f>IF(I7="SIM",(I22*I24)/0.0825,"-")</f>
        <v>-</v>
      </c>
      <c r="K17" s="869"/>
      <c r="L17" s="920" t="str">
        <f>(IF(M$7="SIM",2*(20*(20+(SQRT(N17))+20))+2*(20*(N17/(SQRT(N17))))+N17,"-"))</f>
        <v>-</v>
      </c>
      <c r="M17" s="846" t="str">
        <f>(IF(M$7="SIM",('R&amp;C-Painel de Controle'!$D$55+0.25)*L17/1000000,"-"))</f>
        <v>-</v>
      </c>
      <c r="N17" s="921" t="str">
        <f>IF(M7="SIM",(M22*M24)/0.0825,"-")</f>
        <v>-</v>
      </c>
      <c r="O17" s="869"/>
      <c r="P17" s="920" t="str">
        <f>(IF(Q$7="SIM",2*(20*(20+(SQRT(R17))+20))+2*(20*(R17/(SQRT(R17))))+R17,"-"))</f>
        <v>-</v>
      </c>
      <c r="Q17" s="846" t="str">
        <f>(IF(Q$7="SIM",('R&amp;C-Painel de Controle'!$D$55+0.25)*P17/1000000,"-"))</f>
        <v>-</v>
      </c>
      <c r="R17" s="921" t="str">
        <f>IF(Q7="SIM",(Q22*Q24)/0.0825,"-")</f>
        <v>-</v>
      </c>
      <c r="S17" s="869"/>
      <c r="T17" s="920" t="str">
        <f>(IF(U$7="SIM",2*(20*(20+(SQRT(V17))+20))+2*(20*(V17/(SQRT(V17))))+V17,"-"))</f>
        <v>-</v>
      </c>
      <c r="U17" s="846" t="str">
        <f>(IF(U$7="SIM",('R&amp;C-Painel de Controle'!$D$55+0.25)*T17/1000000,"-"))</f>
        <v>-</v>
      </c>
      <c r="V17" s="921" t="str">
        <f>IF(U7="SIM",(U22*U24)/0.0825,"-")</f>
        <v>-</v>
      </c>
      <c r="W17" s="313">
        <v>2.1106024674341599</v>
      </c>
      <c r="X17" s="313">
        <v>3.9579037237977364</v>
      </c>
      <c r="Y17" s="313">
        <v>6.3812082504196974</v>
      </c>
      <c r="Z17" s="329">
        <v>11.014894519118963</v>
      </c>
      <c r="AA17" s="313">
        <v>17.42408705424014</v>
      </c>
      <c r="AB17" s="153"/>
    </row>
    <row r="18" spans="1:28" ht="17.649999999999999" customHeight="1" x14ac:dyDescent="0.25">
      <c r="A18" s="407"/>
      <c r="B18" s="913" t="s">
        <v>438</v>
      </c>
      <c r="C18" s="869"/>
      <c r="D18" s="1076" t="str">
        <f>IF(E7="SIM",(E15+E16)*F18*1000/$H$2,"-")</f>
        <v>-</v>
      </c>
      <c r="E18" s="846" t="str">
        <f>(IF(E$7="SIM",$H$2*D18/1000,""))</f>
        <v/>
      </c>
      <c r="F18" s="917">
        <v>0.05</v>
      </c>
      <c r="G18" s="869"/>
      <c r="H18" s="1076" t="str">
        <f>IF(I7="SIM",(I15+I16)*J18*1000/$H$2,"-")</f>
        <v>-</v>
      </c>
      <c r="I18" s="846" t="str">
        <f>(IF(I$7="SIM",$H$2*H18/1000,""))</f>
        <v/>
      </c>
      <c r="J18" s="917">
        <v>0.05</v>
      </c>
      <c r="K18" s="869"/>
      <c r="L18" s="1076" t="str">
        <f>IF(M7="SIM",(M15+M16)*N18*1000/$H$2,"-")</f>
        <v>-</v>
      </c>
      <c r="M18" s="846" t="str">
        <f>(IF(M$7="SIM",$H$2*L18/1000,""))</f>
        <v/>
      </c>
      <c r="N18" s="917">
        <v>7.4999999999999997E-2</v>
      </c>
      <c r="O18" s="869"/>
      <c r="P18" s="1076" t="str">
        <f>IF(Q7="SIM",(Q15+Q16)*R18*1000/$H$2,"-")</f>
        <v>-</v>
      </c>
      <c r="Q18" s="846" t="str">
        <f>(IF(Q$7="SIM",$H$2*P18/1000,""))</f>
        <v/>
      </c>
      <c r="R18" s="917">
        <v>7.4999999999999997E-2</v>
      </c>
      <c r="S18" s="869"/>
      <c r="T18" s="1076" t="str">
        <f>IF(U7="SIM",(U15+U16)*V18*1000/$H$2,"-")</f>
        <v>-</v>
      </c>
      <c r="U18" s="846" t="str">
        <f>(IF(U$7="SIM",$H$2*T18/1000,""))</f>
        <v/>
      </c>
      <c r="V18" s="917">
        <v>7.4999999999999997E-2</v>
      </c>
      <c r="W18" s="313">
        <v>2.302771637912433</v>
      </c>
      <c r="X18" s="313">
        <v>3.6837192842085673</v>
      </c>
      <c r="Y18" s="313">
        <v>12.945199505948393</v>
      </c>
      <c r="Z18" s="329">
        <v>23.602798733550486</v>
      </c>
      <c r="AA18" s="313">
        <v>33.829556519428053</v>
      </c>
      <c r="AB18" s="153"/>
    </row>
    <row r="19" spans="1:28" s="882" customFormat="1" ht="19.899999999999999" customHeight="1" collapsed="1" thickBot="1" x14ac:dyDescent="0.35">
      <c r="A19" s="879"/>
      <c r="B19" s="914" t="s">
        <v>377</v>
      </c>
      <c r="C19" s="904"/>
      <c r="D19" s="1052">
        <v>0.1</v>
      </c>
      <c r="E19" s="922" t="str">
        <f>IF(E7="SIM",(SUM(E15:E18)+(IF('R-Definição'!$J$59&gt;0,E52*$H$2,IF('R-Definição'!$J$59&gt;0,E50*$H$2,0)))/1000000)*(1+D19),"-")</f>
        <v>-</v>
      </c>
      <c r="F19" s="1103" t="str">
        <f>IF(E7="SIM",(E16)/E19,"-")</f>
        <v>-</v>
      </c>
      <c r="G19" s="904"/>
      <c r="H19" s="1052">
        <v>0.1</v>
      </c>
      <c r="I19" s="922" t="str">
        <f>IF(I7="SIM",(SUM(I15:I18)+(IF('R-Definição'!$J$59&gt;0,I52*$H$2,IF('R-Definição'!$J$59&gt;0,I50*$H$2,0)))/1000000)*(1+H19),"-")</f>
        <v>-</v>
      </c>
      <c r="J19" s="1103" t="str">
        <f>IF(I7="SIM",(I16)/I19,"-")</f>
        <v>-</v>
      </c>
      <c r="K19" s="904"/>
      <c r="L19" s="1050">
        <v>7.4999999999999997E-2</v>
      </c>
      <c r="M19" s="922" t="str">
        <f>IF(M7="SIM",(SUM(M15:M18)+(IF('R-Definição'!$J$59&gt;0,M52*$H$2,IF('R-Definição'!$J$59&gt;0,M50*$H$2,0)))/1000000)*(1+L19),"-")</f>
        <v>-</v>
      </c>
      <c r="N19" s="1103" t="str">
        <f>IF(M7="SIM",(M16)/M19,"-")</f>
        <v>-</v>
      </c>
      <c r="O19" s="904"/>
      <c r="P19" s="1050">
        <v>0.05</v>
      </c>
      <c r="Q19" s="922" t="str">
        <f>IF(Q7="SIM",(SUM(Q15:Q18)+(IF('R-Definição'!$J$59&gt;0,Q52*$H$2,IF('R-Definição'!$J$59&gt;0,Q50*$H$2,0)))/1000000)*(1+P19),"-")</f>
        <v>-</v>
      </c>
      <c r="R19" s="1103" t="str">
        <f>IF(Q7="SIM",(Q16)/Q19,"-")</f>
        <v>-</v>
      </c>
      <c r="S19" s="904"/>
      <c r="T19" s="1050">
        <v>0.05</v>
      </c>
      <c r="U19" s="922" t="str">
        <f>IF(U7="SIM",(SUM(U15:U18)+(IF('R-Definição'!$J$59&gt;0,U52*$H$2,IF('R-Definição'!$J$59&gt;0,U50*$H$2,0)))/1000000)*(1+T19),"-")</f>
        <v>-</v>
      </c>
      <c r="V19" s="1103" t="str">
        <f>IF(U7="SIM",(U16)/U19,"-")</f>
        <v>-</v>
      </c>
      <c r="W19" s="880">
        <v>52.992247206775019</v>
      </c>
      <c r="X19" s="880">
        <v>85.381809126786536</v>
      </c>
      <c r="Y19" s="880">
        <v>156.21732295664461</v>
      </c>
      <c r="Z19" s="1111">
        <v>284.17796461758303</v>
      </c>
      <c r="AA19" s="880">
        <v>409.02666920634613</v>
      </c>
      <c r="AB19" s="881"/>
    </row>
    <row r="20" spans="1:28" ht="18" hidden="1" customHeight="1" outlineLevel="1" thickTop="1" x14ac:dyDescent="0.25">
      <c r="A20" s="406"/>
      <c r="B20" s="768" t="s">
        <v>378</v>
      </c>
      <c r="C20" s="756"/>
      <c r="D20" s="306" t="s">
        <v>289</v>
      </c>
      <c r="E20" s="304" t="str">
        <f>IF(E7="SIM",E19*1000000/$H$2,"-")</f>
        <v>-</v>
      </c>
      <c r="F20" s="306" t="s">
        <v>289</v>
      </c>
      <c r="G20" s="756"/>
      <c r="H20" s="306" t="s">
        <v>289</v>
      </c>
      <c r="I20" s="304" t="str">
        <f>IF(I7="SIM",I19*1000000/$H$2,"-")</f>
        <v>-</v>
      </c>
      <c r="J20" s="306" t="s">
        <v>289</v>
      </c>
      <c r="K20" s="756"/>
      <c r="L20" s="306" t="s">
        <v>289</v>
      </c>
      <c r="M20" s="304" t="str">
        <f>IF(M7="SIM",M19*1000000/$H$2,"-")</f>
        <v>-</v>
      </c>
      <c r="N20" s="306" t="s">
        <v>289</v>
      </c>
      <c r="O20" s="756"/>
      <c r="P20" s="306" t="s">
        <v>289</v>
      </c>
      <c r="Q20" s="304" t="str">
        <f>IF(Q7="SIM",Q19*1000000/$H$2,"-")</f>
        <v>-</v>
      </c>
      <c r="R20" s="306" t="s">
        <v>289</v>
      </c>
      <c r="S20" s="756"/>
      <c r="T20" s="306" t="s">
        <v>289</v>
      </c>
      <c r="U20" s="304" t="str">
        <f>IF(U7="SIM",U19*1000000/$H$2,"-")</f>
        <v>-</v>
      </c>
      <c r="V20" s="306" t="s">
        <v>289</v>
      </c>
      <c r="W20" s="311">
        <v>1693.0349151824053</v>
      </c>
      <c r="X20" s="311">
        <v>1212.376669922834</v>
      </c>
      <c r="Y20" s="311">
        <v>1247.7406988504947</v>
      </c>
      <c r="Z20" s="311">
        <v>1210.5549850641194</v>
      </c>
      <c r="AA20" s="311">
        <v>1045.435174799145</v>
      </c>
      <c r="AB20" s="152"/>
    </row>
    <row r="21" spans="1:28" ht="18" hidden="1" customHeight="1" outlineLevel="1" x14ac:dyDescent="0.25">
      <c r="A21" s="406"/>
      <c r="B21" s="768" t="s">
        <v>639</v>
      </c>
      <c r="C21" s="756"/>
      <c r="D21" s="344"/>
      <c r="E21" s="346">
        <f>'R&amp;C-Painel de Controle'!$G$65</f>
        <v>0.25</v>
      </c>
      <c r="F21" s="306"/>
      <c r="G21" s="758"/>
      <c r="H21" s="306"/>
      <c r="I21" s="346">
        <f>'R&amp;C-Painel de Controle'!$G$65</f>
        <v>0.25</v>
      </c>
      <c r="J21" s="306"/>
      <c r="K21" s="758"/>
      <c r="L21" s="306"/>
      <c r="M21" s="346">
        <f>'R&amp;C-Painel de Controle'!$G$65</f>
        <v>0.25</v>
      </c>
      <c r="N21" s="306"/>
      <c r="O21" s="758"/>
      <c r="P21" s="306"/>
      <c r="Q21" s="346">
        <f>'R&amp;C-Painel de Controle'!$G$65</f>
        <v>0.25</v>
      </c>
      <c r="R21" s="306"/>
      <c r="S21" s="758"/>
      <c r="T21" s="306"/>
      <c r="U21" s="346">
        <f>'R&amp;C-Painel de Controle'!$G$65</f>
        <v>0.25</v>
      </c>
      <c r="V21" s="344"/>
      <c r="W21" s="170"/>
      <c r="X21" s="314">
        <f>(X20-W20)/W20</f>
        <v>-0.2839033270662264</v>
      </c>
      <c r="Y21" s="314">
        <f>(Y20-X20)/X20</f>
        <v>2.9169176383039071E-2</v>
      </c>
      <c r="Z21" s="314">
        <f>(Z20-Y20)/Z20</f>
        <v>-3.0717905626075903E-2</v>
      </c>
      <c r="AA21" s="314">
        <f>(AA20-Z20)/AA20</f>
        <v>-0.15794361453037789</v>
      </c>
      <c r="AB21" s="152"/>
    </row>
    <row r="22" spans="1:28" ht="18" hidden="1" customHeight="1" outlineLevel="1" x14ac:dyDescent="0.25">
      <c r="A22" s="406"/>
      <c r="B22" s="768" t="s">
        <v>652</v>
      </c>
      <c r="C22" s="756"/>
      <c r="D22" s="352">
        <f>$H$2/4250</f>
        <v>0</v>
      </c>
      <c r="E22" s="304">
        <f>((($H$2/0.57)/52)*(E23))/(3.5*E24)</f>
        <v>0</v>
      </c>
      <c r="F22" s="344"/>
      <c r="G22" s="756"/>
      <c r="H22" s="352">
        <f>$H$2/4250</f>
        <v>0</v>
      </c>
      <c r="I22" s="304">
        <f>((($H$2/0.57)/52)*(I23))/(3.5*I24)</f>
        <v>0</v>
      </c>
      <c r="J22" s="344"/>
      <c r="K22" s="756"/>
      <c r="L22" s="352">
        <f>$H$2/4250</f>
        <v>0</v>
      </c>
      <c r="M22" s="304">
        <f>((($H$2/0.57)/52)*(M23))/(3.5*M24)</f>
        <v>0</v>
      </c>
      <c r="N22" s="344"/>
      <c r="O22" s="756"/>
      <c r="P22" s="352">
        <f>$H$2/4250</f>
        <v>0</v>
      </c>
      <c r="Q22" s="304">
        <f>((($H$2/0.57)/52)*(Q23))/(3.5*Q24)</f>
        <v>0</v>
      </c>
      <c r="R22" s="344"/>
      <c r="S22" s="756"/>
      <c r="T22" s="352">
        <f>$H$2/4250</f>
        <v>0</v>
      </c>
      <c r="U22" s="304">
        <f>((($H$2/0.57)/52)*(U23))/(3.5*U24)</f>
        <v>0</v>
      </c>
      <c r="V22" s="344"/>
      <c r="W22" s="152"/>
      <c r="X22" s="152"/>
      <c r="Y22" s="152"/>
      <c r="Z22" s="170"/>
      <c r="AA22" s="170"/>
      <c r="AB22" s="152"/>
    </row>
    <row r="23" spans="1:28" ht="18" hidden="1" customHeight="1" outlineLevel="1" x14ac:dyDescent="0.25">
      <c r="A23" s="406"/>
      <c r="B23" s="768" t="s">
        <v>393</v>
      </c>
      <c r="C23" s="756"/>
      <c r="D23" s="306"/>
      <c r="E23" s="306">
        <v>3.5</v>
      </c>
      <c r="F23" s="306"/>
      <c r="G23" s="758"/>
      <c r="H23" s="306"/>
      <c r="I23" s="306">
        <v>3.5</v>
      </c>
      <c r="J23" s="306"/>
      <c r="K23" s="758"/>
      <c r="L23" s="306"/>
      <c r="M23" s="306">
        <v>3.5</v>
      </c>
      <c r="N23" s="306"/>
      <c r="O23" s="758"/>
      <c r="P23" s="306"/>
      <c r="Q23" s="306">
        <v>3.5</v>
      </c>
      <c r="R23" s="306"/>
      <c r="S23" s="758"/>
      <c r="T23" s="306"/>
      <c r="U23" s="306">
        <v>3.5</v>
      </c>
      <c r="V23" s="306"/>
      <c r="W23" s="170"/>
      <c r="X23" s="170"/>
      <c r="Y23" s="170"/>
      <c r="Z23" s="309"/>
      <c r="AA23" s="309"/>
      <c r="AB23" s="152"/>
    </row>
    <row r="24" spans="1:28" ht="18" hidden="1" customHeight="1" outlineLevel="1" x14ac:dyDescent="0.25">
      <c r="A24" s="406"/>
      <c r="B24" s="768" t="s">
        <v>394</v>
      </c>
      <c r="C24" s="756"/>
      <c r="D24" s="353">
        <v>5.5</v>
      </c>
      <c r="E24" s="305">
        <f>(D24)*(F24)</f>
        <v>132</v>
      </c>
      <c r="F24" s="305">
        <v>24</v>
      </c>
      <c r="G24" s="767"/>
      <c r="H24" s="353">
        <v>5.5</v>
      </c>
      <c r="I24" s="305">
        <f>(H24)*(J24)</f>
        <v>143</v>
      </c>
      <c r="J24" s="305">
        <v>26</v>
      </c>
      <c r="K24" s="767"/>
      <c r="L24" s="353">
        <v>5.5</v>
      </c>
      <c r="M24" s="305">
        <f>(L24)*(N24)</f>
        <v>181.5</v>
      </c>
      <c r="N24" s="353">
        <v>33</v>
      </c>
      <c r="O24" s="767"/>
      <c r="P24" s="353">
        <v>5.5</v>
      </c>
      <c r="Q24" s="305">
        <f>(P24)*(R24)</f>
        <v>220</v>
      </c>
      <c r="R24" s="353">
        <v>40</v>
      </c>
      <c r="S24" s="767"/>
      <c r="T24" s="353">
        <v>7.5</v>
      </c>
      <c r="U24" s="305">
        <f>(T24)*(V24)</f>
        <v>300</v>
      </c>
      <c r="V24" s="305">
        <v>40</v>
      </c>
      <c r="W24" s="152"/>
      <c r="X24" s="152"/>
      <c r="Y24" s="152"/>
      <c r="Z24" s="152"/>
      <c r="AA24" s="152"/>
      <c r="AB24" s="152"/>
    </row>
    <row r="25" spans="1:28" ht="18" hidden="1" customHeight="1" outlineLevel="1" x14ac:dyDescent="0.25">
      <c r="A25" s="406"/>
      <c r="B25" s="768" t="s">
        <v>653</v>
      </c>
      <c r="C25" s="756"/>
      <c r="D25" s="344"/>
      <c r="E25" s="346">
        <f>15%/75%</f>
        <v>0.19999999999999998</v>
      </c>
      <c r="F25" s="347"/>
      <c r="G25" s="759"/>
      <c r="H25" s="354"/>
      <c r="I25" s="346">
        <f>E25</f>
        <v>0.19999999999999998</v>
      </c>
      <c r="J25" s="347"/>
      <c r="K25" s="759"/>
      <c r="L25" s="304"/>
      <c r="M25" s="346">
        <f>I25</f>
        <v>0.19999999999999998</v>
      </c>
      <c r="N25" s="346"/>
      <c r="O25" s="759"/>
      <c r="P25" s="304"/>
      <c r="Q25" s="346">
        <f>M25</f>
        <v>0.19999999999999998</v>
      </c>
      <c r="R25" s="346"/>
      <c r="S25" s="759"/>
      <c r="T25" s="304"/>
      <c r="U25" s="346">
        <f>Q25</f>
        <v>0.19999999999999998</v>
      </c>
      <c r="V25" s="346"/>
      <c r="W25" s="152"/>
      <c r="X25" s="152"/>
      <c r="Y25" s="152"/>
      <c r="Z25" s="152"/>
      <c r="AA25" s="152"/>
      <c r="AB25" s="152"/>
    </row>
    <row r="26" spans="1:28" ht="18" hidden="1" customHeight="1" outlineLevel="1" x14ac:dyDescent="0.25">
      <c r="A26" s="406"/>
      <c r="B26" s="768" t="s">
        <v>435</v>
      </c>
      <c r="C26" s="758"/>
      <c r="D26" s="346"/>
      <c r="E26" s="348" t="str">
        <f>IF(E7="SIM",(E15*F15+E16*F16)/4,"-")</f>
        <v>-</v>
      </c>
      <c r="F26" s="306"/>
      <c r="G26" s="758"/>
      <c r="H26" s="306"/>
      <c r="I26" s="348" t="str">
        <f>IF(I7="SIM",(I15*J15+I16*J16)/4,"-")</f>
        <v>-</v>
      </c>
      <c r="J26" s="306"/>
      <c r="K26" s="758"/>
      <c r="L26" s="306"/>
      <c r="M26" s="348" t="str">
        <f>IF(M7="SIM",(M15*N15+M16*N16)/4,"-")</f>
        <v>-</v>
      </c>
      <c r="N26" s="306"/>
      <c r="O26" s="758"/>
      <c r="P26" s="306"/>
      <c r="Q26" s="348" t="str">
        <f>IF(Q7="SIM",(Q15*R15+Q16*R16)/4,"-")</f>
        <v>-</v>
      </c>
      <c r="R26" s="306"/>
      <c r="S26" s="758"/>
      <c r="T26" s="306"/>
      <c r="U26" s="348" t="str">
        <f>IF(U7="SIM",(U15*V15+U16*V16)/4,"-")</f>
        <v>-</v>
      </c>
      <c r="V26" s="344"/>
      <c r="W26" s="152"/>
      <c r="X26" s="152"/>
      <c r="Y26" s="152"/>
      <c r="Z26" s="152"/>
      <c r="AA26" s="152"/>
      <c r="AB26" s="152"/>
    </row>
    <row r="27" spans="1:28" ht="15" customHeight="1" collapsed="1" thickTop="1" thickBot="1" x14ac:dyDescent="0.3">
      <c r="A27" s="406"/>
      <c r="B27" s="761"/>
      <c r="C27" s="756"/>
      <c r="D27" s="344"/>
      <c r="E27" s="344"/>
      <c r="F27" s="344"/>
      <c r="G27" s="756"/>
      <c r="H27" s="344"/>
      <c r="I27" s="344"/>
      <c r="J27" s="344"/>
      <c r="K27" s="756"/>
      <c r="L27" s="344"/>
      <c r="M27" s="344"/>
      <c r="N27" s="344"/>
      <c r="O27" s="756"/>
      <c r="P27" s="344"/>
      <c r="Q27" s="344"/>
      <c r="R27" s="344"/>
      <c r="S27" s="756"/>
      <c r="T27" s="344"/>
      <c r="U27" s="344"/>
      <c r="V27" s="344"/>
      <c r="W27" s="152"/>
      <c r="X27" s="152"/>
      <c r="Y27" s="152"/>
      <c r="Z27" s="152"/>
      <c r="AA27" s="152"/>
      <c r="AB27" s="152"/>
    </row>
    <row r="28" spans="1:28" s="1092" customFormat="1" ht="19.899999999999999" customHeight="1" thickTop="1" thickBot="1" x14ac:dyDescent="0.35">
      <c r="A28" s="879"/>
      <c r="B28" s="1085" t="s">
        <v>439</v>
      </c>
      <c r="C28" s="901"/>
      <c r="D28" s="982" t="s">
        <v>754</v>
      </c>
      <c r="E28" s="983" t="s">
        <v>763</v>
      </c>
      <c r="F28" s="984" t="s">
        <v>289</v>
      </c>
      <c r="G28" s="403"/>
      <c r="H28" s="985" t="s">
        <v>754</v>
      </c>
      <c r="I28" s="986" t="s">
        <v>763</v>
      </c>
      <c r="J28" s="987" t="s">
        <v>289</v>
      </c>
      <c r="K28" s="403"/>
      <c r="L28" s="985" t="s">
        <v>754</v>
      </c>
      <c r="M28" s="986" t="s">
        <v>763</v>
      </c>
      <c r="N28" s="987" t="s">
        <v>289</v>
      </c>
      <c r="O28" s="403"/>
      <c r="P28" s="985" t="s">
        <v>754</v>
      </c>
      <c r="Q28" s="986" t="s">
        <v>763</v>
      </c>
      <c r="R28" s="987" t="s">
        <v>289</v>
      </c>
      <c r="S28" s="403"/>
      <c r="T28" s="985" t="s">
        <v>754</v>
      </c>
      <c r="U28" s="986" t="s">
        <v>763</v>
      </c>
      <c r="V28" s="987" t="s">
        <v>289</v>
      </c>
      <c r="W28" s="881"/>
      <c r="X28" s="881"/>
      <c r="Y28" s="881"/>
      <c r="Z28" s="881"/>
      <c r="AA28" s="881"/>
      <c r="AB28" s="881"/>
    </row>
    <row r="29" spans="1:28" ht="7.5" customHeight="1" x14ac:dyDescent="0.25">
      <c r="A29" s="406"/>
      <c r="B29" s="1084"/>
      <c r="C29" s="903"/>
      <c r="D29" s="1015"/>
      <c r="E29" s="339"/>
      <c r="F29" s="1016"/>
      <c r="G29" s="996"/>
      <c r="H29" s="1031"/>
      <c r="I29" s="339"/>
      <c r="J29" s="1023"/>
      <c r="K29" s="996"/>
      <c r="L29" s="1036"/>
      <c r="M29" s="339"/>
      <c r="N29" s="1023"/>
      <c r="O29" s="996"/>
      <c r="P29" s="1036"/>
      <c r="Q29" s="339"/>
      <c r="R29" s="1023"/>
      <c r="S29" s="996"/>
      <c r="T29" s="1036"/>
      <c r="U29" s="339"/>
      <c r="V29" s="1038"/>
      <c r="W29" s="152"/>
      <c r="X29" s="152"/>
      <c r="Y29" s="152"/>
      <c r="Z29" s="152"/>
      <c r="AA29" s="152"/>
      <c r="AB29" s="152"/>
    </row>
    <row r="30" spans="1:28" ht="17.649999999999999" customHeight="1" collapsed="1" x14ac:dyDescent="0.25">
      <c r="A30" s="407"/>
      <c r="B30" s="913" t="s">
        <v>381</v>
      </c>
      <c r="C30" s="869"/>
      <c r="D30" s="1017"/>
      <c r="E30" s="890" t="str">
        <f>(IF(E$7="SIM",(E34)*2.4*12/$H$2,"-"))</f>
        <v>-</v>
      </c>
      <c r="F30" s="917"/>
      <c r="G30" s="993"/>
      <c r="H30" s="1032"/>
      <c r="I30" s="890" t="str">
        <f>(IF(I$7="SIM",(I34)*2.4*12/$H$2,"-"))</f>
        <v>-</v>
      </c>
      <c r="J30" s="1033"/>
      <c r="K30" s="993"/>
      <c r="L30" s="1032"/>
      <c r="M30" s="890" t="str">
        <f>(IF(M$7="SIM",(M34)*2.4*12/$H$2,"-"))</f>
        <v>-</v>
      </c>
      <c r="N30" s="1033"/>
      <c r="O30" s="993"/>
      <c r="P30" s="1032"/>
      <c r="Q30" s="890" t="str">
        <f>(IF(Q$7="SIM",(Q34)*2.4*12/$H$2,"-"))</f>
        <v>-</v>
      </c>
      <c r="R30" s="1033"/>
      <c r="S30" s="993"/>
      <c r="T30" s="1032"/>
      <c r="U30" s="891" t="str">
        <f>(IF(U$7="SIM",(U34)*2.4*12/$H$2,"-"))</f>
        <v>-</v>
      </c>
      <c r="V30" s="1039"/>
      <c r="W30" s="328"/>
      <c r="X30" s="328"/>
      <c r="Y30" s="328"/>
      <c r="Z30" s="328"/>
      <c r="AA30" s="328"/>
      <c r="AB30" s="153"/>
    </row>
    <row r="31" spans="1:28" ht="15" hidden="1" customHeight="1" outlineLevel="1" x14ac:dyDescent="0.25">
      <c r="A31" s="406"/>
      <c r="B31" s="1010"/>
      <c r="C31" s="925"/>
      <c r="D31" s="1015"/>
      <c r="E31" s="332"/>
      <c r="F31" s="1016"/>
      <c r="G31" s="997"/>
      <c r="H31" s="1031"/>
      <c r="I31" s="332"/>
      <c r="J31" s="1034"/>
      <c r="K31" s="997"/>
      <c r="L31" s="1031"/>
      <c r="M31" s="332"/>
      <c r="N31" s="1034"/>
      <c r="O31" s="997"/>
      <c r="P31" s="1031"/>
      <c r="Q31" s="332"/>
      <c r="R31" s="1034"/>
      <c r="S31" s="997"/>
      <c r="T31" s="1031"/>
      <c r="U31" s="341"/>
      <c r="V31" s="924"/>
      <c r="W31" s="152"/>
      <c r="X31" s="152"/>
      <c r="Y31" s="152"/>
      <c r="Z31" s="152"/>
      <c r="AA31" s="152"/>
      <c r="AB31" s="152"/>
    </row>
    <row r="32" spans="1:28" ht="18" hidden="1" customHeight="1" outlineLevel="1" x14ac:dyDescent="0.25">
      <c r="A32" s="406"/>
      <c r="B32" s="1011" t="s">
        <v>630</v>
      </c>
      <c r="C32" s="903"/>
      <c r="D32" s="1015"/>
      <c r="E32" s="338">
        <v>3</v>
      </c>
      <c r="F32" s="1016"/>
      <c r="G32" s="998"/>
      <c r="H32" s="1031"/>
      <c r="I32" s="338">
        <v>3</v>
      </c>
      <c r="J32" s="1035"/>
      <c r="K32" s="998"/>
      <c r="L32" s="1037"/>
      <c r="M32" s="338">
        <v>3</v>
      </c>
      <c r="N32" s="1035"/>
      <c r="O32" s="998"/>
      <c r="P32" s="1037"/>
      <c r="Q32" s="338">
        <v>3</v>
      </c>
      <c r="R32" s="1035"/>
      <c r="S32" s="998"/>
      <c r="T32" s="1037"/>
      <c r="U32" s="338">
        <v>3</v>
      </c>
      <c r="V32" s="924"/>
      <c r="W32" s="311"/>
      <c r="X32" s="311"/>
      <c r="Y32" s="311"/>
      <c r="Z32" s="311"/>
      <c r="AA32" s="311"/>
      <c r="AB32" s="152"/>
    </row>
    <row r="33" spans="1:28" ht="18" hidden="1" customHeight="1" outlineLevel="1" x14ac:dyDescent="0.25">
      <c r="A33" s="406"/>
      <c r="B33" s="1011" t="s">
        <v>642</v>
      </c>
      <c r="C33" s="903"/>
      <c r="D33" s="1015"/>
      <c r="E33" s="338">
        <v>4</v>
      </c>
      <c r="F33" s="1016"/>
      <c r="G33" s="998"/>
      <c r="H33" s="1031"/>
      <c r="I33" s="338">
        <v>5</v>
      </c>
      <c r="J33" s="1035"/>
      <c r="K33" s="998"/>
      <c r="L33" s="1037"/>
      <c r="M33" s="338">
        <v>6</v>
      </c>
      <c r="N33" s="1035"/>
      <c r="O33" s="998"/>
      <c r="P33" s="1037"/>
      <c r="Q33" s="338">
        <v>8</v>
      </c>
      <c r="R33" s="1035"/>
      <c r="S33" s="998"/>
      <c r="T33" s="1037"/>
      <c r="U33" s="338">
        <v>8</v>
      </c>
      <c r="V33" s="924"/>
      <c r="W33" s="311"/>
      <c r="X33" s="311"/>
      <c r="Y33" s="311"/>
      <c r="Z33" s="311"/>
      <c r="AA33" s="311"/>
      <c r="AB33" s="152"/>
    </row>
    <row r="34" spans="1:28" ht="18" hidden="1" customHeight="1" outlineLevel="1" x14ac:dyDescent="0.25">
      <c r="A34" s="406"/>
      <c r="B34" s="1011" t="s">
        <v>632</v>
      </c>
      <c r="C34" s="903"/>
      <c r="D34" s="1015"/>
      <c r="E34" s="335">
        <f>0.6*'R&amp;C-Painel de Controle'!$D$63+0.6*E32*3*'R&amp;C-Painel de Controle'!$D64+E33*E32*'R&amp;C-Painel de Controle'!$D$65</f>
        <v>84000</v>
      </c>
      <c r="F34" s="1016"/>
      <c r="G34" s="996"/>
      <c r="H34" s="1031"/>
      <c r="I34" s="335">
        <f>0.7*'R&amp;C-Painel de Controle'!$D$63+0.7*I32*3*'R&amp;C-Painel de Controle'!$D64+I33*I32*'R&amp;C-Painel de Controle'!$D$65</f>
        <v>99500</v>
      </c>
      <c r="J34" s="1023"/>
      <c r="K34" s="996"/>
      <c r="L34" s="1036"/>
      <c r="M34" s="335">
        <f>0.8*'R&amp;C-Painel de Controle'!$D$63+0.8*M32*4*'R&amp;C-Painel de Controle'!$D64+M33*M32*'R&amp;C-Painel de Controle'!$D$65</f>
        <v>139000</v>
      </c>
      <c r="N34" s="1023"/>
      <c r="O34" s="996"/>
      <c r="P34" s="1036"/>
      <c r="Q34" s="335">
        <f>0.9*'R&amp;C-Painel de Controle'!$D$63+0.9*Q32*5*'R&amp;C-Painel de Controle'!$D64+Q33*Q32*'R&amp;C-Painel de Controle'!$D$65</f>
        <v>189000</v>
      </c>
      <c r="R34" s="1023"/>
      <c r="S34" s="996"/>
      <c r="T34" s="1036"/>
      <c r="U34" s="335">
        <f>1*'R&amp;C-Painel de Controle'!$D$63+1*U32*5*'R&amp;C-Painel de Controle'!$D64+U33*U32*'R&amp;C-Painel de Controle'!$D$65</f>
        <v>206000</v>
      </c>
      <c r="V34" s="924"/>
      <c r="W34" s="312"/>
      <c r="X34" s="312"/>
      <c r="Y34" s="312"/>
      <c r="Z34" s="312"/>
      <c r="AA34" s="312"/>
      <c r="AB34" s="152"/>
    </row>
    <row r="35" spans="1:28" ht="17.649999999999999" customHeight="1" collapsed="1" x14ac:dyDescent="0.25">
      <c r="A35" s="407"/>
      <c r="B35" s="913" t="s">
        <v>382</v>
      </c>
      <c r="C35" s="869"/>
      <c r="D35" s="1017"/>
      <c r="E35" s="890" t="str">
        <f>(IF(E$7="SIM",(E36*$H$2/1000*'R&amp;C-Painel de Controle'!$D$68+E37/1000*'R&amp;C-Painel de Controle'!$D$69*12)/$H$2,"-"))</f>
        <v>-</v>
      </c>
      <c r="F35" s="917"/>
      <c r="G35" s="993"/>
      <c r="H35" s="1077"/>
      <c r="I35" s="890" t="str">
        <f>(IF(I$7="SIM",(I36*$H$2/1000*'R&amp;C-Painel de Controle'!$D$68+I37/1000*'R&amp;C-Painel de Controle'!$D$69*12)/$H$2,"-"))</f>
        <v>-</v>
      </c>
      <c r="J35" s="1033"/>
      <c r="K35" s="993"/>
      <c r="L35" s="1077"/>
      <c r="M35" s="890" t="str">
        <f>(IF(M$7="SIM",(M36*$H$2/1000*'R&amp;C-Painel de Controle'!$D$68+M37/1000*'R&amp;C-Painel de Controle'!$D$69*12)/$H$2,"-"))</f>
        <v>-</v>
      </c>
      <c r="N35" s="1033"/>
      <c r="O35" s="993"/>
      <c r="P35" s="1077"/>
      <c r="Q35" s="890" t="str">
        <f>(IF(Q$7="SIM",(Q36*$H$2/1000*'R&amp;C-Painel de Controle'!$D$68+Q37/1000*'R&amp;C-Painel de Controle'!$D$69*12)/$H$2,"-"))</f>
        <v>-</v>
      </c>
      <c r="R35" s="1033"/>
      <c r="S35" s="993"/>
      <c r="T35" s="1077"/>
      <c r="U35" s="891" t="str">
        <f>(IF(U$7="SIM",(U36*$H$2/1000*'R&amp;C-Painel de Controle'!$D$68+U37/1000*'R&amp;C-Painel de Controle'!$D$69*12)/$H$2,"-"))</f>
        <v>-</v>
      </c>
      <c r="V35" s="1039"/>
      <c r="W35" s="330"/>
      <c r="X35" s="330"/>
      <c r="Y35" s="330"/>
      <c r="Z35" s="330"/>
      <c r="AA35" s="330"/>
      <c r="AB35" s="350" t="s">
        <v>396</v>
      </c>
    </row>
    <row r="36" spans="1:28" ht="18" hidden="1" customHeight="1" outlineLevel="1" x14ac:dyDescent="0.25">
      <c r="A36" s="406"/>
      <c r="B36" s="1011" t="s">
        <v>633</v>
      </c>
      <c r="C36" s="903"/>
      <c r="D36" s="1018"/>
      <c r="E36" s="338">
        <f>'R-Definição'!$F$66*0.075</f>
        <v>30</v>
      </c>
      <c r="F36" s="1035"/>
      <c r="G36" s="998"/>
      <c r="H36" s="1488"/>
      <c r="I36" s="338">
        <f>'R-Definição'!$F$66*0.075</f>
        <v>30</v>
      </c>
      <c r="J36" s="1019"/>
      <c r="K36" s="996"/>
      <c r="L36" s="1078"/>
      <c r="M36" s="338">
        <f>'R-Definição'!$F$66*0.075</f>
        <v>30</v>
      </c>
      <c r="N36" s="1035"/>
      <c r="O36" s="996"/>
      <c r="P36" s="1078"/>
      <c r="Q36" s="338">
        <f>'R-Definição'!$F$66*0.075</f>
        <v>30</v>
      </c>
      <c r="R36" s="1019"/>
      <c r="S36" s="996"/>
      <c r="T36" s="1078"/>
      <c r="U36" s="338">
        <f>'R-Definição'!$F$66*0.075</f>
        <v>30</v>
      </c>
      <c r="V36" s="1019"/>
      <c r="W36" s="170"/>
      <c r="X36" s="170"/>
      <c r="Y36" s="170"/>
      <c r="Z36" s="170"/>
      <c r="AA36" s="170"/>
      <c r="AB36" s="152"/>
    </row>
    <row r="37" spans="1:28" ht="18" hidden="1" customHeight="1" outlineLevel="1" x14ac:dyDescent="0.25">
      <c r="A37" s="406"/>
      <c r="B37" s="1011" t="s">
        <v>634</v>
      </c>
      <c r="C37" s="925"/>
      <c r="D37" s="1015"/>
      <c r="E37" s="335">
        <f>E36*F11*0.9*(0.92/24)</f>
        <v>155.25000000000003</v>
      </c>
      <c r="F37" s="1016"/>
      <c r="G37" s="999"/>
      <c r="H37" s="1082"/>
      <c r="I37" s="335">
        <f>I36*J11*0.9*(0.92/24)</f>
        <v>310.50000000000006</v>
      </c>
      <c r="J37" s="1022"/>
      <c r="K37" s="999"/>
      <c r="L37" s="1079"/>
      <c r="M37" s="335">
        <f>M36*N11*0.9*(0.92/24)</f>
        <v>517.5</v>
      </c>
      <c r="N37" s="1022"/>
      <c r="O37" s="999"/>
      <c r="P37" s="1079"/>
      <c r="Q37" s="335">
        <f>Q36*R11*0.9*(0.92/24)</f>
        <v>1035</v>
      </c>
      <c r="R37" s="1022"/>
      <c r="S37" s="999"/>
      <c r="T37" s="1079"/>
      <c r="U37" s="335">
        <f>U36*V11*0.9*(0.92/24)</f>
        <v>1552.5000000000002</v>
      </c>
      <c r="V37" s="924"/>
      <c r="W37" s="309"/>
      <c r="X37" s="309"/>
      <c r="Y37" s="309"/>
      <c r="Z37" s="309"/>
      <c r="AA37" s="309"/>
      <c r="AB37" s="152"/>
    </row>
    <row r="38" spans="1:28" ht="17.649999999999999" customHeight="1" collapsed="1" x14ac:dyDescent="0.25">
      <c r="A38" s="407"/>
      <c r="B38" s="913" t="s">
        <v>383</v>
      </c>
      <c r="C38" s="869"/>
      <c r="D38" s="1017"/>
      <c r="E38" s="890" t="str">
        <f>(IF(E$7="SIM",(E15*1000000*E39+E40*12)/$H$2,"-"))</f>
        <v>-</v>
      </c>
      <c r="F38" s="1021"/>
      <c r="G38" s="1000"/>
      <c r="H38" s="1080"/>
      <c r="I38" s="890" t="str">
        <f>(IF(I$7="SIM",(I15*1000000*I39+I40*12)/$H$2,"-"))</f>
        <v>-</v>
      </c>
      <c r="J38" s="1021"/>
      <c r="K38" s="1000"/>
      <c r="L38" s="1080"/>
      <c r="M38" s="890" t="str">
        <f>(IF(M$7="SIM",(M15*1000000*M39+M40*12)/$H$2,"-"))</f>
        <v>-</v>
      </c>
      <c r="N38" s="1021"/>
      <c r="O38" s="1000"/>
      <c r="P38" s="1080"/>
      <c r="Q38" s="890" t="str">
        <f>(IF(Q$7="SIM",(Q15*1000000*Q39+Q40*12)/$H$2,"-"))</f>
        <v>-</v>
      </c>
      <c r="R38" s="1021"/>
      <c r="S38" s="1000"/>
      <c r="T38" s="1080"/>
      <c r="U38" s="891" t="str">
        <f>(IF(U$7="SIM",(U15*1000000*U39+U40*12)/$H$2,"-"))</f>
        <v>-</v>
      </c>
      <c r="V38" s="1039"/>
      <c r="W38" s="308"/>
      <c r="X38" s="308"/>
      <c r="Y38" s="308"/>
      <c r="Z38" s="308"/>
      <c r="AA38" s="308"/>
      <c r="AB38" s="153"/>
    </row>
    <row r="39" spans="1:28" ht="18" hidden="1" customHeight="1" outlineLevel="1" x14ac:dyDescent="0.25">
      <c r="A39" s="406"/>
      <c r="B39" s="1011" t="s">
        <v>650</v>
      </c>
      <c r="C39" s="903"/>
      <c r="D39" s="915"/>
      <c r="E39" s="340">
        <v>2.5000000000000001E-2</v>
      </c>
      <c r="F39" s="1016"/>
      <c r="G39" s="1001"/>
      <c r="H39" s="1081"/>
      <c r="I39" s="340">
        <v>2.5000000000000001E-2</v>
      </c>
      <c r="J39" s="1016"/>
      <c r="K39" s="1001"/>
      <c r="L39" s="1081"/>
      <c r="M39" s="340">
        <v>3.5000000000000003E-2</v>
      </c>
      <c r="N39" s="1016"/>
      <c r="O39" s="1001"/>
      <c r="P39" s="1081"/>
      <c r="Q39" s="340">
        <v>3.5000000000000003E-2</v>
      </c>
      <c r="R39" s="1016"/>
      <c r="S39" s="1001"/>
      <c r="T39" s="1081"/>
      <c r="U39" s="340">
        <v>0.05</v>
      </c>
      <c r="V39" s="924"/>
      <c r="W39" s="330"/>
      <c r="X39" s="308"/>
      <c r="Y39" s="309"/>
      <c r="Z39" s="309"/>
      <c r="AA39" s="309"/>
      <c r="AB39" s="351" t="s">
        <v>397</v>
      </c>
    </row>
    <row r="40" spans="1:28" ht="18" hidden="1" customHeight="1" outlineLevel="1" x14ac:dyDescent="0.25">
      <c r="A40" s="407"/>
      <c r="B40" s="1011" t="s">
        <v>441</v>
      </c>
      <c r="C40" s="903"/>
      <c r="D40" s="915"/>
      <c r="E40" s="335">
        <v>25000</v>
      </c>
      <c r="F40" s="1022"/>
      <c r="G40" s="999"/>
      <c r="H40" s="1079"/>
      <c r="I40" s="335">
        <v>50000</v>
      </c>
      <c r="J40" s="1022"/>
      <c r="K40" s="999"/>
      <c r="L40" s="1079"/>
      <c r="M40" s="335">
        <v>50000</v>
      </c>
      <c r="N40" s="1022"/>
      <c r="O40" s="999"/>
      <c r="P40" s="1079"/>
      <c r="Q40" s="335">
        <v>75000</v>
      </c>
      <c r="R40" s="1022"/>
      <c r="S40" s="999"/>
      <c r="T40" s="1079"/>
      <c r="U40" s="335">
        <v>75000</v>
      </c>
      <c r="V40" s="924"/>
      <c r="W40" s="330"/>
      <c r="X40" s="308"/>
      <c r="Y40" s="308"/>
      <c r="Z40" s="308"/>
      <c r="AA40" s="308"/>
      <c r="AB40" s="153"/>
    </row>
    <row r="41" spans="1:28" ht="17.649999999999999" customHeight="1" collapsed="1" x14ac:dyDescent="0.25">
      <c r="A41" s="435"/>
      <c r="B41" s="913" t="s">
        <v>638</v>
      </c>
      <c r="C41" s="869"/>
      <c r="D41" s="1074">
        <v>0.25</v>
      </c>
      <c r="E41" s="890" t="str">
        <f>(IF(E$7="SIM",D41*E42*E43*12/$H$2,"-"))</f>
        <v>-</v>
      </c>
      <c r="F41" s="1021"/>
      <c r="G41" s="1000"/>
      <c r="H41" s="1074">
        <v>0.25</v>
      </c>
      <c r="I41" s="890" t="str">
        <f>(IF(I$7="SIM",H41*I42*I43*12/$H$2,"-"))</f>
        <v>-</v>
      </c>
      <c r="J41" s="1021"/>
      <c r="K41" s="1000"/>
      <c r="L41" s="1074">
        <v>0.25</v>
      </c>
      <c r="M41" s="890" t="str">
        <f>(IF(M$7="SIM",L41*M42*M43*12/$H$2,"-"))</f>
        <v>-</v>
      </c>
      <c r="N41" s="1021"/>
      <c r="O41" s="1000"/>
      <c r="P41" s="1074">
        <v>0.5</v>
      </c>
      <c r="Q41" s="890" t="str">
        <f>(IF(Q$7="SIM",P41*Q42*Q43*12/$H$2,"-"))</f>
        <v>-</v>
      </c>
      <c r="R41" s="1021"/>
      <c r="S41" s="1000"/>
      <c r="T41" s="1074">
        <v>0.5</v>
      </c>
      <c r="U41" s="891" t="str">
        <f>(IF(U$7="SIM",T41*U42*U43*12/$H$2,"-"))</f>
        <v>-</v>
      </c>
      <c r="V41" s="1039"/>
      <c r="W41" s="153"/>
      <c r="X41" s="153"/>
      <c r="Y41" s="153"/>
      <c r="Z41" s="153"/>
      <c r="AA41" s="153"/>
      <c r="AB41" s="153"/>
    </row>
    <row r="42" spans="1:28" ht="18" hidden="1" customHeight="1" outlineLevel="1" x14ac:dyDescent="0.25">
      <c r="A42" s="407"/>
      <c r="B42" s="1011" t="s">
        <v>636</v>
      </c>
      <c r="C42" s="925"/>
      <c r="D42" s="915"/>
      <c r="E42" s="335">
        <f>'R&amp;C-Painel de Controle'!$D$70</f>
        <v>100000</v>
      </c>
      <c r="F42" s="1023"/>
      <c r="G42" s="996"/>
      <c r="H42" s="1082"/>
      <c r="I42" s="335">
        <f>'R&amp;C-Painel de Controle'!$D$70</f>
        <v>100000</v>
      </c>
      <c r="J42" s="1023"/>
      <c r="K42" s="996"/>
      <c r="L42" s="1082"/>
      <c r="M42" s="335">
        <f>'R&amp;C-Painel de Controle'!$D$70</f>
        <v>100000</v>
      </c>
      <c r="N42" s="1023"/>
      <c r="O42" s="996"/>
      <c r="P42" s="1082"/>
      <c r="Q42" s="335">
        <f>'R&amp;C-Painel de Controle'!$D$70</f>
        <v>100000</v>
      </c>
      <c r="R42" s="1023"/>
      <c r="S42" s="996"/>
      <c r="T42" s="1082"/>
      <c r="U42" s="335">
        <f>'R&amp;C-Painel de Controle'!$D$70</f>
        <v>100000</v>
      </c>
      <c r="V42" s="924"/>
      <c r="W42" s="153"/>
      <c r="X42" s="153"/>
      <c r="Y42" s="153"/>
      <c r="Z42" s="153"/>
      <c r="AA42" s="153"/>
      <c r="AB42" s="153"/>
    </row>
    <row r="43" spans="1:28" ht="18" hidden="1" customHeight="1" outlineLevel="1" x14ac:dyDescent="0.25">
      <c r="A43" s="406"/>
      <c r="B43" s="1011" t="s">
        <v>637</v>
      </c>
      <c r="C43" s="925"/>
      <c r="D43" s="915"/>
      <c r="E43" s="336">
        <v>0.5</v>
      </c>
      <c r="F43" s="1023"/>
      <c r="G43" s="996"/>
      <c r="H43" s="1082"/>
      <c r="I43" s="336">
        <v>1</v>
      </c>
      <c r="J43" s="1023"/>
      <c r="K43" s="996"/>
      <c r="L43" s="1082"/>
      <c r="M43" s="336">
        <v>1.5</v>
      </c>
      <c r="N43" s="1023"/>
      <c r="O43" s="996"/>
      <c r="P43" s="1082"/>
      <c r="Q43" s="336">
        <v>2</v>
      </c>
      <c r="R43" s="1023"/>
      <c r="S43" s="996"/>
      <c r="T43" s="1082"/>
      <c r="U43" s="336">
        <v>2.5</v>
      </c>
      <c r="V43" s="924"/>
      <c r="W43" s="152"/>
      <c r="X43" s="152"/>
      <c r="Y43" s="152"/>
      <c r="Z43" s="152"/>
      <c r="AA43" s="152"/>
      <c r="AB43" s="152"/>
    </row>
    <row r="44" spans="1:28" ht="17.649999999999999" customHeight="1" x14ac:dyDescent="0.25">
      <c r="A44" s="407"/>
      <c r="B44" s="913" t="s">
        <v>390</v>
      </c>
      <c r="C44" s="869"/>
      <c r="D44" s="1017"/>
      <c r="E44" s="893" t="str">
        <f>(IF(E$7="SIM",2.5+2.5*'R&amp;C-Painel de Controle'!$D$74,"-"))</f>
        <v>-</v>
      </c>
      <c r="F44" s="1021"/>
      <c r="G44" s="1000"/>
      <c r="H44" s="1080"/>
      <c r="I44" s="893" t="str">
        <f>(IF(I$7="SIM",2.5+2.5*'R&amp;C-Painel de Controle'!$D$74,"-"))</f>
        <v>-</v>
      </c>
      <c r="J44" s="1021"/>
      <c r="K44" s="1000"/>
      <c r="L44" s="1080"/>
      <c r="M44" s="893" t="str">
        <f>(IF(M$7="SIM",2.5+2.5*'R&amp;C-Painel de Controle'!$D$74,"-"))</f>
        <v>-</v>
      </c>
      <c r="N44" s="1021"/>
      <c r="O44" s="1000"/>
      <c r="P44" s="1080"/>
      <c r="Q44" s="893" t="str">
        <f>(IF(Q$7="SIM",2.5+2.5*'R&amp;C-Painel de Controle'!$D$74,"-"))</f>
        <v>-</v>
      </c>
      <c r="R44" s="1021"/>
      <c r="S44" s="1000"/>
      <c r="T44" s="1080"/>
      <c r="U44" s="894" t="str">
        <f>(IF(U$7="SIM",2.5+2.5*'R&amp;C-Painel de Controle'!$D$74,"-"))</f>
        <v>-</v>
      </c>
      <c r="V44" s="1039"/>
      <c r="W44" s="153"/>
      <c r="X44" s="153"/>
      <c r="Y44" s="153"/>
      <c r="Z44" s="153"/>
      <c r="AA44" s="153"/>
      <c r="AB44" s="153"/>
    </row>
    <row r="45" spans="1:28" s="882" customFormat="1" ht="19.899999999999999" customHeight="1" x14ac:dyDescent="0.3">
      <c r="A45" s="879"/>
      <c r="B45" s="1012" t="s">
        <v>386</v>
      </c>
      <c r="C45" s="904"/>
      <c r="D45" s="1489">
        <v>2.5000000000000001E-2</v>
      </c>
      <c r="E45" s="887" t="str">
        <f>(IF(E$7="SIM",((E30+E35+E38+E41+E44)+(IF('R-Definição'!$J$59&gt;0,E53,IF('R-Definição'!$J$59&gt;0,E51,0))))*(1+D45),"-"))</f>
        <v>-</v>
      </c>
      <c r="F45" s="1024"/>
      <c r="G45" s="1002"/>
      <c r="H45" s="1489">
        <v>2.5000000000000001E-2</v>
      </c>
      <c r="I45" s="887" t="str">
        <f>(IF(I$7="SIM",((I30+I35+I38+I41+I44)+(IF('R-Definição'!$J$59&gt;0,I53,IF('R-Definição'!$J$59&gt;0,I51,0))))*(1+H45),"-"))</f>
        <v>-</v>
      </c>
      <c r="J45" s="1024"/>
      <c r="K45" s="1002"/>
      <c r="L45" s="1489">
        <v>2.5000000000000001E-2</v>
      </c>
      <c r="M45" s="887" t="str">
        <f>(IF(M$7="SIM",((M30+M35+M38+M41+M44)+(IF('R-Definição'!$J$59&gt;0,M53,IF('R-Definição'!$J$59&gt;0,M51,0))))*(1+L45),"-"))</f>
        <v>-</v>
      </c>
      <c r="N45" s="1024"/>
      <c r="O45" s="1002"/>
      <c r="P45" s="1489">
        <v>0.05</v>
      </c>
      <c r="Q45" s="887" t="str">
        <f>(IF(Q$7="SIM",((Q30+Q35+Q38+Q41+Q44)+(IF('R-Definição'!$J$59&gt;0,Q53,IF('R-Definição'!$J$59&gt;0,Q51,0))))*(1+P45),"-"))</f>
        <v>-</v>
      </c>
      <c r="R45" s="1024"/>
      <c r="S45" s="1002"/>
      <c r="T45" s="1489">
        <v>0.05</v>
      </c>
      <c r="U45" s="887" t="str">
        <f>(IF(U$7="SIM",((U30+U35+U38+U41+U44)+(IF('R-Definição'!$J$59&gt;0,U53,IF('R-Definição'!$J$59&gt;0,U51,0))))*(1+T45),"-"))</f>
        <v>-</v>
      </c>
      <c r="V45" s="1040"/>
      <c r="W45" s="881"/>
      <c r="X45" s="881"/>
      <c r="Y45" s="881"/>
      <c r="Z45" s="881"/>
      <c r="AA45" s="881"/>
      <c r="AB45" s="881"/>
    </row>
    <row r="46" spans="1:28" s="882" customFormat="1" ht="19.899999999999999" customHeight="1" x14ac:dyDescent="0.3">
      <c r="A46" s="879"/>
      <c r="B46" s="1012" t="s">
        <v>387</v>
      </c>
      <c r="C46" s="904"/>
      <c r="D46" s="1025"/>
      <c r="E46" s="886" t="str">
        <f>(IF(E$7="SIM",E45*$H$2/1000000,"-"))</f>
        <v>-</v>
      </c>
      <c r="F46" s="1026"/>
      <c r="G46" s="904"/>
      <c r="H46" s="1025"/>
      <c r="I46" s="886" t="str">
        <f>(IF(I$7="SIM",I45*$H$2/1000000,"-"))</f>
        <v>-</v>
      </c>
      <c r="J46" s="1026"/>
      <c r="K46" s="904"/>
      <c r="L46" s="1025"/>
      <c r="M46" s="886" t="str">
        <f>(IF(M$7="SIM",M45*$H$2/1000000,"-"))</f>
        <v>-</v>
      </c>
      <c r="N46" s="1026"/>
      <c r="O46" s="904"/>
      <c r="P46" s="1083"/>
      <c r="Q46" s="886" t="str">
        <f>(IF(Q$7="SIM",Q45*$H$2/1000000,"-"))</f>
        <v>-</v>
      </c>
      <c r="R46" s="1026"/>
      <c r="S46" s="904"/>
      <c r="T46" s="1025"/>
      <c r="U46" s="851" t="str">
        <f>(IF(U$7="SIM",U45*$H$2/1000000,"-"))</f>
        <v>-</v>
      </c>
      <c r="V46" s="1026"/>
      <c r="W46" s="881"/>
      <c r="X46" s="881"/>
      <c r="Y46" s="881"/>
      <c r="Z46" s="881"/>
      <c r="AA46" s="881"/>
      <c r="AB46" s="881"/>
    </row>
    <row r="47" spans="1:28" s="691" customFormat="1" ht="17.649999999999999" customHeight="1" x14ac:dyDescent="0.25">
      <c r="A47" s="657"/>
      <c r="B47" s="1013" t="s">
        <v>388</v>
      </c>
      <c r="C47" s="869"/>
      <c r="D47" s="1020"/>
      <c r="E47" s="895" t="str">
        <f>(IF(E$7="SIM",(((E30*$H$2/12)+(E37/1000*'R&amp;C-Painel de Controle'!$D$69*12)+(E40*12)+(E42*E43*12))/1000000),"-"))</f>
        <v>-</v>
      </c>
      <c r="F47" s="1027"/>
      <c r="G47" s="869"/>
      <c r="H47" s="1020"/>
      <c r="I47" s="895" t="str">
        <f>(IF(I$7="SIM",(((I30*$H$2/12)+(I37/1000*'R&amp;C-Painel de Controle'!$D$69*12)+(I40*12)+(I42*I43*12))/1000000),"-"))</f>
        <v>-</v>
      </c>
      <c r="J47" s="1027"/>
      <c r="K47" s="869"/>
      <c r="L47" s="1020"/>
      <c r="M47" s="895" t="str">
        <f>(IF(M$7="SIM",(((M30*$H$2/12)+(M37/1000*'R&amp;C-Painel de Controle'!$D$69*12)+(M40*12)+(M42*M43*12))/1000000),"-"))</f>
        <v>-</v>
      </c>
      <c r="N47" s="1027"/>
      <c r="O47" s="869"/>
      <c r="P47" s="1020"/>
      <c r="Q47" s="895" t="str">
        <f>(IF(Q$7="SIM",(((Q30*$H$2/12)+(Q37/1000*'R&amp;C-Painel de Controle'!$D$69*12)+(Q40*12)+(Q42*Q43*12))/1000000),"-"))</f>
        <v>-</v>
      </c>
      <c r="R47" s="1027"/>
      <c r="S47" s="869"/>
      <c r="T47" s="1020"/>
      <c r="U47" s="896" t="str">
        <f>(IF(U$7="SIM",(((U30*$H$2/12)+(U37/1000*'R&amp;C-Painel de Controle'!$D$69*12)+(U40*12)+(U42*U43*12))/1000000),"-"))</f>
        <v>-</v>
      </c>
      <c r="V47" s="1027"/>
      <c r="W47" s="38"/>
      <c r="X47" s="38"/>
      <c r="Y47" s="38"/>
      <c r="Z47" s="38"/>
      <c r="AA47" s="38"/>
      <c r="AB47" s="38"/>
    </row>
    <row r="48" spans="1:28" s="691" customFormat="1" ht="17.649999999999999" customHeight="1" thickBot="1" x14ac:dyDescent="0.3">
      <c r="A48" s="657"/>
      <c r="B48" s="1014" t="s">
        <v>389</v>
      </c>
      <c r="C48" s="869"/>
      <c r="D48" s="1028"/>
      <c r="E48" s="1029" t="str">
        <f>(IF(E$7="SIM",((E46-E47)*1000000)/$H$2,"-"))</f>
        <v>-</v>
      </c>
      <c r="F48" s="1030"/>
      <c r="G48" s="869"/>
      <c r="H48" s="1028"/>
      <c r="I48" s="1029" t="str">
        <f>(IF(I$7="SIM",((I46-I47)*1000000)/$H$2,"-"))</f>
        <v>-</v>
      </c>
      <c r="J48" s="1030"/>
      <c r="K48" s="869"/>
      <c r="L48" s="1028"/>
      <c r="M48" s="1029" t="str">
        <f>(IF(M$7="SIM",((M46-M47)*1000000)/$H$2,"-"))</f>
        <v>-</v>
      </c>
      <c r="N48" s="1030"/>
      <c r="O48" s="869"/>
      <c r="P48" s="1028"/>
      <c r="Q48" s="1029" t="str">
        <f>(IF(Q$7="SIM",((Q46-Q47)*1000000)/$H$2,"-"))</f>
        <v>-</v>
      </c>
      <c r="R48" s="1030"/>
      <c r="S48" s="869"/>
      <c r="T48" s="1028"/>
      <c r="U48" s="1041" t="str">
        <f>(IF(U$7="SIM",((U46-U47)*1000000)/$H$2,"-"))</f>
        <v>-</v>
      </c>
      <c r="V48" s="1030"/>
      <c r="W48" s="38"/>
      <c r="X48" s="38"/>
      <c r="Y48" s="38"/>
      <c r="Z48" s="38"/>
      <c r="AA48" s="38"/>
      <c r="AB48" s="38"/>
    </row>
    <row r="49" spans="1:28" ht="14.25" customHeight="1" thickTop="1" x14ac:dyDescent="0.25">
      <c r="A49" s="33"/>
      <c r="B49" s="42"/>
      <c r="C49" s="33"/>
      <c r="D49" s="33"/>
      <c r="E49" s="33"/>
      <c r="F49" s="33"/>
      <c r="G49" s="33"/>
      <c r="H49" s="33"/>
      <c r="I49" s="33"/>
      <c r="J49" s="33"/>
      <c r="K49" s="33"/>
      <c r="L49" s="33"/>
      <c r="M49" s="33"/>
      <c r="N49" s="33"/>
      <c r="O49" s="33"/>
      <c r="P49" s="33"/>
      <c r="Q49" s="33"/>
      <c r="R49" s="33"/>
      <c r="S49" s="33"/>
      <c r="T49" s="33"/>
      <c r="U49" s="33"/>
      <c r="V49" s="33"/>
      <c r="W49" s="33"/>
      <c r="X49" s="33"/>
      <c r="Y49" s="33"/>
      <c r="Z49" s="33"/>
      <c r="AA49" s="33"/>
      <c r="AB49" s="33"/>
    </row>
    <row r="50" spans="1:28" ht="14.25" customHeight="1" x14ac:dyDescent="0.25">
      <c r="A50" s="33"/>
      <c r="B50" s="1487" t="s">
        <v>900</v>
      </c>
      <c r="C50" s="33"/>
      <c r="D50" s="33"/>
      <c r="E50" s="29"/>
      <c r="F50" s="33"/>
      <c r="G50" s="33"/>
      <c r="H50" s="33"/>
      <c r="I50" s="29"/>
      <c r="J50" s="33"/>
      <c r="K50" s="33"/>
      <c r="L50" s="33"/>
      <c r="M50" s="29"/>
      <c r="N50" s="33"/>
      <c r="O50" s="33"/>
      <c r="P50" s="33"/>
      <c r="Q50" s="29"/>
      <c r="R50" s="33"/>
      <c r="S50" s="33"/>
      <c r="T50" s="33"/>
      <c r="U50" s="29"/>
      <c r="V50" s="33"/>
      <c r="W50" s="33"/>
      <c r="X50" s="33"/>
      <c r="Y50" s="33"/>
      <c r="Z50" s="33"/>
      <c r="AA50" s="33"/>
      <c r="AB50" s="33"/>
    </row>
    <row r="51" spans="1:28" ht="14.25" customHeight="1" x14ac:dyDescent="0.25">
      <c r="A51" s="33"/>
      <c r="B51" s="1487" t="s">
        <v>901</v>
      </c>
      <c r="C51" s="33"/>
      <c r="D51" s="33"/>
      <c r="E51" s="29"/>
      <c r="F51" s="33"/>
      <c r="G51" s="33"/>
      <c r="H51" s="33"/>
      <c r="I51" s="29"/>
      <c r="J51" s="33"/>
      <c r="K51" s="33"/>
      <c r="L51" s="33"/>
      <c r="M51" s="29"/>
      <c r="N51" s="33"/>
      <c r="O51" s="33"/>
      <c r="P51" s="33"/>
      <c r="Q51" s="29"/>
      <c r="R51" s="33"/>
      <c r="S51" s="33"/>
      <c r="T51" s="33"/>
      <c r="U51" s="29"/>
      <c r="V51" s="33"/>
      <c r="W51" s="33"/>
      <c r="X51" s="33"/>
      <c r="Y51" s="33"/>
      <c r="Z51" s="33"/>
      <c r="AA51" s="33"/>
      <c r="AB51" s="33"/>
    </row>
    <row r="52" spans="1:28" ht="14.25" customHeight="1" x14ac:dyDescent="0.25">
      <c r="A52" s="33"/>
      <c r="B52" s="1487" t="s">
        <v>902</v>
      </c>
      <c r="C52" s="33"/>
      <c r="D52" s="33"/>
      <c r="E52" s="29"/>
      <c r="F52" s="33"/>
      <c r="G52" s="33"/>
      <c r="H52" s="33"/>
      <c r="I52" s="29"/>
      <c r="J52" s="33"/>
      <c r="K52" s="33"/>
      <c r="L52" s="33"/>
      <c r="M52" s="29"/>
      <c r="N52" s="33"/>
      <c r="O52" s="33"/>
      <c r="P52" s="33"/>
      <c r="Q52" s="29"/>
      <c r="R52" s="33"/>
      <c r="S52" s="33"/>
      <c r="T52" s="33"/>
      <c r="U52" s="29"/>
      <c r="V52" s="33"/>
      <c r="W52" s="33"/>
      <c r="X52" s="33"/>
      <c r="Y52" s="33"/>
      <c r="Z52" s="33"/>
      <c r="AA52" s="33"/>
      <c r="AB52" s="33"/>
    </row>
    <row r="53" spans="1:28" ht="14.25" customHeight="1" x14ac:dyDescent="0.25">
      <c r="A53" s="33"/>
      <c r="B53" s="1487" t="s">
        <v>903</v>
      </c>
      <c r="C53" s="33"/>
      <c r="D53" s="33"/>
      <c r="E53" s="29"/>
      <c r="F53" s="33"/>
      <c r="G53" s="33"/>
      <c r="H53" s="33"/>
      <c r="I53" s="29"/>
      <c r="J53" s="33"/>
      <c r="K53" s="33"/>
      <c r="L53" s="33"/>
      <c r="M53" s="29"/>
      <c r="N53" s="33"/>
      <c r="O53" s="33"/>
      <c r="P53" s="33"/>
      <c r="Q53" s="29"/>
      <c r="R53" s="33"/>
      <c r="S53" s="33"/>
      <c r="T53" s="33"/>
      <c r="U53" s="29"/>
      <c r="V53" s="33"/>
      <c r="W53" s="33"/>
      <c r="X53" s="33"/>
      <c r="Y53" s="33"/>
      <c r="Z53" s="33"/>
      <c r="AA53" s="33"/>
      <c r="AB53" s="33"/>
    </row>
    <row r="54" spans="1:28" ht="14.25" customHeight="1" x14ac:dyDescent="0.25">
      <c r="A54" s="33"/>
      <c r="B54" s="42"/>
      <c r="C54" s="33"/>
      <c r="D54" s="33"/>
      <c r="E54" s="33"/>
      <c r="F54" s="33"/>
      <c r="G54" s="33"/>
      <c r="H54" s="33"/>
      <c r="I54" s="33"/>
      <c r="J54" s="33"/>
      <c r="K54" s="33"/>
      <c r="L54" s="33"/>
      <c r="M54" s="33"/>
      <c r="N54" s="33"/>
      <c r="O54" s="33"/>
      <c r="P54" s="33"/>
      <c r="Q54" s="33"/>
      <c r="R54" s="33"/>
      <c r="S54" s="33"/>
      <c r="T54" s="33"/>
      <c r="U54" s="33"/>
      <c r="V54" s="33"/>
      <c r="W54" s="33"/>
      <c r="X54" s="33"/>
      <c r="Y54" s="33"/>
      <c r="Z54" s="33"/>
      <c r="AA54" s="33"/>
      <c r="AB54" s="33"/>
    </row>
    <row r="55" spans="1:28" ht="14.25" customHeight="1" x14ac:dyDescent="0.25">
      <c r="A55" s="33"/>
      <c r="B55" s="42"/>
      <c r="C55" s="33"/>
      <c r="D55" s="33"/>
      <c r="E55" s="33"/>
      <c r="F55" s="33"/>
      <c r="G55" s="33"/>
      <c r="H55" s="33"/>
      <c r="I55" s="33"/>
      <c r="J55" s="33"/>
      <c r="K55" s="33"/>
      <c r="L55" s="33"/>
      <c r="M55" s="33"/>
      <c r="N55" s="33"/>
      <c r="O55" s="33"/>
      <c r="P55" s="33"/>
      <c r="Q55" s="33"/>
      <c r="R55" s="33"/>
      <c r="S55" s="33"/>
      <c r="T55" s="33"/>
      <c r="U55" s="33"/>
      <c r="V55" s="33"/>
      <c r="W55" s="33"/>
      <c r="X55" s="33"/>
      <c r="Y55" s="33"/>
      <c r="Z55" s="33"/>
      <c r="AA55" s="33"/>
      <c r="AB55" s="33"/>
    </row>
    <row r="56" spans="1:28" ht="14.25" customHeight="1" x14ac:dyDescent="0.25">
      <c r="A56" s="33"/>
      <c r="B56" s="42"/>
      <c r="C56" s="33"/>
      <c r="D56" s="33"/>
      <c r="E56" s="33"/>
      <c r="F56" s="33"/>
      <c r="G56" s="33"/>
      <c r="H56" s="33"/>
      <c r="I56" s="33"/>
      <c r="J56" s="33"/>
      <c r="K56" s="33"/>
      <c r="L56" s="33"/>
      <c r="M56" s="33"/>
      <c r="N56" s="33"/>
      <c r="O56" s="33"/>
      <c r="P56" s="33"/>
      <c r="Q56" s="33"/>
      <c r="R56" s="33"/>
      <c r="S56" s="33"/>
      <c r="T56" s="33"/>
      <c r="U56" s="33"/>
      <c r="V56" s="33"/>
      <c r="W56" s="33"/>
      <c r="X56" s="33"/>
      <c r="Y56" s="33"/>
      <c r="Z56" s="33"/>
      <c r="AA56" s="33"/>
      <c r="AB56" s="33"/>
    </row>
    <row r="57" spans="1:28" ht="14.25" customHeight="1" x14ac:dyDescent="0.25">
      <c r="A57" s="33"/>
      <c r="B57" s="42"/>
      <c r="C57" s="33"/>
      <c r="D57" s="33"/>
      <c r="E57" s="33"/>
      <c r="F57" s="33"/>
      <c r="G57" s="33"/>
      <c r="H57" s="33"/>
      <c r="I57" s="33"/>
      <c r="J57" s="33"/>
      <c r="K57" s="33"/>
      <c r="L57" s="33"/>
      <c r="M57" s="33"/>
      <c r="N57" s="33"/>
      <c r="O57" s="33"/>
      <c r="P57" s="33"/>
      <c r="Q57" s="33"/>
      <c r="R57" s="33"/>
      <c r="S57" s="33"/>
      <c r="T57" s="33"/>
      <c r="U57" s="33"/>
      <c r="V57" s="33"/>
      <c r="W57" s="33"/>
      <c r="X57" s="33"/>
      <c r="Y57" s="33"/>
      <c r="Z57" s="33"/>
      <c r="AA57" s="33"/>
      <c r="AB57" s="33"/>
    </row>
    <row r="58" spans="1:28" ht="14.25" customHeight="1" x14ac:dyDescent="0.25">
      <c r="A58" s="33"/>
      <c r="B58" s="42"/>
      <c r="C58" s="33"/>
      <c r="D58" s="33"/>
      <c r="E58" s="33"/>
      <c r="F58" s="33"/>
      <c r="G58" s="33"/>
      <c r="H58" s="33"/>
      <c r="I58" s="33"/>
      <c r="J58" s="33"/>
      <c r="K58" s="33"/>
      <c r="L58" s="33"/>
      <c r="M58" s="33"/>
      <c r="N58" s="33"/>
      <c r="O58" s="33"/>
      <c r="P58" s="33"/>
      <c r="Q58" s="33"/>
      <c r="R58" s="33"/>
      <c r="S58" s="33"/>
      <c r="T58" s="33"/>
      <c r="U58" s="33"/>
      <c r="V58" s="33"/>
      <c r="W58" s="33"/>
      <c r="X58" s="33"/>
      <c r="Y58" s="33"/>
      <c r="Z58" s="33"/>
      <c r="AA58" s="33"/>
      <c r="AB58" s="33"/>
    </row>
    <row r="59" spans="1:28" ht="14.25" customHeight="1" x14ac:dyDescent="0.25">
      <c r="A59" s="33"/>
      <c r="B59" s="42"/>
      <c r="C59" s="33"/>
      <c r="D59" s="33"/>
      <c r="E59" s="33"/>
      <c r="F59" s="33"/>
      <c r="G59" s="33"/>
      <c r="H59" s="33"/>
      <c r="I59" s="33"/>
      <c r="J59" s="33"/>
      <c r="K59" s="33"/>
      <c r="L59" s="33"/>
      <c r="M59" s="33"/>
      <c r="N59" s="33"/>
      <c r="O59" s="33"/>
      <c r="P59" s="33"/>
      <c r="Q59" s="33"/>
      <c r="R59" s="33"/>
      <c r="S59" s="33"/>
      <c r="T59" s="33"/>
      <c r="U59" s="33"/>
      <c r="V59" s="33"/>
      <c r="W59" s="33"/>
      <c r="X59" s="33"/>
      <c r="Y59" s="33"/>
      <c r="Z59" s="33"/>
      <c r="AA59" s="33"/>
      <c r="AB59" s="33"/>
    </row>
    <row r="60" spans="1:28" ht="14.25" customHeight="1" x14ac:dyDescent="0.25">
      <c r="A60" s="33"/>
      <c r="B60" s="42"/>
      <c r="C60" s="33"/>
      <c r="D60" s="33"/>
      <c r="E60" s="33"/>
      <c r="F60" s="33"/>
      <c r="G60" s="33"/>
      <c r="H60" s="33"/>
      <c r="I60" s="33"/>
      <c r="J60" s="33"/>
      <c r="K60" s="33"/>
      <c r="L60" s="33"/>
      <c r="M60" s="33"/>
      <c r="N60" s="33"/>
      <c r="O60" s="33"/>
      <c r="P60" s="33"/>
      <c r="Q60" s="33"/>
      <c r="R60" s="33"/>
      <c r="S60" s="33"/>
      <c r="T60" s="33"/>
      <c r="U60" s="33"/>
      <c r="V60" s="33"/>
      <c r="W60" s="33"/>
      <c r="X60" s="33"/>
      <c r="Y60" s="33"/>
      <c r="Z60" s="33"/>
      <c r="AA60" s="33"/>
      <c r="AB60" s="33"/>
    </row>
    <row r="61" spans="1:28" ht="14.25" customHeight="1" x14ac:dyDescent="0.25">
      <c r="A61" s="33"/>
      <c r="B61" s="42"/>
      <c r="C61" s="33"/>
      <c r="D61" s="33"/>
      <c r="E61" s="33"/>
      <c r="F61" s="33"/>
      <c r="G61" s="33"/>
      <c r="H61" s="33"/>
      <c r="I61" s="33"/>
      <c r="J61" s="33"/>
      <c r="K61" s="33"/>
      <c r="L61" s="33"/>
      <c r="M61" s="33"/>
      <c r="N61" s="33"/>
      <c r="O61" s="33"/>
      <c r="P61" s="33"/>
      <c r="Q61" s="33"/>
      <c r="R61" s="33"/>
      <c r="S61" s="33"/>
      <c r="T61" s="33"/>
      <c r="U61" s="33"/>
      <c r="V61" s="33"/>
      <c r="W61" s="33"/>
      <c r="X61" s="33"/>
      <c r="Y61" s="33"/>
      <c r="Z61" s="33"/>
      <c r="AA61" s="33"/>
      <c r="AB61" s="33"/>
    </row>
    <row r="62" spans="1:28" ht="14.25" customHeight="1" x14ac:dyDescent="0.25">
      <c r="A62" s="33"/>
      <c r="B62" s="42"/>
      <c r="C62" s="33"/>
      <c r="D62" s="33"/>
      <c r="E62" s="33"/>
      <c r="F62" s="33"/>
      <c r="G62" s="33"/>
      <c r="H62" s="33"/>
      <c r="I62" s="33"/>
      <c r="J62" s="33"/>
      <c r="K62" s="33"/>
      <c r="L62" s="33"/>
      <c r="M62" s="33"/>
      <c r="N62" s="33"/>
      <c r="O62" s="33"/>
      <c r="P62" s="33"/>
      <c r="Q62" s="33"/>
      <c r="R62" s="33"/>
      <c r="S62" s="33"/>
      <c r="T62" s="33"/>
      <c r="U62" s="33"/>
      <c r="V62" s="33"/>
      <c r="W62" s="33"/>
      <c r="X62" s="33"/>
      <c r="Y62" s="33"/>
      <c r="Z62" s="33"/>
      <c r="AA62" s="33"/>
      <c r="AB62" s="33"/>
    </row>
    <row r="63" spans="1:28" ht="14.25" customHeight="1" x14ac:dyDescent="0.25">
      <c r="A63" s="33"/>
      <c r="B63" s="42"/>
      <c r="C63" s="33"/>
      <c r="D63" s="33"/>
      <c r="E63" s="33"/>
      <c r="F63" s="33"/>
      <c r="G63" s="33"/>
      <c r="H63" s="33"/>
      <c r="I63" s="33"/>
      <c r="J63" s="33"/>
      <c r="K63" s="33"/>
      <c r="L63" s="33"/>
      <c r="M63" s="33"/>
      <c r="N63" s="33"/>
      <c r="O63" s="33"/>
      <c r="P63" s="33"/>
      <c r="Q63" s="33"/>
      <c r="R63" s="33"/>
      <c r="S63" s="33"/>
      <c r="T63" s="33"/>
      <c r="U63" s="33"/>
      <c r="V63" s="33"/>
      <c r="W63" s="33"/>
      <c r="X63" s="33"/>
      <c r="Y63" s="33"/>
      <c r="Z63" s="33"/>
      <c r="AA63" s="33"/>
      <c r="AB63" s="33"/>
    </row>
    <row r="64" spans="1:28" ht="14.25" customHeight="1" x14ac:dyDescent="0.25">
      <c r="A64" s="33"/>
      <c r="B64" s="42"/>
      <c r="C64" s="33"/>
      <c r="D64" s="33"/>
      <c r="E64" s="33"/>
      <c r="F64" s="33"/>
      <c r="G64" s="33"/>
      <c r="H64" s="33"/>
      <c r="I64" s="33"/>
      <c r="J64" s="33"/>
      <c r="K64" s="33"/>
      <c r="L64" s="33"/>
      <c r="M64" s="33"/>
      <c r="N64" s="33"/>
      <c r="O64" s="33"/>
      <c r="P64" s="33"/>
      <c r="Q64" s="33"/>
      <c r="R64" s="33"/>
      <c r="S64" s="33"/>
      <c r="T64" s="33"/>
      <c r="U64" s="33"/>
      <c r="V64" s="33"/>
      <c r="W64" s="33"/>
      <c r="X64" s="33"/>
      <c r="Y64" s="33"/>
      <c r="Z64" s="33"/>
      <c r="AA64" s="33"/>
      <c r="AB64" s="33"/>
    </row>
    <row r="65" spans="1:28" ht="14.25" customHeight="1" x14ac:dyDescent="0.25">
      <c r="A65" s="33"/>
      <c r="B65" s="42"/>
      <c r="C65" s="33"/>
      <c r="D65" s="33"/>
      <c r="E65" s="33"/>
      <c r="F65" s="33"/>
      <c r="G65" s="33"/>
      <c r="H65" s="33"/>
      <c r="I65" s="33"/>
      <c r="J65" s="33"/>
      <c r="K65" s="33"/>
      <c r="L65" s="33"/>
      <c r="M65" s="33"/>
      <c r="N65" s="33"/>
      <c r="O65" s="33"/>
      <c r="P65" s="33"/>
      <c r="Q65" s="33"/>
      <c r="R65" s="33"/>
      <c r="S65" s="33"/>
      <c r="T65" s="33"/>
      <c r="U65" s="33"/>
      <c r="V65" s="33"/>
      <c r="W65" s="33"/>
      <c r="X65" s="33"/>
      <c r="Y65" s="33"/>
      <c r="Z65" s="33"/>
      <c r="AA65" s="33"/>
      <c r="AB65" s="33"/>
    </row>
    <row r="66" spans="1:28" ht="14.25" customHeight="1" x14ac:dyDescent="0.25">
      <c r="A66" s="33"/>
      <c r="B66" s="42"/>
      <c r="C66" s="33"/>
      <c r="D66" s="33"/>
      <c r="E66" s="33"/>
      <c r="F66" s="33"/>
      <c r="G66" s="33"/>
      <c r="H66" s="33"/>
      <c r="I66" s="33"/>
      <c r="J66" s="33"/>
      <c r="K66" s="33"/>
      <c r="L66" s="33"/>
      <c r="M66" s="33"/>
      <c r="N66" s="33"/>
      <c r="O66" s="33"/>
      <c r="P66" s="33"/>
      <c r="Q66" s="33"/>
      <c r="R66" s="33"/>
      <c r="S66" s="33"/>
      <c r="T66" s="33"/>
      <c r="U66" s="33"/>
      <c r="V66" s="33"/>
      <c r="W66" s="33"/>
      <c r="X66" s="33"/>
      <c r="Y66" s="33"/>
      <c r="Z66" s="33"/>
      <c r="AA66" s="33"/>
      <c r="AB66" s="33"/>
    </row>
    <row r="67" spans="1:28" ht="14.25" customHeight="1" x14ac:dyDescent="0.25">
      <c r="A67" s="33"/>
      <c r="B67" s="42"/>
      <c r="C67" s="33"/>
      <c r="D67" s="33"/>
      <c r="E67" s="33"/>
      <c r="F67" s="33"/>
      <c r="G67" s="33"/>
      <c r="H67" s="33"/>
      <c r="I67" s="33"/>
      <c r="J67" s="33"/>
      <c r="K67" s="33"/>
      <c r="L67" s="33"/>
      <c r="M67" s="33"/>
      <c r="N67" s="33"/>
      <c r="O67" s="33"/>
      <c r="P67" s="33"/>
      <c r="Q67" s="33"/>
      <c r="R67" s="33"/>
      <c r="S67" s="33"/>
      <c r="T67" s="33"/>
      <c r="U67" s="33"/>
      <c r="V67" s="33"/>
      <c r="W67" s="33"/>
      <c r="X67" s="33"/>
      <c r="Y67" s="33"/>
      <c r="Z67" s="33"/>
      <c r="AA67" s="33"/>
      <c r="AB67" s="33"/>
    </row>
    <row r="68" spans="1:28" ht="14.25" customHeight="1" x14ac:dyDescent="0.25">
      <c r="A68" s="33"/>
      <c r="B68" s="42"/>
      <c r="C68" s="33"/>
      <c r="D68" s="33"/>
      <c r="E68" s="33"/>
      <c r="F68" s="33"/>
      <c r="G68" s="33"/>
      <c r="H68" s="33"/>
      <c r="I68" s="33"/>
      <c r="J68" s="33"/>
      <c r="K68" s="33"/>
      <c r="L68" s="33"/>
      <c r="M68" s="33"/>
      <c r="N68" s="33"/>
      <c r="O68" s="33"/>
      <c r="P68" s="33"/>
      <c r="Q68" s="33"/>
      <c r="R68" s="33"/>
      <c r="S68" s="33"/>
      <c r="T68" s="33"/>
      <c r="U68" s="33"/>
      <c r="V68" s="33"/>
      <c r="W68" s="33"/>
      <c r="X68" s="33"/>
      <c r="Y68" s="33"/>
      <c r="Z68" s="33"/>
      <c r="AA68" s="33"/>
      <c r="AB68" s="33"/>
    </row>
    <row r="69" spans="1:28" ht="14.25" customHeight="1" x14ac:dyDescent="0.25">
      <c r="A69" s="33"/>
      <c r="B69" s="42"/>
      <c r="C69" s="33"/>
      <c r="D69" s="33"/>
      <c r="E69" s="33"/>
      <c r="F69" s="33"/>
      <c r="G69" s="33"/>
      <c r="H69" s="33"/>
      <c r="I69" s="33"/>
      <c r="J69" s="33"/>
      <c r="K69" s="33"/>
      <c r="L69" s="33"/>
      <c r="M69" s="33"/>
      <c r="N69" s="33"/>
      <c r="O69" s="33"/>
      <c r="P69" s="33"/>
      <c r="Q69" s="33"/>
      <c r="R69" s="33"/>
      <c r="S69" s="33"/>
      <c r="T69" s="33"/>
      <c r="U69" s="33"/>
      <c r="V69" s="33"/>
      <c r="W69" s="33"/>
      <c r="X69" s="33"/>
      <c r="Y69" s="33"/>
      <c r="Z69" s="33"/>
      <c r="AA69" s="33"/>
      <c r="AB69" s="33"/>
    </row>
    <row r="70" spans="1:28" ht="14.25" customHeight="1" x14ac:dyDescent="0.25">
      <c r="A70" s="33"/>
      <c r="B70" s="42"/>
      <c r="C70" s="33"/>
      <c r="D70" s="33"/>
      <c r="E70" s="33"/>
      <c r="F70" s="33"/>
      <c r="G70" s="33"/>
      <c r="H70" s="33"/>
      <c r="I70" s="33"/>
      <c r="J70" s="33"/>
      <c r="K70" s="33"/>
      <c r="L70" s="33"/>
      <c r="M70" s="33"/>
      <c r="N70" s="33"/>
      <c r="O70" s="33"/>
      <c r="P70" s="33"/>
      <c r="Q70" s="33"/>
      <c r="R70" s="33"/>
      <c r="S70" s="33"/>
      <c r="T70" s="33"/>
      <c r="U70" s="33"/>
      <c r="V70" s="33"/>
      <c r="W70" s="33"/>
      <c r="X70" s="33"/>
      <c r="Y70" s="33"/>
      <c r="Z70" s="33"/>
      <c r="AA70" s="33"/>
      <c r="AB70" s="33"/>
    </row>
    <row r="71" spans="1:28" ht="14.25" customHeight="1" x14ac:dyDescent="0.25">
      <c r="A71" s="33"/>
      <c r="B71" s="42"/>
      <c r="C71" s="33"/>
      <c r="D71" s="33"/>
      <c r="E71" s="33"/>
      <c r="F71" s="33"/>
      <c r="G71" s="33"/>
      <c r="H71" s="33"/>
      <c r="I71" s="33"/>
      <c r="J71" s="33"/>
      <c r="K71" s="33"/>
      <c r="L71" s="33"/>
      <c r="M71" s="33"/>
      <c r="N71" s="33"/>
      <c r="O71" s="33"/>
      <c r="P71" s="33"/>
      <c r="Q71" s="33"/>
      <c r="R71" s="33"/>
      <c r="S71" s="33"/>
      <c r="T71" s="33"/>
      <c r="U71" s="33"/>
      <c r="V71" s="33"/>
      <c r="W71" s="33"/>
      <c r="X71" s="33"/>
      <c r="Y71" s="33"/>
      <c r="Z71" s="33"/>
      <c r="AA71" s="33"/>
      <c r="AB71" s="33"/>
    </row>
    <row r="72" spans="1:28" ht="14.25" customHeight="1" x14ac:dyDescent="0.25">
      <c r="A72" s="33"/>
      <c r="B72" s="42"/>
      <c r="C72" s="33"/>
      <c r="D72" s="33"/>
      <c r="E72" s="33"/>
      <c r="F72" s="33"/>
      <c r="G72" s="33"/>
      <c r="H72" s="33"/>
      <c r="I72" s="33"/>
      <c r="J72" s="33"/>
      <c r="K72" s="33"/>
      <c r="L72" s="33"/>
      <c r="M72" s="33"/>
      <c r="N72" s="33"/>
      <c r="O72" s="33"/>
      <c r="P72" s="33"/>
      <c r="Q72" s="33"/>
      <c r="R72" s="33"/>
      <c r="S72" s="33"/>
      <c r="T72" s="33"/>
      <c r="U72" s="33"/>
      <c r="V72" s="33"/>
      <c r="W72" s="33"/>
      <c r="X72" s="33"/>
      <c r="Y72" s="33"/>
      <c r="Z72" s="33"/>
      <c r="AA72" s="33"/>
      <c r="AB72" s="33"/>
    </row>
    <row r="73" spans="1:28" ht="14.25" customHeight="1" x14ac:dyDescent="0.25">
      <c r="A73" s="33"/>
      <c r="B73" s="42"/>
      <c r="C73" s="33"/>
      <c r="D73" s="33"/>
      <c r="E73" s="33"/>
      <c r="F73" s="33"/>
      <c r="G73" s="33"/>
      <c r="H73" s="33"/>
      <c r="I73" s="33"/>
      <c r="J73" s="33"/>
      <c r="K73" s="33"/>
      <c r="L73" s="33"/>
      <c r="M73" s="33"/>
      <c r="N73" s="33"/>
      <c r="O73" s="33"/>
      <c r="P73" s="33"/>
      <c r="Q73" s="33"/>
      <c r="R73" s="33"/>
      <c r="S73" s="33"/>
      <c r="T73" s="33"/>
      <c r="U73" s="33"/>
      <c r="V73" s="33"/>
      <c r="W73" s="33"/>
      <c r="X73" s="33"/>
      <c r="Y73" s="33"/>
      <c r="Z73" s="33"/>
      <c r="AA73" s="33"/>
      <c r="AB73" s="33"/>
    </row>
    <row r="74" spans="1:28" ht="14.25" customHeight="1" x14ac:dyDescent="0.25">
      <c r="A74" s="33"/>
      <c r="B74" s="42"/>
      <c r="C74" s="33"/>
      <c r="D74" s="33"/>
      <c r="E74" s="33"/>
      <c r="F74" s="33"/>
      <c r="G74" s="33"/>
      <c r="H74" s="33"/>
      <c r="I74" s="33"/>
      <c r="J74" s="33"/>
      <c r="K74" s="33"/>
      <c r="L74" s="33"/>
      <c r="M74" s="33"/>
      <c r="N74" s="33"/>
      <c r="O74" s="33"/>
      <c r="P74" s="33"/>
      <c r="Q74" s="33"/>
      <c r="R74" s="33"/>
      <c r="S74" s="33"/>
      <c r="T74" s="33"/>
      <c r="U74" s="33"/>
      <c r="V74" s="33"/>
      <c r="W74" s="33"/>
      <c r="X74" s="33"/>
      <c r="Y74" s="33"/>
      <c r="Z74" s="33"/>
      <c r="AA74" s="33"/>
      <c r="AB74" s="33"/>
    </row>
    <row r="75" spans="1:28" ht="14.25" customHeight="1" x14ac:dyDescent="0.25">
      <c r="A75" s="33"/>
      <c r="B75" s="42"/>
      <c r="C75" s="33"/>
      <c r="D75" s="33"/>
      <c r="E75" s="33"/>
      <c r="F75" s="33"/>
      <c r="G75" s="33"/>
      <c r="H75" s="33"/>
      <c r="I75" s="33"/>
      <c r="J75" s="33"/>
      <c r="K75" s="33"/>
      <c r="L75" s="33"/>
      <c r="M75" s="33"/>
      <c r="N75" s="33"/>
      <c r="O75" s="33"/>
      <c r="P75" s="33"/>
      <c r="Q75" s="33"/>
      <c r="R75" s="33"/>
      <c r="S75" s="33"/>
      <c r="T75" s="33"/>
      <c r="U75" s="33"/>
      <c r="V75" s="33"/>
      <c r="W75" s="33"/>
      <c r="X75" s="33"/>
      <c r="Y75" s="33"/>
      <c r="Z75" s="33"/>
      <c r="AA75" s="33"/>
      <c r="AB75" s="33"/>
    </row>
    <row r="76" spans="1:28" ht="14.25" customHeight="1" x14ac:dyDescent="0.25">
      <c r="A76" s="33"/>
      <c r="B76" s="42"/>
      <c r="C76" s="33"/>
      <c r="D76" s="33"/>
      <c r="E76" s="33"/>
      <c r="F76" s="33"/>
      <c r="G76" s="33"/>
      <c r="H76" s="33"/>
      <c r="I76" s="33"/>
      <c r="J76" s="33"/>
      <c r="K76" s="33"/>
      <c r="L76" s="33"/>
      <c r="M76" s="33"/>
      <c r="N76" s="33"/>
      <c r="O76" s="33"/>
      <c r="P76" s="33"/>
      <c r="Q76" s="33"/>
      <c r="R76" s="33"/>
      <c r="S76" s="33"/>
      <c r="T76" s="33"/>
      <c r="U76" s="33"/>
      <c r="V76" s="33"/>
      <c r="W76" s="33"/>
      <c r="X76" s="33"/>
      <c r="Y76" s="33"/>
      <c r="Z76" s="33"/>
      <c r="AA76" s="33"/>
      <c r="AB76" s="33"/>
    </row>
    <row r="77" spans="1:28" ht="14.25" customHeight="1" x14ac:dyDescent="0.25">
      <c r="A77" s="33"/>
      <c r="B77" s="42"/>
      <c r="C77" s="33"/>
      <c r="D77" s="33"/>
      <c r="E77" s="33"/>
      <c r="F77" s="33"/>
      <c r="G77" s="33"/>
      <c r="H77" s="33"/>
      <c r="I77" s="33"/>
      <c r="J77" s="33"/>
      <c r="K77" s="33"/>
      <c r="L77" s="33"/>
      <c r="M77" s="33"/>
      <c r="N77" s="33"/>
      <c r="O77" s="33"/>
      <c r="P77" s="33"/>
      <c r="Q77" s="33"/>
      <c r="R77" s="33"/>
      <c r="S77" s="33"/>
      <c r="T77" s="33"/>
      <c r="U77" s="33"/>
      <c r="V77" s="33"/>
      <c r="W77" s="33"/>
      <c r="X77" s="33"/>
      <c r="Y77" s="33"/>
      <c r="Z77" s="33"/>
      <c r="AA77" s="33"/>
      <c r="AB77" s="33"/>
    </row>
    <row r="78" spans="1:28" ht="14.25" customHeight="1" x14ac:dyDescent="0.25">
      <c r="A78" s="33"/>
      <c r="B78" s="42"/>
      <c r="C78" s="33"/>
      <c r="D78" s="33"/>
      <c r="E78" s="33"/>
      <c r="F78" s="33"/>
      <c r="G78" s="33"/>
      <c r="H78" s="33"/>
      <c r="I78" s="33"/>
      <c r="J78" s="33"/>
      <c r="K78" s="33"/>
      <c r="L78" s="33"/>
      <c r="M78" s="33"/>
      <c r="N78" s="33"/>
      <c r="O78" s="33"/>
      <c r="P78" s="33"/>
      <c r="Q78" s="33"/>
      <c r="R78" s="33"/>
      <c r="S78" s="33"/>
      <c r="T78" s="33"/>
      <c r="U78" s="33"/>
      <c r="V78" s="33"/>
      <c r="W78" s="33"/>
      <c r="X78" s="33"/>
      <c r="Y78" s="33"/>
      <c r="Z78" s="33"/>
      <c r="AA78" s="33"/>
      <c r="AB78" s="33"/>
    </row>
    <row r="79" spans="1:28" ht="14.25" customHeight="1" x14ac:dyDescent="0.25">
      <c r="A79" s="33"/>
      <c r="B79" s="42"/>
      <c r="C79" s="33"/>
      <c r="D79" s="33"/>
      <c r="E79" s="33"/>
      <c r="F79" s="33"/>
      <c r="G79" s="33"/>
      <c r="H79" s="33"/>
      <c r="I79" s="33"/>
      <c r="J79" s="33"/>
      <c r="K79" s="33"/>
      <c r="L79" s="33"/>
      <c r="M79" s="33"/>
      <c r="N79" s="33"/>
      <c r="O79" s="33"/>
      <c r="P79" s="33"/>
      <c r="Q79" s="33"/>
      <c r="R79" s="33"/>
      <c r="S79" s="33"/>
      <c r="T79" s="33"/>
      <c r="U79" s="33"/>
      <c r="V79" s="33"/>
      <c r="W79" s="33"/>
      <c r="X79" s="33"/>
      <c r="Y79" s="33"/>
      <c r="Z79" s="33"/>
      <c r="AA79" s="33"/>
      <c r="AB79" s="33"/>
    </row>
    <row r="80" spans="1:28" ht="14.25" customHeight="1" x14ac:dyDescent="0.25">
      <c r="A80" s="33"/>
      <c r="B80" s="42"/>
      <c r="C80" s="33"/>
      <c r="D80" s="33"/>
      <c r="E80" s="33"/>
      <c r="F80" s="33"/>
      <c r="G80" s="33"/>
      <c r="H80" s="33"/>
      <c r="I80" s="33"/>
      <c r="J80" s="33"/>
      <c r="K80" s="33"/>
      <c r="L80" s="33"/>
      <c r="M80" s="33"/>
      <c r="N80" s="33"/>
      <c r="O80" s="33"/>
      <c r="P80" s="33"/>
      <c r="Q80" s="33"/>
      <c r="R80" s="33"/>
      <c r="S80" s="33"/>
      <c r="T80" s="33"/>
      <c r="U80" s="33"/>
      <c r="V80" s="33"/>
      <c r="W80" s="33"/>
      <c r="X80" s="33"/>
      <c r="Y80" s="33"/>
      <c r="Z80" s="33"/>
      <c r="AA80" s="33"/>
      <c r="AB80" s="33"/>
    </row>
    <row r="81" spans="1:28" ht="14.25" customHeight="1" x14ac:dyDescent="0.25">
      <c r="A81" s="33"/>
      <c r="B81" s="42"/>
      <c r="C81" s="33"/>
      <c r="D81" s="33"/>
      <c r="E81" s="33"/>
      <c r="F81" s="33"/>
      <c r="G81" s="33"/>
      <c r="H81" s="33"/>
      <c r="I81" s="33"/>
      <c r="J81" s="33"/>
      <c r="K81" s="33"/>
      <c r="L81" s="33"/>
      <c r="M81" s="33"/>
      <c r="N81" s="33"/>
      <c r="O81" s="33"/>
      <c r="P81" s="33"/>
      <c r="Q81" s="33"/>
      <c r="R81" s="33"/>
      <c r="S81" s="33"/>
      <c r="T81" s="33"/>
      <c r="U81" s="33"/>
      <c r="V81" s="33"/>
      <c r="W81" s="33"/>
      <c r="X81" s="33"/>
      <c r="Y81" s="33"/>
      <c r="Z81" s="33"/>
      <c r="AA81" s="33"/>
      <c r="AB81" s="33"/>
    </row>
    <row r="82" spans="1:28" ht="14.25" customHeight="1" x14ac:dyDescent="0.25">
      <c r="A82" s="33"/>
      <c r="B82" s="42"/>
      <c r="C82" s="33"/>
      <c r="D82" s="33"/>
      <c r="E82" s="33"/>
      <c r="F82" s="33"/>
      <c r="G82" s="33"/>
      <c r="H82" s="33"/>
      <c r="I82" s="33"/>
      <c r="J82" s="33"/>
      <c r="K82" s="33"/>
      <c r="L82" s="33"/>
      <c r="M82" s="33"/>
      <c r="N82" s="33"/>
      <c r="O82" s="33"/>
      <c r="P82" s="33"/>
      <c r="Q82" s="33"/>
      <c r="R82" s="33"/>
      <c r="S82" s="33"/>
      <c r="T82" s="33"/>
      <c r="U82" s="33"/>
      <c r="V82" s="33"/>
      <c r="W82" s="33"/>
      <c r="X82" s="33"/>
      <c r="Y82" s="33"/>
      <c r="Z82" s="33"/>
      <c r="AA82" s="33"/>
      <c r="AB82" s="33"/>
    </row>
    <row r="83" spans="1:28" ht="14.25" customHeight="1" x14ac:dyDescent="0.25">
      <c r="A83" s="33"/>
      <c r="B83" s="42"/>
      <c r="C83" s="33"/>
      <c r="D83" s="33"/>
      <c r="E83" s="33"/>
      <c r="F83" s="33"/>
      <c r="G83" s="33"/>
      <c r="H83" s="33"/>
      <c r="I83" s="33"/>
      <c r="J83" s="33"/>
      <c r="K83" s="33"/>
      <c r="L83" s="33"/>
      <c r="M83" s="33"/>
      <c r="N83" s="33"/>
      <c r="O83" s="33"/>
      <c r="P83" s="33"/>
      <c r="Q83" s="33"/>
      <c r="R83" s="33"/>
      <c r="S83" s="33"/>
      <c r="T83" s="33"/>
      <c r="U83" s="33"/>
      <c r="V83" s="33"/>
      <c r="W83" s="33"/>
      <c r="X83" s="33"/>
      <c r="Y83" s="33"/>
      <c r="Z83" s="33"/>
      <c r="AA83" s="33"/>
      <c r="AB83" s="33"/>
    </row>
    <row r="84" spans="1:28" ht="14.25" customHeight="1" x14ac:dyDescent="0.25">
      <c r="A84" s="33"/>
      <c r="B84" s="42"/>
      <c r="C84" s="33"/>
      <c r="D84" s="33"/>
      <c r="E84" s="33"/>
      <c r="F84" s="33"/>
      <c r="G84" s="33"/>
      <c r="H84" s="33"/>
      <c r="I84" s="33"/>
      <c r="J84" s="33"/>
      <c r="K84" s="33"/>
      <c r="L84" s="33"/>
      <c r="M84" s="33"/>
      <c r="N84" s="33"/>
      <c r="O84" s="33"/>
      <c r="P84" s="33"/>
      <c r="Q84" s="33"/>
      <c r="R84" s="33"/>
      <c r="S84" s="33"/>
      <c r="T84" s="33"/>
      <c r="U84" s="33"/>
      <c r="V84" s="33"/>
      <c r="W84" s="33"/>
      <c r="X84" s="33"/>
      <c r="Y84" s="33"/>
      <c r="Z84" s="33"/>
      <c r="AA84" s="33"/>
      <c r="AB84" s="33"/>
    </row>
    <row r="85" spans="1:28" ht="14.25" customHeight="1" x14ac:dyDescent="0.25">
      <c r="A85" s="33"/>
      <c r="B85" s="42"/>
      <c r="C85" s="33"/>
      <c r="D85" s="33"/>
      <c r="E85" s="33"/>
      <c r="F85" s="33"/>
      <c r="G85" s="33"/>
      <c r="H85" s="33"/>
      <c r="I85" s="33"/>
      <c r="J85" s="33"/>
      <c r="K85" s="33"/>
      <c r="L85" s="33"/>
      <c r="M85" s="33"/>
      <c r="N85" s="33"/>
      <c r="O85" s="33"/>
      <c r="P85" s="33"/>
      <c r="Q85" s="33"/>
      <c r="R85" s="33"/>
      <c r="S85" s="33"/>
      <c r="T85" s="33"/>
      <c r="U85" s="33"/>
      <c r="V85" s="33"/>
      <c r="W85" s="33"/>
      <c r="X85" s="33"/>
      <c r="Y85" s="33"/>
      <c r="Z85" s="33"/>
      <c r="AA85" s="33"/>
      <c r="AB85" s="33"/>
    </row>
    <row r="86" spans="1:28" ht="14.25" customHeight="1" x14ac:dyDescent="0.25">
      <c r="A86" s="33"/>
      <c r="B86" s="42"/>
      <c r="C86" s="33"/>
      <c r="D86" s="33"/>
      <c r="E86" s="33"/>
      <c r="F86" s="33"/>
      <c r="G86" s="33"/>
      <c r="H86" s="33"/>
      <c r="I86" s="33"/>
      <c r="J86" s="33"/>
      <c r="K86" s="33"/>
      <c r="L86" s="33"/>
      <c r="M86" s="33"/>
      <c r="N86" s="33"/>
      <c r="O86" s="33"/>
      <c r="P86" s="33"/>
      <c r="Q86" s="33"/>
      <c r="R86" s="33"/>
      <c r="S86" s="33"/>
      <c r="T86" s="33"/>
      <c r="U86" s="33"/>
      <c r="V86" s="33"/>
      <c r="W86" s="33"/>
      <c r="X86" s="33"/>
      <c r="Y86" s="33"/>
      <c r="Z86" s="33"/>
      <c r="AA86" s="33"/>
      <c r="AB86" s="33"/>
    </row>
    <row r="87" spans="1:28" ht="14.25" customHeight="1" x14ac:dyDescent="0.25">
      <c r="A87" s="33"/>
      <c r="B87" s="42"/>
      <c r="C87" s="33"/>
      <c r="D87" s="33"/>
      <c r="E87" s="33"/>
      <c r="F87" s="33"/>
      <c r="G87" s="33"/>
      <c r="H87" s="33"/>
      <c r="I87" s="33"/>
      <c r="J87" s="33"/>
      <c r="K87" s="33"/>
      <c r="L87" s="33"/>
      <c r="M87" s="33"/>
      <c r="N87" s="33"/>
      <c r="O87" s="33"/>
      <c r="P87" s="33"/>
      <c r="Q87" s="33"/>
      <c r="R87" s="33"/>
      <c r="S87" s="33"/>
      <c r="T87" s="33"/>
      <c r="U87" s="33"/>
      <c r="V87" s="33"/>
      <c r="W87" s="33"/>
      <c r="X87" s="33"/>
      <c r="Y87" s="33"/>
      <c r="Z87" s="33"/>
      <c r="AA87" s="33"/>
      <c r="AB87" s="33"/>
    </row>
    <row r="88" spans="1:28" ht="14.25" customHeight="1" x14ac:dyDescent="0.25">
      <c r="A88" s="33"/>
      <c r="B88" s="42"/>
      <c r="C88" s="33"/>
      <c r="D88" s="33"/>
      <c r="E88" s="33"/>
      <c r="F88" s="33"/>
      <c r="G88" s="33"/>
      <c r="H88" s="33"/>
      <c r="I88" s="33"/>
      <c r="J88" s="33"/>
      <c r="K88" s="33"/>
      <c r="L88" s="33"/>
      <c r="M88" s="33"/>
      <c r="N88" s="33"/>
      <c r="O88" s="33"/>
      <c r="P88" s="33"/>
      <c r="Q88" s="33"/>
      <c r="R88" s="33"/>
      <c r="S88" s="33"/>
      <c r="T88" s="33"/>
      <c r="U88" s="33"/>
      <c r="V88" s="33"/>
      <c r="W88" s="33"/>
      <c r="X88" s="33"/>
      <c r="Y88" s="33"/>
      <c r="Z88" s="33"/>
      <c r="AA88" s="33"/>
      <c r="AB88" s="33"/>
    </row>
    <row r="89" spans="1:28" ht="14.25" customHeight="1" x14ac:dyDescent="0.25">
      <c r="A89" s="33"/>
      <c r="B89" s="42"/>
      <c r="C89" s="33"/>
      <c r="D89" s="33"/>
      <c r="E89" s="33"/>
      <c r="F89" s="33"/>
      <c r="G89" s="33"/>
      <c r="H89" s="33"/>
      <c r="I89" s="33"/>
      <c r="J89" s="33"/>
      <c r="K89" s="33"/>
      <c r="L89" s="33"/>
      <c r="M89" s="33"/>
      <c r="N89" s="33"/>
      <c r="O89" s="33"/>
      <c r="P89" s="33"/>
      <c r="Q89" s="33"/>
      <c r="R89" s="33"/>
      <c r="S89" s="33"/>
      <c r="T89" s="33"/>
      <c r="U89" s="33"/>
      <c r="V89" s="33"/>
      <c r="W89" s="33"/>
      <c r="X89" s="33"/>
      <c r="Y89" s="33"/>
      <c r="Z89" s="33"/>
      <c r="AA89" s="33"/>
      <c r="AB89" s="33"/>
    </row>
    <row r="90" spans="1:28" ht="14.25" customHeight="1" x14ac:dyDescent="0.25">
      <c r="A90" s="33"/>
      <c r="B90" s="42"/>
      <c r="C90" s="33"/>
      <c r="D90" s="33"/>
      <c r="E90" s="33"/>
      <c r="F90" s="33"/>
      <c r="G90" s="33"/>
      <c r="H90" s="33"/>
      <c r="I90" s="33"/>
      <c r="J90" s="33"/>
      <c r="K90" s="33"/>
      <c r="L90" s="33"/>
      <c r="M90" s="33"/>
      <c r="N90" s="33"/>
      <c r="O90" s="33"/>
      <c r="P90" s="33"/>
      <c r="Q90" s="33"/>
      <c r="R90" s="33"/>
      <c r="S90" s="33"/>
      <c r="T90" s="33"/>
      <c r="U90" s="33"/>
      <c r="V90" s="33"/>
      <c r="W90" s="33"/>
      <c r="X90" s="33"/>
      <c r="Y90" s="33"/>
      <c r="Z90" s="33"/>
      <c r="AA90" s="33"/>
      <c r="AB90" s="33"/>
    </row>
    <row r="91" spans="1:28" ht="14.25" customHeight="1" x14ac:dyDescent="0.25">
      <c r="A91" s="33"/>
      <c r="B91" s="42"/>
      <c r="C91" s="33"/>
      <c r="D91" s="33"/>
      <c r="E91" s="33"/>
      <c r="F91" s="33"/>
      <c r="G91" s="33"/>
      <c r="H91" s="33"/>
      <c r="I91" s="33"/>
      <c r="J91" s="33"/>
      <c r="K91" s="33"/>
      <c r="L91" s="33"/>
      <c r="M91" s="33"/>
      <c r="N91" s="33"/>
      <c r="O91" s="33"/>
      <c r="P91" s="33"/>
      <c r="Q91" s="33"/>
      <c r="R91" s="33"/>
      <c r="S91" s="33"/>
      <c r="T91" s="33"/>
      <c r="U91" s="33"/>
      <c r="V91" s="33"/>
      <c r="W91" s="33"/>
      <c r="X91" s="33"/>
      <c r="Y91" s="33"/>
      <c r="Z91" s="33"/>
      <c r="AA91" s="33"/>
      <c r="AB91" s="33"/>
    </row>
    <row r="92" spans="1:28" ht="14.25" customHeight="1" x14ac:dyDescent="0.25">
      <c r="A92" s="33"/>
      <c r="B92" s="42"/>
      <c r="C92" s="33"/>
      <c r="D92" s="33"/>
      <c r="E92" s="33"/>
      <c r="F92" s="33"/>
      <c r="G92" s="33"/>
      <c r="H92" s="33"/>
      <c r="I92" s="33"/>
      <c r="J92" s="33"/>
      <c r="K92" s="33"/>
      <c r="L92" s="33"/>
      <c r="M92" s="33"/>
      <c r="N92" s="33"/>
      <c r="O92" s="33"/>
      <c r="P92" s="33"/>
      <c r="Q92" s="33"/>
      <c r="R92" s="33"/>
      <c r="S92" s="33"/>
      <c r="T92" s="33"/>
      <c r="U92" s="33"/>
      <c r="V92" s="33"/>
      <c r="W92" s="33"/>
      <c r="X92" s="33"/>
      <c r="Y92" s="33"/>
      <c r="Z92" s="33"/>
      <c r="AA92" s="33"/>
      <c r="AB92" s="33"/>
    </row>
    <row r="93" spans="1:28" ht="14.25" customHeight="1" x14ac:dyDescent="0.25">
      <c r="A93" s="33"/>
      <c r="B93" s="42"/>
      <c r="C93" s="33"/>
      <c r="D93" s="33"/>
      <c r="E93" s="33"/>
      <c r="F93" s="33"/>
      <c r="G93" s="33"/>
      <c r="H93" s="33"/>
      <c r="I93" s="33"/>
      <c r="J93" s="33"/>
      <c r="K93" s="33"/>
      <c r="L93" s="33"/>
      <c r="M93" s="33"/>
      <c r="N93" s="33"/>
      <c r="O93" s="33"/>
      <c r="P93" s="33"/>
      <c r="Q93" s="33"/>
      <c r="R93" s="33"/>
      <c r="S93" s="33"/>
      <c r="T93" s="33"/>
      <c r="U93" s="33"/>
      <c r="V93" s="33"/>
      <c r="W93" s="33"/>
      <c r="X93" s="33"/>
      <c r="Y93" s="33"/>
      <c r="Z93" s="33"/>
      <c r="AA93" s="33"/>
      <c r="AB93" s="33"/>
    </row>
    <row r="94" spans="1:28" ht="14.25" customHeight="1" x14ac:dyDescent="0.25">
      <c r="A94" s="33"/>
      <c r="B94" s="42"/>
      <c r="C94" s="33"/>
      <c r="D94" s="33"/>
      <c r="E94" s="33"/>
      <c r="F94" s="33"/>
      <c r="G94" s="33"/>
      <c r="H94" s="33"/>
      <c r="I94" s="33"/>
      <c r="J94" s="33"/>
      <c r="K94" s="33"/>
      <c r="L94" s="33"/>
      <c r="M94" s="33"/>
      <c r="N94" s="33"/>
      <c r="O94" s="33"/>
      <c r="P94" s="33"/>
      <c r="Q94" s="33"/>
      <c r="R94" s="33"/>
      <c r="S94" s="33"/>
      <c r="T94" s="33"/>
      <c r="U94" s="33"/>
      <c r="V94" s="33"/>
      <c r="W94" s="33"/>
      <c r="X94" s="33"/>
      <c r="Y94" s="33"/>
      <c r="Z94" s="33"/>
      <c r="AA94" s="33"/>
      <c r="AB94" s="33"/>
    </row>
    <row r="95" spans="1:28" ht="14.25" customHeight="1" x14ac:dyDescent="0.25">
      <c r="A95" s="33"/>
      <c r="B95" s="42"/>
      <c r="C95" s="33"/>
      <c r="D95" s="33"/>
      <c r="E95" s="33"/>
      <c r="F95" s="33"/>
      <c r="G95" s="33"/>
      <c r="H95" s="33"/>
      <c r="I95" s="33"/>
      <c r="J95" s="33"/>
      <c r="K95" s="33"/>
      <c r="L95" s="33"/>
      <c r="M95" s="33"/>
      <c r="N95" s="33"/>
      <c r="O95" s="33"/>
      <c r="P95" s="33"/>
      <c r="Q95" s="33"/>
      <c r="R95" s="33"/>
      <c r="S95" s="33"/>
      <c r="T95" s="33"/>
      <c r="U95" s="33"/>
      <c r="V95" s="33"/>
      <c r="W95" s="33"/>
      <c r="X95" s="33"/>
      <c r="Y95" s="33"/>
      <c r="Z95" s="33"/>
      <c r="AA95" s="33"/>
      <c r="AB95" s="33"/>
    </row>
    <row r="96" spans="1:28" ht="14.25" customHeight="1" x14ac:dyDescent="0.25">
      <c r="A96" s="33"/>
      <c r="B96" s="42"/>
      <c r="C96" s="33"/>
      <c r="D96" s="33"/>
      <c r="E96" s="33"/>
      <c r="F96" s="33"/>
      <c r="G96" s="33"/>
      <c r="H96" s="33"/>
      <c r="I96" s="33"/>
      <c r="J96" s="33"/>
      <c r="K96" s="33"/>
      <c r="L96" s="33"/>
      <c r="M96" s="33"/>
      <c r="N96" s="33"/>
      <c r="O96" s="33"/>
      <c r="P96" s="33"/>
      <c r="Q96" s="33"/>
      <c r="R96" s="33"/>
      <c r="S96" s="33"/>
      <c r="T96" s="33"/>
      <c r="U96" s="33"/>
      <c r="V96" s="33"/>
      <c r="W96" s="33"/>
      <c r="X96" s="33"/>
      <c r="Y96" s="33"/>
      <c r="Z96" s="33"/>
      <c r="AA96" s="33"/>
      <c r="AB96" s="33"/>
    </row>
    <row r="97" spans="1:28" ht="14.25" customHeight="1" x14ac:dyDescent="0.25">
      <c r="A97" s="33"/>
      <c r="B97" s="42"/>
      <c r="C97" s="33"/>
      <c r="D97" s="33"/>
      <c r="E97" s="33"/>
      <c r="F97" s="33"/>
      <c r="G97" s="33"/>
      <c r="H97" s="33"/>
      <c r="I97" s="33"/>
      <c r="J97" s="33"/>
      <c r="K97" s="33"/>
      <c r="L97" s="33"/>
      <c r="M97" s="33"/>
      <c r="N97" s="33"/>
      <c r="O97" s="33"/>
      <c r="P97" s="33"/>
      <c r="Q97" s="33"/>
      <c r="R97" s="33"/>
      <c r="S97" s="33"/>
      <c r="T97" s="33"/>
      <c r="U97" s="33"/>
      <c r="V97" s="33"/>
      <c r="W97" s="33"/>
      <c r="X97" s="33"/>
      <c r="Y97" s="33"/>
      <c r="Z97" s="33"/>
      <c r="AA97" s="33"/>
      <c r="AB97" s="33"/>
    </row>
    <row r="98" spans="1:28" ht="14.25" customHeight="1" x14ac:dyDescent="0.25">
      <c r="A98" s="33"/>
      <c r="B98" s="42"/>
      <c r="C98" s="33"/>
      <c r="D98" s="33"/>
      <c r="E98" s="33"/>
      <c r="F98" s="33"/>
      <c r="G98" s="33"/>
      <c r="H98" s="33"/>
      <c r="I98" s="33"/>
      <c r="J98" s="33"/>
      <c r="K98" s="33"/>
      <c r="L98" s="33"/>
      <c r="M98" s="33"/>
      <c r="N98" s="33"/>
      <c r="O98" s="33"/>
      <c r="P98" s="33"/>
      <c r="Q98" s="33"/>
      <c r="R98" s="33"/>
      <c r="S98" s="33"/>
      <c r="T98" s="33"/>
      <c r="U98" s="33"/>
      <c r="V98" s="33"/>
      <c r="W98" s="33"/>
      <c r="X98" s="33"/>
      <c r="Y98" s="33"/>
      <c r="Z98" s="33"/>
      <c r="AA98" s="33"/>
      <c r="AB98" s="33"/>
    </row>
    <row r="99" spans="1:28" ht="14.25" customHeight="1" x14ac:dyDescent="0.25">
      <c r="A99" s="33"/>
      <c r="B99" s="42"/>
      <c r="C99" s="33"/>
      <c r="D99" s="33"/>
      <c r="E99" s="33"/>
      <c r="F99" s="33"/>
      <c r="G99" s="33"/>
      <c r="H99" s="33"/>
      <c r="I99" s="33"/>
      <c r="J99" s="33"/>
      <c r="K99" s="33"/>
      <c r="L99" s="33"/>
      <c r="M99" s="33"/>
      <c r="N99" s="33"/>
      <c r="O99" s="33"/>
      <c r="P99" s="33"/>
      <c r="Q99" s="33"/>
      <c r="R99" s="33"/>
      <c r="S99" s="33"/>
      <c r="T99" s="33"/>
      <c r="U99" s="33"/>
      <c r="V99" s="33"/>
      <c r="W99" s="33"/>
      <c r="X99" s="33"/>
      <c r="Y99" s="33"/>
      <c r="Z99" s="33"/>
      <c r="AA99" s="33"/>
      <c r="AB99" s="33"/>
    </row>
    <row r="100" spans="1:28" ht="14.25" customHeight="1" x14ac:dyDescent="0.25">
      <c r="A100" s="33"/>
      <c r="B100" s="42"/>
      <c r="C100" s="33"/>
      <c r="D100" s="33"/>
      <c r="E100" s="33"/>
      <c r="F100" s="33"/>
      <c r="G100" s="33"/>
      <c r="H100" s="33"/>
      <c r="I100" s="33"/>
      <c r="J100" s="33"/>
      <c r="K100" s="33"/>
      <c r="L100" s="33"/>
      <c r="M100" s="33"/>
      <c r="N100" s="33"/>
      <c r="O100" s="33"/>
      <c r="P100" s="33"/>
      <c r="Q100" s="33"/>
      <c r="R100" s="33"/>
      <c r="S100" s="33"/>
      <c r="T100" s="33"/>
      <c r="U100" s="33"/>
      <c r="V100" s="33"/>
      <c r="W100" s="33"/>
      <c r="X100" s="33"/>
      <c r="Y100" s="33"/>
      <c r="Z100" s="33"/>
      <c r="AA100" s="33"/>
      <c r="AB100" s="33"/>
    </row>
    <row r="101" spans="1:28" ht="14.25" customHeight="1" x14ac:dyDescent="0.25">
      <c r="A101" s="33"/>
      <c r="B101" s="42"/>
      <c r="C101" s="33"/>
      <c r="D101" s="33"/>
      <c r="E101" s="33"/>
      <c r="F101" s="33"/>
      <c r="G101" s="33"/>
      <c r="H101" s="33"/>
      <c r="I101" s="33"/>
      <c r="J101" s="33"/>
      <c r="K101" s="33"/>
      <c r="L101" s="33"/>
      <c r="M101" s="33"/>
      <c r="N101" s="33"/>
      <c r="O101" s="33"/>
      <c r="P101" s="33"/>
      <c r="Q101" s="33"/>
      <c r="R101" s="33"/>
      <c r="S101" s="33"/>
      <c r="T101" s="33"/>
      <c r="U101" s="33"/>
      <c r="V101" s="33"/>
      <c r="W101" s="33"/>
      <c r="X101" s="33"/>
      <c r="Y101" s="33"/>
      <c r="Z101" s="33"/>
      <c r="AA101" s="33"/>
      <c r="AB101" s="33"/>
    </row>
    <row r="102" spans="1:28" ht="14.25" customHeight="1" x14ac:dyDescent="0.25">
      <c r="A102" s="33"/>
      <c r="B102" s="42"/>
      <c r="C102" s="33"/>
      <c r="D102" s="33"/>
      <c r="E102" s="33"/>
      <c r="F102" s="33"/>
      <c r="G102" s="33"/>
      <c r="H102" s="33"/>
      <c r="I102" s="33"/>
      <c r="J102" s="33"/>
      <c r="K102" s="33"/>
      <c r="L102" s="33"/>
      <c r="M102" s="33"/>
      <c r="N102" s="33"/>
      <c r="O102" s="33"/>
      <c r="P102" s="33"/>
      <c r="Q102" s="33"/>
      <c r="R102" s="33"/>
      <c r="S102" s="33"/>
      <c r="T102" s="33"/>
      <c r="U102" s="33"/>
      <c r="V102" s="33"/>
      <c r="W102" s="33"/>
      <c r="X102" s="33"/>
      <c r="Y102" s="33"/>
      <c r="Z102" s="33"/>
      <c r="AA102" s="33"/>
      <c r="AB102" s="33"/>
    </row>
    <row r="103" spans="1:28" ht="14.25" customHeight="1" x14ac:dyDescent="0.25">
      <c r="A103" s="33"/>
      <c r="B103" s="42"/>
      <c r="C103" s="33"/>
      <c r="D103" s="33"/>
      <c r="E103" s="33"/>
      <c r="F103" s="33"/>
      <c r="G103" s="33"/>
      <c r="H103" s="33"/>
      <c r="I103" s="33"/>
      <c r="J103" s="33"/>
      <c r="K103" s="33"/>
      <c r="L103" s="33"/>
      <c r="M103" s="33"/>
      <c r="N103" s="33"/>
      <c r="O103" s="33"/>
      <c r="P103" s="33"/>
      <c r="Q103" s="33"/>
      <c r="R103" s="33"/>
      <c r="S103" s="33"/>
      <c r="T103" s="33"/>
      <c r="U103" s="33"/>
      <c r="V103" s="33"/>
      <c r="W103" s="33"/>
      <c r="X103" s="33"/>
      <c r="Y103" s="33"/>
      <c r="Z103" s="33"/>
      <c r="AA103" s="33"/>
      <c r="AB103" s="33"/>
    </row>
    <row r="104" spans="1:28" ht="14.25" customHeight="1" x14ac:dyDescent="0.25">
      <c r="A104" s="33"/>
      <c r="B104" s="42"/>
      <c r="C104" s="33"/>
      <c r="D104" s="33"/>
      <c r="E104" s="33"/>
      <c r="F104" s="33"/>
      <c r="G104" s="33"/>
      <c r="H104" s="33"/>
      <c r="I104" s="33"/>
      <c r="J104" s="33"/>
      <c r="K104" s="33"/>
      <c r="L104" s="33"/>
      <c r="M104" s="33"/>
      <c r="N104" s="33"/>
      <c r="O104" s="33"/>
      <c r="P104" s="33"/>
      <c r="Q104" s="33"/>
      <c r="R104" s="33"/>
      <c r="S104" s="33"/>
      <c r="T104" s="33"/>
      <c r="U104" s="33"/>
      <c r="V104" s="33"/>
      <c r="W104" s="33"/>
      <c r="X104" s="33"/>
      <c r="Y104" s="33"/>
      <c r="Z104" s="33"/>
      <c r="AA104" s="33"/>
      <c r="AB104" s="33"/>
    </row>
    <row r="105" spans="1:28" ht="14.25" customHeight="1" x14ac:dyDescent="0.25">
      <c r="A105" s="33"/>
      <c r="B105" s="42"/>
      <c r="C105" s="33"/>
      <c r="D105" s="33"/>
      <c r="E105" s="33"/>
      <c r="F105" s="33"/>
      <c r="G105" s="33"/>
      <c r="H105" s="33"/>
      <c r="I105" s="33"/>
      <c r="J105" s="33"/>
      <c r="K105" s="33"/>
      <c r="L105" s="33"/>
      <c r="M105" s="33"/>
      <c r="N105" s="33"/>
      <c r="O105" s="33"/>
      <c r="P105" s="33"/>
      <c r="Q105" s="33"/>
      <c r="R105" s="33"/>
      <c r="S105" s="33"/>
      <c r="T105" s="33"/>
      <c r="U105" s="33"/>
      <c r="V105" s="33"/>
      <c r="W105" s="33"/>
      <c r="X105" s="33"/>
      <c r="Y105" s="33"/>
      <c r="Z105" s="33"/>
      <c r="AA105" s="33"/>
      <c r="AB105" s="33"/>
    </row>
    <row r="106" spans="1:28" ht="14.25" customHeight="1" x14ac:dyDescent="0.25">
      <c r="A106" s="33"/>
      <c r="B106" s="42"/>
      <c r="C106" s="33"/>
      <c r="D106" s="33"/>
      <c r="E106" s="33"/>
      <c r="F106" s="33"/>
      <c r="G106" s="33"/>
      <c r="H106" s="33"/>
      <c r="I106" s="33"/>
      <c r="J106" s="33"/>
      <c r="K106" s="33"/>
      <c r="L106" s="33"/>
      <c r="M106" s="33"/>
      <c r="N106" s="33"/>
      <c r="O106" s="33"/>
      <c r="P106" s="33"/>
      <c r="Q106" s="33"/>
      <c r="R106" s="33"/>
      <c r="S106" s="33"/>
      <c r="T106" s="33"/>
      <c r="U106" s="33"/>
      <c r="V106" s="33"/>
      <c r="W106" s="33"/>
      <c r="X106" s="33"/>
      <c r="Y106" s="33"/>
      <c r="Z106" s="33"/>
      <c r="AA106" s="33"/>
      <c r="AB106" s="33"/>
    </row>
    <row r="107" spans="1:28" ht="14.25" customHeight="1" x14ac:dyDescent="0.25">
      <c r="A107" s="33"/>
      <c r="B107" s="42"/>
      <c r="C107" s="33"/>
      <c r="D107" s="33"/>
      <c r="E107" s="33"/>
      <c r="F107" s="33"/>
      <c r="G107" s="33"/>
      <c r="H107" s="33"/>
      <c r="I107" s="33"/>
      <c r="J107" s="33"/>
      <c r="K107" s="33"/>
      <c r="L107" s="33"/>
      <c r="M107" s="33"/>
      <c r="N107" s="33"/>
      <c r="O107" s="33"/>
      <c r="P107" s="33"/>
      <c r="Q107" s="33"/>
      <c r="R107" s="33"/>
      <c r="S107" s="33"/>
      <c r="T107" s="33"/>
      <c r="U107" s="33"/>
      <c r="V107" s="33"/>
      <c r="W107" s="33"/>
      <c r="X107" s="33"/>
      <c r="Y107" s="33"/>
      <c r="Z107" s="33"/>
      <c r="AA107" s="33"/>
      <c r="AB107" s="33"/>
    </row>
    <row r="108" spans="1:28" ht="14.25" customHeight="1" x14ac:dyDescent="0.25">
      <c r="A108" s="33"/>
      <c r="B108" s="42"/>
      <c r="C108" s="33"/>
      <c r="D108" s="33"/>
      <c r="E108" s="33"/>
      <c r="F108" s="33"/>
      <c r="G108" s="33"/>
      <c r="H108" s="33"/>
      <c r="I108" s="33"/>
      <c r="J108" s="33"/>
      <c r="K108" s="33"/>
      <c r="L108" s="33"/>
      <c r="M108" s="33"/>
      <c r="N108" s="33"/>
      <c r="O108" s="33"/>
      <c r="P108" s="33"/>
      <c r="Q108" s="33"/>
      <c r="R108" s="33"/>
      <c r="S108" s="33"/>
      <c r="T108" s="33"/>
      <c r="U108" s="33"/>
      <c r="V108" s="33"/>
      <c r="W108" s="33"/>
      <c r="X108" s="33"/>
      <c r="Y108" s="33"/>
      <c r="Z108" s="33"/>
      <c r="AA108" s="33"/>
      <c r="AB108" s="33"/>
    </row>
    <row r="109" spans="1:28" ht="14.25" customHeight="1" x14ac:dyDescent="0.25">
      <c r="A109" s="33"/>
      <c r="B109" s="42"/>
      <c r="C109" s="33"/>
      <c r="D109" s="33"/>
      <c r="E109" s="33"/>
      <c r="F109" s="33"/>
      <c r="G109" s="33"/>
      <c r="H109" s="33"/>
      <c r="I109" s="33"/>
      <c r="J109" s="33"/>
      <c r="K109" s="33"/>
      <c r="L109" s="33"/>
      <c r="M109" s="33"/>
      <c r="N109" s="33"/>
      <c r="O109" s="33"/>
      <c r="P109" s="33"/>
      <c r="Q109" s="33"/>
      <c r="R109" s="33"/>
      <c r="S109" s="33"/>
      <c r="T109" s="33"/>
      <c r="U109" s="33"/>
      <c r="V109" s="33"/>
      <c r="W109" s="33"/>
      <c r="X109" s="33"/>
      <c r="Y109" s="33"/>
      <c r="Z109" s="33"/>
      <c r="AA109" s="33"/>
      <c r="AB109" s="33"/>
    </row>
  </sheetData>
  <sheetProtection algorithmName="SHA-512" hashValue="X07dfMSoVxF1bIRKPvWlRx15SoV2pMFL6uOJB4xwfFvBQHFcjVzaquTNhSMi8Zcr5LCwLZRzD9+sBtpVtrAASA==" saltValue="fklRTExlesCms+CxQFSKzw==" spinCount="100000" sheet="1" objects="1" scenarios="1"/>
  <mergeCells count="5">
    <mergeCell ref="B9:B11"/>
    <mergeCell ref="D9:V9"/>
    <mergeCell ref="Q2:R2"/>
    <mergeCell ref="U2:V2"/>
    <mergeCell ref="B1:B3"/>
  </mergeCells>
  <conditionalFormatting sqref="E38 E30:E31 M30:M31 I30:I31 Q30:Q31 U30:U31 E41 E35 I35 M35 Q35 U35 I41 M41 Q41 U41 E44:E48 Q38 I38 U38 M38 I44:I48 M44:M48 Q44:Q48 U44:U48">
    <cfRule type="expression" dxfId="170" priority="65">
      <formula>E$7="NÃO"</formula>
    </cfRule>
  </conditionalFormatting>
  <conditionalFormatting sqref="E38 E30:E31 M30:M31 I30:I31 Q30:Q31 U30:U31 E41 E35 I35 M35 Q35 U35 I41 M41 Q41 U41 E44:E48 Q38 I38 U38 M38 I44:I48 M44:M48 Q44:Q48 U44:U48">
    <cfRule type="expression" dxfId="169" priority="66">
      <formula>E$7= "SIM"</formula>
    </cfRule>
  </conditionalFormatting>
  <conditionalFormatting sqref="U18">
    <cfRule type="expression" dxfId="168" priority="57">
      <formula>U$7="NÃO"</formula>
    </cfRule>
  </conditionalFormatting>
  <conditionalFormatting sqref="U18">
    <cfRule type="expression" dxfId="167" priority="58">
      <formula>U$7= "SIM"</formula>
    </cfRule>
  </conditionalFormatting>
  <conditionalFormatting sqref="Q15">
    <cfRule type="expression" dxfId="166" priority="53">
      <formula>Q$7="NÃO"</formula>
    </cfRule>
  </conditionalFormatting>
  <conditionalFormatting sqref="Q15">
    <cfRule type="expression" dxfId="165" priority="54">
      <formula>Q$7= "SIM"</formula>
    </cfRule>
  </conditionalFormatting>
  <conditionalFormatting sqref="Q16">
    <cfRule type="expression" dxfId="164" priority="51">
      <formula>Q$7="NÃO"</formula>
    </cfRule>
  </conditionalFormatting>
  <conditionalFormatting sqref="Q16">
    <cfRule type="expression" dxfId="163" priority="52">
      <formula>Q$7= "SIM"</formula>
    </cfRule>
  </conditionalFormatting>
  <conditionalFormatting sqref="Q17">
    <cfRule type="expression" dxfId="162" priority="49">
      <formula>Q$7="NÃO"</formula>
    </cfRule>
  </conditionalFormatting>
  <conditionalFormatting sqref="Q17">
    <cfRule type="expression" dxfId="161" priority="50">
      <formula>Q$7= "SIM"</formula>
    </cfRule>
  </conditionalFormatting>
  <conditionalFormatting sqref="Q18">
    <cfRule type="expression" dxfId="160" priority="47">
      <formula>Q$7="NÃO"</formula>
    </cfRule>
  </conditionalFormatting>
  <conditionalFormatting sqref="Q18">
    <cfRule type="expression" dxfId="159" priority="48">
      <formula>Q$7= "SIM"</formula>
    </cfRule>
  </conditionalFormatting>
  <conditionalFormatting sqref="M15">
    <cfRule type="expression" dxfId="158" priority="43">
      <formula>M$7="NÃO"</formula>
    </cfRule>
  </conditionalFormatting>
  <conditionalFormatting sqref="M15">
    <cfRule type="expression" dxfId="157" priority="44">
      <formula>M$7= "SIM"</formula>
    </cfRule>
  </conditionalFormatting>
  <conditionalFormatting sqref="M16">
    <cfRule type="expression" dxfId="156" priority="41">
      <formula>M$7="NÃO"</formula>
    </cfRule>
  </conditionalFormatting>
  <conditionalFormatting sqref="M16">
    <cfRule type="expression" dxfId="155" priority="42">
      <formula>M$7= "SIM"</formula>
    </cfRule>
  </conditionalFormatting>
  <conditionalFormatting sqref="M17">
    <cfRule type="expression" dxfId="154" priority="39">
      <formula>M$7="NÃO"</formula>
    </cfRule>
  </conditionalFormatting>
  <conditionalFormatting sqref="M17">
    <cfRule type="expression" dxfId="153" priority="40">
      <formula>M$7= "SIM"</formula>
    </cfRule>
  </conditionalFormatting>
  <conditionalFormatting sqref="M18">
    <cfRule type="expression" dxfId="152" priority="37">
      <formula>M$7="NÃO"</formula>
    </cfRule>
  </conditionalFormatting>
  <conditionalFormatting sqref="M18">
    <cfRule type="expression" dxfId="151" priority="38">
      <formula>M$7= "SIM"</formula>
    </cfRule>
  </conditionalFormatting>
  <conditionalFormatting sqref="I15">
    <cfRule type="expression" dxfId="150" priority="33">
      <formula>I$7="NÃO"</formula>
    </cfRule>
  </conditionalFormatting>
  <conditionalFormatting sqref="I15">
    <cfRule type="expression" dxfId="149" priority="34">
      <formula>I$7= "SIM"</formula>
    </cfRule>
  </conditionalFormatting>
  <conditionalFormatting sqref="I16">
    <cfRule type="expression" dxfId="148" priority="31">
      <formula>I$7="NÃO"</formula>
    </cfRule>
  </conditionalFormatting>
  <conditionalFormatting sqref="I16">
    <cfRule type="expression" dxfId="147" priority="32">
      <formula>I$7= "SIM"</formula>
    </cfRule>
  </conditionalFormatting>
  <conditionalFormatting sqref="I17">
    <cfRule type="expression" dxfId="146" priority="29">
      <formula>I$7="NÃO"</formula>
    </cfRule>
  </conditionalFormatting>
  <conditionalFormatting sqref="I17">
    <cfRule type="expression" dxfId="145" priority="30">
      <formula>I$7= "SIM"</formula>
    </cfRule>
  </conditionalFormatting>
  <conditionalFormatting sqref="I18">
    <cfRule type="expression" dxfId="144" priority="27">
      <formula>I$7="NÃO"</formula>
    </cfRule>
  </conditionalFormatting>
  <conditionalFormatting sqref="I18">
    <cfRule type="expression" dxfId="143" priority="28">
      <formula>I$7= "SIM"</formula>
    </cfRule>
  </conditionalFormatting>
  <conditionalFormatting sqref="E15">
    <cfRule type="expression" dxfId="142" priority="23">
      <formula>E$7="NÃO"</formula>
    </cfRule>
  </conditionalFormatting>
  <conditionalFormatting sqref="E15">
    <cfRule type="expression" dxfId="141" priority="24">
      <formula>E$7= "SIM"</formula>
    </cfRule>
  </conditionalFormatting>
  <conditionalFormatting sqref="E16">
    <cfRule type="expression" dxfId="140" priority="21">
      <formula>E$7="NÃO"</formula>
    </cfRule>
  </conditionalFormatting>
  <conditionalFormatting sqref="E16">
    <cfRule type="expression" dxfId="139" priority="22">
      <formula>E$7= "SIM"</formula>
    </cfRule>
  </conditionalFormatting>
  <conditionalFormatting sqref="E17">
    <cfRule type="expression" dxfId="138" priority="19">
      <formula>E$7="NÃO"</formula>
    </cfRule>
  </conditionalFormatting>
  <conditionalFormatting sqref="E17">
    <cfRule type="expression" dxfId="137" priority="20">
      <formula>E$7= "SIM"</formula>
    </cfRule>
  </conditionalFormatting>
  <conditionalFormatting sqref="E18">
    <cfRule type="expression" dxfId="136" priority="17">
      <formula>E$7="NÃO"</formula>
    </cfRule>
  </conditionalFormatting>
  <conditionalFormatting sqref="E18">
    <cfRule type="expression" dxfId="135" priority="18">
      <formula>E$7= "SIM"</formula>
    </cfRule>
  </conditionalFormatting>
  <conditionalFormatting sqref="E19">
    <cfRule type="expression" dxfId="134" priority="15">
      <formula>E$7="NÃO"</formula>
    </cfRule>
  </conditionalFormatting>
  <conditionalFormatting sqref="E19">
    <cfRule type="expression" dxfId="133" priority="16">
      <formula>E$7= "SIM"</formula>
    </cfRule>
  </conditionalFormatting>
  <conditionalFormatting sqref="U15">
    <cfRule type="expression" dxfId="132" priority="63">
      <formula>U$7="NÃO"</formula>
    </cfRule>
  </conditionalFormatting>
  <conditionalFormatting sqref="U15">
    <cfRule type="expression" dxfId="131" priority="64">
      <formula>U$7= "SIM"</formula>
    </cfRule>
  </conditionalFormatting>
  <conditionalFormatting sqref="U16">
    <cfRule type="expression" dxfId="130" priority="61">
      <formula>U$7="NÃO"</formula>
    </cfRule>
  </conditionalFormatting>
  <conditionalFormatting sqref="U16">
    <cfRule type="expression" dxfId="129" priority="62">
      <formula>U$7= "SIM"</formula>
    </cfRule>
  </conditionalFormatting>
  <conditionalFormatting sqref="U17">
    <cfRule type="expression" dxfId="128" priority="59">
      <formula>U$7="NÃO"</formula>
    </cfRule>
  </conditionalFormatting>
  <conditionalFormatting sqref="U17">
    <cfRule type="expression" dxfId="127" priority="60">
      <formula>U$7= "SIM"</formula>
    </cfRule>
  </conditionalFormatting>
  <conditionalFormatting sqref="I7 E7 M7 Q7 U7">
    <cfRule type="expression" dxfId="126" priority="11">
      <formula>E$7="NÃO"</formula>
    </cfRule>
  </conditionalFormatting>
  <conditionalFormatting sqref="I7 E7 M7 Q7 U7">
    <cfRule type="expression" dxfId="125" priority="12">
      <formula>E$7= "SIM"</formula>
    </cfRule>
  </conditionalFormatting>
  <conditionalFormatting sqref="L2">
    <cfRule type="expression" dxfId="124" priority="9">
      <formula>L$2="NÃO"</formula>
    </cfRule>
  </conditionalFormatting>
  <conditionalFormatting sqref="L2">
    <cfRule type="expression" dxfId="123" priority="10">
      <formula>L$2= "SIM"</formula>
    </cfRule>
  </conditionalFormatting>
  <conditionalFormatting sqref="D2">
    <cfRule type="expression" dxfId="122" priority="13">
      <formula>AND($L$2="Sim",$D$2&lt;$D$11)</formula>
    </cfRule>
  </conditionalFormatting>
  <conditionalFormatting sqref="D2">
    <cfRule type="expression" dxfId="121" priority="14">
      <formula>AND($L$2="Sim",$D$2&gt;$V$11)</formula>
    </cfRule>
  </conditionalFormatting>
  <conditionalFormatting sqref="I19">
    <cfRule type="expression" dxfId="120" priority="7">
      <formula>I$7="NÃO"</formula>
    </cfRule>
  </conditionalFormatting>
  <conditionalFormatting sqref="I19">
    <cfRule type="expression" dxfId="119" priority="8">
      <formula>I$7= "SIM"</formula>
    </cfRule>
  </conditionalFormatting>
  <conditionalFormatting sqref="M19">
    <cfRule type="expression" dxfId="118" priority="5">
      <formula>M$7="NÃO"</formula>
    </cfRule>
  </conditionalFormatting>
  <conditionalFormatting sqref="M19">
    <cfRule type="expression" dxfId="117" priority="6">
      <formula>M$7= "SIM"</formula>
    </cfRule>
  </conditionalFormatting>
  <conditionalFormatting sqref="Q19">
    <cfRule type="expression" dxfId="116" priority="3">
      <formula>Q$7="NÃO"</formula>
    </cfRule>
  </conditionalFormatting>
  <conditionalFormatting sqref="Q19">
    <cfRule type="expression" dxfId="115" priority="4">
      <formula>Q$7= "SIM"</formula>
    </cfRule>
  </conditionalFormatting>
  <conditionalFormatting sqref="U19">
    <cfRule type="expression" dxfId="114" priority="1">
      <formula>U$7="NÃO"</formula>
    </cfRule>
  </conditionalFormatting>
  <conditionalFormatting sqref="U19">
    <cfRule type="expression" dxfId="113" priority="2">
      <formula>U$7= "SIM"</formula>
    </cfRule>
  </conditionalFormatting>
  <pageMargins left="0.511811024" right="0.511811024" top="0.78740157499999996" bottom="0.78740157499999996" header="0" footer="0"/>
  <pageSetup paperSize="9" orientation="portrait"/>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9">
    <outlinePr summaryBelow="0"/>
  </sheetPr>
  <dimension ref="A1:BI106"/>
  <sheetViews>
    <sheetView zoomScale="75" zoomScaleNormal="75" workbookViewId="0">
      <selection activeCell="B1" sqref="B1:B3"/>
    </sheetView>
  </sheetViews>
  <sheetFormatPr defaultColWidth="14.42578125" defaultRowHeight="15" customHeight="1" outlineLevelRow="1" x14ac:dyDescent="0.25"/>
  <cols>
    <col min="1" max="1" width="1.7109375" customWidth="1"/>
    <col min="2" max="2" width="60.7109375" customWidth="1"/>
    <col min="3" max="3" width="1.7109375" customWidth="1"/>
    <col min="4" max="4" width="11.7109375" customWidth="1"/>
    <col min="5" max="5" width="15.7109375" customWidth="1"/>
    <col min="6" max="6" width="11.7109375" customWidth="1"/>
    <col min="7" max="7" width="1.7109375" customWidth="1"/>
    <col min="8" max="8" width="11.7109375" customWidth="1"/>
    <col min="9" max="9" width="15.7109375" customWidth="1"/>
    <col min="10" max="10" width="11.7109375" customWidth="1"/>
    <col min="11" max="11" width="1.7109375" customWidth="1"/>
    <col min="12" max="12" width="11.7109375" customWidth="1"/>
    <col min="13" max="13" width="15.7109375" customWidth="1"/>
    <col min="14" max="14" width="11.7109375" customWidth="1"/>
    <col min="15" max="15" width="1.7109375" customWidth="1"/>
    <col min="16" max="16" width="11.7109375" customWidth="1"/>
    <col min="17" max="17" width="15.7109375" customWidth="1"/>
    <col min="18" max="18" width="11.7109375" customWidth="1"/>
    <col min="19" max="19" width="1.7109375" customWidth="1"/>
    <col min="20" max="20" width="11.7109375" customWidth="1"/>
    <col min="21" max="21" width="15.7109375" customWidth="1"/>
    <col min="22" max="22" width="11.7109375" customWidth="1"/>
    <col min="23" max="27" width="6.42578125" hidden="1" customWidth="1"/>
    <col min="28" max="61" width="8.7109375" customWidth="1"/>
  </cols>
  <sheetData>
    <row r="1" spans="1:61" s="68" customFormat="1" ht="19.899999999999999" customHeight="1" x14ac:dyDescent="0.25">
      <c r="A1" s="433"/>
      <c r="B1" s="2950" t="s">
        <v>771</v>
      </c>
      <c r="C1" s="433"/>
      <c r="D1" s="433"/>
      <c r="E1" s="433"/>
      <c r="F1" s="433"/>
      <c r="G1" s="433"/>
      <c r="H1" s="433"/>
      <c r="I1" s="433"/>
      <c r="J1" s="1133" t="str">
        <f>'R&amp;C-Painel de Controle'!C58</f>
        <v>%</v>
      </c>
      <c r="K1" s="1133"/>
      <c r="L1" s="1133" t="s">
        <v>398</v>
      </c>
      <c r="M1" s="1133" t="s">
        <v>714</v>
      </c>
      <c r="N1" s="433"/>
      <c r="O1" s="433"/>
      <c r="P1" s="433"/>
      <c r="Q1" s="433"/>
      <c r="R1" s="433"/>
      <c r="S1" s="433"/>
      <c r="T1" s="433"/>
      <c r="U1" s="433"/>
      <c r="V1" s="433"/>
      <c r="W1" s="170"/>
      <c r="X1" s="170"/>
      <c r="Y1" s="170"/>
      <c r="Z1" s="170"/>
      <c r="AA1" s="170"/>
      <c r="AB1" s="152"/>
      <c r="AC1" s="152"/>
      <c r="AD1" s="152"/>
      <c r="AE1" s="152"/>
      <c r="AF1" s="152"/>
      <c r="AG1" s="152"/>
      <c r="AH1" s="152"/>
      <c r="AI1" s="152"/>
      <c r="AJ1" s="152"/>
      <c r="AK1" s="152"/>
      <c r="AL1" s="152"/>
      <c r="AM1" s="152"/>
      <c r="AN1" s="152"/>
      <c r="AO1" s="152"/>
      <c r="AP1" s="152"/>
      <c r="AQ1" s="152"/>
      <c r="AR1" s="152"/>
      <c r="AS1" s="152"/>
      <c r="AT1" s="152"/>
      <c r="AU1" s="152"/>
      <c r="AV1" s="152"/>
      <c r="AW1" s="152"/>
      <c r="AX1" s="152"/>
      <c r="AY1" s="152"/>
      <c r="AZ1" s="152"/>
      <c r="BA1" s="152"/>
      <c r="BB1" s="152"/>
      <c r="BC1" s="152"/>
      <c r="BD1" s="152"/>
      <c r="BE1" s="152"/>
      <c r="BF1" s="152"/>
      <c r="BG1" s="152"/>
      <c r="BH1" s="152"/>
      <c r="BI1" s="152"/>
    </row>
    <row r="2" spans="1:61" s="68" customFormat="1" ht="19.899999999999999" customHeight="1" x14ac:dyDescent="0.3">
      <c r="A2" s="769"/>
      <c r="B2" s="2950"/>
      <c r="C2" s="436"/>
      <c r="D2" s="899">
        <f>'R-Resumo Bal. Massa'!B39*(1+'R&amp;C-Painel de Controle'!H71)</f>
        <v>73.137875624999978</v>
      </c>
      <c r="E2" s="900" t="s">
        <v>21</v>
      </c>
      <c r="F2"/>
      <c r="G2"/>
      <c r="H2" s="1105">
        <f>D2*313</f>
        <v>22892.155070624995</v>
      </c>
      <c r="I2" s="1104" t="s">
        <v>249</v>
      </c>
      <c r="J2"/>
      <c r="K2"/>
      <c r="L2" s="1086" t="str">
        <f>IF(D2&gt;0,"Sim","Não")</f>
        <v>Sim</v>
      </c>
      <c r="M2" s="431"/>
      <c r="N2" s="431"/>
      <c r="O2" s="431"/>
      <c r="P2" s="1106" t="s">
        <v>436</v>
      </c>
      <c r="Q2" s="2941" t="str">
        <f>'R-Definição'!D2</f>
        <v>CIRSOP - Consórcio RSU Oeste Paulista</v>
      </c>
      <c r="R2" s="2942"/>
      <c r="S2" s="429"/>
      <c r="T2" s="1106" t="s">
        <v>437</v>
      </c>
      <c r="U2" s="2941" t="str">
        <f>'R-Definição'!D3</f>
        <v>Biodigestão c/ Prod. E. Elétrica</v>
      </c>
      <c r="V2" s="2942"/>
      <c r="W2" s="327"/>
      <c r="X2" s="327"/>
      <c r="Y2" s="327"/>
      <c r="Z2" s="327"/>
      <c r="AA2" s="327"/>
      <c r="AB2" s="307"/>
      <c r="AC2" s="307"/>
      <c r="AD2" s="307"/>
      <c r="AE2" s="307"/>
      <c r="AF2" s="307"/>
      <c r="AG2" s="307"/>
      <c r="AH2" s="307"/>
      <c r="AI2" s="307"/>
      <c r="AJ2" s="307"/>
      <c r="AK2" s="307"/>
      <c r="AL2" s="307"/>
      <c r="AM2" s="307"/>
      <c r="AN2" s="307"/>
      <c r="AO2" s="307"/>
      <c r="AP2" s="307"/>
      <c r="AQ2" s="307"/>
      <c r="AR2" s="307"/>
      <c r="AS2" s="307"/>
      <c r="AT2" s="307"/>
      <c r="AU2" s="307"/>
      <c r="AV2" s="307"/>
      <c r="AW2" s="307"/>
      <c r="AX2" s="307"/>
      <c r="AY2" s="307"/>
      <c r="AZ2" s="307"/>
      <c r="BA2" s="307"/>
      <c r="BB2" s="307"/>
      <c r="BC2" s="307"/>
      <c r="BD2" s="307"/>
      <c r="BE2" s="307"/>
      <c r="BF2" s="307"/>
      <c r="BG2" s="307"/>
      <c r="BH2" s="307"/>
      <c r="BI2" s="307"/>
    </row>
    <row r="3" spans="1:61" s="68" customFormat="1" ht="19.899999999999999" customHeight="1" x14ac:dyDescent="0.25">
      <c r="A3" s="433"/>
      <c r="B3" s="2950"/>
      <c r="C3" s="427"/>
      <c r="D3" s="1835">
        <v>1</v>
      </c>
      <c r="E3" s="502"/>
      <c r="F3" s="1835">
        <v>1</v>
      </c>
      <c r="G3" s="426"/>
      <c r="H3" s="426"/>
      <c r="I3" s="426"/>
      <c r="J3" s="426"/>
      <c r="K3" s="426"/>
      <c r="L3" s="426"/>
      <c r="M3" s="426"/>
      <c r="N3" s="426"/>
      <c r="O3" s="431"/>
      <c r="P3" s="426"/>
      <c r="Q3" s="426"/>
      <c r="R3" s="426"/>
      <c r="S3" s="426"/>
      <c r="T3" s="426"/>
      <c r="U3" s="426"/>
      <c r="V3" s="426"/>
      <c r="W3" s="170"/>
      <c r="X3" s="170"/>
      <c r="Y3" s="170"/>
      <c r="Z3" s="170"/>
      <c r="AA3" s="170"/>
      <c r="AB3" s="152"/>
      <c r="AC3" s="152"/>
      <c r="AD3" s="152"/>
      <c r="AE3" s="152"/>
      <c r="AF3" s="152"/>
      <c r="AG3" s="152"/>
      <c r="AH3" s="152"/>
      <c r="AI3" s="152"/>
      <c r="AJ3" s="152"/>
      <c r="AK3" s="152"/>
      <c r="AL3" s="152"/>
      <c r="AM3" s="152"/>
      <c r="AN3" s="152"/>
      <c r="AO3" s="152"/>
      <c r="AP3" s="152"/>
      <c r="AQ3" s="152"/>
      <c r="AR3" s="152"/>
      <c r="AS3" s="152"/>
      <c r="AT3" s="152"/>
      <c r="AU3" s="152"/>
      <c r="AV3" s="152"/>
      <c r="AW3" s="152"/>
      <c r="AX3" s="152"/>
      <c r="AY3" s="152"/>
      <c r="AZ3" s="152"/>
      <c r="BA3" s="152"/>
      <c r="BB3" s="152"/>
      <c r="BC3" s="152"/>
      <c r="BD3" s="152"/>
      <c r="BE3" s="152"/>
      <c r="BF3" s="152"/>
      <c r="BG3" s="152"/>
      <c r="BH3" s="152"/>
      <c r="BI3" s="152"/>
    </row>
    <row r="4" spans="1:61" s="68" customFormat="1" ht="7.5" customHeight="1" x14ac:dyDescent="0.25">
      <c r="A4" s="433"/>
      <c r="B4" s="683"/>
      <c r="C4" s="403"/>
      <c r="D4" s="1061"/>
      <c r="E4" s="1061"/>
      <c r="F4" s="1061"/>
      <c r="G4" s="403"/>
      <c r="H4" s="1061"/>
      <c r="I4" s="1061"/>
      <c r="J4" s="1061"/>
      <c r="K4" s="403"/>
      <c r="L4" s="1061"/>
      <c r="M4" s="1061"/>
      <c r="N4" s="1383"/>
      <c r="O4" s="403"/>
      <c r="P4" s="1061"/>
      <c r="Q4" s="1061"/>
      <c r="R4" s="1061"/>
      <c r="S4" s="905"/>
      <c r="T4" s="1061"/>
      <c r="U4" s="1061"/>
      <c r="V4" s="906"/>
      <c r="W4" s="355"/>
      <c r="X4" s="355"/>
      <c r="Y4" s="355"/>
      <c r="Z4" s="355"/>
      <c r="AA4" s="355"/>
      <c r="AB4" s="152"/>
      <c r="AC4" s="152"/>
      <c r="AD4" s="152"/>
      <c r="AE4" s="152"/>
      <c r="AF4" s="152"/>
      <c r="AG4" s="152"/>
      <c r="AH4" s="152"/>
      <c r="AI4" s="152"/>
      <c r="AJ4" s="152"/>
      <c r="AK4" s="152"/>
      <c r="AL4" s="152"/>
      <c r="AM4" s="152"/>
      <c r="AN4" s="152"/>
      <c r="AO4" s="152"/>
      <c r="AP4" s="152"/>
      <c r="AQ4" s="152"/>
      <c r="AR4" s="152"/>
      <c r="AS4" s="152"/>
      <c r="AT4" s="152"/>
      <c r="AU4" s="152"/>
      <c r="AV4" s="152"/>
      <c r="AW4" s="152"/>
      <c r="AX4" s="152"/>
      <c r="AY4" s="152"/>
      <c r="AZ4" s="152"/>
      <c r="BA4" s="152"/>
      <c r="BB4" s="152"/>
      <c r="BC4" s="152"/>
      <c r="BD4" s="152"/>
      <c r="BE4" s="152"/>
      <c r="BF4" s="152"/>
      <c r="BG4" s="152"/>
      <c r="BH4" s="152"/>
      <c r="BI4" s="152"/>
    </row>
    <row r="5" spans="1:61" s="68" customFormat="1" ht="17.649999999999999" customHeight="1" x14ac:dyDescent="0.25">
      <c r="A5" s="433"/>
      <c r="B5" s="865" t="s">
        <v>764</v>
      </c>
      <c r="C5" s="437"/>
      <c r="D5" s="1110">
        <v>4.5</v>
      </c>
      <c r="E5" s="870" t="s">
        <v>776</v>
      </c>
      <c r="F5" s="868"/>
      <c r="G5" s="868"/>
      <c r="H5" s="868"/>
      <c r="I5" s="868"/>
      <c r="J5" s="868"/>
      <c r="K5" s="868"/>
      <c r="L5" s="868"/>
      <c r="M5" s="868"/>
      <c r="N5" s="868"/>
      <c r="O5" s="868"/>
      <c r="P5" s="868"/>
      <c r="Q5" s="868"/>
      <c r="R5" s="868"/>
      <c r="S5" s="868"/>
      <c r="T5" s="868"/>
      <c r="U5" s="868"/>
      <c r="V5" s="317"/>
      <c r="W5" s="170"/>
      <c r="X5" s="170"/>
      <c r="Y5" s="170"/>
      <c r="Z5" s="170"/>
      <c r="AA5" s="170"/>
      <c r="AB5" s="152"/>
      <c r="AC5" s="152"/>
      <c r="AD5" s="152"/>
      <c r="AE5" s="152"/>
      <c r="AF5" s="152"/>
      <c r="AG5" s="152"/>
      <c r="AH5" s="152"/>
      <c r="AI5" s="152"/>
      <c r="AJ5" s="152"/>
      <c r="AK5" s="152"/>
      <c r="AL5" s="152"/>
      <c r="AM5" s="152"/>
      <c r="AN5" s="152"/>
      <c r="AO5" s="152"/>
      <c r="AP5" s="152"/>
      <c r="AQ5" s="152"/>
      <c r="AR5" s="152"/>
      <c r="AS5" s="152"/>
      <c r="AT5" s="152"/>
      <c r="AU5" s="152"/>
      <c r="AV5" s="152"/>
      <c r="AW5" s="152"/>
      <c r="AX5" s="152"/>
      <c r="AY5" s="152"/>
      <c r="AZ5" s="152"/>
      <c r="BA5" s="152"/>
      <c r="BB5" s="152"/>
      <c r="BC5" s="152"/>
      <c r="BD5" s="152"/>
      <c r="BE5" s="152"/>
      <c r="BF5" s="152"/>
      <c r="BG5" s="152"/>
      <c r="BH5" s="152"/>
      <c r="BI5" s="152"/>
    </row>
    <row r="6" spans="1:61" s="68" customFormat="1" ht="7.5" customHeight="1" x14ac:dyDescent="0.25">
      <c r="A6" s="433"/>
      <c r="B6" s="683"/>
      <c r="C6" s="403"/>
      <c r="D6" s="1061"/>
      <c r="E6" s="1061"/>
      <c r="F6" s="1061"/>
      <c r="G6" s="403"/>
      <c r="H6" s="1061"/>
      <c r="I6" s="1061"/>
      <c r="J6" s="1061"/>
      <c r="K6" s="403"/>
      <c r="L6" s="1061"/>
      <c r="M6" s="1061"/>
      <c r="N6" s="1061"/>
      <c r="O6" s="403"/>
      <c r="P6" s="1061"/>
      <c r="Q6" s="1061"/>
      <c r="R6" s="1061"/>
      <c r="S6" s="905"/>
      <c r="T6" s="1061"/>
      <c r="U6" s="1061"/>
      <c r="V6" s="906"/>
      <c r="W6" s="355"/>
      <c r="X6" s="355"/>
      <c r="Y6" s="355"/>
      <c r="Z6" s="355"/>
      <c r="AA6" s="355"/>
      <c r="AB6" s="152"/>
      <c r="AC6" s="152"/>
      <c r="AD6" s="152"/>
      <c r="AE6" s="152"/>
      <c r="AF6" s="152"/>
      <c r="AG6" s="152"/>
      <c r="AH6" s="152"/>
      <c r="AI6" s="152"/>
      <c r="AJ6" s="152"/>
      <c r="AK6" s="152"/>
      <c r="AL6" s="152"/>
      <c r="AM6" s="152"/>
      <c r="AN6" s="152"/>
      <c r="AO6" s="152"/>
      <c r="AP6" s="152"/>
      <c r="AQ6" s="152"/>
      <c r="AR6" s="152"/>
      <c r="AS6" s="152"/>
      <c r="AT6" s="152"/>
      <c r="AU6" s="152"/>
      <c r="AV6" s="152"/>
      <c r="AW6" s="152"/>
      <c r="AX6" s="152"/>
      <c r="AY6" s="152"/>
      <c r="AZ6" s="152"/>
      <c r="BA6" s="152"/>
      <c r="BB6" s="152"/>
      <c r="BC6" s="152"/>
      <c r="BD6" s="152"/>
      <c r="BE6" s="152"/>
      <c r="BF6" s="152"/>
      <c r="BG6" s="152"/>
      <c r="BH6" s="152"/>
      <c r="BI6" s="152"/>
    </row>
    <row r="7" spans="1:61" s="68" customFormat="1" ht="19.899999999999999" customHeight="1" x14ac:dyDescent="0.25">
      <c r="A7" s="433"/>
      <c r="B7" s="865" t="s">
        <v>841</v>
      </c>
      <c r="C7" s="849"/>
      <c r="D7" s="1384">
        <f>(2.6*('R-Definição'!O111/'R-Definição'!E112))/(0.97*'R-Definição'!E114)</f>
        <v>0.60791752577319602</v>
      </c>
      <c r="E7" s="1054" t="str">
        <f>IF(AND(L2="Sim",$D$2&gt;D11,$D$2&lt;=F11),"SIM","NÃO")</f>
        <v>SIM</v>
      </c>
      <c r="F7" s="1483">
        <f>'R&amp;C-Painel de Controle'!D58+10%</f>
        <v>0.75</v>
      </c>
      <c r="G7" s="849"/>
      <c r="H7" s="853"/>
      <c r="I7" s="1090" t="str">
        <f>IF(AND(L2="Sim",$D$2&gt;H11,$D$2&lt;=J11),"SIM","NÃO")</f>
        <v>NÃO</v>
      </c>
      <c r="J7" s="853"/>
      <c r="K7" s="849"/>
      <c r="L7" s="853"/>
      <c r="M7" s="1054" t="str">
        <f>IF(AND(L2="Sim",$D$2&gt;L11,$D$2&lt;=N11),"SIM","NÃO")</f>
        <v>NÃO</v>
      </c>
      <c r="N7" s="853"/>
      <c r="O7" s="1088"/>
      <c r="P7" s="853"/>
      <c r="Q7" s="1054" t="str">
        <f>IF(AND(L2="Sim",$D$2&gt;P11,$D$2&lt;=R11),"SIM","NÃO")</f>
        <v>NÃO</v>
      </c>
      <c r="R7" s="853"/>
      <c r="S7" s="849"/>
      <c r="T7" s="853"/>
      <c r="U7" s="1091" t="str">
        <f>IF(AND(L2="Sim",$D$2&gt;T11,$D$2&lt;=V11*1.5),"SIM","NÃO")</f>
        <v>NÃO</v>
      </c>
      <c r="V7" s="849"/>
      <c r="W7" s="170"/>
      <c r="X7" s="170"/>
      <c r="Y7" s="170"/>
      <c r="Z7" s="170"/>
      <c r="AA7" s="170"/>
      <c r="AB7" s="152"/>
      <c r="AC7" s="152"/>
      <c r="AD7" s="152"/>
      <c r="AE7" s="152"/>
      <c r="AF7" s="152"/>
      <c r="AG7" s="152"/>
      <c r="AH7" s="152"/>
      <c r="AI7" s="152"/>
      <c r="AJ7" s="152"/>
      <c r="AK7" s="152"/>
      <c r="AL7" s="152"/>
      <c r="AM7" s="152"/>
      <c r="AN7" s="152"/>
      <c r="AO7" s="152"/>
      <c r="AP7" s="152"/>
      <c r="AQ7" s="152"/>
      <c r="AR7" s="152"/>
      <c r="AS7" s="152"/>
      <c r="AT7" s="152"/>
      <c r="AU7" s="152"/>
      <c r="AV7" s="152"/>
      <c r="AW7" s="152"/>
      <c r="AX7" s="152"/>
      <c r="AY7" s="152"/>
      <c r="AZ7" s="152"/>
      <c r="BA7" s="152"/>
      <c r="BB7" s="152"/>
      <c r="BC7" s="152"/>
      <c r="BD7" s="152"/>
      <c r="BE7" s="152"/>
      <c r="BF7" s="152"/>
      <c r="BG7" s="152"/>
      <c r="BH7" s="152"/>
      <c r="BI7" s="152"/>
    </row>
    <row r="8" spans="1:61" s="68" customFormat="1" ht="7.5" customHeight="1" thickBot="1" x14ac:dyDescent="0.3">
      <c r="A8" s="433"/>
      <c r="B8" s="683"/>
      <c r="C8" s="403"/>
      <c r="D8" s="1061"/>
      <c r="E8" s="1061"/>
      <c r="F8" s="1061"/>
      <c r="G8" s="403"/>
      <c r="H8" s="1061"/>
      <c r="I8" s="1061"/>
      <c r="J8" s="1061"/>
      <c r="K8" s="403"/>
      <c r="L8" s="1061"/>
      <c r="M8" s="1061"/>
      <c r="N8" s="1061"/>
      <c r="O8" s="403"/>
      <c r="P8" s="1061"/>
      <c r="Q8" s="1061"/>
      <c r="R8" s="1061"/>
      <c r="S8" s="905"/>
      <c r="T8" s="1061"/>
      <c r="U8" s="1061"/>
      <c r="V8" s="906"/>
      <c r="W8" s="355"/>
      <c r="X8" s="355"/>
      <c r="Y8" s="355"/>
      <c r="Z8" s="355"/>
      <c r="AA8" s="355"/>
      <c r="AB8" s="152"/>
      <c r="AC8" s="152"/>
      <c r="AD8" s="152"/>
      <c r="AE8" s="152"/>
      <c r="AF8" s="152"/>
      <c r="AG8" s="152"/>
      <c r="AH8" s="152"/>
      <c r="AI8" s="152"/>
      <c r="AJ8" s="152"/>
      <c r="AK8" s="152"/>
      <c r="AL8" s="152"/>
      <c r="AM8" s="152"/>
      <c r="AN8" s="152"/>
      <c r="AO8" s="152"/>
      <c r="AP8" s="152"/>
      <c r="AQ8" s="152"/>
      <c r="AR8" s="152"/>
      <c r="AS8" s="152"/>
      <c r="AT8" s="152"/>
      <c r="AU8" s="152"/>
      <c r="AV8" s="152"/>
      <c r="AW8" s="152"/>
      <c r="AX8" s="152"/>
      <c r="AY8" s="152"/>
      <c r="AZ8" s="152"/>
      <c r="BA8" s="152"/>
      <c r="BB8" s="152"/>
      <c r="BC8" s="152"/>
      <c r="BD8" s="152"/>
      <c r="BE8" s="152"/>
      <c r="BF8" s="152"/>
      <c r="BG8" s="152"/>
      <c r="BH8" s="152"/>
      <c r="BI8" s="152"/>
    </row>
    <row r="9" spans="1:61" s="1121" customFormat="1" ht="17.649999999999999" customHeight="1" thickTop="1" thickBot="1" x14ac:dyDescent="0.35">
      <c r="A9" s="1123"/>
      <c r="B9" s="2944" t="s">
        <v>640</v>
      </c>
      <c r="C9" s="901"/>
      <c r="D9" s="2947" t="s">
        <v>399</v>
      </c>
      <c r="E9" s="2948"/>
      <c r="F9" s="2948"/>
      <c r="G9" s="2948"/>
      <c r="H9" s="2948"/>
      <c r="I9" s="2948"/>
      <c r="J9" s="2948"/>
      <c r="K9" s="2948"/>
      <c r="L9" s="2948"/>
      <c r="M9" s="2948"/>
      <c r="N9" s="2948"/>
      <c r="O9" s="2948"/>
      <c r="P9" s="2948"/>
      <c r="Q9" s="2948"/>
      <c r="R9" s="2948"/>
      <c r="S9" s="2948"/>
      <c r="T9" s="2948"/>
      <c r="U9" s="2948"/>
      <c r="V9" s="2949"/>
      <c r="W9" s="1129"/>
      <c r="X9" s="1129"/>
      <c r="Y9" s="1129"/>
      <c r="Z9" s="1129"/>
      <c r="AA9" s="1129"/>
      <c r="AB9" s="1125"/>
      <c r="AC9" s="1125"/>
      <c r="AD9" s="1125"/>
      <c r="AE9" s="1125"/>
      <c r="AF9" s="1125"/>
      <c r="AG9" s="1125"/>
      <c r="AH9" s="1125"/>
      <c r="AI9" s="1125"/>
      <c r="AJ9" s="1125"/>
      <c r="AK9" s="1125"/>
      <c r="AL9" s="1125"/>
      <c r="AM9" s="1125"/>
      <c r="AN9" s="1125"/>
      <c r="AO9" s="1125"/>
      <c r="AP9" s="1125"/>
      <c r="AQ9" s="1125"/>
      <c r="AR9" s="1125"/>
      <c r="AS9" s="1125"/>
      <c r="AT9" s="1125"/>
      <c r="AU9" s="1125"/>
      <c r="AV9" s="1125"/>
      <c r="AW9" s="1125"/>
      <c r="AX9" s="1125"/>
      <c r="AY9" s="1125"/>
      <c r="AZ9" s="1125"/>
      <c r="BA9" s="1125"/>
      <c r="BB9" s="1125"/>
      <c r="BC9" s="1125"/>
      <c r="BD9" s="1125"/>
      <c r="BE9" s="1125"/>
      <c r="BF9" s="1125"/>
      <c r="BG9" s="1125"/>
      <c r="BH9" s="1125"/>
      <c r="BI9" s="1125"/>
    </row>
    <row r="10" spans="1:61" s="1121" customFormat="1" ht="7.5" customHeight="1" x14ac:dyDescent="0.3">
      <c r="A10" s="1123"/>
      <c r="B10" s="2945"/>
      <c r="C10" s="901"/>
      <c r="D10" s="1072"/>
      <c r="E10" s="898"/>
      <c r="F10" s="898"/>
      <c r="G10" s="850"/>
      <c r="H10" s="898"/>
      <c r="I10" s="898"/>
      <c r="J10" s="898"/>
      <c r="K10" s="850"/>
      <c r="L10" s="898"/>
      <c r="M10" s="898"/>
      <c r="N10" s="898"/>
      <c r="O10" s="850"/>
      <c r="P10" s="898"/>
      <c r="Q10" s="898"/>
      <c r="R10" s="898"/>
      <c r="S10" s="850"/>
      <c r="T10" s="898"/>
      <c r="U10" s="898"/>
      <c r="V10" s="1073"/>
      <c r="W10" s="1129"/>
      <c r="X10" s="1129"/>
      <c r="Y10" s="1129"/>
      <c r="Z10" s="1129"/>
      <c r="AA10" s="1129"/>
      <c r="AB10" s="1125"/>
      <c r="AC10" s="1125"/>
      <c r="AD10" s="1125"/>
      <c r="AE10" s="1125"/>
      <c r="AF10" s="1125"/>
      <c r="AG10" s="1125"/>
      <c r="AH10" s="1125"/>
      <c r="AI10" s="1125"/>
      <c r="AJ10" s="1125"/>
      <c r="AK10" s="1125"/>
      <c r="AL10" s="1125"/>
      <c r="AM10" s="1125"/>
      <c r="AN10" s="1125"/>
      <c r="AO10" s="1125"/>
      <c r="AP10" s="1125"/>
      <c r="AQ10" s="1125"/>
      <c r="AR10" s="1125"/>
      <c r="AS10" s="1125"/>
      <c r="AT10" s="1125"/>
      <c r="AU10" s="1125"/>
      <c r="AV10" s="1125"/>
      <c r="AW10" s="1125"/>
      <c r="AX10" s="1125"/>
      <c r="AY10" s="1125"/>
      <c r="AZ10" s="1125"/>
      <c r="BA10" s="1125"/>
      <c r="BB10" s="1125"/>
      <c r="BC10" s="1125"/>
      <c r="BD10" s="1125"/>
      <c r="BE10" s="1125"/>
      <c r="BF10" s="1125"/>
      <c r="BG10" s="1125"/>
      <c r="BH10" s="1125"/>
      <c r="BI10" s="1125"/>
    </row>
    <row r="11" spans="1:61" s="1121" customFormat="1" ht="17.649999999999999" customHeight="1" thickBot="1" x14ac:dyDescent="0.35">
      <c r="A11" s="1123"/>
      <c r="B11" s="2946"/>
      <c r="C11" s="901"/>
      <c r="D11" s="1064">
        <v>5</v>
      </c>
      <c r="E11" s="1066" t="s">
        <v>21</v>
      </c>
      <c r="F11" s="1066">
        <v>1000</v>
      </c>
      <c r="G11" s="1067"/>
      <c r="H11" s="1066">
        <f>F11</f>
        <v>1000</v>
      </c>
      <c r="I11" s="1066" t="s">
        <v>21</v>
      </c>
      <c r="J11" s="1066">
        <v>2000</v>
      </c>
      <c r="K11" s="1067"/>
      <c r="L11" s="1066">
        <f>J11</f>
        <v>2000</v>
      </c>
      <c r="M11" s="1066" t="s">
        <v>21</v>
      </c>
      <c r="N11" s="1066">
        <v>3000</v>
      </c>
      <c r="O11" s="1067"/>
      <c r="P11" s="1066">
        <f>N11</f>
        <v>3000</v>
      </c>
      <c r="Q11" s="1066" t="s">
        <v>21</v>
      </c>
      <c r="R11" s="1066">
        <v>4000</v>
      </c>
      <c r="S11" s="1067"/>
      <c r="T11" s="1066">
        <f>R11</f>
        <v>4000</v>
      </c>
      <c r="U11" s="1066" t="s">
        <v>21</v>
      </c>
      <c r="V11" s="1068">
        <v>5000</v>
      </c>
      <c r="W11" s="1129"/>
      <c r="X11" s="1129"/>
      <c r="Y11" s="1129"/>
      <c r="Z11" s="1129"/>
      <c r="AA11" s="1129"/>
      <c r="AB11" s="1125"/>
      <c r="AC11" s="1125"/>
      <c r="AD11" s="1125"/>
      <c r="AE11" s="1125"/>
      <c r="AF11" s="1125"/>
      <c r="AG11" s="1125"/>
      <c r="AH11" s="1125"/>
      <c r="AI11" s="1125"/>
      <c r="AJ11" s="1125"/>
      <c r="AK11" s="1125"/>
      <c r="AL11" s="1125"/>
      <c r="AM11" s="1125"/>
      <c r="AN11" s="1125"/>
      <c r="AO11" s="1125"/>
      <c r="AP11" s="1125"/>
      <c r="AQ11" s="1125"/>
      <c r="AR11" s="1125"/>
      <c r="AS11" s="1125"/>
      <c r="AT11" s="1125"/>
      <c r="AU11" s="1125"/>
      <c r="AV11" s="1125"/>
      <c r="AW11" s="1125"/>
      <c r="AX11" s="1125"/>
      <c r="AY11" s="1125"/>
      <c r="AZ11" s="1125"/>
      <c r="BA11" s="1125"/>
      <c r="BB11" s="1125"/>
      <c r="BC11" s="1125"/>
      <c r="BD11" s="1125"/>
      <c r="BE11" s="1125"/>
      <c r="BF11" s="1125"/>
      <c r="BG11" s="1125"/>
      <c r="BH11" s="1125"/>
      <c r="BI11" s="1125"/>
    </row>
    <row r="12" spans="1:61" s="68" customFormat="1" ht="15" customHeight="1" thickTop="1" thickBot="1" x14ac:dyDescent="0.3">
      <c r="A12" s="433"/>
      <c r="B12" s="1070"/>
      <c r="C12" s="751"/>
      <c r="D12" s="1071"/>
      <c r="E12" s="1071"/>
      <c r="F12" s="1071"/>
      <c r="G12" s="751"/>
      <c r="H12" s="1071"/>
      <c r="I12" s="1071"/>
      <c r="J12" s="1071"/>
      <c r="K12" s="751"/>
      <c r="L12" s="1071"/>
      <c r="M12" s="1071"/>
      <c r="N12" s="1071"/>
      <c r="O12" s="751"/>
      <c r="P12" s="1071"/>
      <c r="Q12" s="1071"/>
      <c r="R12" s="1071"/>
      <c r="S12" s="751"/>
      <c r="T12" s="1071"/>
      <c r="U12" s="1071"/>
      <c r="V12" s="1071"/>
      <c r="W12" s="170"/>
      <c r="X12" s="170"/>
      <c r="Y12" s="170"/>
      <c r="Z12" s="170"/>
      <c r="AA12" s="170"/>
      <c r="AB12" s="152"/>
      <c r="AC12" s="152"/>
      <c r="AD12" s="152"/>
      <c r="AE12" s="152"/>
      <c r="AF12" s="152"/>
      <c r="AG12" s="152"/>
      <c r="AH12" s="152"/>
      <c r="AI12" s="152"/>
      <c r="AJ12" s="152"/>
      <c r="AK12" s="152"/>
      <c r="AL12" s="152"/>
      <c r="AM12" s="152"/>
      <c r="AN12" s="152"/>
      <c r="AO12" s="152"/>
      <c r="AP12" s="152"/>
      <c r="AQ12" s="152"/>
      <c r="AR12" s="152"/>
      <c r="AS12" s="152"/>
      <c r="AT12" s="152"/>
      <c r="AU12" s="152"/>
      <c r="AV12" s="152"/>
      <c r="AW12" s="152"/>
      <c r="AX12" s="152"/>
      <c r="AY12" s="152"/>
      <c r="AZ12" s="152"/>
      <c r="BA12" s="152"/>
      <c r="BB12" s="152"/>
      <c r="BC12" s="152"/>
      <c r="BD12" s="152"/>
      <c r="BE12" s="152"/>
      <c r="BF12" s="152"/>
      <c r="BG12" s="152"/>
      <c r="BH12" s="152"/>
      <c r="BI12" s="152"/>
    </row>
    <row r="13" spans="1:61" s="1121" customFormat="1" ht="19.899999999999999" customHeight="1" thickTop="1" thickBot="1" x14ac:dyDescent="0.35">
      <c r="A13" s="1123"/>
      <c r="B13" s="977" t="s">
        <v>443</v>
      </c>
      <c r="C13" s="903"/>
      <c r="D13" s="979" t="s">
        <v>754</v>
      </c>
      <c r="E13" s="980" t="s">
        <v>442</v>
      </c>
      <c r="F13" s="981" t="s">
        <v>289</v>
      </c>
      <c r="G13" s="869"/>
      <c r="H13" s="979" t="s">
        <v>754</v>
      </c>
      <c r="I13" s="980" t="s">
        <v>442</v>
      </c>
      <c r="J13" s="981" t="s">
        <v>289</v>
      </c>
      <c r="K13" s="869"/>
      <c r="L13" s="979" t="s">
        <v>754</v>
      </c>
      <c r="M13" s="980" t="s">
        <v>442</v>
      </c>
      <c r="N13" s="981" t="s">
        <v>289</v>
      </c>
      <c r="O13" s="869"/>
      <c r="P13" s="979" t="s">
        <v>754</v>
      </c>
      <c r="Q13" s="980" t="s">
        <v>442</v>
      </c>
      <c r="R13" s="981" t="s">
        <v>289</v>
      </c>
      <c r="S13" s="869"/>
      <c r="T13" s="979" t="s">
        <v>754</v>
      </c>
      <c r="U13" s="980" t="s">
        <v>442</v>
      </c>
      <c r="V13" s="981" t="s">
        <v>289</v>
      </c>
      <c r="W13" s="1126" t="s">
        <v>714</v>
      </c>
      <c r="X13" s="1127"/>
      <c r="Y13" s="1127"/>
      <c r="Z13" s="1127"/>
      <c r="AA13" s="1127"/>
      <c r="AB13" s="1125"/>
      <c r="AC13" s="1125"/>
      <c r="AD13" s="1125"/>
      <c r="AE13" s="1125"/>
      <c r="AF13" s="1125"/>
      <c r="AG13" s="1125"/>
      <c r="AH13" s="1125"/>
      <c r="AI13" s="1125"/>
      <c r="AJ13" s="1125"/>
      <c r="AK13" s="1125"/>
      <c r="AL13" s="1125"/>
      <c r="AM13" s="1125"/>
      <c r="AN13" s="1125"/>
      <c r="AO13" s="1125"/>
      <c r="AP13" s="1125"/>
      <c r="AQ13" s="1125"/>
      <c r="AR13" s="1125"/>
      <c r="AS13" s="1125"/>
      <c r="AT13" s="1125"/>
      <c r="AU13" s="1125"/>
      <c r="AV13" s="1125"/>
      <c r="AW13" s="1125"/>
      <c r="AX13" s="1125"/>
      <c r="AY13" s="1125"/>
      <c r="AZ13" s="1125"/>
      <c r="BA13" s="1125"/>
      <c r="BB13" s="1125"/>
      <c r="BC13" s="1125"/>
      <c r="BD13" s="1125"/>
      <c r="BE13" s="1125"/>
      <c r="BF13" s="1125"/>
      <c r="BG13" s="1125"/>
      <c r="BH13" s="1125"/>
      <c r="BI13" s="1125"/>
    </row>
    <row r="14" spans="1:61" s="68" customFormat="1" ht="7.5" customHeight="1" x14ac:dyDescent="0.25">
      <c r="A14" s="433"/>
      <c r="B14" s="1009"/>
      <c r="C14" s="903"/>
      <c r="D14" s="1015"/>
      <c r="E14" s="331"/>
      <c r="F14" s="924"/>
      <c r="G14" s="903"/>
      <c r="H14" s="1015"/>
      <c r="I14" s="331"/>
      <c r="J14" s="924"/>
      <c r="K14" s="903"/>
      <c r="L14" s="1015"/>
      <c r="M14" s="331"/>
      <c r="N14" s="924"/>
      <c r="O14" s="903"/>
      <c r="P14" s="1015"/>
      <c r="Q14" s="331"/>
      <c r="R14" s="924"/>
      <c r="S14" s="903"/>
      <c r="T14" s="1015"/>
      <c r="U14" s="331"/>
      <c r="V14" s="924"/>
      <c r="W14" s="355"/>
      <c r="X14" s="355"/>
      <c r="Y14" s="355"/>
      <c r="Z14" s="355"/>
      <c r="AA14" s="355"/>
      <c r="AB14" s="152"/>
      <c r="AC14" s="152"/>
      <c r="AD14" s="152"/>
      <c r="AE14" s="152"/>
      <c r="AF14" s="152"/>
      <c r="AG14" s="152"/>
      <c r="AH14" s="152"/>
      <c r="AI14" s="152"/>
      <c r="AJ14" s="152"/>
      <c r="AK14" s="152"/>
      <c r="AL14" s="152"/>
      <c r="AM14" s="152"/>
      <c r="AN14" s="152"/>
      <c r="AO14" s="152"/>
      <c r="AP14" s="152"/>
      <c r="AQ14" s="152"/>
      <c r="AR14" s="152"/>
      <c r="AS14" s="152"/>
      <c r="AT14" s="152"/>
      <c r="AU14" s="152"/>
      <c r="AV14" s="152"/>
      <c r="AW14" s="152"/>
      <c r="AX14" s="152"/>
      <c r="AY14" s="152"/>
      <c r="AZ14" s="152"/>
      <c r="BA14" s="152"/>
      <c r="BB14" s="152"/>
      <c r="BC14" s="152"/>
      <c r="BD14" s="152"/>
      <c r="BE14" s="152"/>
      <c r="BF14" s="152"/>
      <c r="BG14" s="152"/>
      <c r="BH14" s="152"/>
      <c r="BI14" s="152"/>
    </row>
    <row r="15" spans="1:61" s="68" customFormat="1" ht="17.649999999999999" customHeight="1" x14ac:dyDescent="0.25">
      <c r="A15" s="433"/>
      <c r="B15" s="913" t="s">
        <v>376</v>
      </c>
      <c r="C15" s="869"/>
      <c r="D15" s="1075">
        <f>(IF('R&amp;C-Painel de Controle'!$C$58="Tecnologia Chinesa",572.251338598527*D22, 572.251338598527))*F7*D3</f>
        <v>429.18850394889523</v>
      </c>
      <c r="E15" s="846">
        <f>(IF(E7="SIM",(1-'R&amp;C-Painel de Controle'!$D$58)*(((((401.848504437591*D22*(($D$2-D11)/(F11-D11))*$H$2)*E21*$D$5*(1+'R&amp;C-Painel de Controle'!$D$61)+(401.848504437591*D22*(($D$2-D11)/(F11-D11))*$H$2)*(1-E21)*'R&amp;C-Painel de Controle'!$D$53*(1+'R&amp;C-Painel de Controle'!$D$54)))+(((D15*((F11-$D$2)/(F11-D11))*$H$2)*E21*$D$5*(1+'R&amp;C-Painel de Controle'!$D$61)+(D15*((F11-$D$2)/(F11-D11))*$H$2)*(1-E21)*'R&amp;C-Painel de Controle'!$D$53*(1+'R&amp;C-Painel de Controle'!$D$54))))/1000000)+('R&amp;C-Painel de Controle'!$D$58)*(((((401.848504437591*(($D$2-D11)/(F11-D11))*$H$2)*E21*$D$5*(1+'R&amp;C-Painel de Controle'!$D$61)+(401.848504437591*(($D$2-D11)/(F11-D11))*$H$2)*(1-E21)*'R&amp;C-Painel de Controle'!$D$53*(1+'R&amp;C-Painel de Controle'!$D$54)))+(((D15*((F11-$D$2)/(F11-D11))*$H$2)*E21*$D$5*(1+'R&amp;C-Painel de Controle'!$D$61)+(D15*((F11-$D$2)/(F11-D11))*$H$2)*(1-E21)*'R&amp;C-Painel de Controle'!$D$53*(1+'R&amp;C-Painel de Controle'!$D$54))))/1000000),"-"))</f>
        <v>65.998630567296374</v>
      </c>
      <c r="F15" s="917">
        <v>0.15</v>
      </c>
      <c r="G15" s="869"/>
      <c r="H15" s="1075">
        <f>(IF('R&amp;C-Painel de Controle'!$C$58="Tecnologia Chinesa",525.884311407721*H$22, 525.884311407721))*F7*D3</f>
        <v>394.41323355579078</v>
      </c>
      <c r="I15" s="846" t="str">
        <f>(IF(I7="SIM",(1-'R&amp;C-Painel de Controle'!$D$58)*(((((401.848504437591*H22*(($D$2-H11)/(J11-H11))*$H$2)*I21*$D$5*(1+'R&amp;C-Painel de Controle'!$D$61)+(401.848504437591*H22*(($D$2-H11)/(J11-H11))*$H$2)*(1-I21)*'R&amp;C-Painel de Controle'!$D$53*(1+'R&amp;C-Painel de Controle'!$D$54)))+(((H15*((J11-$D$2)/(J11-H11))*$H$2)*I21*$D$5*(1+'R&amp;C-Painel de Controle'!$D$61)+(H15*((J11-$D$2)/(J11-H11))*$H$2)*(1-I21)*'R&amp;C-Painel de Controle'!$D$53*(1+'R&amp;C-Painel de Controle'!$D$54))))/1000000)+('R&amp;C-Painel de Controle'!$D$58)*(((((401.848504437591*(($D$2-H11)/(J11-H11))*$H$2)*I21*$D$5*(1+'R&amp;C-Painel de Controle'!$D$61)+(401.848504437591*(($D$2-H11)/(J11-H11))*$H$2)*(1-I21)*'R&amp;C-Painel de Controle'!$D$53*(1+'R&amp;C-Painel de Controle'!$D$54)))+(((H15*((J11-$D$2)/(J11-H11))*$H$2)*I21*$D$5*(1+'R&amp;C-Painel de Controle'!$D$61)+(H15*((J11-$D$2)/(J11-H11))*$H$2)*(1-I21)*'R&amp;C-Painel de Controle'!$D$53*(1+'R&amp;C-Painel de Controle'!$D$54))))/1000000),"-"))</f>
        <v>-</v>
      </c>
      <c r="J15" s="917">
        <v>0.15</v>
      </c>
      <c r="K15" s="869"/>
      <c r="L15" s="1075">
        <f>(IF('R&amp;C-Painel de Controle'!$C$58="Tecnologia Chinesa",476.115698784112*L$22, 476.115698784112))*F7*D3</f>
        <v>357.08677408808398</v>
      </c>
      <c r="M15" s="846" t="str">
        <f>(IF(M7="SIM",(1-'R&amp;C-Painel de Controle'!$D$58)*(((((401.848504437591*L22*(($D$2-L11)/(N11-L11))*$H$2)*M21*$D$5*(1+'R&amp;C-Painel de Controle'!$D$61)+(401.848504437591*L22*(($D$2-L11)/(N11-L11))*$H$2)*(1-M21)*'R&amp;C-Painel de Controle'!$D$53*(1+'R&amp;C-Painel de Controle'!$D$54)))+(((L15*((N11-$D$2)/(N11-L11))*$H$2)*M21*$D$5*(1+'R&amp;C-Painel de Controle'!$D$61)+(L15*((N11-$D$2)/(N11-L11))*$H$2)*(1-M21)*'R&amp;C-Painel de Controle'!$D$53*(1+'R&amp;C-Painel de Controle'!$D$54))))/1000000)+('R&amp;C-Painel de Controle'!$D$58)*(((((401.848504437591*(($D$2-L11)/(N11-L11))*$H$2)*M21*$D$5*(1+'R&amp;C-Painel de Controle'!$D$61)+(401.848504437591*(($D$2-L11)/(N11-L11))*$H$2)*(1-M21)*'R&amp;C-Painel de Controle'!$D$53*(1+'R&amp;C-Painel de Controle'!$D$54)))+(((L15*((N11-$D$2)/(N11-L11))*$H$2)*M21*$D$5*(1+'R&amp;C-Painel de Controle'!$D$61)+(L15*((N11-$D$2)/(N11-L11))*$H$2)*(1-M21)*'R&amp;C-Painel de Controle'!$D$53*(1+'R&amp;C-Painel de Controle'!$D$54))))/1000000),"-"))</f>
        <v>-</v>
      </c>
      <c r="N15" s="917">
        <v>0.15</v>
      </c>
      <c r="O15" s="869"/>
      <c r="P15" s="1075">
        <f>(IF('R&amp;C-Painel de Controle'!$C$58="Tecnologia Chinesa",442.933814489642*P$22, 442.933814489642))*F7*D3</f>
        <v>332.2003608672315</v>
      </c>
      <c r="Q15" s="846" t="str">
        <f>(IF(Q7="SIM",(1-'R&amp;C-Painel de Controle'!$D$58)*(((((401.848504437591*P22*(($D$2-P11)/(R11-P11))*$H$2)*Q21*$D$5*(1+'R&amp;C-Painel de Controle'!$D$61)+(401.848504437591*P22*(($D$2-P11)/(R11-P11))*$H$2)*(1-Q21)*'R&amp;C-Painel de Controle'!$D$53*(1+'R&amp;C-Painel de Controle'!$D$54)))+(((P15*((R11-$D$2)/(R11-P11))*$H$2)*Q21*$D$5*(1+'R&amp;C-Painel de Controle'!$D$61)+(P15*((R11-$D$2)/(R11-P11))*$H$2)*(1-Q21)*'R&amp;C-Painel de Controle'!$D$53*(1+'R&amp;C-Painel de Controle'!$D$54))))/1000000)+('R&amp;C-Painel de Controle'!$D$58)*(((((401.848504437591*(($D$2-P11)/(R11-P11))*$H$2)*Q21*$D$5*(1+'R&amp;C-Painel de Controle'!$D$61)+(401.848504437591*(($D$2-P11)/(R11-P11))*$H$2)*(1-Q21)*'R&amp;C-Painel de Controle'!$D$53*(1+'R&amp;C-Painel de Controle'!$D$54)))+(((P15*((R11-$D$2)/(R11-P11))*$H$2)*Q21*$D$5*(1+'R&amp;C-Painel de Controle'!$D$61)+(P15*((R11-$D$2)/(R11-P11))*$H$2)*(1-Q21)*'R&amp;C-Painel de Controle'!$D$53*(1+'R&amp;C-Painel de Controle'!$D$54))))/1000000),"-"))</f>
        <v>-</v>
      </c>
      <c r="R15" s="917">
        <v>0.15</v>
      </c>
      <c r="S15" s="993"/>
      <c r="T15" s="1075">
        <f>(IF('R&amp;C-Painel de Controle'!$C$58="Tecnologia Chinesa",426.037265400051*T$22, 426.037265400051))*F7*D3</f>
        <v>319.52794905003827</v>
      </c>
      <c r="U15" s="846" t="str">
        <f>(IF(U7="SIM",(1-'R&amp;C-Painel de Controle'!$D$58)*(((((401.848504437591*T22*(($D$2-T11)/(V11-T11))*$H$2)*U21*$D$5*(1+'R&amp;C-Painel de Controle'!$D$61)+(401.848504437591*T22*(($D$2-T11)/(V11-T11))*$H$2)*(1-U21)*'R&amp;C-Painel de Controle'!$D$53*(1+'R&amp;C-Painel de Controle'!$D$54)))+(((T15*((V11-$D$2)/(V11-T11))*$H$2)*U21*$D$5*(1+'R&amp;C-Painel de Controle'!$D$61)+(T15*((V11-$D$2)/(V11-T11))*$H$2)*(1-U21)*'R&amp;C-Painel de Controle'!$D$53*(1+'R&amp;C-Painel de Controle'!$D$54))))/1000000)+('R&amp;C-Painel de Controle'!$D$58)*(((((401.848504437591*(($D$2-T11)/(V11-T11))*$H$2)*U21*$D$5*(1+'R&amp;C-Painel de Controle'!$D$61)+(401.848504437591*(($D$2-T11)/(V11-T11))*$H$2)*(1-U21)*'R&amp;C-Painel de Controle'!$D$53*(1+'R&amp;C-Painel de Controle'!$D$54)))+(((T15*((V11-$D$2)/(V11-T11))*$H$2)*U21*$D$5*(1+'R&amp;C-Painel de Controle'!$D$61)+(T15*((V11-$D$2)/(V11-T11))*$H$2)*(1-U21)*'R&amp;C-Painel de Controle'!$D$53*(1+'R&amp;C-Painel de Controle'!$D$54))))/1000000),"-"))</f>
        <v>-</v>
      </c>
      <c r="V15" s="917">
        <v>0.15</v>
      </c>
      <c r="W15" s="356">
        <v>826.20534346404645</v>
      </c>
      <c r="X15" s="356">
        <v>1508.0558121008478</v>
      </c>
      <c r="Y15" s="356">
        <v>2305.5392335198767</v>
      </c>
      <c r="Z15" s="356">
        <v>3051.9601128146246</v>
      </c>
      <c r="AA15" s="357">
        <v>3738.5277415516616</v>
      </c>
      <c r="AB15" s="152"/>
      <c r="AC15" s="152"/>
      <c r="AD15" s="152"/>
      <c r="AE15" s="152"/>
      <c r="AF15" s="152"/>
      <c r="AG15" s="152"/>
      <c r="AH15" s="152"/>
      <c r="AI15" s="152"/>
      <c r="AJ15" s="152"/>
      <c r="AK15" s="152"/>
      <c r="AL15" s="152"/>
      <c r="AM15" s="152"/>
      <c r="AN15" s="152"/>
      <c r="AO15" s="152"/>
      <c r="AP15" s="152"/>
      <c r="AQ15" s="152"/>
      <c r="AR15" s="152"/>
      <c r="AS15" s="152"/>
      <c r="AT15" s="152"/>
      <c r="AU15" s="152"/>
      <c r="AV15" s="152"/>
      <c r="AW15" s="152"/>
      <c r="AX15" s="152"/>
      <c r="AY15" s="152"/>
      <c r="AZ15" s="152"/>
      <c r="BA15" s="152"/>
      <c r="BB15" s="152"/>
      <c r="BC15" s="152"/>
      <c r="BD15" s="152"/>
      <c r="BE15" s="152"/>
      <c r="BF15" s="152"/>
      <c r="BG15" s="152"/>
      <c r="BH15" s="152"/>
      <c r="BI15" s="152"/>
    </row>
    <row r="16" spans="1:61" s="68" customFormat="1" ht="17.649999999999999" customHeight="1" x14ac:dyDescent="0.25">
      <c r="A16" s="433"/>
      <c r="B16" s="913" t="s">
        <v>641</v>
      </c>
      <c r="C16" s="869"/>
      <c r="D16" s="918">
        <f>(IF('R&amp;C-Painel de Controle'!$C$58="Tecnologia Chinesa",245.250573685083*D22*(1-E24), 245.250573685083*(1-E24)))*F7</f>
        <v>137.95344769785919</v>
      </c>
      <c r="E16" s="846">
        <f>(IF(E7="SIM",((1-'R&amp;C-Painel de Controle'!$D$58)*(((((100.462126109398*(1-E24)*(($D$2-D11)/(F11-D11))*$H$2)*'R&amp;C-Painel de Controle'!$D$53*(1+'R&amp;C-Painel de Controle'!$D$61))+((D16*((F11-$D$2)/(F11-D11))*$H$2)*'R&amp;C-Painel de Controle'!$D$53*(1+'R&amp;C-Painel de Controle'!$D$61)))/1000000)*(0.55+0.45*(1+('R&amp;C-Painel de Controle'!$D$59-5000)/5000)))+('R&amp;C-Painel de Controle'!$D$58)*(((((100.462126109398*(1-E24)*(($D$2-D11)/(F11-D11))*$H$2)*'R&amp;C-Painel de Controle'!$D$53*(1+'R&amp;C-Painel de Controle'!$D$61))+((D16*((F11-$D$2)/(F11-D11))*$H$2)*'R&amp;C-Painel de Controle'!$D$53*(1+'R&amp;C-Painel de Controle'!$D$61)))/1000000)*(0.55+0.45*(1+('R&amp;C-Painel de Controle'!$D$59-5000)/5000))))*F3,"-"))</f>
        <v>16.82947963242913</v>
      </c>
      <c r="F16" s="919">
        <v>0.05</v>
      </c>
      <c r="G16" s="869"/>
      <c r="H16" s="918">
        <f>(IF('R&amp;C-Painel de Controle'!$C$58="Tecnologia Chinesa",194.505156274089*H$22*(1-I24), 194.505156274089*(1-I24)))*F7</f>
        <v>109.40915040417505</v>
      </c>
      <c r="I16" s="846" t="str">
        <f>(IF(I7="SIM",((1-'R&amp;C-Painel de Controle'!$D$58)*(((((100.462126109398*(1-I24)*(($D$2-H11)/(J11-H11))*$H$2)*'R&amp;C-Painel de Controle'!$D$53*(1+'R&amp;C-Painel de Controle'!$D$61))+((H16*((J11-$D$2)/(J11-H11))*$H$2)*'R&amp;C-Painel de Controle'!$D$53*(1+'R&amp;C-Painel de Controle'!$D$61)))/1000000)*(0.55+0.45*(1+('R&amp;C-Painel de Controle'!$D$59-5000)/5000)))+('R&amp;C-Painel de Controle'!$D$58)*(((((100.462126109398*(1-I24)*(($D$2-H11)/(J11-H11))*$H$2)*'R&amp;C-Painel de Controle'!$D$53*(1+'R&amp;C-Painel de Controle'!$D$61))+((H16*((J11-$D$2)/(J11-H11))*$H$2)*'R&amp;C-Painel de Controle'!$D$53*(1+'R&amp;C-Painel de Controle'!$D$61)))/1000000)*(0.55+0.45*(1+('R&amp;C-Painel de Controle'!$D$59-5000)/5000))))*F3,"-"))</f>
        <v>-</v>
      </c>
      <c r="J16" s="919">
        <v>0.05</v>
      </c>
      <c r="K16" s="869"/>
      <c r="L16" s="918">
        <f>(IF('R&amp;C-Painel de Controle'!$C$58="Tecnologia Chinesa",150.352325931825*L$22*(1-M24), 150.352325931825*(1-M24)))*F7</f>
        <v>84.573183336651553</v>
      </c>
      <c r="M16" s="846" t="str">
        <f>(IF(M7="SIM",((1-'R&amp;C-Painel de Controle'!$D$58)*(((((100.462126109398*(1-M24)*(($D$2-L11)/(N11-L11))*$H$2)*'R&amp;C-Painel de Controle'!$D$53*(1+'R&amp;C-Painel de Controle'!$D$61))+((L16*((N11-$D$2)/(N11-L11))*$H$2)*'R&amp;C-Painel de Controle'!$D$53*(1+'R&amp;C-Painel de Controle'!$D$61)))/1000000)*(0.55+0.45*(1+('R&amp;C-Painel de Controle'!$D$59-5000)/5000)))+('R&amp;C-Painel de Controle'!$D$58)*(((((100.462126109398*(1-M24)*(($D$2-L11)/(N11-L11))*$H$2)*'R&amp;C-Painel de Controle'!$D$53*(1+'R&amp;C-Painel de Controle'!$D$61))+((L16*((N11-$D$2)/(N11-L11))*$H$2)*'R&amp;C-Painel de Controle'!$D$53*(1+'R&amp;C-Painel de Controle'!$D$61)))/1000000)*(0.55+0.45*(1+('R&amp;C-Painel de Controle'!$D$59-5000)/5000))))*F3,"-"))</f>
        <v>-</v>
      </c>
      <c r="N16" s="919">
        <v>0.05</v>
      </c>
      <c r="O16" s="869"/>
      <c r="P16" s="918">
        <f>(IF('R&amp;C-Painel de Controle'!$C$58="Tecnologia Chinesa",128.593688077638*P$22*(1-Q24), 128.593688077638*(1-Q24)))*F7</f>
        <v>72.333949543671366</v>
      </c>
      <c r="Q16" s="846" t="str">
        <f>(IF(Q7="SIM",((1-'R&amp;C-Painel de Controle'!$D$58)*(((((100.462126109398*(1-Q24)*(($D$2-P11)/(R11-P11))*$H$2)*'R&amp;C-Painel de Controle'!$D$53*(1+'R&amp;C-Painel de Controle'!$D$61))+((P16*((R11-$D$2)/(R11-P11))*$H$2)*'R&amp;C-Painel de Controle'!$D$53*(1+'R&amp;C-Painel de Controle'!$D$61)))/1000000)*(0.55+0.45*(1+('R&amp;C-Painel de Controle'!$D$59-5000)/5000)))+('R&amp;C-Painel de Controle'!$D$58)*(((((100.462126109398*(1-Q24)*(($D$2-P11)/(R11-P11))*$H$2)*'R&amp;C-Painel de Controle'!$D$53*(1+'R&amp;C-Painel de Controle'!$D$61))+((P16*((R11-$D$2)/(R11-P11))*$H$2)*'R&amp;C-Painel de Controle'!$D$53*(1+'R&amp;C-Painel de Controle'!$D$61)))/1000000)*(0.55+0.45*(1+('R&amp;C-Painel de Controle'!$D$59-5000)/5000))))*F3,"-"))</f>
        <v>-</v>
      </c>
      <c r="R16" s="919">
        <v>0.05</v>
      </c>
      <c r="S16" s="993"/>
      <c r="T16" s="918">
        <f>(IF('R&amp;C-Painel de Controle'!$C$58="Tecnologia Chinesa",106.509316350013*T$22*(1-U24), 106.509316350013*(1-U24)))*F7</f>
        <v>59.911490446882304</v>
      </c>
      <c r="U16" s="846" t="str">
        <f>(IF(U7="SIM",((1-'R&amp;C-Painel de Controle'!$D$58)*(((((100.462126109398*(1-U24)*(($D$2-T11)/(V11-T11))*$H$2)*'R&amp;C-Painel de Controle'!$D$53*(1+'R&amp;C-Painel de Controle'!$D$61))+((T16*((V11-$D$2)/(V11-T11))*$H$2)*'R&amp;C-Painel de Controle'!$D$53*(1+'R&amp;C-Painel de Controle'!$D$61)))/1000000)*(0.55+0.45*(1+('R&amp;C-Painel de Controle'!$D$59-5000)/5000)))+('R&amp;C-Painel de Controle'!$D$58)*(((((100.462126109398*(1-U24)*(($D$2-T11)/(V11-T11))*$H$2)*'R&amp;C-Painel de Controle'!$D$53*(1+'R&amp;C-Painel de Controle'!$D$61))+((T16*((V11-$D$2)/(V11-T11))*$H$2)*'R&amp;C-Painel de Controle'!$D$53*(1+'R&amp;C-Painel de Controle'!$D$61)))/1000000)*(0.55+0.45*(1+('R&amp;C-Painel de Controle'!$D$59-5000)/5000))))*F3,"-"))</f>
        <v>-</v>
      </c>
      <c r="V16" s="919">
        <v>0.05</v>
      </c>
      <c r="W16" s="356">
        <v>197.3742696830154</v>
      </c>
      <c r="X16" s="356">
        <v>309.61101840584979</v>
      </c>
      <c r="Y16" s="356">
        <v>417.41699685660871</v>
      </c>
      <c r="Z16" s="356">
        <v>492.55829715531871</v>
      </c>
      <c r="AA16" s="357">
        <v>557.4997509331439</v>
      </c>
      <c r="AB16" s="152"/>
      <c r="AC16" s="152"/>
      <c r="AD16" s="152"/>
      <c r="AE16" s="152"/>
      <c r="AF16" s="152"/>
      <c r="AG16" s="152"/>
      <c r="AH16" s="152"/>
      <c r="AI16" s="152"/>
      <c r="AJ16" s="152"/>
      <c r="AK16" s="152"/>
      <c r="AL16" s="152"/>
      <c r="AM16" s="152"/>
      <c r="AN16" s="152"/>
      <c r="AO16" s="152"/>
      <c r="AP16" s="152"/>
      <c r="AQ16" s="152"/>
      <c r="AR16" s="152"/>
      <c r="AS16" s="152"/>
      <c r="AT16" s="152"/>
      <c r="AU16" s="152"/>
      <c r="AV16" s="152"/>
      <c r="AW16" s="152"/>
      <c r="AX16" s="152"/>
      <c r="AY16" s="152"/>
      <c r="AZ16" s="152"/>
      <c r="BA16" s="152"/>
      <c r="BB16" s="152"/>
      <c r="BC16" s="152"/>
      <c r="BD16" s="152"/>
      <c r="BE16" s="152"/>
      <c r="BF16" s="152"/>
      <c r="BG16" s="152"/>
      <c r="BH16" s="152"/>
      <c r="BI16" s="152"/>
    </row>
    <row r="17" spans="1:61" s="68" customFormat="1" ht="17.649999999999999" customHeight="1" x14ac:dyDescent="0.25">
      <c r="A17" s="433"/>
      <c r="B17" s="913" t="s">
        <v>753</v>
      </c>
      <c r="C17" s="869"/>
      <c r="D17" s="920">
        <f>4*F17</f>
        <v>96000</v>
      </c>
      <c r="E17" s="846">
        <f>(IF(E$7="SIM",('R&amp;C-Painel de Controle'!$D$55+0.25)*D17/1000000,"-"))</f>
        <v>2.4E-2</v>
      </c>
      <c r="F17" s="921">
        <f>240*100</f>
        <v>24000</v>
      </c>
      <c r="G17" s="869"/>
      <c r="H17" s="920">
        <f>2*J17</f>
        <v>93600</v>
      </c>
      <c r="I17" s="846" t="str">
        <f>(IF(I$7="SIM",('R&amp;C-Painel de Controle'!$D$55+0.25)*H17/1000000,"-"))</f>
        <v>-</v>
      </c>
      <c r="J17" s="921">
        <f>360*130</f>
        <v>46800</v>
      </c>
      <c r="K17" s="869"/>
      <c r="L17" s="920">
        <f>2*N17</f>
        <v>108000</v>
      </c>
      <c r="M17" s="846" t="str">
        <f>(IF(M$7="SIM",('R&amp;C-Painel de Controle'!$D$55+0.25)*L17/1000000,"-"))</f>
        <v>-</v>
      </c>
      <c r="N17" s="921">
        <f>360*150</f>
        <v>54000</v>
      </c>
      <c r="O17" s="869"/>
      <c r="P17" s="920">
        <f>2*R17</f>
        <v>156000</v>
      </c>
      <c r="Q17" s="846" t="str">
        <f>(IF(Q$7="SIM",('R&amp;C-Painel de Controle'!$D$55+0.25)*P17/1000000,"-"))</f>
        <v>-</v>
      </c>
      <c r="R17" s="921">
        <f>N17+F17</f>
        <v>78000</v>
      </c>
      <c r="S17" s="869"/>
      <c r="T17" s="920">
        <f>2*V17</f>
        <v>201600</v>
      </c>
      <c r="U17" s="846" t="str">
        <f>(IF(U$7="SIM",('R&amp;C-Painel de Controle'!$D$55+0.25)*T17/1000000,"-"))</f>
        <v>-</v>
      </c>
      <c r="V17" s="921">
        <f>N17+J17</f>
        <v>100800</v>
      </c>
      <c r="W17" s="356">
        <v>9.6</v>
      </c>
      <c r="X17" s="356">
        <v>9.36</v>
      </c>
      <c r="Y17" s="356">
        <v>10.8</v>
      </c>
      <c r="Z17" s="356">
        <v>15.6</v>
      </c>
      <c r="AA17" s="357">
        <v>20.16</v>
      </c>
      <c r="AB17" s="152"/>
      <c r="AC17" s="152"/>
      <c r="AD17" s="152"/>
      <c r="AE17" s="152"/>
      <c r="AF17" s="152"/>
      <c r="AG17" s="152"/>
      <c r="AH17" s="152"/>
      <c r="AI17" s="152"/>
      <c r="AJ17" s="152"/>
      <c r="AK17" s="152"/>
      <c r="AL17" s="152"/>
      <c r="AM17" s="152"/>
      <c r="AN17" s="152"/>
      <c r="AO17" s="152"/>
      <c r="AP17" s="152"/>
      <c r="AQ17" s="152"/>
      <c r="AR17" s="152"/>
      <c r="AS17" s="152"/>
      <c r="AT17" s="152"/>
      <c r="AU17" s="152"/>
      <c r="AV17" s="152"/>
      <c r="AW17" s="152"/>
      <c r="AX17" s="152"/>
      <c r="AY17" s="152"/>
      <c r="AZ17" s="152"/>
      <c r="BA17" s="152"/>
      <c r="BB17" s="152"/>
      <c r="BC17" s="152"/>
      <c r="BD17" s="152"/>
      <c r="BE17" s="152"/>
      <c r="BF17" s="152"/>
      <c r="BG17" s="152"/>
      <c r="BH17" s="152"/>
      <c r="BI17" s="152"/>
    </row>
    <row r="18" spans="1:61" s="68" customFormat="1" ht="17.649999999999999" customHeight="1" x14ac:dyDescent="0.25">
      <c r="A18" s="433"/>
      <c r="B18" s="913" t="s">
        <v>438</v>
      </c>
      <c r="C18" s="869"/>
      <c r="D18" s="1076">
        <f>IF(E7="SIM",(E15+E16)*F18*1000/$H$2,"-")</f>
        <v>9.0454688455707893E-2</v>
      </c>
      <c r="E18" s="846">
        <f>(IF(E$7="SIM",$H$2*D18/1000,""))</f>
        <v>2.0707027549931376</v>
      </c>
      <c r="F18" s="917">
        <v>2.5000000000000001E-2</v>
      </c>
      <c r="G18" s="869"/>
      <c r="H18" s="1076" t="str">
        <f>IF(I7="SIM",(I15+I16)*J18*1000/$H$2,"-")</f>
        <v>-</v>
      </c>
      <c r="I18" s="846" t="str">
        <f>(IF(I$7="SIM",$H$2*H18/1000,""))</f>
        <v/>
      </c>
      <c r="J18" s="917">
        <v>0.02</v>
      </c>
      <c r="K18" s="869"/>
      <c r="L18" s="1076" t="str">
        <f>IF(M7="SIM",(M15+M16)*N18*1000/$H$2,"-")</f>
        <v>-</v>
      </c>
      <c r="M18" s="846" t="str">
        <f>(IF(M$7="SIM",$H$2*L18/1000,""))</f>
        <v/>
      </c>
      <c r="N18" s="917">
        <v>1.4999999999999999E-2</v>
      </c>
      <c r="O18" s="869"/>
      <c r="P18" s="1076" t="str">
        <f>IF(Q7="SIM",(Q15+Q16)*R18*1000/$H$2,"-")</f>
        <v>-</v>
      </c>
      <c r="Q18" s="846" t="str">
        <f>(IF(Q$7="SIM",$H$2*P18/1000,""))</f>
        <v/>
      </c>
      <c r="R18" s="917">
        <v>1.4999999999999999E-2</v>
      </c>
      <c r="S18" s="869"/>
      <c r="T18" s="1076" t="str">
        <f>IF(U7="SIM",(U15+U16)*V18*1000/$H$2,"-")</f>
        <v>-</v>
      </c>
      <c r="U18" s="846" t="str">
        <f>(IF(U$7="SIM",$H$2*T18/1000,""))</f>
        <v/>
      </c>
      <c r="V18" s="917">
        <v>1.4999999999999999E-2</v>
      </c>
      <c r="W18" s="356">
        <v>25.589490328676547</v>
      </c>
      <c r="X18" s="356">
        <v>27.265002457600463</v>
      </c>
      <c r="Y18" s="356">
        <v>40.844343455647284</v>
      </c>
      <c r="Z18" s="356">
        <v>53.167776149549148</v>
      </c>
      <c r="AA18" s="357">
        <v>64.440412387272076</v>
      </c>
      <c r="AB18" s="152"/>
      <c r="AC18" s="152"/>
      <c r="AD18" s="152"/>
      <c r="AE18" s="152"/>
      <c r="AF18" s="152"/>
      <c r="AG18" s="152"/>
      <c r="AH18" s="152"/>
      <c r="AI18" s="152"/>
      <c r="AJ18" s="152"/>
      <c r="AK18" s="152"/>
      <c r="AL18" s="152"/>
      <c r="AM18" s="152"/>
      <c r="AN18" s="152"/>
      <c r="AO18" s="152"/>
      <c r="AP18" s="152"/>
      <c r="AQ18" s="152"/>
      <c r="AR18" s="152"/>
      <c r="AS18" s="152"/>
      <c r="AT18" s="152"/>
      <c r="AU18" s="152"/>
      <c r="AV18" s="152"/>
      <c r="AW18" s="152"/>
      <c r="AX18" s="152"/>
      <c r="AY18" s="152"/>
      <c r="AZ18" s="152"/>
      <c r="BA18" s="152"/>
      <c r="BB18" s="152"/>
      <c r="BC18" s="152"/>
      <c r="BD18" s="152"/>
      <c r="BE18" s="152"/>
      <c r="BF18" s="152"/>
      <c r="BG18" s="152"/>
      <c r="BH18" s="152"/>
      <c r="BI18" s="152"/>
    </row>
    <row r="19" spans="1:61" s="882" customFormat="1" ht="19.899999999999999" customHeight="1" collapsed="1" thickBot="1" x14ac:dyDescent="0.35">
      <c r="A19" s="879"/>
      <c r="B19" s="914" t="s">
        <v>377</v>
      </c>
      <c r="C19" s="904"/>
      <c r="D19" s="1052">
        <v>0.05</v>
      </c>
      <c r="E19" s="922">
        <f>IF(E7="SIM",SUM(E15:E18)*(1+D19),"-")</f>
        <v>89.168953602454579</v>
      </c>
      <c r="F19" s="1103">
        <f>IF(E7="SIM",(E16)/E19,"-")</f>
        <v>0.18873698695019631</v>
      </c>
      <c r="G19" s="904"/>
      <c r="H19" s="1052">
        <v>0.05</v>
      </c>
      <c r="I19" s="922" t="str">
        <f>IF(I7="SIM",SUM(I15:I18)*(1+H19),"-")</f>
        <v>-</v>
      </c>
      <c r="J19" s="1103" t="str">
        <f>IF(I7="SIM",(I16)/I19,"-")</f>
        <v>-</v>
      </c>
      <c r="K19" s="904"/>
      <c r="L19" s="1052">
        <v>0.05</v>
      </c>
      <c r="M19" s="922" t="str">
        <f>IF(M7="SIM",SUM(M15:M18)*(1+L19),"-")</f>
        <v>-</v>
      </c>
      <c r="N19" s="1103" t="str">
        <f>IF(M7="SIM",(M16)/M19,"-")</f>
        <v>-</v>
      </c>
      <c r="O19" s="904"/>
      <c r="P19" s="1050">
        <v>0.05</v>
      </c>
      <c r="Q19" s="922" t="str">
        <f>IF(Q7="SIM",SUM(Q15:Q18)*(1+P19),"-")</f>
        <v>-</v>
      </c>
      <c r="R19" s="1103" t="str">
        <f>IF(Q7="SIM",(Q16)/Q19,"-")</f>
        <v>-</v>
      </c>
      <c r="S19" s="904"/>
      <c r="T19" s="1050">
        <v>0.05</v>
      </c>
      <c r="U19" s="922" t="str">
        <f>IF(U7="SIM",SUM(U15:U18)*(1+T19),"-")</f>
        <v>-</v>
      </c>
      <c r="V19" s="1103" t="str">
        <f>IF(U7="SIM",(U16)/U19,"-")</f>
        <v>-</v>
      </c>
      <c r="W19" s="1130">
        <v>1111.7075586495253</v>
      </c>
      <c r="X19" s="1130">
        <v>1947.006424612513</v>
      </c>
      <c r="Y19" s="1130">
        <v>2913.3306025237403</v>
      </c>
      <c r="Z19" s="1130">
        <v>3793.9504954254671</v>
      </c>
      <c r="AA19" s="1131">
        <v>4599.6593001156816</v>
      </c>
      <c r="AB19" s="881"/>
      <c r="AC19" s="881"/>
      <c r="AD19" s="881"/>
      <c r="AE19" s="881"/>
      <c r="AF19" s="881"/>
      <c r="AG19" s="881"/>
      <c r="AH19" s="881"/>
      <c r="AI19" s="881"/>
      <c r="AJ19" s="881"/>
      <c r="AK19" s="881"/>
      <c r="AL19" s="881"/>
      <c r="AM19" s="881"/>
      <c r="AN19" s="881"/>
      <c r="AO19" s="881"/>
      <c r="AP19" s="881"/>
      <c r="AQ19" s="881"/>
      <c r="AR19" s="881"/>
      <c r="AS19" s="881"/>
      <c r="AT19" s="881"/>
      <c r="AU19" s="881"/>
      <c r="AV19" s="881"/>
      <c r="AW19" s="881"/>
      <c r="AX19" s="881"/>
      <c r="AY19" s="881"/>
      <c r="AZ19" s="881"/>
      <c r="BA19" s="881"/>
      <c r="BB19" s="881"/>
      <c r="BC19" s="881"/>
      <c r="BD19" s="881"/>
      <c r="BE19" s="881"/>
      <c r="BF19" s="881"/>
      <c r="BG19" s="881"/>
      <c r="BH19" s="881"/>
      <c r="BI19" s="881"/>
    </row>
    <row r="20" spans="1:61" s="68" customFormat="1" ht="16.899999999999999" hidden="1" customHeight="1" outlineLevel="1" thickTop="1" x14ac:dyDescent="0.25">
      <c r="A20" s="433"/>
      <c r="B20" s="760" t="s">
        <v>378</v>
      </c>
      <c r="C20" s="756"/>
      <c r="D20" s="306" t="s">
        <v>289</v>
      </c>
      <c r="E20" s="304">
        <f>IF(E7="SIM",E19*1000000/$H$2,"-")</f>
        <v>3895.175151808899</v>
      </c>
      <c r="F20" s="306">
        <f>F17/F11</f>
        <v>24</v>
      </c>
      <c r="G20" s="756"/>
      <c r="H20" s="344"/>
      <c r="I20" s="304" t="str">
        <f>IF(I7="SIM",I19*1000000/$H$2,"-")</f>
        <v>-</v>
      </c>
      <c r="J20" s="306">
        <f>J17/J11</f>
        <v>23.4</v>
      </c>
      <c r="K20" s="756"/>
      <c r="L20" s="344"/>
      <c r="M20" s="304" t="str">
        <f>IF(M7="SIM",M19*1000000/$H$2,"-")</f>
        <v>-</v>
      </c>
      <c r="N20" s="306">
        <f>N17/N11</f>
        <v>18</v>
      </c>
      <c r="O20" s="756"/>
      <c r="P20" s="344"/>
      <c r="Q20" s="304" t="str">
        <f>IF(Q7="SIM",Q19*1000000/$H$2,"-")</f>
        <v>-</v>
      </c>
      <c r="R20" s="306">
        <f>R17/R11</f>
        <v>19.5</v>
      </c>
      <c r="S20" s="756"/>
      <c r="T20" s="344"/>
      <c r="U20" s="304" t="str">
        <f>IF(U7="SIM",U19*1000000/$H$2,"-")</f>
        <v>-</v>
      </c>
      <c r="V20" s="306">
        <f>V17/V11</f>
        <v>20.16</v>
      </c>
      <c r="W20" s="356">
        <v>4737.8436382508635</v>
      </c>
      <c r="X20" s="356">
        <v>4147.9132032842199</v>
      </c>
      <c r="Y20" s="356">
        <v>3723.60963333072</v>
      </c>
      <c r="Z20" s="356">
        <v>3463.5480767053346</v>
      </c>
      <c r="AA20" s="357">
        <v>3265.8891101087656</v>
      </c>
      <c r="AB20" s="152"/>
      <c r="AC20" s="152"/>
      <c r="AD20" s="152"/>
      <c r="AE20" s="152"/>
      <c r="AF20" s="152"/>
      <c r="AG20" s="152"/>
      <c r="AH20" s="152"/>
      <c r="AI20" s="152"/>
      <c r="AJ20" s="152"/>
      <c r="AK20" s="152"/>
      <c r="AL20" s="152"/>
      <c r="AM20" s="152"/>
      <c r="AN20" s="152"/>
      <c r="AO20" s="152"/>
      <c r="AP20" s="152"/>
      <c r="AQ20" s="152"/>
      <c r="AR20" s="152"/>
      <c r="AS20" s="152"/>
      <c r="AT20" s="152"/>
      <c r="AU20" s="152"/>
      <c r="AV20" s="152"/>
      <c r="AW20" s="152"/>
      <c r="AX20" s="152"/>
      <c r="AY20" s="152"/>
      <c r="AZ20" s="152"/>
      <c r="BA20" s="152"/>
      <c r="BB20" s="152"/>
      <c r="BC20" s="152"/>
      <c r="BD20" s="152"/>
      <c r="BE20" s="152"/>
      <c r="BF20" s="152"/>
      <c r="BG20" s="152"/>
      <c r="BH20" s="152"/>
      <c r="BI20" s="152"/>
    </row>
    <row r="21" spans="1:61" s="68" customFormat="1" ht="16.899999999999999" hidden="1" customHeight="1" outlineLevel="1" x14ac:dyDescent="0.25">
      <c r="A21" s="433"/>
      <c r="B21" s="760" t="s">
        <v>639</v>
      </c>
      <c r="C21" s="756"/>
      <c r="D21" s="346"/>
      <c r="E21" s="346">
        <f>'R&amp;C-Painel de Controle'!$D$58*'R&amp;C-Painel de Controle'!$G$71+(1-'R&amp;C-Painel de Controle'!$D$58)*('R&amp;C-Painel de Controle'!$G$71)*(1+20%)</f>
        <v>0.26750000000000002</v>
      </c>
      <c r="F21" s="306"/>
      <c r="G21" s="758"/>
      <c r="H21" s="346"/>
      <c r="I21" s="346">
        <f>'R&amp;C-Painel de Controle'!$D$58*'R&amp;C-Painel de Controle'!$G$71+(1-'R&amp;C-Painel de Controle'!$D$58)*('R&amp;C-Painel de Controle'!$G$71)*(1+20%)</f>
        <v>0.26750000000000002</v>
      </c>
      <c r="J21" s="306"/>
      <c r="K21" s="758"/>
      <c r="L21" s="346"/>
      <c r="M21" s="346">
        <f>'R&amp;C-Painel de Controle'!$D$58*'R&amp;C-Painel de Controle'!$G$71+(1-'R&amp;C-Painel de Controle'!$D$58)*('R&amp;C-Painel de Controle'!$G$71)*(1+20%)</f>
        <v>0.26750000000000002</v>
      </c>
      <c r="N21" s="306"/>
      <c r="O21" s="758"/>
      <c r="P21" s="346"/>
      <c r="Q21" s="346">
        <f>'R&amp;C-Painel de Controle'!$D$58*'R&amp;C-Painel de Controle'!$G$71+(1-'R&amp;C-Painel de Controle'!$D$58)*('R&amp;C-Painel de Controle'!$G$71)*(1+20%)</f>
        <v>0.26750000000000002</v>
      </c>
      <c r="R21" s="306"/>
      <c r="S21" s="758"/>
      <c r="T21" s="346"/>
      <c r="U21" s="346">
        <f>'R&amp;C-Painel de Controle'!$D$58*'R&amp;C-Painel de Controle'!$G$71+(1-'R&amp;C-Painel de Controle'!$D$58)*('R&amp;C-Painel de Controle'!$G$71)*(1+20%)</f>
        <v>0.26750000000000002</v>
      </c>
      <c r="V21" s="344"/>
      <c r="W21" s="355"/>
      <c r="X21" s="358">
        <f>(X20-W20)/W20</f>
        <v>-0.12451454290383389</v>
      </c>
      <c r="Y21" s="358">
        <f>(Y20-X20)/X20</f>
        <v>-0.10229326149292282</v>
      </c>
      <c r="Z21" s="359">
        <f>(Z20-Y20)/Y20</f>
        <v>-6.9841251429131099E-2</v>
      </c>
      <c r="AA21" s="358">
        <f>(AA20-Z20)/Z20</f>
        <v>-5.7068347896181086E-2</v>
      </c>
      <c r="AB21" s="152"/>
      <c r="AC21" s="152"/>
      <c r="AD21" s="152"/>
      <c r="AE21" s="152"/>
      <c r="AF21" s="152"/>
      <c r="AG21" s="152"/>
      <c r="AH21" s="152"/>
      <c r="AI21" s="152"/>
      <c r="AJ21" s="152"/>
      <c r="AK21" s="152"/>
      <c r="AL21" s="152"/>
      <c r="AM21" s="152"/>
      <c r="AN21" s="152"/>
      <c r="AO21" s="152"/>
      <c r="AP21" s="152"/>
      <c r="AQ21" s="152"/>
      <c r="AR21" s="152"/>
      <c r="AS21" s="152"/>
      <c r="AT21" s="152"/>
      <c r="AU21" s="152"/>
      <c r="AV21" s="152"/>
      <c r="AW21" s="152"/>
      <c r="AX21" s="152"/>
      <c r="AY21" s="152"/>
      <c r="AZ21" s="152"/>
      <c r="BA21" s="152"/>
      <c r="BB21" s="152"/>
      <c r="BC21" s="152"/>
      <c r="BD21" s="152"/>
      <c r="BE21" s="152"/>
      <c r="BF21" s="152"/>
      <c r="BG21" s="152"/>
      <c r="BH21" s="152"/>
      <c r="BI21" s="152"/>
    </row>
    <row r="22" spans="1:61" s="68" customFormat="1" ht="16.899999999999999" hidden="1" customHeight="1" outlineLevel="1" x14ac:dyDescent="0.25">
      <c r="A22" s="433"/>
      <c r="B22" s="760" t="s">
        <v>654</v>
      </c>
      <c r="C22" s="756"/>
      <c r="D22" s="346">
        <v>0.37</v>
      </c>
      <c r="E22" s="349">
        <f>IF(E7="SIM",$D$2*313/(8000*E23),"-")</f>
        <v>0.14307596919140622</v>
      </c>
      <c r="F22" s="344"/>
      <c r="G22" s="756"/>
      <c r="H22" s="346">
        <v>0.45</v>
      </c>
      <c r="I22" s="349" t="str">
        <f>IF(I7="SIM",$D$2*313/(8000*I23),"-")</f>
        <v>-</v>
      </c>
      <c r="J22" s="344"/>
      <c r="K22" s="756"/>
      <c r="L22" s="346">
        <v>0.51</v>
      </c>
      <c r="M22" s="349" t="str">
        <f>IF(M7="SIM",$D$2*313/(8000*M23),"-")</f>
        <v>-</v>
      </c>
      <c r="N22" s="344"/>
      <c r="O22" s="756"/>
      <c r="P22" s="346">
        <v>0.56000000000000005</v>
      </c>
      <c r="Q22" s="349" t="str">
        <f>IF(Q7="SIM",$D$2*313/(8000*Q23),"-")</f>
        <v>-</v>
      </c>
      <c r="R22" s="344"/>
      <c r="S22" s="756"/>
      <c r="T22" s="346">
        <v>0.65</v>
      </c>
      <c r="U22" s="349" t="str">
        <f>IF(U7="SIM",$D$2*313/(8000*U23),"-")</f>
        <v>-</v>
      </c>
      <c r="V22" s="344"/>
      <c r="W22" s="355"/>
      <c r="X22" s="360"/>
      <c r="Y22" s="361"/>
      <c r="Z22" s="361"/>
      <c r="AA22" s="362"/>
      <c r="AB22" s="152"/>
      <c r="AC22" s="152"/>
      <c r="AD22" s="152"/>
      <c r="AE22" s="152"/>
      <c r="AF22" s="152"/>
      <c r="AG22" s="152"/>
      <c r="AH22" s="152"/>
      <c r="AI22" s="152"/>
      <c r="AJ22" s="152"/>
      <c r="AK22" s="152"/>
      <c r="AL22" s="152"/>
      <c r="AM22" s="152"/>
      <c r="AN22" s="152"/>
      <c r="AO22" s="152"/>
      <c r="AP22" s="152"/>
      <c r="AQ22" s="152"/>
      <c r="AR22" s="152"/>
      <c r="AS22" s="152"/>
      <c r="AT22" s="152"/>
      <c r="AU22" s="152"/>
      <c r="AV22" s="152"/>
      <c r="AW22" s="152"/>
      <c r="AX22" s="152"/>
      <c r="AY22" s="152"/>
      <c r="AZ22" s="152"/>
      <c r="BA22" s="152"/>
      <c r="BB22" s="152"/>
      <c r="BC22" s="152"/>
      <c r="BD22" s="152"/>
      <c r="BE22" s="152"/>
      <c r="BF22" s="152"/>
      <c r="BG22" s="152"/>
      <c r="BH22" s="152"/>
      <c r="BI22" s="152"/>
    </row>
    <row r="23" spans="1:61" s="68" customFormat="1" ht="16.899999999999999" hidden="1" customHeight="1" outlineLevel="1" x14ac:dyDescent="0.25">
      <c r="A23" s="433"/>
      <c r="B23" s="760" t="s">
        <v>400</v>
      </c>
      <c r="C23" s="756"/>
      <c r="D23" s="306"/>
      <c r="E23" s="306">
        <v>20</v>
      </c>
      <c r="F23" s="306"/>
      <c r="G23" s="758"/>
      <c r="H23" s="306"/>
      <c r="I23" s="306">
        <v>20</v>
      </c>
      <c r="J23" s="306"/>
      <c r="K23" s="758"/>
      <c r="L23" s="306"/>
      <c r="M23" s="306">
        <v>20</v>
      </c>
      <c r="N23" s="306"/>
      <c r="O23" s="758"/>
      <c r="P23" s="306"/>
      <c r="Q23" s="306">
        <v>20</v>
      </c>
      <c r="R23" s="306"/>
      <c r="S23" s="758"/>
      <c r="T23" s="306"/>
      <c r="U23" s="306">
        <v>20</v>
      </c>
      <c r="V23" s="306"/>
      <c r="W23" s="315">
        <v>2</v>
      </c>
      <c r="X23" s="315">
        <v>2</v>
      </c>
      <c r="Y23" s="170">
        <v>2.9</v>
      </c>
      <c r="Z23" s="170">
        <v>3.9</v>
      </c>
      <c r="AA23" s="170">
        <v>3.9</v>
      </c>
      <c r="AB23" s="152"/>
      <c r="AC23" s="152"/>
      <c r="AD23" s="152"/>
      <c r="AE23" s="152"/>
      <c r="AF23" s="152"/>
      <c r="AG23" s="152"/>
      <c r="AH23" s="152"/>
      <c r="AI23" s="152"/>
      <c r="AJ23" s="152"/>
      <c r="AK23" s="152"/>
      <c r="AL23" s="152"/>
      <c r="AM23" s="152"/>
      <c r="AN23" s="152"/>
      <c r="AO23" s="152"/>
      <c r="AP23" s="152"/>
      <c r="AQ23" s="152"/>
      <c r="AR23" s="152"/>
      <c r="AS23" s="152"/>
      <c r="AT23" s="152"/>
      <c r="AU23" s="152"/>
      <c r="AV23" s="152"/>
      <c r="AW23" s="152"/>
      <c r="AX23" s="152"/>
      <c r="AY23" s="152"/>
      <c r="AZ23" s="152"/>
      <c r="BA23" s="152"/>
      <c r="BB23" s="152"/>
      <c r="BC23" s="152"/>
      <c r="BD23" s="152"/>
      <c r="BE23" s="152"/>
      <c r="BF23" s="152"/>
      <c r="BG23" s="152"/>
      <c r="BH23" s="152"/>
      <c r="BI23" s="152"/>
    </row>
    <row r="24" spans="1:61" s="68" customFormat="1" ht="16.899999999999999" hidden="1" customHeight="1" outlineLevel="1" x14ac:dyDescent="0.25">
      <c r="A24" s="433"/>
      <c r="B24" s="760" t="s">
        <v>395</v>
      </c>
      <c r="C24" s="756"/>
      <c r="D24" s="346"/>
      <c r="E24" s="346">
        <f>(15%/75%)*125%</f>
        <v>0.24999999999999997</v>
      </c>
      <c r="F24" s="346"/>
      <c r="G24" s="758"/>
      <c r="H24" s="346"/>
      <c r="I24" s="346">
        <f>(15%/75%)*125%</f>
        <v>0.24999999999999997</v>
      </c>
      <c r="J24" s="346"/>
      <c r="K24" s="758"/>
      <c r="L24" s="346"/>
      <c r="M24" s="346">
        <f>(15%/75%)*125%</f>
        <v>0.24999999999999997</v>
      </c>
      <c r="N24" s="346"/>
      <c r="O24" s="758"/>
      <c r="P24" s="346"/>
      <c r="Q24" s="346">
        <f>(15%/75%)*125%</f>
        <v>0.24999999999999997</v>
      </c>
      <c r="R24" s="346"/>
      <c r="S24" s="758"/>
      <c r="T24" s="346"/>
      <c r="U24" s="346">
        <f>(15%/75%)*125%</f>
        <v>0.24999999999999997</v>
      </c>
      <c r="V24" s="346"/>
      <c r="W24" s="363">
        <f>(W20-W38)/W20</f>
        <v>0.60985215098840428</v>
      </c>
      <c r="X24" s="363">
        <f>(X20-X38)/X20</f>
        <v>0.5425809192877038</v>
      </c>
      <c r="Y24" s="363">
        <f>(Y20-Y38)/Y20</f>
        <v>0.49094786613501212</v>
      </c>
      <c r="Z24" s="363">
        <f>(Z20-Z38)/Z20</f>
        <v>0.43100388095406283</v>
      </c>
      <c r="AA24" s="363">
        <f>(AA20-AA38)/AA20</f>
        <v>0.36597158146305414</v>
      </c>
      <c r="AB24" s="152"/>
      <c r="AC24" s="152"/>
      <c r="AD24" s="152"/>
      <c r="AE24" s="152"/>
      <c r="AF24" s="152"/>
      <c r="AG24" s="152"/>
      <c r="AH24" s="152"/>
      <c r="AI24" s="152"/>
      <c r="AJ24" s="152"/>
      <c r="AK24" s="152"/>
      <c r="AL24" s="152"/>
      <c r="AM24" s="152"/>
      <c r="AN24" s="152"/>
      <c r="AO24" s="152"/>
      <c r="AP24" s="152"/>
      <c r="AQ24" s="152"/>
      <c r="AR24" s="152"/>
      <c r="AS24" s="152"/>
      <c r="AT24" s="152"/>
      <c r="AU24" s="152"/>
      <c r="AV24" s="152"/>
      <c r="AW24" s="152"/>
      <c r="AX24" s="152"/>
      <c r="AY24" s="152"/>
      <c r="AZ24" s="152"/>
      <c r="BA24" s="152"/>
      <c r="BB24" s="152"/>
      <c r="BC24" s="152"/>
      <c r="BD24" s="152"/>
      <c r="BE24" s="152"/>
      <c r="BF24" s="152"/>
      <c r="BG24" s="152"/>
      <c r="BH24" s="152"/>
      <c r="BI24" s="152"/>
    </row>
    <row r="25" spans="1:61" s="68" customFormat="1" ht="16.899999999999999" hidden="1" customHeight="1" outlineLevel="1" x14ac:dyDescent="0.25">
      <c r="A25" s="433"/>
      <c r="B25" s="760" t="s">
        <v>435</v>
      </c>
      <c r="C25" s="758"/>
      <c r="D25" s="346"/>
      <c r="E25" s="348">
        <f>IF(E7="SIM",'R&amp;C-Painel de Controle'!$D$58*(E15*F15+E16*F16)/4+(1-'R&amp;C-Painel de Controle'!$D$58)*(E15*F15*1.25+E16*F16)/4,"-")</f>
        <v>2.9018751482279193</v>
      </c>
      <c r="F25" s="306"/>
      <c r="G25" s="758"/>
      <c r="H25" s="306"/>
      <c r="I25" s="348" t="str">
        <f>IF(I7="SIM",'R&amp;C-Painel de Controle'!$D$58*(I15*J15+I16*J16)/4+(1-'R&amp;C-Painel de Controle'!$D$58)*(I15*J15*1.25+I16*J16)/4,"-")</f>
        <v>-</v>
      </c>
      <c r="J25" s="306"/>
      <c r="K25" s="758"/>
      <c r="L25" s="306"/>
      <c r="M25" s="348" t="str">
        <f>IF(M7="SIM",'R&amp;C-Painel de Controle'!$D$58*(M15*N15+M16*N16)/4+(1-'R&amp;C-Painel de Controle'!$D$58)*(M15*N15*1.25+M16*N16)/4,"-")</f>
        <v>-</v>
      </c>
      <c r="N25" s="306"/>
      <c r="O25" s="758"/>
      <c r="P25" s="306"/>
      <c r="Q25" s="348" t="str">
        <f>IF(Q7="SIM",'R&amp;C-Painel de Controle'!$D$58*(Q15*R15+Q16*R16)/4+(1-'R&amp;C-Painel de Controle'!$D$58)*(Q15*R15*1.25+Q16*R16)/4,"-")</f>
        <v>-</v>
      </c>
      <c r="R25" s="306"/>
      <c r="S25" s="758"/>
      <c r="T25" s="306"/>
      <c r="U25" s="348" t="str">
        <f>IF(U7="SIM",'R&amp;C-Painel de Controle'!$D$58*(U15*V15+U16*V16)/4+(1-'R&amp;C-Painel de Controle'!$D$58)*(U15*V15*1.25+U16*V16)/4,"-")</f>
        <v>-</v>
      </c>
      <c r="V25" s="344"/>
      <c r="W25" s="312">
        <f>(W15-W33)/W15</f>
        <v>0.62039253661454907</v>
      </c>
      <c r="X25" s="312">
        <f>(X15-X33)/X15</f>
        <v>0.55508853153171733</v>
      </c>
      <c r="Y25" s="312">
        <f>(Y15-Y33)/Y15</f>
        <v>0.50339882563573612</v>
      </c>
      <c r="Z25" s="312">
        <f>(Z15-Z33)/Z15</f>
        <v>0.43829800570445404</v>
      </c>
      <c r="AA25" s="312">
        <f>(AA15-AA33)/AA15</f>
        <v>0.39561403508771931</v>
      </c>
      <c r="AB25" s="152"/>
      <c r="AC25" s="152"/>
      <c r="AD25" s="152"/>
      <c r="AE25" s="152"/>
      <c r="AF25" s="152"/>
      <c r="AG25" s="152"/>
      <c r="AH25" s="152"/>
      <c r="AI25" s="152"/>
      <c r="AJ25" s="152"/>
      <c r="AK25" s="152"/>
      <c r="AL25" s="152"/>
      <c r="AM25" s="152"/>
      <c r="AN25" s="152"/>
      <c r="AO25" s="152"/>
      <c r="AP25" s="152"/>
      <c r="AQ25" s="152"/>
      <c r="AR25" s="152"/>
      <c r="AS25" s="152"/>
      <c r="AT25" s="152"/>
      <c r="AU25" s="152"/>
      <c r="AV25" s="152"/>
      <c r="AW25" s="152"/>
      <c r="AX25" s="152"/>
      <c r="AY25" s="152"/>
      <c r="AZ25" s="152"/>
      <c r="BA25" s="152"/>
      <c r="BB25" s="152"/>
      <c r="BC25" s="152"/>
      <c r="BD25" s="152"/>
      <c r="BE25" s="152"/>
      <c r="BF25" s="152"/>
      <c r="BG25" s="152"/>
      <c r="BH25" s="152"/>
      <c r="BI25" s="152"/>
    </row>
    <row r="26" spans="1:61" s="68" customFormat="1" ht="15" customHeight="1" thickTop="1" thickBot="1" x14ac:dyDescent="0.3">
      <c r="A26" s="433"/>
      <c r="B26" s="343"/>
      <c r="C26" s="756"/>
      <c r="D26" s="344"/>
      <c r="E26" s="344"/>
      <c r="F26" s="344"/>
      <c r="G26" s="756"/>
      <c r="H26" s="344"/>
      <c r="I26" s="344"/>
      <c r="J26" s="344"/>
      <c r="K26" s="756"/>
      <c r="L26" s="344"/>
      <c r="M26" s="344"/>
      <c r="N26" s="344"/>
      <c r="O26" s="756"/>
      <c r="P26" s="344"/>
      <c r="Q26" s="344"/>
      <c r="R26" s="344"/>
      <c r="S26" s="756"/>
      <c r="T26" s="344"/>
      <c r="U26" s="344"/>
      <c r="V26" s="344"/>
      <c r="W26" s="355"/>
      <c r="X26" s="355"/>
      <c r="Y26" s="355"/>
      <c r="Z26" s="355"/>
      <c r="AA26" s="355"/>
      <c r="AB26" s="152"/>
      <c r="AC26" s="152"/>
      <c r="AD26" s="152"/>
      <c r="AE26" s="152"/>
      <c r="AF26" s="152"/>
      <c r="AG26" s="152"/>
      <c r="AH26" s="152"/>
      <c r="AI26" s="152"/>
      <c r="AJ26" s="152"/>
      <c r="AK26" s="152"/>
      <c r="AL26" s="152"/>
      <c r="AM26" s="152"/>
      <c r="AN26" s="152"/>
      <c r="AO26" s="152"/>
      <c r="AP26" s="152"/>
      <c r="AQ26" s="152"/>
      <c r="AR26" s="152"/>
      <c r="AS26" s="152"/>
      <c r="AT26" s="152"/>
      <c r="AU26" s="152"/>
      <c r="AV26" s="152"/>
      <c r="AW26" s="152"/>
      <c r="AX26" s="152"/>
      <c r="AY26" s="152"/>
      <c r="AZ26" s="152"/>
      <c r="BA26" s="152"/>
      <c r="BB26" s="152"/>
      <c r="BC26" s="152"/>
      <c r="BD26" s="152"/>
      <c r="BE26" s="152"/>
      <c r="BF26" s="152"/>
      <c r="BG26" s="152"/>
      <c r="BH26" s="152"/>
      <c r="BI26" s="152"/>
    </row>
    <row r="27" spans="1:61" s="1121" customFormat="1" ht="19.899999999999999" customHeight="1" thickTop="1" thickBot="1" x14ac:dyDescent="0.35">
      <c r="A27" s="1123"/>
      <c r="B27" s="1085" t="s">
        <v>379</v>
      </c>
      <c r="C27" s="901"/>
      <c r="D27" s="982" t="s">
        <v>772</v>
      </c>
      <c r="E27" s="983" t="s">
        <v>763</v>
      </c>
      <c r="F27" s="984" t="s">
        <v>773</v>
      </c>
      <c r="G27" s="403"/>
      <c r="H27" s="985" t="s">
        <v>772</v>
      </c>
      <c r="I27" s="986" t="s">
        <v>763</v>
      </c>
      <c r="J27" s="987" t="s">
        <v>773</v>
      </c>
      <c r="K27" s="403"/>
      <c r="L27" s="985" t="s">
        <v>772</v>
      </c>
      <c r="M27" s="986" t="s">
        <v>763</v>
      </c>
      <c r="N27" s="987" t="s">
        <v>773</v>
      </c>
      <c r="O27" s="403"/>
      <c r="P27" s="985" t="s">
        <v>772</v>
      </c>
      <c r="Q27" s="986" t="s">
        <v>763</v>
      </c>
      <c r="R27" s="987" t="s">
        <v>773</v>
      </c>
      <c r="S27" s="403"/>
      <c r="T27" s="985" t="s">
        <v>772</v>
      </c>
      <c r="U27" s="986" t="s">
        <v>763</v>
      </c>
      <c r="V27" s="987" t="s">
        <v>773</v>
      </c>
      <c r="W27" s="1124">
        <f>(W20-W38)/W20</f>
        <v>0.60985215098840428</v>
      </c>
      <c r="X27" s="1124">
        <f>(X20-X38)/X20</f>
        <v>0.5425809192877038</v>
      </c>
      <c r="Y27" s="1124">
        <f>(Y20-Y38)/Y20</f>
        <v>0.49094786613501212</v>
      </c>
      <c r="Z27" s="1124">
        <f>(Z20-Z38)/Z20</f>
        <v>0.43100388095406283</v>
      </c>
      <c r="AA27" s="1124">
        <f>(AA20-AA38)/AA20</f>
        <v>0.36597158146305414</v>
      </c>
      <c r="AB27" s="1125"/>
      <c r="AC27" s="1125"/>
      <c r="AD27" s="1125"/>
      <c r="AE27" s="1125"/>
      <c r="AF27" s="1125"/>
      <c r="AG27" s="1125"/>
      <c r="AH27" s="1125"/>
      <c r="AI27" s="1125"/>
      <c r="AJ27" s="1125"/>
      <c r="AK27" s="1125"/>
      <c r="AL27" s="1125"/>
      <c r="AM27" s="1125"/>
      <c r="AN27" s="1125"/>
      <c r="AO27" s="1125"/>
      <c r="AP27" s="1125"/>
      <c r="AQ27" s="1125"/>
      <c r="AR27" s="1125"/>
      <c r="AS27" s="1125"/>
      <c r="AT27" s="1125"/>
      <c r="AU27" s="1125"/>
      <c r="AV27" s="1125"/>
      <c r="AW27" s="1125"/>
      <c r="AX27" s="1125"/>
      <c r="AY27" s="1125"/>
      <c r="AZ27" s="1125"/>
      <c r="BA27" s="1125"/>
      <c r="BB27" s="1125"/>
      <c r="BC27" s="1125"/>
      <c r="BD27" s="1125"/>
      <c r="BE27" s="1125"/>
      <c r="BF27" s="1125"/>
      <c r="BG27" s="1125"/>
      <c r="BH27" s="1125"/>
      <c r="BI27" s="1125"/>
    </row>
    <row r="28" spans="1:61" s="68" customFormat="1" ht="7.5" customHeight="1" x14ac:dyDescent="0.25">
      <c r="A28" s="433"/>
      <c r="B28" s="1084"/>
      <c r="C28" s="903"/>
      <c r="D28" s="1015"/>
      <c r="E28" s="339"/>
      <c r="F28" s="1016"/>
      <c r="G28" s="996"/>
      <c r="H28" s="1031"/>
      <c r="I28" s="339"/>
      <c r="J28" s="1023"/>
      <c r="K28" s="996"/>
      <c r="L28" s="1036"/>
      <c r="M28" s="339"/>
      <c r="N28" s="1023"/>
      <c r="O28" s="996"/>
      <c r="P28" s="1036"/>
      <c r="Q28" s="339"/>
      <c r="R28" s="1023"/>
      <c r="S28" s="996"/>
      <c r="T28" s="1036"/>
      <c r="U28" s="339"/>
      <c r="V28" s="1038"/>
      <c r="W28" s="170"/>
      <c r="X28" s="170"/>
      <c r="Y28" s="170"/>
      <c r="Z28" s="170"/>
      <c r="AA28" s="170"/>
      <c r="AB28" s="152"/>
      <c r="AC28" s="152"/>
      <c r="AD28" s="152"/>
      <c r="AE28" s="152"/>
      <c r="AF28" s="152"/>
      <c r="AG28" s="152"/>
      <c r="AH28" s="152"/>
      <c r="AI28" s="152"/>
      <c r="AJ28" s="152"/>
      <c r="AK28" s="152"/>
      <c r="AL28" s="152"/>
      <c r="AM28" s="152"/>
      <c r="AN28" s="152"/>
      <c r="AO28" s="152"/>
      <c r="AP28" s="152"/>
      <c r="AQ28" s="152"/>
      <c r="AR28" s="152"/>
      <c r="AS28" s="152"/>
      <c r="AT28" s="152"/>
      <c r="AU28" s="152"/>
      <c r="AV28" s="152"/>
      <c r="AW28" s="152"/>
      <c r="AX28" s="152"/>
      <c r="AY28" s="152"/>
      <c r="AZ28" s="152"/>
      <c r="BA28" s="152"/>
      <c r="BB28" s="152"/>
      <c r="BC28" s="152"/>
      <c r="BD28" s="152"/>
      <c r="BE28" s="152"/>
      <c r="BF28" s="152"/>
      <c r="BG28" s="152"/>
      <c r="BH28" s="152"/>
      <c r="BI28" s="152"/>
    </row>
    <row r="29" spans="1:61" s="68" customFormat="1" ht="17.649999999999999" customHeight="1" collapsed="1" x14ac:dyDescent="0.25">
      <c r="A29" s="432"/>
      <c r="B29" s="913" t="s">
        <v>381</v>
      </c>
      <c r="C29" s="869"/>
      <c r="D29" s="1017"/>
      <c r="E29" s="890">
        <f>(IF(E$7="SIM",(E33)*2.4*12/$H$2,"-"))</f>
        <v>227.75441184264</v>
      </c>
      <c r="F29" s="917"/>
      <c r="G29" s="993"/>
      <c r="H29" s="1032"/>
      <c r="I29" s="890" t="str">
        <f>(IF(I$7="SIM",(I33)*2.4*12/$H$2,"-"))</f>
        <v>-</v>
      </c>
      <c r="J29" s="1033"/>
      <c r="K29" s="993"/>
      <c r="L29" s="1032"/>
      <c r="M29" s="890" t="str">
        <f>(IF(M$7="SIM",(M33)*2.4*12/$H$2,"-"))</f>
        <v>-</v>
      </c>
      <c r="N29" s="1033"/>
      <c r="O29" s="993"/>
      <c r="P29" s="1032"/>
      <c r="Q29" s="890" t="str">
        <f>(IF(Q$7="SIM",(Q33)*2.4*12/$H$2,"-"))</f>
        <v>-</v>
      </c>
      <c r="R29" s="1033"/>
      <c r="S29" s="993"/>
      <c r="T29" s="1032"/>
      <c r="U29" s="890" t="str">
        <f>(IF(U$7="SIM",(U33)*2.4*12/$H$2,"-"))</f>
        <v>-</v>
      </c>
      <c r="V29" s="1039"/>
      <c r="W29" s="366">
        <v>80.001883694054243</v>
      </c>
      <c r="X29" s="366">
        <v>147.41790884447153</v>
      </c>
      <c r="Y29" s="366">
        <v>222.49708736652727</v>
      </c>
      <c r="Z29" s="366">
        <v>295.90084117997679</v>
      </c>
      <c r="AA29" s="367">
        <v>457.02086783191311</v>
      </c>
      <c r="AB29" s="153"/>
      <c r="AC29" s="153"/>
      <c r="AD29" s="153"/>
      <c r="AE29" s="153"/>
      <c r="AF29" s="153"/>
      <c r="AG29" s="153"/>
      <c r="AH29" s="153"/>
      <c r="AI29" s="153"/>
      <c r="AJ29" s="153"/>
      <c r="AK29" s="153"/>
      <c r="AL29" s="153"/>
      <c r="AM29" s="153"/>
      <c r="AN29" s="153"/>
      <c r="AO29" s="153"/>
      <c r="AP29" s="153"/>
      <c r="AQ29" s="153"/>
      <c r="AR29" s="153"/>
      <c r="AS29" s="153"/>
      <c r="AT29" s="153"/>
      <c r="AU29" s="153"/>
      <c r="AV29" s="153"/>
      <c r="AW29" s="153"/>
      <c r="AX29" s="153"/>
      <c r="AY29" s="153"/>
      <c r="AZ29" s="153"/>
      <c r="BA29" s="153"/>
      <c r="BB29" s="153"/>
      <c r="BC29" s="153"/>
      <c r="BD29" s="153"/>
      <c r="BE29" s="153"/>
      <c r="BF29" s="153"/>
      <c r="BG29" s="153"/>
      <c r="BH29" s="153"/>
      <c r="BI29" s="153"/>
    </row>
    <row r="30" spans="1:61" s="68" customFormat="1" ht="15" hidden="1" customHeight="1" outlineLevel="1" x14ac:dyDescent="0.25">
      <c r="A30" s="433"/>
      <c r="B30" s="1010"/>
      <c r="C30" s="925"/>
      <c r="D30" s="1015"/>
      <c r="E30" s="332"/>
      <c r="F30" s="1016"/>
      <c r="G30" s="997"/>
      <c r="H30" s="1031"/>
      <c r="I30" s="332"/>
      <c r="J30" s="1034"/>
      <c r="K30" s="997"/>
      <c r="L30" s="1031"/>
      <c r="M30" s="332"/>
      <c r="N30" s="1034"/>
      <c r="O30" s="997"/>
      <c r="P30" s="1031"/>
      <c r="Q30" s="332"/>
      <c r="R30" s="1034"/>
      <c r="S30" s="997"/>
      <c r="T30" s="1031"/>
      <c r="U30" s="332"/>
      <c r="V30" s="924"/>
      <c r="W30" s="170"/>
      <c r="X30" s="170"/>
      <c r="Y30" s="170"/>
      <c r="Z30" s="170"/>
      <c r="AA30" s="170"/>
      <c r="AB30" s="152"/>
      <c r="AC30" s="152"/>
      <c r="AD30" s="152"/>
      <c r="AE30" s="152"/>
      <c r="AF30" s="152"/>
      <c r="AG30" s="152"/>
      <c r="AH30" s="152"/>
      <c r="AI30" s="152"/>
      <c r="AJ30" s="152"/>
      <c r="AK30" s="152"/>
      <c r="AL30" s="152"/>
      <c r="AM30" s="152"/>
      <c r="AN30" s="152"/>
      <c r="AO30" s="152"/>
      <c r="AP30" s="152"/>
      <c r="AQ30" s="152"/>
      <c r="AR30" s="152"/>
      <c r="AS30" s="152"/>
      <c r="AT30" s="152"/>
      <c r="AU30" s="152"/>
      <c r="AV30" s="152"/>
      <c r="AW30" s="152"/>
      <c r="AX30" s="152"/>
      <c r="AY30" s="152"/>
      <c r="AZ30" s="152"/>
      <c r="BA30" s="152"/>
      <c r="BB30" s="152"/>
      <c r="BC30" s="152"/>
      <c r="BD30" s="152"/>
      <c r="BE30" s="152"/>
      <c r="BF30" s="152"/>
      <c r="BG30" s="152"/>
      <c r="BH30" s="152"/>
      <c r="BI30" s="152"/>
    </row>
    <row r="31" spans="1:61" s="68" customFormat="1" ht="16.899999999999999" hidden="1" customHeight="1" outlineLevel="1" x14ac:dyDescent="0.25">
      <c r="A31" s="433"/>
      <c r="B31" s="1011" t="s">
        <v>655</v>
      </c>
      <c r="C31" s="903"/>
      <c r="D31" s="1015">
        <v>15</v>
      </c>
      <c r="E31" s="338">
        <f>(1-'R&amp;C-Painel de Controle'!$D$58)*F31+('R&amp;C-Painel de Controle'!$D$58)*D31</f>
        <v>16.75</v>
      </c>
      <c r="F31" s="1818">
        <v>20</v>
      </c>
      <c r="G31" s="998"/>
      <c r="H31" s="1031">
        <v>15</v>
      </c>
      <c r="I31" s="338">
        <f>(1-'R&amp;C-Painel de Controle'!$D$58)*J31+('R&amp;C-Painel de Controle'!$D$58)*H31</f>
        <v>16.75</v>
      </c>
      <c r="J31" s="1035">
        <v>20</v>
      </c>
      <c r="K31" s="998"/>
      <c r="L31" s="1037">
        <v>20</v>
      </c>
      <c r="M31" s="338">
        <f>(1-'R&amp;C-Painel de Controle'!$D$58)*N31+('R&amp;C-Painel de Controle'!$D$58)*L31</f>
        <v>21.75</v>
      </c>
      <c r="N31" s="1035">
        <v>25</v>
      </c>
      <c r="O31" s="998"/>
      <c r="P31" s="1037">
        <v>20</v>
      </c>
      <c r="Q31" s="338">
        <f>(1-'R&amp;C-Painel de Controle'!$D$58)*R31+('R&amp;C-Painel de Controle'!$D$58)*P31</f>
        <v>21.75</v>
      </c>
      <c r="R31" s="1035">
        <v>25</v>
      </c>
      <c r="S31" s="998"/>
      <c r="T31" s="1037">
        <v>20</v>
      </c>
      <c r="U31" s="338">
        <f>(1-'R&amp;C-Painel de Controle'!$D$58)*V31+('R&amp;C-Painel de Controle'!$D$58)*T31</f>
        <v>21.75</v>
      </c>
      <c r="V31" s="924">
        <v>25</v>
      </c>
      <c r="W31" s="364" t="s">
        <v>398</v>
      </c>
      <c r="X31" s="365"/>
      <c r="Y31" s="365"/>
      <c r="Z31" s="365"/>
      <c r="AA31" s="365"/>
      <c r="AB31" s="152"/>
      <c r="AC31" s="152"/>
      <c r="AD31" s="152"/>
      <c r="AE31" s="152"/>
      <c r="AF31" s="152"/>
      <c r="AG31" s="152"/>
      <c r="AH31" s="152"/>
      <c r="AI31" s="152"/>
      <c r="AJ31" s="152"/>
      <c r="AK31" s="152"/>
      <c r="AL31" s="152"/>
      <c r="AM31" s="152"/>
      <c r="AN31" s="152"/>
      <c r="AO31" s="152"/>
      <c r="AP31" s="152"/>
      <c r="AQ31" s="152"/>
      <c r="AR31" s="152"/>
      <c r="AS31" s="152"/>
      <c r="AT31" s="152"/>
      <c r="AU31" s="152"/>
      <c r="AV31" s="152"/>
      <c r="AW31" s="152"/>
      <c r="AX31" s="152"/>
      <c r="AY31" s="152"/>
      <c r="AZ31" s="152"/>
      <c r="BA31" s="152"/>
      <c r="BB31" s="152"/>
      <c r="BC31" s="152"/>
      <c r="BD31" s="152"/>
      <c r="BE31" s="152"/>
      <c r="BF31" s="152"/>
      <c r="BG31" s="152"/>
      <c r="BH31" s="152"/>
      <c r="BI31" s="152"/>
    </row>
    <row r="32" spans="1:61" s="68" customFormat="1" ht="16.899999999999999" hidden="1" customHeight="1" outlineLevel="1" x14ac:dyDescent="0.25">
      <c r="A32" s="433"/>
      <c r="B32" s="1011" t="s">
        <v>656</v>
      </c>
      <c r="C32" s="903"/>
      <c r="D32" s="1015"/>
      <c r="E32" s="338">
        <f>3+3+1+2+1</f>
        <v>10</v>
      </c>
      <c r="F32" s="1016"/>
      <c r="G32" s="998"/>
      <c r="H32" s="1031"/>
      <c r="I32" s="338">
        <f>3+3+1+2+1</f>
        <v>10</v>
      </c>
      <c r="J32" s="1035"/>
      <c r="K32" s="998"/>
      <c r="L32" s="1037"/>
      <c r="M32" s="338">
        <f>3+3+1+2+1</f>
        <v>10</v>
      </c>
      <c r="N32" s="1035"/>
      <c r="O32" s="998"/>
      <c r="P32" s="1037"/>
      <c r="Q32" s="338">
        <f>3+3+1+2+1</f>
        <v>10</v>
      </c>
      <c r="R32" s="1035"/>
      <c r="S32" s="998"/>
      <c r="T32" s="1037"/>
      <c r="U32" s="338">
        <f>3+3+1+2+1</f>
        <v>10</v>
      </c>
      <c r="V32" s="924"/>
      <c r="W32" s="365"/>
      <c r="X32" s="365"/>
      <c r="Y32" s="365"/>
      <c r="Z32" s="365"/>
      <c r="AA32" s="365"/>
      <c r="AB32" s="152"/>
      <c r="AC32" s="152"/>
      <c r="AD32" s="152"/>
      <c r="AE32" s="152"/>
      <c r="AF32" s="152"/>
      <c r="AG32" s="152"/>
      <c r="AH32" s="152"/>
      <c r="AI32" s="152"/>
      <c r="AJ32" s="152"/>
      <c r="AK32" s="152"/>
      <c r="AL32" s="152"/>
      <c r="AM32" s="152"/>
      <c r="AN32" s="152"/>
      <c r="AO32" s="152"/>
      <c r="AP32" s="152"/>
      <c r="AQ32" s="152"/>
      <c r="AR32" s="152"/>
      <c r="AS32" s="152"/>
      <c r="AT32" s="152"/>
      <c r="AU32" s="152"/>
      <c r="AV32" s="152"/>
      <c r="AW32" s="152"/>
      <c r="AX32" s="152"/>
      <c r="AY32" s="152"/>
      <c r="AZ32" s="152"/>
      <c r="BA32" s="152"/>
      <c r="BB32" s="152"/>
      <c r="BC32" s="152"/>
      <c r="BD32" s="152"/>
      <c r="BE32" s="152"/>
      <c r="BF32" s="152"/>
      <c r="BG32" s="152"/>
      <c r="BH32" s="152"/>
      <c r="BI32" s="152"/>
    </row>
    <row r="33" spans="1:61" s="68" customFormat="1" ht="16.899999999999999" hidden="1" customHeight="1" outlineLevel="1" x14ac:dyDescent="0.25">
      <c r="A33" s="433"/>
      <c r="B33" s="1011" t="s">
        <v>632</v>
      </c>
      <c r="C33" s="903"/>
      <c r="D33" s="1015"/>
      <c r="E33" s="335">
        <f>IF(E$7="SIM",'R&amp;C-Painel de Controle'!$D$63+(E31*3/10+E32)*'R&amp;C-Painel de Controle'!$D$64+E31*E22*3*'R&amp;C-Painel de Controle'!$D$65,"-")</f>
        <v>181034.35117780225</v>
      </c>
      <c r="F33" s="1016"/>
      <c r="G33" s="996"/>
      <c r="H33" s="1031"/>
      <c r="I33" s="335" t="str">
        <f>IF(I$7="SIM",'R&amp;C-Painel de Controle'!$D$63+(I31*3/10+I32)*'R&amp;C-Painel de Controle'!$D$64+I31*I22*3*'R&amp;C-Painel de Controle'!$D$65,"-")</f>
        <v>-</v>
      </c>
      <c r="J33" s="1023"/>
      <c r="K33" s="996"/>
      <c r="L33" s="1036"/>
      <c r="M33" s="335" t="str">
        <f>IF(M$7="SIM",'R&amp;C-Painel de Controle'!$D$63+(M31*3/10+M32)*'R&amp;C-Painel de Controle'!$D$64+M31*M22*3*'R&amp;C-Painel de Controle'!$D$65,"-")</f>
        <v>-</v>
      </c>
      <c r="N33" s="1023"/>
      <c r="O33" s="996"/>
      <c r="P33" s="1036"/>
      <c r="Q33" s="335" t="str">
        <f>IF(Q$7="SIM",'R&amp;C-Painel de Controle'!$D$63+(Q31*3/10+Q32)*'R&amp;C-Painel de Controle'!$D$64+Q31*Q22*3*'R&amp;C-Painel de Controle'!$D$65,"-")</f>
        <v>-</v>
      </c>
      <c r="R33" s="1023"/>
      <c r="S33" s="996"/>
      <c r="T33" s="1036"/>
      <c r="U33" s="335" t="str">
        <f>IF(U$7="SIM",'R&amp;C-Painel de Controle'!$D$63+(U31*3/10+U32)*'R&amp;C-Painel de Controle'!$D$64+U31*U22*3*'R&amp;C-Painel de Controle'!$D$65,"-")</f>
        <v>-</v>
      </c>
      <c r="V33" s="924"/>
      <c r="W33" s="365">
        <v>313.63371466789192</v>
      </c>
      <c r="X33" s="365">
        <v>670.95132589391676</v>
      </c>
      <c r="Y33" s="365">
        <v>1144.9334909088557</v>
      </c>
      <c r="Z33" s="365">
        <v>1714.2920818784341</v>
      </c>
      <c r="AA33" s="365">
        <v>2259.5136964290305</v>
      </c>
      <c r="AB33" s="152"/>
      <c r="AC33" s="152"/>
      <c r="AD33" s="152"/>
      <c r="AE33" s="152"/>
      <c r="AF33" s="152"/>
      <c r="AG33" s="152"/>
      <c r="AH33" s="152"/>
      <c r="AI33" s="152"/>
      <c r="AJ33" s="152"/>
      <c r="AK33" s="152"/>
      <c r="AL33" s="152"/>
      <c r="AM33" s="152"/>
      <c r="AN33" s="152"/>
      <c r="AO33" s="152"/>
      <c r="AP33" s="152"/>
      <c r="AQ33" s="152"/>
      <c r="AR33" s="152"/>
      <c r="AS33" s="152"/>
      <c r="AT33" s="152"/>
      <c r="AU33" s="152"/>
      <c r="AV33" s="152"/>
      <c r="AW33" s="152"/>
      <c r="AX33" s="152"/>
      <c r="AY33" s="152"/>
      <c r="AZ33" s="152"/>
      <c r="BA33" s="152"/>
      <c r="BB33" s="152"/>
      <c r="BC33" s="152"/>
      <c r="BD33" s="152"/>
      <c r="BE33" s="152"/>
      <c r="BF33" s="152"/>
      <c r="BG33" s="152"/>
      <c r="BH33" s="152"/>
      <c r="BI33" s="152"/>
    </row>
    <row r="34" spans="1:61" s="68" customFormat="1" ht="17.649999999999999" customHeight="1" collapsed="1" x14ac:dyDescent="0.25">
      <c r="A34" s="432"/>
      <c r="B34" s="913" t="s">
        <v>382</v>
      </c>
      <c r="C34" s="869"/>
      <c r="D34" s="1017"/>
      <c r="E34" s="890">
        <f>(IF(E$7="SIM",(E35*$H$2/1000*'R&amp;C-Painel de Controle'!$D$68+E36/1000*'R&amp;C-Painel de Controle'!$D$69*12)/$H$2,"-"))</f>
        <v>0</v>
      </c>
      <c r="F34" s="917">
        <v>0.25</v>
      </c>
      <c r="G34" s="993"/>
      <c r="H34" s="1077"/>
      <c r="I34" s="890" t="str">
        <f>(IF(I$7="SIM",(I35*$H$2/1000*'R&amp;C-Painel de Controle'!$D$68+I36/1000*'R&amp;C-Painel de Controle'!$D$69*12)/$H$2,"-"))</f>
        <v>-</v>
      </c>
      <c r="J34" s="1134">
        <v>0.25</v>
      </c>
      <c r="K34" s="993"/>
      <c r="L34" s="1077"/>
      <c r="M34" s="890" t="str">
        <f>(IF(M$7="SIM",(M35*$H$2/1000*'R&amp;C-Painel de Controle'!$D$68+M36/1000*'R&amp;C-Painel de Controle'!$D$69*12)/$H$2,"-"))</f>
        <v>-</v>
      </c>
      <c r="N34" s="1134">
        <v>0.25</v>
      </c>
      <c r="O34" s="993"/>
      <c r="P34" s="1077"/>
      <c r="Q34" s="890" t="str">
        <f>(IF(Q$7="SIM",(Q35*$H$2/1000*'R&amp;C-Painel de Controle'!$D$68+Q36/1000*'R&amp;C-Painel de Controle'!$D$69*12)/$H$2,"-"))</f>
        <v>-</v>
      </c>
      <c r="R34" s="1134">
        <v>0.25</v>
      </c>
      <c r="S34" s="993"/>
      <c r="T34" s="1077"/>
      <c r="U34" s="890" t="str">
        <f>(IF(U$7="SIM",(U35*$H$2/1000*'R&amp;C-Painel de Controle'!$D$68+U36/1000*'R&amp;C-Painel de Controle'!$D$69*12)/$H$2,"-"))</f>
        <v>-</v>
      </c>
      <c r="V34" s="1135">
        <v>0.25</v>
      </c>
      <c r="W34" s="366">
        <v>433.73031273704458</v>
      </c>
      <c r="X34" s="366">
        <v>890.59788888719049</v>
      </c>
      <c r="Y34" s="366">
        <v>1483.0371598688807</v>
      </c>
      <c r="Z34" s="366">
        <v>2158.7431077495012</v>
      </c>
      <c r="AA34" s="367">
        <v>2916.3147118611009</v>
      </c>
      <c r="AB34" s="153"/>
      <c r="AC34" s="153"/>
      <c r="AD34" s="153"/>
      <c r="AE34" s="153"/>
      <c r="AF34" s="153"/>
      <c r="AG34" s="153"/>
      <c r="AH34" s="153"/>
      <c r="AI34" s="153"/>
      <c r="AJ34" s="153"/>
      <c r="AK34" s="153"/>
      <c r="AL34" s="153"/>
      <c r="AM34" s="153"/>
      <c r="AN34" s="153"/>
      <c r="AO34" s="153"/>
      <c r="AP34" s="153"/>
      <c r="AQ34" s="153"/>
      <c r="AR34" s="153"/>
      <c r="AS34" s="153"/>
      <c r="AT34" s="153"/>
      <c r="AU34" s="153"/>
      <c r="AV34" s="153"/>
      <c r="AW34" s="153"/>
      <c r="AX34" s="153"/>
      <c r="AY34" s="153"/>
      <c r="AZ34" s="153"/>
      <c r="BA34" s="153"/>
      <c r="BB34" s="153"/>
      <c r="BC34" s="153"/>
      <c r="BD34" s="153"/>
      <c r="BE34" s="153"/>
      <c r="BF34" s="153"/>
      <c r="BG34" s="153"/>
      <c r="BH34" s="153"/>
      <c r="BI34" s="153"/>
    </row>
    <row r="35" spans="1:61" s="68" customFormat="1" ht="16.899999999999999" hidden="1" customHeight="1" outlineLevel="1" x14ac:dyDescent="0.25">
      <c r="A35" s="433"/>
      <c r="B35" s="760" t="s">
        <v>657</v>
      </c>
      <c r="C35" s="756"/>
      <c r="D35" s="1482">
        <v>0.05</v>
      </c>
      <c r="E35" s="304">
        <f>(1-'R&amp;C-Painel de Controle'!$D$58)*F35*'R-Definição'!$E$114+('R&amp;C-Painel de Controle'!$D$58)*D35*'R-Definição'!$E$114</f>
        <v>146.41035974649512</v>
      </c>
      <c r="F35" s="697">
        <f>D35*(1+F34)</f>
        <v>6.25E-2</v>
      </c>
      <c r="G35" s="758"/>
      <c r="H35" s="1482">
        <f>D35*95%</f>
        <v>4.7500000000000001E-2</v>
      </c>
      <c r="I35" s="304">
        <f>(1-'R&amp;C-Painel de Controle'!$D$58)*J35*'R-Definição'!$E$114+('R&amp;C-Painel de Controle'!$D$58)*H35*'R-Definição'!$E$114</f>
        <v>139.08984175917035</v>
      </c>
      <c r="J35" s="697">
        <f>H35*(1+J34)</f>
        <v>5.9374999999999997E-2</v>
      </c>
      <c r="K35" s="758"/>
      <c r="L35" s="1482">
        <f>H35*95%</f>
        <v>4.5124999999999998E-2</v>
      </c>
      <c r="M35" s="304">
        <f>(1-'R&amp;C-Painel de Controle'!$D$58)*N35*'R-Definição'!$E$114+('R&amp;C-Painel de Controle'!$D$58)*L35*'R-Definição'!$E$114</f>
        <v>132.13534967121183</v>
      </c>
      <c r="N35" s="697">
        <f>L35*(1+N34)</f>
        <v>5.6406249999999998E-2</v>
      </c>
      <c r="O35" s="758"/>
      <c r="P35" s="1482">
        <f>L35*95%</f>
        <v>4.2868749999999997E-2</v>
      </c>
      <c r="Q35" s="304">
        <f>(1-'R&amp;C-Painel de Controle'!$D$58)*R35*'R-Definição'!$E$114+('R&amp;C-Painel de Controle'!$D$58)*P35*'R-Definição'!$E$114</f>
        <v>125.52858218765124</v>
      </c>
      <c r="R35" s="697">
        <f>P35*(1+R34)</f>
        <v>5.35859375E-2</v>
      </c>
      <c r="S35" s="758"/>
      <c r="T35" s="1482">
        <f>P35*95%</f>
        <v>4.0725312499999992E-2</v>
      </c>
      <c r="U35" s="304">
        <f>(1-'R&amp;C-Painel de Controle'!$D$58)*V35*'R-Definição'!$E$114+('R&amp;C-Painel de Controle'!$D$58)*T35*'R-Definição'!$E$114</f>
        <v>119.25215307826866</v>
      </c>
      <c r="V35" s="697">
        <f>T35*(1+V34)</f>
        <v>5.0906640624999992E-2</v>
      </c>
      <c r="W35" s="368">
        <v>9.6</v>
      </c>
      <c r="X35" s="368">
        <v>9.36</v>
      </c>
      <c r="Y35" s="368">
        <v>10.8</v>
      </c>
      <c r="Z35" s="368">
        <v>15.6</v>
      </c>
      <c r="AA35" s="369">
        <v>20.16</v>
      </c>
      <c r="AB35" s="152"/>
      <c r="AC35" s="152"/>
      <c r="AD35" s="152"/>
      <c r="AE35" s="152"/>
      <c r="AF35" s="152"/>
      <c r="AG35" s="152"/>
      <c r="AH35" s="152"/>
      <c r="AI35" s="152"/>
      <c r="AJ35" s="152"/>
      <c r="AK35" s="152"/>
      <c r="AL35" s="152"/>
      <c r="AM35" s="152"/>
      <c r="AN35" s="152"/>
      <c r="AO35" s="152"/>
      <c r="AP35" s="152"/>
      <c r="AQ35" s="152"/>
      <c r="AR35" s="152"/>
      <c r="AS35" s="152"/>
      <c r="AT35" s="152"/>
      <c r="AU35" s="152"/>
      <c r="AV35" s="152"/>
      <c r="AW35" s="152"/>
      <c r="AX35" s="152"/>
      <c r="AY35" s="152"/>
      <c r="AZ35" s="152"/>
      <c r="BA35" s="152"/>
      <c r="BB35" s="152"/>
      <c r="BC35" s="152"/>
      <c r="BD35" s="152"/>
      <c r="BE35" s="152"/>
      <c r="BF35" s="152"/>
      <c r="BG35" s="152"/>
      <c r="BH35" s="152"/>
      <c r="BI35" s="152"/>
    </row>
    <row r="36" spans="1:61" s="68" customFormat="1" ht="16.899999999999999" hidden="1" customHeight="1" outlineLevel="1" x14ac:dyDescent="0.25">
      <c r="A36" s="433"/>
      <c r="B36" s="760" t="s">
        <v>634</v>
      </c>
      <c r="C36" s="756"/>
      <c r="D36" s="455"/>
      <c r="E36" s="304">
        <f>E35*F11*(0.9)*0.92/24</f>
        <v>5051.157411254082</v>
      </c>
      <c r="F36" s="455"/>
      <c r="G36" s="757"/>
      <c r="H36" s="455"/>
      <c r="I36" s="304">
        <f>I35*J11*(0.9)*0.92/24</f>
        <v>9597.1990813827542</v>
      </c>
      <c r="J36" s="455"/>
      <c r="K36" s="757"/>
      <c r="L36" s="455"/>
      <c r="M36" s="304">
        <f>M35*N11*(0.9)*0.92/24</f>
        <v>13676.008690970426</v>
      </c>
      <c r="N36" s="455"/>
      <c r="O36" s="757"/>
      <c r="P36" s="455"/>
      <c r="Q36" s="304">
        <f>Q35*R11*(0.9)*0.92/24</f>
        <v>17322.944341895873</v>
      </c>
      <c r="R36" s="455"/>
      <c r="S36" s="757"/>
      <c r="T36" s="455"/>
      <c r="U36" s="304">
        <f>U35*V11*(0.9)*0.92/24</f>
        <v>20570.996406001348</v>
      </c>
      <c r="V36" s="455"/>
      <c r="W36" s="368">
        <v>9.8408899590486545</v>
      </c>
      <c r="X36" s="368">
        <v>20.459230868459709</v>
      </c>
      <c r="Y36" s="368">
        <v>34.185764456884577</v>
      </c>
      <c r="Z36" s="368">
        <v>30.152893845876164</v>
      </c>
      <c r="AA36" s="369">
        <v>40.74801846391415</v>
      </c>
      <c r="AB36" s="152"/>
      <c r="AC36" s="152"/>
      <c r="AD36" s="152"/>
      <c r="AE36" s="152"/>
      <c r="AF36" s="152"/>
      <c r="AG36" s="152"/>
      <c r="AH36" s="152"/>
      <c r="AI36" s="152"/>
      <c r="AJ36" s="152"/>
      <c r="AK36" s="152"/>
      <c r="AL36" s="152"/>
      <c r="AM36" s="152"/>
      <c r="AN36" s="152"/>
      <c r="AO36" s="152"/>
      <c r="AP36" s="152"/>
      <c r="AQ36" s="152"/>
      <c r="AR36" s="152"/>
      <c r="AS36" s="152"/>
      <c r="AT36" s="152"/>
      <c r="AU36" s="152"/>
      <c r="AV36" s="152"/>
      <c r="AW36" s="152"/>
      <c r="AX36" s="152"/>
      <c r="AY36" s="152"/>
      <c r="AZ36" s="152"/>
      <c r="BA36" s="152"/>
      <c r="BB36" s="152"/>
      <c r="BC36" s="152"/>
      <c r="BD36" s="152"/>
      <c r="BE36" s="152"/>
      <c r="BF36" s="152"/>
      <c r="BG36" s="152"/>
      <c r="BH36" s="152"/>
      <c r="BI36" s="152"/>
    </row>
    <row r="37" spans="1:61" s="68" customFormat="1" ht="17.649999999999999" customHeight="1" collapsed="1" x14ac:dyDescent="0.25">
      <c r="A37" s="1136"/>
      <c r="B37" s="913" t="s">
        <v>383</v>
      </c>
      <c r="C37" s="1136"/>
      <c r="D37" s="1152"/>
      <c r="E37" s="303">
        <f>(IF(E$7="SIM",(E15*1000000*E38+E39*12)/$H$2,"-"))</f>
        <v>189.75958415137359</v>
      </c>
      <c r="F37" s="1153">
        <v>0.35</v>
      </c>
      <c r="G37" s="1139"/>
      <c r="H37" s="1172"/>
      <c r="I37" s="303" t="str">
        <f>(IF(I$7="SIM",(I15*1000000*I38+I39*12)/$H$2,"-"))</f>
        <v>-</v>
      </c>
      <c r="J37" s="1153">
        <v>0.35</v>
      </c>
      <c r="K37" s="1139"/>
      <c r="L37" s="1172"/>
      <c r="M37" s="303" t="str">
        <f>(IF(M$7="SIM",(M15*1000000*M38+M39*12)/$H$2,"-"))</f>
        <v>-</v>
      </c>
      <c r="N37" s="1153">
        <v>0.35</v>
      </c>
      <c r="O37" s="1139"/>
      <c r="P37" s="1172"/>
      <c r="Q37" s="303" t="str">
        <f>(IF(Q$7="SIM",(Q15*1000000*Q38+Q39*12)/$H$2,"-"))</f>
        <v>-</v>
      </c>
      <c r="R37" s="1153">
        <v>0.35</v>
      </c>
      <c r="S37" s="1139"/>
      <c r="T37" s="1172"/>
      <c r="U37" s="303" t="str">
        <f>(IF(U$7="SIM",(U15*1000000*U38+U39*12)/$H$2,"-"))</f>
        <v>-</v>
      </c>
      <c r="V37" s="1153">
        <v>0.35</v>
      </c>
      <c r="W37" s="1143"/>
      <c r="X37" s="372"/>
      <c r="Y37" s="373"/>
      <c r="Z37" s="372"/>
      <c r="AA37" s="374"/>
      <c r="AB37" s="153"/>
      <c r="AC37" s="153"/>
      <c r="AD37" s="153"/>
      <c r="AE37" s="153"/>
      <c r="AF37" s="153"/>
      <c r="AG37" s="153"/>
      <c r="AH37" s="153"/>
      <c r="AI37" s="153"/>
      <c r="AJ37" s="153"/>
      <c r="AK37" s="153"/>
      <c r="AL37" s="153"/>
      <c r="AM37" s="153"/>
      <c r="AN37" s="153"/>
      <c r="AO37" s="153"/>
      <c r="AP37" s="153"/>
      <c r="AQ37" s="153"/>
      <c r="AR37" s="153"/>
      <c r="AS37" s="153"/>
      <c r="AT37" s="153"/>
      <c r="AU37" s="153"/>
      <c r="AV37" s="153"/>
      <c r="AW37" s="153"/>
      <c r="AX37" s="153"/>
      <c r="AY37" s="153"/>
      <c r="AZ37" s="153"/>
      <c r="BA37" s="153"/>
      <c r="BB37" s="153"/>
      <c r="BC37" s="153"/>
      <c r="BD37" s="153"/>
      <c r="BE37" s="153"/>
      <c r="BF37" s="153"/>
      <c r="BG37" s="153"/>
      <c r="BH37" s="153"/>
      <c r="BI37" s="153"/>
    </row>
    <row r="38" spans="1:61" s="68" customFormat="1" ht="16.899999999999999" hidden="1" customHeight="1" outlineLevel="1" x14ac:dyDescent="0.25">
      <c r="A38" s="652"/>
      <c r="B38" s="1147" t="s">
        <v>650</v>
      </c>
      <c r="C38" s="652"/>
      <c r="D38" s="1154">
        <v>4.4999999999999998E-2</v>
      </c>
      <c r="E38" s="347">
        <f>(1-'R&amp;C-Painel de Controle'!$D$58)*F38+('R&amp;C-Painel de Controle'!$D$58)*D38</f>
        <v>5.0512499999999995E-2</v>
      </c>
      <c r="F38" s="1155">
        <f>D38*(1+F37)</f>
        <v>6.0749999999999998E-2</v>
      </c>
      <c r="G38" s="1140"/>
      <c r="H38" s="1154">
        <f>D38</f>
        <v>4.4999999999999998E-2</v>
      </c>
      <c r="I38" s="347">
        <f>(1-'R&amp;C-Painel de Controle'!$D$58)*J38+('R&amp;C-Painel de Controle'!$D$58)*H38</f>
        <v>5.0512499999999995E-2</v>
      </c>
      <c r="J38" s="1155">
        <f>H38*(1+J37)</f>
        <v>6.0749999999999998E-2</v>
      </c>
      <c r="K38" s="1140"/>
      <c r="L38" s="1154">
        <f>H38</f>
        <v>4.4999999999999998E-2</v>
      </c>
      <c r="M38" s="347">
        <f>(1-'R&amp;C-Painel de Controle'!$D$58)*N38+('R&amp;C-Painel de Controle'!$D$58)*L38</f>
        <v>5.0512499999999995E-2</v>
      </c>
      <c r="N38" s="1155">
        <f>L38*(1+N37)</f>
        <v>6.0749999999999998E-2</v>
      </c>
      <c r="O38" s="1140"/>
      <c r="P38" s="1154">
        <f>L38</f>
        <v>4.4999999999999998E-2</v>
      </c>
      <c r="Q38" s="347">
        <f>(1-'R&amp;C-Painel de Controle'!$D$58)*R38+('R&amp;C-Painel de Controle'!$D$58)*P38</f>
        <v>5.0512499999999995E-2</v>
      </c>
      <c r="R38" s="1155">
        <f>P38*(1+R37)</f>
        <v>6.0749999999999998E-2</v>
      </c>
      <c r="S38" s="1140"/>
      <c r="T38" s="1154">
        <f>P38</f>
        <v>4.4999999999999998E-2</v>
      </c>
      <c r="U38" s="347">
        <f>(1-'R&amp;C-Painel de Controle'!$D$58)*V38+('R&amp;C-Painel de Controle'!$D$58)*T38</f>
        <v>5.0512499999999995E-2</v>
      </c>
      <c r="V38" s="1155">
        <f>T38*(1+V37)</f>
        <v>6.0749999999999998E-2</v>
      </c>
      <c r="W38" s="1115">
        <v>1848.459504416847</v>
      </c>
      <c r="X38" s="368">
        <v>1897.334644320664</v>
      </c>
      <c r="Y38" s="368">
        <v>1895.5114295272281</v>
      </c>
      <c r="Z38" s="368">
        <v>1970.7454137743553</v>
      </c>
      <c r="AA38" s="369">
        <v>2070.6665075992942</v>
      </c>
      <c r="AB38" s="152"/>
      <c r="AC38" s="152"/>
      <c r="AD38" s="152"/>
      <c r="AE38" s="152"/>
      <c r="AF38" s="152"/>
      <c r="AG38" s="152"/>
      <c r="AH38" s="152"/>
      <c r="AI38" s="152"/>
      <c r="AJ38" s="152"/>
      <c r="AK38" s="152"/>
      <c r="AL38" s="152"/>
      <c r="AM38" s="152"/>
      <c r="AN38" s="152"/>
      <c r="AO38" s="152"/>
      <c r="AP38" s="152"/>
      <c r="AQ38" s="152"/>
      <c r="AR38" s="152"/>
      <c r="AS38" s="152"/>
      <c r="AT38" s="152"/>
      <c r="AU38" s="152"/>
      <c r="AV38" s="152"/>
      <c r="AW38" s="152"/>
      <c r="AX38" s="152"/>
      <c r="AY38" s="152"/>
      <c r="AZ38" s="152"/>
      <c r="BA38" s="152"/>
      <c r="BB38" s="152"/>
      <c r="BC38" s="152"/>
      <c r="BD38" s="152"/>
      <c r="BE38" s="152"/>
      <c r="BF38" s="152"/>
      <c r="BG38" s="152"/>
      <c r="BH38" s="152"/>
      <c r="BI38" s="152"/>
    </row>
    <row r="39" spans="1:61" s="68" customFormat="1" ht="16.899999999999999" hidden="1" customHeight="1" outlineLevel="1" x14ac:dyDescent="0.25">
      <c r="A39" s="1136"/>
      <c r="B39" s="1147" t="s">
        <v>441</v>
      </c>
      <c r="C39" s="1136"/>
      <c r="D39" s="1156">
        <v>75000</v>
      </c>
      <c r="E39" s="304">
        <f>(1-'R&amp;C-Painel de Controle'!$D$58)*F39+('R&amp;C-Painel de Controle'!$D$58)*D39</f>
        <v>84187.5</v>
      </c>
      <c r="F39" s="1157">
        <f>D39*(1+F37)</f>
        <v>101250</v>
      </c>
      <c r="G39" s="766"/>
      <c r="H39" s="1156">
        <v>100000</v>
      </c>
      <c r="I39" s="304">
        <f>(1-'R&amp;C-Painel de Controle'!$D$58)*J39+('R&amp;C-Painel de Controle'!$D$58)*H39</f>
        <v>112250</v>
      </c>
      <c r="J39" s="1157">
        <f>H39*(1+J37)</f>
        <v>135000</v>
      </c>
      <c r="K39" s="766"/>
      <c r="L39" s="1156">
        <v>100000</v>
      </c>
      <c r="M39" s="304">
        <f>(1-'R&amp;C-Painel de Controle'!$D$58)*N39+('R&amp;C-Painel de Controle'!$D$58)*L39</f>
        <v>112250</v>
      </c>
      <c r="N39" s="1157">
        <f>L39*(1+N37)</f>
        <v>135000</v>
      </c>
      <c r="O39" s="766"/>
      <c r="P39" s="1156">
        <v>125000</v>
      </c>
      <c r="Q39" s="304">
        <f>(1-'R&amp;C-Painel de Controle'!$D$58)*R39+('R&amp;C-Painel de Controle'!$D$58)*P39</f>
        <v>140312.5</v>
      </c>
      <c r="R39" s="1157">
        <f>P39*(1+R37)</f>
        <v>168750</v>
      </c>
      <c r="S39" s="766"/>
      <c r="T39" s="1156">
        <v>125000</v>
      </c>
      <c r="U39" s="304">
        <f>(1-'R&amp;C-Painel de Controle'!$D$58)*V39+('R&amp;C-Painel de Controle'!$D$58)*T39</f>
        <v>140312.5</v>
      </c>
      <c r="V39" s="1157">
        <f>T39*(1+V37)</f>
        <v>168750</v>
      </c>
      <c r="W39" s="1114"/>
      <c r="X39" s="370">
        <f>(X38-W38)/W38</f>
        <v>2.6441011981615522E-2</v>
      </c>
      <c r="Y39" s="371">
        <f>(Y38-X38)/X38</f>
        <v>-9.6093475070061071E-4</v>
      </c>
      <c r="Z39" s="370">
        <f>(Z38-Y38)/Y38</f>
        <v>3.969059910437564E-2</v>
      </c>
      <c r="AA39" s="370">
        <f>(AA38-Z38)/Z38</f>
        <v>5.0702182598801972E-2</v>
      </c>
      <c r="AB39" s="153"/>
      <c r="AC39" s="153"/>
      <c r="AD39" s="153"/>
      <c r="AE39" s="153"/>
      <c r="AF39" s="153"/>
      <c r="AG39" s="153"/>
      <c r="AH39" s="153"/>
      <c r="AI39" s="153"/>
      <c r="AJ39" s="153"/>
      <c r="AK39" s="153"/>
      <c r="AL39" s="153"/>
      <c r="AM39" s="153"/>
      <c r="AN39" s="153"/>
      <c r="AO39" s="153"/>
      <c r="AP39" s="153"/>
      <c r="AQ39" s="153"/>
      <c r="AR39" s="153"/>
      <c r="AS39" s="153"/>
      <c r="AT39" s="153"/>
      <c r="AU39" s="153"/>
      <c r="AV39" s="153"/>
      <c r="AW39" s="153"/>
      <c r="AX39" s="153"/>
      <c r="AY39" s="153"/>
      <c r="AZ39" s="153"/>
      <c r="BA39" s="153"/>
      <c r="BB39" s="153"/>
      <c r="BC39" s="153"/>
      <c r="BD39" s="153"/>
      <c r="BE39" s="153"/>
      <c r="BF39" s="153"/>
      <c r="BG39" s="153"/>
      <c r="BH39" s="153"/>
      <c r="BI39" s="153"/>
    </row>
    <row r="40" spans="1:61" s="68" customFormat="1" ht="17.649999999999999" customHeight="1" collapsed="1" x14ac:dyDescent="0.25">
      <c r="A40" s="1136"/>
      <c r="B40" s="913" t="s">
        <v>385</v>
      </c>
      <c r="C40" s="1136"/>
      <c r="D40" s="1152"/>
      <c r="E40" s="303">
        <f>(IF(E$7="SIM",(E43+E41*E42*D41)*12/$H$2,"-"))</f>
        <v>272.58246245269896</v>
      </c>
      <c r="F40" s="1158"/>
      <c r="G40" s="1139"/>
      <c r="H40" s="1172"/>
      <c r="I40" s="303" t="str">
        <f>(IF(I$7="SIM",(I43+I41*I42*H41)*12/$H$2,"-"))</f>
        <v>-</v>
      </c>
      <c r="J40" s="1162"/>
      <c r="K40" s="1139"/>
      <c r="L40" s="1172"/>
      <c r="M40" s="303" t="str">
        <f>(IF(M$7="SIM",(M43+M41*M42*L41)*12/$H$2,"-"))</f>
        <v>-</v>
      </c>
      <c r="N40" s="1162"/>
      <c r="O40" s="1139"/>
      <c r="P40" s="1172"/>
      <c r="Q40" s="303" t="str">
        <f>(IF(Q$7="SIM",(Q43+Q41*Q42*P41)*12/$H$2,"-"))</f>
        <v>-</v>
      </c>
      <c r="R40" s="1162"/>
      <c r="S40" s="1139"/>
      <c r="T40" s="1172"/>
      <c r="U40" s="303" t="str">
        <f>(IF(U$7="SIM",(U43+U41*U42*T41)*12/$H$2,"-"))</f>
        <v>-</v>
      </c>
      <c r="V40" s="1160"/>
      <c r="W40" s="1144"/>
      <c r="X40" s="308"/>
      <c r="Y40" s="308"/>
      <c r="Z40" s="308"/>
      <c r="AA40" s="308"/>
      <c r="AB40" s="153"/>
      <c r="AC40" s="153"/>
      <c r="AD40" s="153"/>
      <c r="AE40" s="153"/>
      <c r="AF40" s="153"/>
      <c r="AG40" s="153"/>
      <c r="AH40" s="153"/>
      <c r="AI40" s="153"/>
      <c r="AJ40" s="153"/>
      <c r="AK40" s="153"/>
      <c r="AL40" s="153"/>
      <c r="AM40" s="153"/>
      <c r="AN40" s="153"/>
      <c r="AO40" s="153"/>
      <c r="AP40" s="153"/>
      <c r="AQ40" s="153"/>
      <c r="AR40" s="153"/>
      <c r="AS40" s="153"/>
      <c r="AT40" s="153"/>
      <c r="AU40" s="153"/>
      <c r="AV40" s="153"/>
      <c r="AW40" s="153"/>
      <c r="AX40" s="153"/>
      <c r="AY40" s="153"/>
      <c r="AZ40" s="153"/>
      <c r="BA40" s="153"/>
      <c r="BB40" s="153"/>
      <c r="BC40" s="153"/>
      <c r="BD40" s="153"/>
      <c r="BE40" s="153"/>
      <c r="BF40" s="153"/>
      <c r="BG40" s="153"/>
      <c r="BH40" s="153"/>
      <c r="BI40" s="153"/>
    </row>
    <row r="41" spans="1:61" s="68" customFormat="1" ht="16.899999999999999" hidden="1" customHeight="1" outlineLevel="1" x14ac:dyDescent="0.25">
      <c r="A41" s="1136"/>
      <c r="B41" s="1147" t="s">
        <v>636</v>
      </c>
      <c r="C41" s="1136"/>
      <c r="D41" s="1159">
        <v>0.5</v>
      </c>
      <c r="E41" s="304">
        <f>'R&amp;C-Painel de Controle'!$D$70</f>
        <v>100000</v>
      </c>
      <c r="F41" s="1160"/>
      <c r="G41" s="1141"/>
      <c r="H41" s="1159">
        <v>0.5</v>
      </c>
      <c r="I41" s="304">
        <f>'R&amp;C-Painel de Controle'!$D$70</f>
        <v>100000</v>
      </c>
      <c r="J41" s="1160"/>
      <c r="K41" s="1141"/>
      <c r="L41" s="1159">
        <v>0.5</v>
      </c>
      <c r="M41" s="304">
        <f>'R&amp;C-Painel de Controle'!$D$70</f>
        <v>100000</v>
      </c>
      <c r="N41" s="1160"/>
      <c r="O41" s="1141"/>
      <c r="P41" s="1159">
        <v>0.5</v>
      </c>
      <c r="Q41" s="304">
        <f>'R&amp;C-Painel de Controle'!$D$70</f>
        <v>100000</v>
      </c>
      <c r="R41" s="1160"/>
      <c r="S41" s="1141"/>
      <c r="T41" s="1159">
        <v>0.5</v>
      </c>
      <c r="U41" s="304">
        <f>'R&amp;C-Painel de Controle'!$D$70</f>
        <v>100000</v>
      </c>
      <c r="V41" s="1160"/>
      <c r="W41" s="1144"/>
      <c r="X41" s="308"/>
      <c r="Y41" s="308"/>
      <c r="Z41" s="308"/>
      <c r="AA41" s="308"/>
      <c r="AB41" s="153"/>
      <c r="AC41" s="153"/>
      <c r="AD41" s="153"/>
      <c r="AE41" s="153"/>
      <c r="AF41" s="153"/>
      <c r="AG41" s="153"/>
      <c r="AH41" s="153"/>
      <c r="AI41" s="153"/>
      <c r="AJ41" s="153"/>
      <c r="AK41" s="153"/>
      <c r="AL41" s="153"/>
      <c r="AM41" s="153"/>
      <c r="AN41" s="153"/>
      <c r="AO41" s="153"/>
      <c r="AP41" s="153"/>
      <c r="AQ41" s="153"/>
      <c r="AR41" s="153"/>
      <c r="AS41" s="153"/>
      <c r="AT41" s="153"/>
      <c r="AU41" s="153"/>
      <c r="AV41" s="153"/>
      <c r="AW41" s="153"/>
      <c r="AX41" s="153"/>
      <c r="AY41" s="153"/>
      <c r="AZ41" s="153"/>
      <c r="BA41" s="153"/>
      <c r="BB41" s="153"/>
      <c r="BC41" s="153"/>
      <c r="BD41" s="153"/>
      <c r="BE41" s="153"/>
      <c r="BF41" s="153"/>
      <c r="BG41" s="153"/>
      <c r="BH41" s="153"/>
      <c r="BI41" s="153"/>
    </row>
    <row r="42" spans="1:61" s="68" customFormat="1" ht="16.899999999999999" hidden="1" customHeight="1" outlineLevel="1" x14ac:dyDescent="0.25">
      <c r="A42" s="652"/>
      <c r="B42" s="1147" t="s">
        <v>637</v>
      </c>
      <c r="C42" s="652"/>
      <c r="D42" s="1152"/>
      <c r="E42" s="346">
        <v>5</v>
      </c>
      <c r="F42" s="1160"/>
      <c r="G42" s="766"/>
      <c r="H42" s="1152"/>
      <c r="I42" s="346">
        <v>5</v>
      </c>
      <c r="J42" s="1160"/>
      <c r="K42" s="766"/>
      <c r="L42" s="1152"/>
      <c r="M42" s="346">
        <v>5</v>
      </c>
      <c r="N42" s="1160"/>
      <c r="O42" s="766"/>
      <c r="P42" s="1152"/>
      <c r="Q42" s="346">
        <v>5</v>
      </c>
      <c r="R42" s="1160"/>
      <c r="S42" s="766"/>
      <c r="T42" s="1152"/>
      <c r="U42" s="346">
        <v>5</v>
      </c>
      <c r="V42" s="1160"/>
      <c r="W42" s="162"/>
      <c r="X42" s="170"/>
      <c r="Y42" s="170"/>
      <c r="Z42" s="170"/>
      <c r="AA42" s="170"/>
      <c r="AB42" s="152"/>
      <c r="AC42" s="152"/>
      <c r="AD42" s="152"/>
      <c r="AE42" s="152"/>
      <c r="AF42" s="152"/>
      <c r="AG42" s="152"/>
      <c r="AH42" s="152"/>
      <c r="AI42" s="152"/>
      <c r="AJ42" s="152"/>
      <c r="AK42" s="152"/>
      <c r="AL42" s="152"/>
      <c r="AM42" s="152"/>
      <c r="AN42" s="152"/>
      <c r="AO42" s="152"/>
      <c r="AP42" s="152"/>
      <c r="AQ42" s="152"/>
      <c r="AR42" s="152"/>
      <c r="AS42" s="152"/>
      <c r="AT42" s="152"/>
      <c r="AU42" s="152"/>
      <c r="AV42" s="152"/>
      <c r="AW42" s="152"/>
      <c r="AX42" s="152"/>
      <c r="AY42" s="152"/>
      <c r="AZ42" s="152"/>
      <c r="BA42" s="152"/>
      <c r="BB42" s="152"/>
      <c r="BC42" s="152"/>
      <c r="BD42" s="152"/>
      <c r="BE42" s="152"/>
      <c r="BF42" s="152"/>
      <c r="BG42" s="152"/>
      <c r="BH42" s="152"/>
      <c r="BI42" s="152"/>
    </row>
    <row r="43" spans="1:61" s="68" customFormat="1" ht="16.899999999999999" hidden="1" customHeight="1" outlineLevel="1" x14ac:dyDescent="0.25">
      <c r="A43" s="652"/>
      <c r="B43" s="1147" t="s">
        <v>658</v>
      </c>
      <c r="C43" s="652"/>
      <c r="D43" s="1156">
        <v>200000</v>
      </c>
      <c r="E43" s="304">
        <f>(1-'R&amp;C-Painel de Controle'!$D$58)*F43+('R&amp;C-Painel de Controle'!$D$58)*D43</f>
        <v>270000</v>
      </c>
      <c r="F43" s="1157">
        <v>400000</v>
      </c>
      <c r="G43" s="652"/>
      <c r="H43" s="1156">
        <v>200000</v>
      </c>
      <c r="I43" s="304">
        <f>(1-'R&amp;C-Painel de Controle'!$D$58)*J43+('R&amp;C-Painel de Controle'!$D$58)*H43</f>
        <v>270000</v>
      </c>
      <c r="J43" s="1157">
        <v>400000</v>
      </c>
      <c r="K43" s="652"/>
      <c r="L43" s="1156">
        <v>300000</v>
      </c>
      <c r="M43" s="304">
        <f>(1-'R&amp;C-Painel de Controle'!$D$58)*N43+('R&amp;C-Painel de Controle'!$D$58)*L43</f>
        <v>405000</v>
      </c>
      <c r="N43" s="1157">
        <v>600000</v>
      </c>
      <c r="O43" s="652"/>
      <c r="P43" s="1156">
        <v>300000</v>
      </c>
      <c r="Q43" s="304">
        <f>(1-'R&amp;C-Painel de Controle'!$D$58)*R43+('R&amp;C-Painel de Controle'!$D$58)*P43</f>
        <v>405000</v>
      </c>
      <c r="R43" s="1157">
        <v>600000</v>
      </c>
      <c r="S43" s="652"/>
      <c r="T43" s="1156">
        <v>300000</v>
      </c>
      <c r="U43" s="304">
        <f>(1-'R&amp;C-Painel de Controle'!$D$58)*V43+('R&amp;C-Painel de Controle'!$D$58)*T43</f>
        <v>405000</v>
      </c>
      <c r="V43" s="1157">
        <v>600000</v>
      </c>
      <c r="W43" s="162"/>
      <c r="X43" s="170"/>
      <c r="Y43" s="170"/>
      <c r="Z43" s="170"/>
      <c r="AA43" s="170"/>
      <c r="AB43" s="152"/>
      <c r="AC43" s="152"/>
      <c r="AD43" s="152"/>
      <c r="AE43" s="152"/>
      <c r="AF43" s="152"/>
      <c r="AG43" s="152"/>
      <c r="AH43" s="152"/>
      <c r="AI43" s="152"/>
      <c r="AJ43" s="152"/>
      <c r="AK43" s="152"/>
      <c r="AL43" s="152"/>
      <c r="AM43" s="152"/>
      <c r="AN43" s="152"/>
      <c r="AO43" s="152"/>
      <c r="AP43" s="152"/>
      <c r="AQ43" s="152"/>
      <c r="AR43" s="152"/>
      <c r="AS43" s="152"/>
      <c r="AT43" s="152"/>
      <c r="AU43" s="152"/>
      <c r="AV43" s="152"/>
      <c r="AW43" s="152"/>
      <c r="AX43" s="152"/>
      <c r="AY43" s="152"/>
      <c r="AZ43" s="152"/>
      <c r="BA43" s="152"/>
      <c r="BB43" s="152"/>
      <c r="BC43" s="152"/>
      <c r="BD43" s="152"/>
      <c r="BE43" s="152"/>
      <c r="BF43" s="152"/>
      <c r="BG43" s="152"/>
      <c r="BH43" s="152"/>
      <c r="BI43" s="152"/>
    </row>
    <row r="44" spans="1:61" s="68" customFormat="1" ht="17.649999999999999" customHeight="1" collapsed="1" x14ac:dyDescent="0.25">
      <c r="A44" s="1136"/>
      <c r="B44" s="913" t="s">
        <v>390</v>
      </c>
      <c r="C44" s="1136"/>
      <c r="D44" s="1152"/>
      <c r="E44" s="303">
        <f>(IF(E$7="SIM",($H$2*E45*'R&amp;C-Painel de Controle'!$D75+$H$2*E46*'R&amp;C-Painel de Controle'!$D$76+$H$2*E47*'R&amp;C-Painel de Controle'!$D$77+$H$2*E48*'R&amp;C-Painel de Controle'!$D$79+$H$2*E49*'R&amp;C-Painel de Controle'!$D$78+'R-Resumo Bal. Massa'!$G$39*313*E50*'R&amp;C-Painel de Controle'!$D$90)/$H$2+2.5,"-"))</f>
        <v>39.643674625000003</v>
      </c>
      <c r="F44" s="1153">
        <v>0.25</v>
      </c>
      <c r="G44" s="1139"/>
      <c r="H44" s="1172"/>
      <c r="I44" s="303" t="str">
        <f>(IF(I$7="SIM",($H$2*I45*'R&amp;C-Painel de Controle'!$D75+$H$2*I46*'R&amp;C-Painel de Controle'!$D$76+$H$2*I47*'R&amp;C-Painel de Controle'!$D$77+$H$2*I48*'R&amp;C-Painel de Controle'!$D$79+$H$2*I49*'R&amp;C-Painel de Controle'!$D$78+'R-Resumo Bal. Massa'!$G$39*313*I50*'R&amp;C-Painel de Controle'!$D$90)/$H$2+2.5,"-"))</f>
        <v>-</v>
      </c>
      <c r="J44" s="1153">
        <f>F44</f>
        <v>0.25</v>
      </c>
      <c r="K44" s="1139"/>
      <c r="L44" s="1172"/>
      <c r="M44" s="303" t="str">
        <f>(IF(M$7="SIM",($H$2*M45*'R&amp;C-Painel de Controle'!$D75+$H$2*M46*'R&amp;C-Painel de Controle'!$D$76+$H$2*M47*'R&amp;C-Painel de Controle'!$D$77+$H$2*M48*'R&amp;C-Painel de Controle'!$D$79+$H$2*M49*'R&amp;C-Painel de Controle'!$D$78+'R-Resumo Bal. Massa'!$G$39*313*M50*'R&amp;C-Painel de Controle'!$D$90)/$H$2+2.5,"-"))</f>
        <v>-</v>
      </c>
      <c r="N44" s="1153">
        <f>J44</f>
        <v>0.25</v>
      </c>
      <c r="O44" s="1139"/>
      <c r="P44" s="1172"/>
      <c r="Q44" s="303" t="str">
        <f>(IF(Q$7="SIM",($H$2*Q45*'R&amp;C-Painel de Controle'!$D75+$H$2*Q46*'R&amp;C-Painel de Controle'!$D$76+$H$2*Q47*'R&amp;C-Painel de Controle'!$D$77+$H$2*Q48*'R&amp;C-Painel de Controle'!$D$79+$H$2*Q49*'R&amp;C-Painel de Controle'!$D$78+'R-Resumo Bal. Massa'!$G$39*313*Q50*'R&amp;C-Painel de Controle'!$D$90)/$H$2+2.5,"-"))</f>
        <v>-</v>
      </c>
      <c r="R44" s="1153">
        <f>N44</f>
        <v>0.25</v>
      </c>
      <c r="S44" s="1139"/>
      <c r="T44" s="1172"/>
      <c r="U44" s="303" t="str">
        <f>(IF(U$7="SIM",($H$2*U45*'R&amp;C-Painel de Controle'!$D75+$H$2*U46*'R&amp;C-Painel de Controle'!$D$76+$H$2*U47*'R&amp;C-Painel de Controle'!$D$77+$H$2*U48*'R&amp;C-Painel de Controle'!$D$79+$H$2*U49*'R&amp;C-Painel de Controle'!$D$78+'R-Resumo Bal. Massa'!$G$39*313*U50*'R&amp;C-Painel de Controle'!$D$90)/$H$2+2.5,"-"))</f>
        <v>-</v>
      </c>
      <c r="V44" s="1153">
        <f>R44</f>
        <v>0.25</v>
      </c>
      <c r="W44" s="1144"/>
      <c r="X44" s="308"/>
      <c r="Y44" s="308"/>
      <c r="Z44" s="308"/>
      <c r="AA44" s="308"/>
      <c r="AB44" s="153"/>
      <c r="AC44" s="153"/>
      <c r="AD44" s="153"/>
      <c r="AE44" s="153"/>
      <c r="AF44" s="153"/>
      <c r="AG44" s="153"/>
      <c r="AH44" s="153"/>
      <c r="AI44" s="153"/>
      <c r="AJ44" s="153"/>
      <c r="AK44" s="153"/>
      <c r="AL44" s="153"/>
      <c r="AM44" s="153"/>
      <c r="AN44" s="153"/>
      <c r="AO44" s="153"/>
      <c r="AP44" s="153"/>
      <c r="AQ44" s="153"/>
      <c r="AR44" s="153"/>
      <c r="AS44" s="153"/>
      <c r="AT44" s="153"/>
      <c r="AU44" s="153"/>
      <c r="AV44" s="153"/>
      <c r="AW44" s="153"/>
      <c r="AX44" s="153"/>
      <c r="AY44" s="153"/>
      <c r="AZ44" s="153"/>
      <c r="BA44" s="153"/>
      <c r="BB44" s="153"/>
      <c r="BC44" s="153"/>
      <c r="BD44" s="153"/>
      <c r="BE44" s="153"/>
      <c r="BF44" s="153"/>
      <c r="BG44" s="153"/>
      <c r="BH44" s="153"/>
      <c r="BI44" s="153"/>
    </row>
    <row r="45" spans="1:61" s="68" customFormat="1" ht="16.899999999999999" hidden="1" customHeight="1" outlineLevel="1" x14ac:dyDescent="0.25">
      <c r="A45" s="652"/>
      <c r="B45" s="1148" t="s">
        <v>891</v>
      </c>
      <c r="C45" s="652"/>
      <c r="D45" s="1470">
        <v>0.2</v>
      </c>
      <c r="E45" s="349">
        <f>(1-'R&amp;C-Painel de Controle'!$D$58)*F45+('R&amp;C-Painel de Controle'!$D$58)*D45</f>
        <v>0.2175</v>
      </c>
      <c r="F45" s="1471">
        <f>D45*(1+F$44)</f>
        <v>0.25</v>
      </c>
      <c r="G45" s="1140"/>
      <c r="H45" s="1161">
        <f t="shared" ref="H45:H50" si="0">D45</f>
        <v>0.2</v>
      </c>
      <c r="I45" s="349">
        <f>(1-'R&amp;C-Painel de Controle'!$D$58)*J45+('R&amp;C-Painel de Controle'!$D$58)*H45</f>
        <v>0.2175</v>
      </c>
      <c r="J45" s="1162">
        <f>H45*(1+J$44)</f>
        <v>0.25</v>
      </c>
      <c r="K45" s="1140"/>
      <c r="L45" s="1161">
        <f t="shared" ref="L45:L50" si="1">H45</f>
        <v>0.2</v>
      </c>
      <c r="M45" s="349">
        <f>(1-'R&amp;C-Painel de Controle'!$D$58)*N45+('R&amp;C-Painel de Controle'!$D$58)*L45</f>
        <v>0.2175</v>
      </c>
      <c r="N45" s="1162">
        <f>L45*(1+N$44)</f>
        <v>0.25</v>
      </c>
      <c r="O45" s="1140"/>
      <c r="P45" s="1161">
        <f t="shared" ref="P45:P50" si="2">L45</f>
        <v>0.2</v>
      </c>
      <c r="Q45" s="349">
        <f>(1-'R&amp;C-Painel de Controle'!$D$58)*R45+('R&amp;C-Painel de Controle'!$D$58)*P45</f>
        <v>0.2175</v>
      </c>
      <c r="R45" s="1162">
        <f>P45*(1+R$44)</f>
        <v>0.25</v>
      </c>
      <c r="S45" s="1140"/>
      <c r="T45" s="1161">
        <f t="shared" ref="T45:T50" si="3">P45</f>
        <v>0.2</v>
      </c>
      <c r="U45" s="349">
        <f>(1-'R&amp;C-Painel de Controle'!$D$58)*V45+('R&amp;C-Painel de Controle'!$D$58)*T45</f>
        <v>0.2175</v>
      </c>
      <c r="V45" s="1162">
        <f>T45*(1+V$44)</f>
        <v>0.25</v>
      </c>
      <c r="W45" s="162"/>
      <c r="X45" s="170"/>
      <c r="Y45" s="170"/>
      <c r="Z45" s="170"/>
      <c r="AA45" s="170"/>
      <c r="AB45" s="152"/>
      <c r="AC45" s="152"/>
      <c r="AD45" s="152"/>
      <c r="AE45" s="152"/>
      <c r="AF45" s="152"/>
      <c r="AG45" s="152"/>
      <c r="AH45" s="152"/>
      <c r="AI45" s="152"/>
      <c r="AJ45" s="152"/>
      <c r="AK45" s="152"/>
      <c r="AL45" s="152"/>
      <c r="AM45" s="152"/>
      <c r="AN45" s="152"/>
      <c r="AO45" s="152"/>
      <c r="AP45" s="152"/>
      <c r="AQ45" s="152"/>
      <c r="AR45" s="152"/>
      <c r="AS45" s="152"/>
      <c r="AT45" s="152"/>
      <c r="AU45" s="152"/>
      <c r="AV45" s="152"/>
      <c r="AW45" s="152"/>
      <c r="AX45" s="152"/>
      <c r="AY45" s="152"/>
      <c r="AZ45" s="152"/>
      <c r="BA45" s="152"/>
      <c r="BB45" s="152"/>
      <c r="BC45" s="152"/>
      <c r="BD45" s="152"/>
      <c r="BE45" s="152"/>
      <c r="BF45" s="152"/>
      <c r="BG45" s="152"/>
      <c r="BH45" s="152"/>
      <c r="BI45" s="152"/>
    </row>
    <row r="46" spans="1:61" s="68" customFormat="1" ht="16.899999999999999" hidden="1" customHeight="1" outlineLevel="1" x14ac:dyDescent="0.25">
      <c r="A46" s="652"/>
      <c r="B46" s="1148" t="s">
        <v>892</v>
      </c>
      <c r="C46" s="652"/>
      <c r="D46" s="1819">
        <v>16.524999999999999</v>
      </c>
      <c r="E46" s="349">
        <f>(1-'R&amp;C-Painel de Controle'!$D$58)*F46+('R&amp;C-Painel de Controle'!$D$58)*D46</f>
        <v>17.970937499999998</v>
      </c>
      <c r="F46" s="1158">
        <f>D46*(1+F$44)</f>
        <v>20.65625</v>
      </c>
      <c r="G46" s="1140"/>
      <c r="H46" s="1819">
        <f t="shared" si="0"/>
        <v>16.524999999999999</v>
      </c>
      <c r="I46" s="349">
        <f>(1-'R&amp;C-Painel de Controle'!$D$58)*J46+('R&amp;C-Painel de Controle'!$D$58)*H46</f>
        <v>17.970937499999998</v>
      </c>
      <c r="J46" s="1158">
        <f>H46*(1+J$44)</f>
        <v>20.65625</v>
      </c>
      <c r="K46" s="1140"/>
      <c r="L46" s="1819">
        <f t="shared" si="1"/>
        <v>16.524999999999999</v>
      </c>
      <c r="M46" s="349">
        <f>(1-'R&amp;C-Painel de Controle'!$D$58)*N46+('R&amp;C-Painel de Controle'!$D$58)*L46</f>
        <v>17.970937499999998</v>
      </c>
      <c r="N46" s="1158">
        <f>L46*(1+N$44)</f>
        <v>20.65625</v>
      </c>
      <c r="O46" s="1140"/>
      <c r="P46" s="1819">
        <f t="shared" si="2"/>
        <v>16.524999999999999</v>
      </c>
      <c r="Q46" s="349">
        <f>(1-'R&amp;C-Painel de Controle'!$D$58)*R46+('R&amp;C-Painel de Controle'!$D$58)*P46</f>
        <v>17.970937499999998</v>
      </c>
      <c r="R46" s="1158">
        <f>P46*(1+R$44)</f>
        <v>20.65625</v>
      </c>
      <c r="S46" s="1140"/>
      <c r="T46" s="1819">
        <f t="shared" si="3"/>
        <v>16.524999999999999</v>
      </c>
      <c r="U46" s="349">
        <f>(1-'R&amp;C-Painel de Controle'!$D$58)*V46+('R&amp;C-Painel de Controle'!$D$58)*T46</f>
        <v>17.970937499999998</v>
      </c>
      <c r="V46" s="1158">
        <f>T46*(1+V$44)</f>
        <v>20.65625</v>
      </c>
      <c r="W46" s="162"/>
      <c r="X46" s="170"/>
      <c r="Y46" s="170"/>
      <c r="Z46" s="170"/>
      <c r="AA46" s="170"/>
      <c r="AB46" s="152"/>
      <c r="AC46" s="152"/>
      <c r="AD46" s="152"/>
      <c r="AE46" s="152"/>
      <c r="AF46" s="152"/>
      <c r="AG46" s="152"/>
      <c r="AH46" s="152"/>
      <c r="AI46" s="152"/>
      <c r="AJ46" s="152"/>
      <c r="AK46" s="152"/>
      <c r="AL46" s="152"/>
      <c r="AM46" s="152"/>
      <c r="AN46" s="152"/>
      <c r="AO46" s="152"/>
      <c r="AP46" s="152"/>
      <c r="AQ46" s="152"/>
      <c r="AR46" s="152"/>
      <c r="AS46" s="152"/>
      <c r="AT46" s="152"/>
      <c r="AU46" s="152"/>
      <c r="AV46" s="152"/>
      <c r="AW46" s="152"/>
      <c r="AX46" s="152"/>
      <c r="AY46" s="152"/>
      <c r="AZ46" s="152"/>
      <c r="BA46" s="152"/>
      <c r="BB46" s="152"/>
      <c r="BC46" s="152"/>
      <c r="BD46" s="152"/>
      <c r="BE46" s="152"/>
      <c r="BF46" s="152"/>
      <c r="BG46" s="152"/>
      <c r="BH46" s="152"/>
      <c r="BI46" s="152"/>
    </row>
    <row r="47" spans="1:61" s="68" customFormat="1" ht="16.899999999999999" hidden="1" customHeight="1" outlineLevel="1" x14ac:dyDescent="0.25">
      <c r="A47" s="652"/>
      <c r="B47" s="1148" t="s">
        <v>893</v>
      </c>
      <c r="C47" s="652"/>
      <c r="D47" s="1822">
        <v>0.214</v>
      </c>
      <c r="E47" s="1472">
        <f>(1-'R&amp;C-Painel de Controle'!$D$58)*F47+('R&amp;C-Painel de Controle'!$D$58)*D47</f>
        <v>0.23272500000000002</v>
      </c>
      <c r="F47" s="1823">
        <f>D47*(1+F$44)</f>
        <v>0.26750000000000002</v>
      </c>
      <c r="G47" s="1140"/>
      <c r="H47" s="1819">
        <f t="shared" si="0"/>
        <v>0.214</v>
      </c>
      <c r="I47" s="1472">
        <f>(1-'R&amp;C-Painel de Controle'!$D$58)*J47+('R&amp;C-Painel de Controle'!$D$58)*H47</f>
        <v>0.23272500000000002</v>
      </c>
      <c r="J47" s="1158">
        <f>H47*(1+J$44)</f>
        <v>0.26750000000000002</v>
      </c>
      <c r="K47" s="1140"/>
      <c r="L47" s="1819">
        <f t="shared" si="1"/>
        <v>0.214</v>
      </c>
      <c r="M47" s="1472">
        <f>(1-'R&amp;C-Painel de Controle'!$D$58)*N47+('R&amp;C-Painel de Controle'!$D$58)*L47</f>
        <v>0.23272500000000002</v>
      </c>
      <c r="N47" s="1158">
        <f>L47*(1+N$44)</f>
        <v>0.26750000000000002</v>
      </c>
      <c r="O47" s="1140"/>
      <c r="P47" s="1819">
        <f t="shared" si="2"/>
        <v>0.214</v>
      </c>
      <c r="Q47" s="1472">
        <f>(1-'R&amp;C-Painel de Controle'!$D$58)*R47+('R&amp;C-Painel de Controle'!$D$58)*P47</f>
        <v>0.23272500000000002</v>
      </c>
      <c r="R47" s="1158">
        <f>P47*(1+R$44)</f>
        <v>0.26750000000000002</v>
      </c>
      <c r="S47" s="1140"/>
      <c r="T47" s="1819">
        <f t="shared" si="3"/>
        <v>0.214</v>
      </c>
      <c r="U47" s="1472">
        <f>(1-'R&amp;C-Painel de Controle'!$D$58)*V47+('R&amp;C-Painel de Controle'!$D$58)*T47</f>
        <v>0.23272500000000002</v>
      </c>
      <c r="V47" s="1158">
        <f>T47*(1+V$44)</f>
        <v>0.26750000000000002</v>
      </c>
      <c r="W47" s="162"/>
      <c r="X47" s="170"/>
      <c r="Y47" s="170"/>
      <c r="Z47" s="170"/>
      <c r="AA47" s="170"/>
      <c r="AB47" s="152"/>
      <c r="AC47" s="152"/>
      <c r="AD47" s="152"/>
      <c r="AE47" s="152"/>
      <c r="AF47" s="152"/>
      <c r="AG47" s="152"/>
      <c r="AH47" s="152"/>
      <c r="AI47" s="152"/>
      <c r="AJ47" s="152"/>
      <c r="AK47" s="152"/>
      <c r="AL47" s="152"/>
      <c r="AM47" s="152"/>
      <c r="AN47" s="152"/>
      <c r="AO47" s="152"/>
      <c r="AP47" s="152"/>
      <c r="AQ47" s="152"/>
      <c r="AR47" s="152"/>
      <c r="AS47" s="152"/>
      <c r="AT47" s="152"/>
      <c r="AU47" s="152"/>
      <c r="AV47" s="152"/>
      <c r="AW47" s="152"/>
      <c r="AX47" s="152"/>
      <c r="AY47" s="152"/>
      <c r="AZ47" s="152"/>
      <c r="BA47" s="152"/>
      <c r="BB47" s="152"/>
      <c r="BC47" s="152"/>
      <c r="BD47" s="152"/>
      <c r="BE47" s="152"/>
      <c r="BF47" s="152"/>
      <c r="BG47" s="152"/>
      <c r="BH47" s="152"/>
      <c r="BI47" s="152"/>
    </row>
    <row r="48" spans="1:61" s="68" customFormat="1" ht="16.899999999999999" hidden="1" customHeight="1" outlineLevel="1" x14ac:dyDescent="0.25">
      <c r="A48" s="652"/>
      <c r="B48" s="1148" t="s">
        <v>890</v>
      </c>
      <c r="C48" s="652"/>
      <c r="D48" s="1161">
        <v>0.2</v>
      </c>
      <c r="E48" s="349">
        <f>(1-'R&amp;C-Painel de Controle'!$D$58)*F48+('R&amp;C-Painel de Controle'!$D$58)*D48</f>
        <v>0.22275</v>
      </c>
      <c r="F48" s="1162">
        <f>D48*(1+F$44+0.075)</f>
        <v>0.26500000000000001</v>
      </c>
      <c r="G48" s="1140"/>
      <c r="H48" s="1161">
        <f t="shared" si="0"/>
        <v>0.2</v>
      </c>
      <c r="I48" s="349">
        <f>(1-'R&amp;C-Painel de Controle'!$D$58)*J48+('R&amp;C-Painel de Controle'!$D$58)*H48</f>
        <v>0.22275</v>
      </c>
      <c r="J48" s="1162">
        <f>H48*(1+J$44+0.075)</f>
        <v>0.26500000000000001</v>
      </c>
      <c r="K48" s="1140"/>
      <c r="L48" s="1161">
        <f t="shared" si="1"/>
        <v>0.2</v>
      </c>
      <c r="M48" s="349">
        <f>(1-'R&amp;C-Painel de Controle'!$D$58)*N48+('R&amp;C-Painel de Controle'!$D$58)*L48</f>
        <v>0.22275</v>
      </c>
      <c r="N48" s="1162">
        <f>L48*(1+N$44+0.075)</f>
        <v>0.26500000000000001</v>
      </c>
      <c r="O48" s="1140"/>
      <c r="P48" s="1161">
        <f t="shared" si="2"/>
        <v>0.2</v>
      </c>
      <c r="Q48" s="349">
        <f>(1-'R&amp;C-Painel de Controle'!$D$58)*R48+('R&amp;C-Painel de Controle'!$D$58)*P48</f>
        <v>0.22275</v>
      </c>
      <c r="R48" s="1162">
        <f>P48*(1+R$44+0.075)</f>
        <v>0.26500000000000001</v>
      </c>
      <c r="S48" s="1140"/>
      <c r="T48" s="1161">
        <f t="shared" si="3"/>
        <v>0.2</v>
      </c>
      <c r="U48" s="349">
        <f>(1-'R&amp;C-Painel de Controle'!$D$58)*V48+('R&amp;C-Painel de Controle'!$D$58)*T48</f>
        <v>0.22275</v>
      </c>
      <c r="V48" s="1162">
        <f>T48*(1+V$44+0.075)</f>
        <v>0.26500000000000001</v>
      </c>
      <c r="W48" s="162"/>
      <c r="X48" s="170"/>
      <c r="Y48" s="170"/>
      <c r="Z48" s="170"/>
      <c r="AA48" s="170"/>
      <c r="AB48" s="152"/>
      <c r="AC48" s="152"/>
      <c r="AD48" s="152"/>
      <c r="AE48" s="152"/>
      <c r="AF48" s="152"/>
      <c r="AG48" s="152"/>
      <c r="AH48" s="152"/>
      <c r="AI48" s="152"/>
      <c r="AJ48" s="152"/>
      <c r="AK48" s="152"/>
      <c r="AL48" s="152"/>
      <c r="AM48" s="152"/>
      <c r="AN48" s="152"/>
      <c r="AO48" s="152"/>
      <c r="AP48" s="152"/>
      <c r="AQ48" s="152"/>
      <c r="AR48" s="152"/>
      <c r="AS48" s="152"/>
      <c r="AT48" s="152"/>
      <c r="AU48" s="152"/>
      <c r="AV48" s="152"/>
      <c r="AW48" s="152"/>
      <c r="AX48" s="152"/>
      <c r="AY48" s="152"/>
      <c r="AZ48" s="152"/>
      <c r="BA48" s="152"/>
      <c r="BB48" s="152"/>
      <c r="BC48" s="152"/>
      <c r="BD48" s="152"/>
      <c r="BE48" s="152"/>
      <c r="BF48" s="152"/>
      <c r="BG48" s="152"/>
      <c r="BH48" s="152"/>
      <c r="BI48" s="152"/>
    </row>
    <row r="49" spans="1:61" s="68" customFormat="1" ht="16.899999999999999" hidden="1" customHeight="1" outlineLevel="1" x14ac:dyDescent="0.25">
      <c r="A49" s="652"/>
      <c r="B49" s="1148" t="s">
        <v>1021</v>
      </c>
      <c r="C49" s="652"/>
      <c r="D49" s="1819">
        <v>0.61199999999999999</v>
      </c>
      <c r="E49" s="349">
        <f>(1-'R&amp;C-Painel de Controle'!$D$58)*F49+('R&amp;C-Painel de Controle'!$D$58)*D49</f>
        <v>0.68161499999999997</v>
      </c>
      <c r="F49" s="1158">
        <f>D49*(1+F$44+0.075)</f>
        <v>0.81089999999999995</v>
      </c>
      <c r="G49" s="1140"/>
      <c r="H49" s="1819">
        <f t="shared" si="0"/>
        <v>0.61199999999999999</v>
      </c>
      <c r="I49" s="349">
        <f>(1-'R&amp;C-Painel de Controle'!$D$58)*J49+('R&amp;C-Painel de Controle'!$D$58)*H49</f>
        <v>0.68161499999999997</v>
      </c>
      <c r="J49" s="1158">
        <f>H49*(1+J$44+0.075)</f>
        <v>0.81089999999999995</v>
      </c>
      <c r="K49" s="1140"/>
      <c r="L49" s="1819">
        <f t="shared" si="1"/>
        <v>0.61199999999999999</v>
      </c>
      <c r="M49" s="349">
        <f>(1-'R&amp;C-Painel de Controle'!$D$58)*N49+('R&amp;C-Painel de Controle'!$D$58)*L49</f>
        <v>0.68161499999999997</v>
      </c>
      <c r="N49" s="1158">
        <f>L49*(1+N$44+0.075)</f>
        <v>0.81089999999999995</v>
      </c>
      <c r="O49" s="1140"/>
      <c r="P49" s="1819">
        <f t="shared" si="2"/>
        <v>0.61199999999999999</v>
      </c>
      <c r="Q49" s="349">
        <f>(1-'R&amp;C-Painel de Controle'!$D$58)*R49+('R&amp;C-Painel de Controle'!$D$58)*P49</f>
        <v>0.68161499999999997</v>
      </c>
      <c r="R49" s="1158">
        <f>P49*(1+R$44+0.075)</f>
        <v>0.81089999999999995</v>
      </c>
      <c r="S49" s="1140"/>
      <c r="T49" s="1819">
        <f t="shared" si="3"/>
        <v>0.61199999999999999</v>
      </c>
      <c r="U49" s="349">
        <f>(1-'R&amp;C-Painel de Controle'!$D$58)*V49+('R&amp;C-Painel de Controle'!$D$58)*T49</f>
        <v>0.68161499999999997</v>
      </c>
      <c r="V49" s="1158">
        <f>T49*(1+V$44+0.075)</f>
        <v>0.81089999999999995</v>
      </c>
      <c r="W49" s="162"/>
      <c r="X49" s="170"/>
      <c r="Y49" s="170"/>
      <c r="Z49" s="170"/>
      <c r="AA49" s="170"/>
      <c r="AB49" s="152"/>
      <c r="AC49" s="152"/>
      <c r="AD49" s="152"/>
      <c r="AE49" s="152"/>
      <c r="AF49" s="152"/>
      <c r="AG49" s="152"/>
      <c r="AH49" s="152"/>
      <c r="AI49" s="152"/>
      <c r="AJ49" s="152"/>
      <c r="AK49" s="152"/>
      <c r="AL49" s="152"/>
      <c r="AM49" s="152"/>
      <c r="AN49" s="152"/>
      <c r="AO49" s="152"/>
      <c r="AP49" s="152"/>
      <c r="AQ49" s="152"/>
      <c r="AR49" s="152"/>
      <c r="AS49" s="152"/>
      <c r="AT49" s="152"/>
      <c r="AU49" s="152"/>
      <c r="AV49" s="152"/>
      <c r="AW49" s="152"/>
      <c r="AX49" s="152"/>
      <c r="AY49" s="152"/>
      <c r="AZ49" s="152"/>
      <c r="BA49" s="152"/>
      <c r="BB49" s="152"/>
      <c r="BC49" s="152"/>
      <c r="BD49" s="152"/>
      <c r="BE49" s="152"/>
      <c r="BF49" s="152"/>
      <c r="BG49" s="152"/>
      <c r="BH49" s="152"/>
      <c r="BI49" s="152"/>
    </row>
    <row r="50" spans="1:61" s="68" customFormat="1" ht="16.899999999999999" hidden="1" customHeight="1" outlineLevel="1" x14ac:dyDescent="0.25">
      <c r="A50" s="1136"/>
      <c r="B50" s="1148" t="s">
        <v>401</v>
      </c>
      <c r="C50" s="652"/>
      <c r="D50" s="1159">
        <v>0.2</v>
      </c>
      <c r="E50" s="346">
        <f>(1-'R&amp;C-Painel de Controle'!$D$58)*F50+('R&amp;C-Painel de Controle'!$D$58)*D50</f>
        <v>0.2175</v>
      </c>
      <c r="F50" s="1163">
        <f>D50*(1+F$44)</f>
        <v>0.25</v>
      </c>
      <c r="G50" s="766"/>
      <c r="H50" s="1173">
        <f t="shared" si="0"/>
        <v>0.2</v>
      </c>
      <c r="I50" s="346">
        <f>(1-'R&amp;C-Painel de Controle'!$D$58)*J50+('R&amp;C-Painel de Controle'!$D$58)*H50</f>
        <v>0.2175</v>
      </c>
      <c r="J50" s="1163">
        <f>H50*(1+J$44)</f>
        <v>0.25</v>
      </c>
      <c r="K50" s="766"/>
      <c r="L50" s="1173">
        <f t="shared" si="1"/>
        <v>0.2</v>
      </c>
      <c r="M50" s="346">
        <f>(1-'R&amp;C-Painel de Controle'!$D$58)*N50+('R&amp;C-Painel de Controle'!$D$58)*L50</f>
        <v>0.2175</v>
      </c>
      <c r="N50" s="1163">
        <f>L50*(1+N$44)</f>
        <v>0.25</v>
      </c>
      <c r="O50" s="766"/>
      <c r="P50" s="1173">
        <f t="shared" si="2"/>
        <v>0.2</v>
      </c>
      <c r="Q50" s="346">
        <f>(1-'R&amp;C-Painel de Controle'!$D$58)*R50+('R&amp;C-Painel de Controle'!$D$58)*P50</f>
        <v>0.2175</v>
      </c>
      <c r="R50" s="1153">
        <v>0.25</v>
      </c>
      <c r="S50" s="766"/>
      <c r="T50" s="1173">
        <f t="shared" si="3"/>
        <v>0.2</v>
      </c>
      <c r="U50" s="346">
        <f>(1-'R&amp;C-Painel de Controle'!$D$58)*V50+('R&amp;C-Painel de Controle'!$D$58)*T50</f>
        <v>0.2175</v>
      </c>
      <c r="V50" s="1153">
        <v>0.25</v>
      </c>
      <c r="W50" s="1144"/>
      <c r="X50" s="308"/>
      <c r="Y50" s="308"/>
      <c r="Z50" s="308"/>
      <c r="AA50" s="308"/>
      <c r="AB50" s="153"/>
      <c r="AC50" s="153"/>
      <c r="AD50" s="153"/>
      <c r="AE50" s="153"/>
      <c r="AF50" s="153"/>
      <c r="AG50" s="153"/>
      <c r="AH50" s="153"/>
      <c r="AI50" s="153"/>
      <c r="AJ50" s="153"/>
      <c r="AK50" s="153"/>
      <c r="AL50" s="153"/>
      <c r="AM50" s="153"/>
      <c r="AN50" s="153"/>
      <c r="AO50" s="153"/>
      <c r="AP50" s="153"/>
      <c r="AQ50" s="153"/>
      <c r="AR50" s="153"/>
      <c r="AS50" s="153"/>
      <c r="AT50" s="153"/>
      <c r="AU50" s="153"/>
      <c r="AV50" s="153"/>
      <c r="AW50" s="153"/>
      <c r="AX50" s="153"/>
      <c r="AY50" s="153"/>
      <c r="AZ50" s="153"/>
      <c r="BA50" s="153"/>
      <c r="BB50" s="153"/>
      <c r="BC50" s="153"/>
      <c r="BD50" s="153"/>
      <c r="BE50" s="153"/>
      <c r="BF50" s="153"/>
      <c r="BG50" s="153"/>
      <c r="BH50" s="153"/>
      <c r="BI50" s="153"/>
    </row>
    <row r="51" spans="1:61" s="1121" customFormat="1" ht="19.899999999999999" customHeight="1" x14ac:dyDescent="0.3">
      <c r="A51" s="1137"/>
      <c r="B51" s="1149" t="s">
        <v>386</v>
      </c>
      <c r="C51" s="1137"/>
      <c r="D51" s="1481">
        <v>2.5000000000000001E-2</v>
      </c>
      <c r="E51" s="1118">
        <f>(IF(E$7="SIM",(1-'R&amp;C-Painel de Controle'!$D$58)*(E29+E34+E37+E40+E44)*(1+F51)+('R&amp;C-Painel de Controle'!$D$58)*(E29+E34+E37+E40+E44)*(1+D51),"-"))</f>
        <v>754.3688625628829</v>
      </c>
      <c r="F51" s="1164">
        <v>0.05</v>
      </c>
      <c r="G51" s="1142"/>
      <c r="H51" s="1481">
        <v>2.5000000000000001E-2</v>
      </c>
      <c r="I51" s="1118" t="str">
        <f>(IF(I$7="SIM",(1-'R&amp;C-Painel de Controle'!$D$58)*(I29+I34+I37+I40+I44)*(1+J51)+('R&amp;C-Painel de Controle'!$D$58)*(I29+I34+I37+I40+I44)*(1+H51),"-"))</f>
        <v>-</v>
      </c>
      <c r="J51" s="1164">
        <v>0.1</v>
      </c>
      <c r="K51" s="1142"/>
      <c r="L51" s="1481">
        <v>2.5000000000000001E-2</v>
      </c>
      <c r="M51" s="1118" t="str">
        <f>(IF(M$7="SIM",(1-'R&amp;C-Painel de Controle'!$D$58)*(M29+M34+M37+M40+M44)*(1+N51)+('R&amp;C-Painel de Controle'!$D$58)*(M29+M34+M37+M40+M44)*(1+L51),"-"))</f>
        <v>-</v>
      </c>
      <c r="N51" s="1164">
        <v>0.1</v>
      </c>
      <c r="O51" s="1142"/>
      <c r="P51" s="1481">
        <v>2.5000000000000001E-2</v>
      </c>
      <c r="Q51" s="1118" t="str">
        <f>(IF(Q$7="SIM",(1-'R&amp;C-Painel de Controle'!$D$58)*(Q29+Q34+Q37+Q40+Q44)*(1+R51)+('R&amp;C-Painel de Controle'!$D$58)*(Q29+Q34+Q37+Q40+Q44)*(1+P51),"-"))</f>
        <v>-</v>
      </c>
      <c r="R51" s="1164">
        <v>0.1</v>
      </c>
      <c r="S51" s="1142"/>
      <c r="T51" s="1481">
        <v>2.5000000000000001E-2</v>
      </c>
      <c r="U51" s="1118" t="str">
        <f>(IF(U$7="SIM",(1-'R&amp;C-Painel de Controle'!$D$58)*(U29+U34+U37+U40+U44)*(1+V51)+('R&amp;C-Painel de Controle'!$D$58)*(U29+U34+U37+U40+U44)*(1+T51),"-"))</f>
        <v>-</v>
      </c>
      <c r="V51" s="1164">
        <v>0.1</v>
      </c>
      <c r="W51" s="1145"/>
      <c r="X51" s="1119"/>
      <c r="Y51" s="1119"/>
      <c r="Z51" s="1119"/>
      <c r="AA51" s="1119"/>
      <c r="AB51" s="1120"/>
      <c r="AC51" s="1120"/>
      <c r="AD51" s="1120"/>
      <c r="AE51" s="1120"/>
      <c r="AF51" s="1120"/>
      <c r="AG51" s="1120"/>
      <c r="AH51" s="1120"/>
      <c r="AI51" s="1120"/>
      <c r="AJ51" s="1120"/>
      <c r="AK51" s="1120"/>
      <c r="AL51" s="1120"/>
      <c r="AM51" s="1120"/>
      <c r="AN51" s="1120"/>
      <c r="AO51" s="1120"/>
      <c r="AP51" s="1120"/>
      <c r="AQ51" s="1120"/>
      <c r="AR51" s="1120"/>
      <c r="AS51" s="1120"/>
      <c r="AT51" s="1120"/>
      <c r="AU51" s="1120"/>
      <c r="AV51" s="1120"/>
      <c r="AW51" s="1120"/>
      <c r="AX51" s="1120"/>
      <c r="AY51" s="1120"/>
      <c r="AZ51" s="1120"/>
      <c r="BA51" s="1120"/>
      <c r="BB51" s="1120"/>
      <c r="BC51" s="1120"/>
      <c r="BD51" s="1120"/>
      <c r="BE51" s="1120"/>
      <c r="BF51" s="1120"/>
      <c r="BG51" s="1120"/>
      <c r="BH51" s="1120"/>
      <c r="BI51" s="1120"/>
    </row>
    <row r="52" spans="1:61" s="1121" customFormat="1" ht="19.899999999999999" customHeight="1" x14ac:dyDescent="0.3">
      <c r="A52" s="1137"/>
      <c r="B52" s="1149" t="s">
        <v>387</v>
      </c>
      <c r="C52" s="1137"/>
      <c r="D52" s="1165"/>
      <c r="E52" s="1122">
        <f>(IF(E$7="SIM",E51*$H$2/1000000,"-"))</f>
        <v>17.26912898224051</v>
      </c>
      <c r="F52" s="1166"/>
      <c r="G52" s="1137"/>
      <c r="H52" s="1165"/>
      <c r="I52" s="1122" t="str">
        <f>(IF(I$7="SIM",I51*$H$2/1000000,"-"))</f>
        <v>-</v>
      </c>
      <c r="J52" s="1166"/>
      <c r="K52" s="1137"/>
      <c r="L52" s="1165"/>
      <c r="M52" s="1122" t="str">
        <f>(IF(M$7="SIM",M51*$H$2/1000000,"-"))</f>
        <v>-</v>
      </c>
      <c r="N52" s="1166"/>
      <c r="O52" s="1137"/>
      <c r="P52" s="1165"/>
      <c r="Q52" s="1122" t="str">
        <f>(IF(Q$7="SIM",Q51*$H$2/1000000,"-"))</f>
        <v>-</v>
      </c>
      <c r="R52" s="1166"/>
      <c r="S52" s="1137"/>
      <c r="T52" s="1165"/>
      <c r="U52" s="1122" t="str">
        <f>(IF(U$7="SIM",U51*$H$2/1000000,"-"))</f>
        <v>-</v>
      </c>
      <c r="V52" s="1166"/>
      <c r="W52" s="1145"/>
      <c r="X52" s="1119"/>
      <c r="Y52" s="1119"/>
      <c r="Z52" s="1119"/>
      <c r="AA52" s="1119"/>
      <c r="AB52" s="1120"/>
      <c r="AC52" s="1120"/>
      <c r="AD52" s="1120"/>
      <c r="AE52" s="1120"/>
      <c r="AF52" s="1120"/>
      <c r="AG52" s="1120"/>
      <c r="AH52" s="1120"/>
      <c r="AI52" s="1120"/>
      <c r="AJ52" s="1120"/>
      <c r="AK52" s="1120"/>
      <c r="AL52" s="1120"/>
      <c r="AM52" s="1120"/>
      <c r="AN52" s="1120"/>
      <c r="AO52" s="1120"/>
      <c r="AP52" s="1120"/>
      <c r="AQ52" s="1120"/>
      <c r="AR52" s="1120"/>
      <c r="AS52" s="1120"/>
      <c r="AT52" s="1120"/>
      <c r="AU52" s="1120"/>
      <c r="AV52" s="1120"/>
      <c r="AW52" s="1120"/>
      <c r="AX52" s="1120"/>
      <c r="AY52" s="1120"/>
      <c r="AZ52" s="1120"/>
      <c r="BA52" s="1120"/>
      <c r="BB52" s="1120"/>
      <c r="BC52" s="1120"/>
      <c r="BD52" s="1120"/>
      <c r="BE52" s="1120"/>
      <c r="BF52" s="1120"/>
      <c r="BG52" s="1120"/>
      <c r="BH52" s="1120"/>
      <c r="BI52" s="1120"/>
    </row>
    <row r="53" spans="1:61" s="1116" customFormat="1" ht="16.899999999999999" customHeight="1" x14ac:dyDescent="0.25">
      <c r="A53" s="1138"/>
      <c r="B53" s="1150" t="s">
        <v>388</v>
      </c>
      <c r="C53" s="1138"/>
      <c r="D53" s="1167"/>
      <c r="E53" s="1132">
        <f>(IF(E$7="SIM",(((E29*$H$2/12)+(E36/1000*'R&amp;C-Painel de Controle'!$D$69*12)+(E39*12)+((E41*E42)+E43)*12))/1000000,"-"))</f>
        <v>10.684732442826725</v>
      </c>
      <c r="F53" s="1168"/>
      <c r="G53" s="1138"/>
      <c r="H53" s="1167"/>
      <c r="I53" s="1132" t="str">
        <f>(IF(I$7="SIM",(((I29*$H$2/12)+(I36/1000*'R&amp;C-Painel de Controle'!$D$69*12)+(I39*12)+((I41*I42)+I43)*12))/1000000,"-"))</f>
        <v>-</v>
      </c>
      <c r="J53" s="1168"/>
      <c r="K53" s="1138"/>
      <c r="L53" s="1167"/>
      <c r="M53" s="1132" t="str">
        <f>(IF(M$7="SIM",(((M29*$H$2/12)+(M36/1000*'R&amp;C-Painel de Controle'!$D$69*12)+(M39*12)+((M41*M42)+M43)*12))/1000000,"-"))</f>
        <v>-</v>
      </c>
      <c r="N53" s="1168"/>
      <c r="O53" s="1138"/>
      <c r="P53" s="1167"/>
      <c r="Q53" s="1132" t="str">
        <f>(IF(Q$7="SIM",(((Q29*$H$2/12)+(Q36/1000*'R&amp;C-Painel de Controle'!$D$69*12)+(Q39*12)+((Q41*Q42)+Q43)*12))/1000000,"-"))</f>
        <v>-</v>
      </c>
      <c r="R53" s="1168"/>
      <c r="S53" s="1138"/>
      <c r="T53" s="1167"/>
      <c r="U53" s="1132" t="str">
        <f>(IF(U$7="SIM",(((U29*$H$2/12)+(U36/1000*'R&amp;C-Painel de Controle'!$D$69*12)+(U39*12)+((U41*U42)+U43)*12))/1000000,"-"))</f>
        <v>-</v>
      </c>
      <c r="V53" s="1168"/>
      <c r="W53" s="1146"/>
      <c r="X53" s="1128"/>
      <c r="Y53" s="1128"/>
      <c r="Z53" s="1128"/>
      <c r="AA53" s="1128"/>
      <c r="AB53" s="1117"/>
      <c r="AC53" s="1117"/>
      <c r="AD53" s="1117"/>
      <c r="AE53" s="1117"/>
      <c r="AF53" s="1117"/>
      <c r="AG53" s="1117"/>
      <c r="AH53" s="1117"/>
      <c r="AI53" s="1117"/>
      <c r="AJ53" s="1117"/>
      <c r="AK53" s="1117"/>
      <c r="AL53" s="1117"/>
      <c r="AM53" s="1117"/>
      <c r="AN53" s="1117"/>
      <c r="AO53" s="1117"/>
      <c r="AP53" s="1117"/>
      <c r="AQ53" s="1117"/>
      <c r="AR53" s="1117"/>
      <c r="AS53" s="1117"/>
      <c r="AT53" s="1117"/>
      <c r="AU53" s="1117"/>
      <c r="AV53" s="1117"/>
      <c r="AW53" s="1117"/>
      <c r="AX53" s="1117"/>
      <c r="AY53" s="1117"/>
      <c r="AZ53" s="1117"/>
      <c r="BA53" s="1117"/>
      <c r="BB53" s="1117"/>
      <c r="BC53" s="1117"/>
      <c r="BD53" s="1117"/>
      <c r="BE53" s="1117"/>
      <c r="BF53" s="1117"/>
      <c r="BG53" s="1117"/>
      <c r="BH53" s="1117"/>
      <c r="BI53" s="1117"/>
    </row>
    <row r="54" spans="1:61" s="1116" customFormat="1" ht="16.899999999999999" customHeight="1" thickBot="1" x14ac:dyDescent="0.3">
      <c r="A54" s="1138"/>
      <c r="B54" s="1151" t="s">
        <v>389</v>
      </c>
      <c r="C54" s="1138"/>
      <c r="D54" s="1169"/>
      <c r="E54" s="1170">
        <f>(IF(E$7="SIM",((E52-E53)*1000000)/$H$2,"-"))</f>
        <v>287.62676642282679</v>
      </c>
      <c r="F54" s="1171"/>
      <c r="G54" s="1138"/>
      <c r="H54" s="1169"/>
      <c r="I54" s="1170" t="str">
        <f>(IF(I$7="SIM",((I52-I53)*1000000)/$H$2,"-"))</f>
        <v>-</v>
      </c>
      <c r="J54" s="1171"/>
      <c r="K54" s="1138"/>
      <c r="L54" s="1169"/>
      <c r="M54" s="1170" t="str">
        <f>(IF(M$7="SIM",((M52-M53)*1000000)/$H$2,"-"))</f>
        <v>-</v>
      </c>
      <c r="N54" s="1171"/>
      <c r="O54" s="1138"/>
      <c r="P54" s="1169"/>
      <c r="Q54" s="1170" t="str">
        <f>(IF(Q$7="SIM",((Q52-Q53)*1000000)/$H$2,"-"))</f>
        <v>-</v>
      </c>
      <c r="R54" s="1171"/>
      <c r="S54" s="1138"/>
      <c r="T54" s="1169"/>
      <c r="U54" s="1170" t="str">
        <f>(IF(U$7="SIM",((U52-U53)*1000000)/$H$2,"-"))</f>
        <v>-</v>
      </c>
      <c r="V54" s="1171"/>
      <c r="W54" s="1146"/>
      <c r="X54" s="1128"/>
      <c r="Y54" s="1128"/>
      <c r="Z54" s="1128"/>
      <c r="AA54" s="1128"/>
      <c r="AB54" s="1117"/>
      <c r="AC54" s="1117"/>
      <c r="AD54" s="1117"/>
      <c r="AE54" s="1117"/>
      <c r="AF54" s="1117"/>
      <c r="AG54" s="1117"/>
      <c r="AH54" s="1117"/>
      <c r="AI54" s="1117"/>
      <c r="AJ54" s="1117"/>
      <c r="AK54" s="1117"/>
      <c r="AL54" s="1117"/>
      <c r="AM54" s="1117"/>
      <c r="AN54" s="1117"/>
      <c r="AO54" s="1117"/>
      <c r="AP54" s="1117"/>
      <c r="AQ54" s="1117"/>
      <c r="AR54" s="1117"/>
      <c r="AS54" s="1117"/>
      <c r="AT54" s="1117"/>
      <c r="AU54" s="1117"/>
      <c r="AV54" s="1117"/>
      <c r="AW54" s="1117"/>
      <c r="AX54" s="1117"/>
      <c r="AY54" s="1117"/>
      <c r="AZ54" s="1117"/>
      <c r="BA54" s="1117"/>
      <c r="BB54" s="1117"/>
      <c r="BC54" s="1117"/>
      <c r="BD54" s="1117"/>
      <c r="BE54" s="1117"/>
      <c r="BF54" s="1117"/>
      <c r="BG54" s="1117"/>
      <c r="BH54" s="1117"/>
      <c r="BI54" s="1117"/>
    </row>
    <row r="55" spans="1:61" ht="14.25" customHeight="1" thickTop="1" x14ac:dyDescent="0.25">
      <c r="A55" s="33"/>
      <c r="B55" s="42"/>
      <c r="C55" s="33"/>
      <c r="D55" s="33"/>
      <c r="E55" s="33"/>
      <c r="F55" s="33"/>
      <c r="G55" s="33"/>
      <c r="H55" s="33"/>
      <c r="I55" s="33"/>
      <c r="J55" s="33"/>
      <c r="K55" s="33"/>
      <c r="L55" s="33"/>
      <c r="M55" s="33"/>
      <c r="N55" s="33"/>
      <c r="O55" s="33"/>
      <c r="P55" s="33"/>
      <c r="Q55" s="33"/>
      <c r="R55" s="33"/>
      <c r="S55" s="33"/>
      <c r="T55" s="33"/>
      <c r="U55" s="33"/>
      <c r="V55" s="33"/>
      <c r="W55" s="29"/>
      <c r="X55" s="29"/>
      <c r="Y55" s="29"/>
      <c r="Z55" s="29"/>
      <c r="AA55" s="29"/>
      <c r="AB55" s="33"/>
      <c r="AC55" s="33"/>
      <c r="AD55" s="33"/>
      <c r="AE55" s="33"/>
      <c r="AF55" s="33"/>
      <c r="AG55" s="33"/>
      <c r="AH55" s="33"/>
      <c r="AI55" s="33"/>
      <c r="AJ55" s="33"/>
      <c r="AK55" s="33"/>
      <c r="AL55" s="33"/>
      <c r="AM55" s="33"/>
      <c r="AN55" s="33"/>
      <c r="AO55" s="33"/>
      <c r="AP55" s="33"/>
      <c r="AQ55" s="33"/>
      <c r="AR55" s="33"/>
      <c r="AS55" s="33"/>
      <c r="AT55" s="33"/>
      <c r="AU55" s="33"/>
      <c r="AV55" s="33"/>
      <c r="AW55" s="33"/>
      <c r="AX55" s="33"/>
      <c r="AY55" s="33"/>
      <c r="AZ55" s="33"/>
      <c r="BA55" s="33"/>
      <c r="BB55" s="33"/>
      <c r="BC55" s="33"/>
      <c r="BD55" s="33"/>
      <c r="BE55" s="33"/>
      <c r="BF55" s="33"/>
      <c r="BG55" s="33"/>
      <c r="BH55" s="33"/>
      <c r="BI55" s="33"/>
    </row>
    <row r="56" spans="1:61" ht="14.25" customHeight="1" x14ac:dyDescent="0.25">
      <c r="A56" s="33"/>
      <c r="B56" s="42"/>
      <c r="C56" s="33"/>
      <c r="D56" s="33"/>
      <c r="F56" s="33"/>
      <c r="G56" s="33"/>
      <c r="H56" s="33"/>
      <c r="I56" s="33"/>
      <c r="J56" s="33"/>
      <c r="K56" s="33"/>
      <c r="L56" s="33"/>
      <c r="M56" s="33"/>
      <c r="N56" s="33"/>
      <c r="O56" s="33"/>
      <c r="P56" s="33"/>
      <c r="Q56" s="33"/>
      <c r="R56" s="33"/>
      <c r="S56" s="33"/>
      <c r="T56" s="33"/>
      <c r="U56" s="33"/>
      <c r="V56" s="33"/>
      <c r="W56" s="29"/>
      <c r="X56" s="29"/>
      <c r="Y56" s="29"/>
      <c r="Z56" s="29"/>
      <c r="AA56" s="29"/>
      <c r="AB56" s="33"/>
      <c r="AC56" s="33"/>
      <c r="AD56" s="33"/>
      <c r="AE56" s="33"/>
      <c r="AF56" s="33"/>
      <c r="AG56" s="33"/>
      <c r="AH56" s="33"/>
      <c r="AI56" s="33"/>
      <c r="AJ56" s="33"/>
      <c r="AK56" s="33"/>
      <c r="AL56" s="33"/>
      <c r="AM56" s="33"/>
      <c r="AN56" s="33"/>
      <c r="AO56" s="33"/>
      <c r="AP56" s="33"/>
      <c r="AQ56" s="33"/>
      <c r="AR56" s="33"/>
      <c r="AS56" s="33"/>
      <c r="AT56" s="33"/>
      <c r="AU56" s="33"/>
      <c r="AV56" s="33"/>
      <c r="AW56" s="33"/>
      <c r="AX56" s="33"/>
      <c r="AY56" s="33"/>
      <c r="AZ56" s="33"/>
      <c r="BA56" s="33"/>
      <c r="BB56" s="33"/>
      <c r="BC56" s="33"/>
      <c r="BD56" s="33"/>
      <c r="BE56" s="33"/>
      <c r="BF56" s="33"/>
      <c r="BG56" s="33"/>
      <c r="BH56" s="33"/>
      <c r="BI56" s="33"/>
    </row>
    <row r="57" spans="1:61" ht="14.25" customHeight="1" x14ac:dyDescent="0.25">
      <c r="A57" s="33"/>
      <c r="B57" s="42"/>
      <c r="C57" s="33"/>
      <c r="D57" s="33"/>
      <c r="E57" s="33"/>
      <c r="F57" s="33"/>
      <c r="G57" s="33"/>
      <c r="H57" s="33"/>
      <c r="I57" s="33"/>
      <c r="J57" s="33"/>
      <c r="K57" s="33"/>
      <c r="L57" s="33"/>
      <c r="M57" s="33"/>
      <c r="N57" s="33"/>
      <c r="O57" s="33"/>
      <c r="P57" s="33"/>
      <c r="Q57" s="33"/>
      <c r="R57" s="33"/>
      <c r="S57" s="33"/>
      <c r="T57" s="33"/>
      <c r="U57" s="33"/>
      <c r="V57" s="33"/>
      <c r="W57" s="29"/>
      <c r="X57" s="29"/>
      <c r="Y57" s="29"/>
      <c r="Z57" s="29"/>
      <c r="AA57" s="29"/>
      <c r="AB57" s="33"/>
      <c r="AC57" s="33"/>
      <c r="AD57" s="33"/>
      <c r="AE57" s="33"/>
      <c r="AF57" s="33"/>
      <c r="AG57" s="33"/>
      <c r="AH57" s="33"/>
      <c r="AI57" s="33"/>
      <c r="AJ57" s="33"/>
      <c r="AK57" s="33"/>
      <c r="AL57" s="33"/>
      <c r="AM57" s="33"/>
      <c r="AN57" s="33"/>
      <c r="AO57" s="33"/>
      <c r="AP57" s="33"/>
      <c r="AQ57" s="33"/>
      <c r="AR57" s="33"/>
      <c r="AS57" s="33"/>
      <c r="AT57" s="33"/>
      <c r="AU57" s="33"/>
      <c r="AV57" s="33"/>
      <c r="AW57" s="33"/>
      <c r="AX57" s="33"/>
      <c r="AY57" s="33"/>
      <c r="AZ57" s="33"/>
      <c r="BA57" s="33"/>
      <c r="BB57" s="33"/>
      <c r="BC57" s="33"/>
      <c r="BD57" s="33"/>
      <c r="BE57" s="33"/>
      <c r="BF57" s="33"/>
      <c r="BG57" s="33"/>
      <c r="BH57" s="33"/>
      <c r="BI57" s="33"/>
    </row>
    <row r="58" spans="1:61" ht="14.25" customHeight="1" x14ac:dyDescent="0.25">
      <c r="A58" s="33"/>
      <c r="B58" s="42"/>
      <c r="C58" s="33"/>
      <c r="D58" s="33"/>
      <c r="E58" s="33"/>
      <c r="F58" s="33"/>
      <c r="G58" s="33"/>
      <c r="H58" s="33"/>
      <c r="I58" s="33"/>
      <c r="J58" s="33"/>
      <c r="K58" s="33"/>
      <c r="L58" s="33"/>
      <c r="M58" s="33"/>
      <c r="N58" s="33"/>
      <c r="O58" s="33"/>
      <c r="P58" s="33"/>
      <c r="Q58" s="33"/>
      <c r="R58" s="33"/>
      <c r="S58" s="33"/>
      <c r="T58" s="33"/>
      <c r="U58" s="33"/>
      <c r="V58" s="33"/>
      <c r="W58" s="29"/>
      <c r="X58" s="29"/>
      <c r="Y58" s="29"/>
      <c r="Z58" s="29"/>
      <c r="AA58" s="29"/>
      <c r="AB58" s="33"/>
      <c r="AC58" s="33"/>
      <c r="AD58" s="33"/>
      <c r="AE58" s="33"/>
      <c r="AF58" s="33"/>
      <c r="AG58" s="33"/>
      <c r="AH58" s="33"/>
      <c r="AI58" s="33"/>
      <c r="AJ58" s="33"/>
      <c r="AK58" s="33"/>
      <c r="AL58" s="33"/>
      <c r="AM58" s="33"/>
      <c r="AN58" s="33"/>
      <c r="AO58" s="33"/>
      <c r="AP58" s="33"/>
      <c r="AQ58" s="33"/>
      <c r="AR58" s="33"/>
      <c r="AS58" s="33"/>
      <c r="AT58" s="33"/>
      <c r="AU58" s="33"/>
      <c r="AV58" s="33"/>
      <c r="AW58" s="33"/>
      <c r="AX58" s="33"/>
      <c r="AY58" s="33"/>
      <c r="AZ58" s="33"/>
      <c r="BA58" s="33"/>
      <c r="BB58" s="33"/>
      <c r="BC58" s="33"/>
      <c r="BD58" s="33"/>
      <c r="BE58" s="33"/>
      <c r="BF58" s="33"/>
      <c r="BG58" s="33"/>
      <c r="BH58" s="33"/>
      <c r="BI58" s="33"/>
    </row>
    <row r="59" spans="1:61" ht="14.25" customHeight="1" x14ac:dyDescent="0.25">
      <c r="A59" s="33"/>
      <c r="B59" s="42"/>
      <c r="C59" s="33"/>
      <c r="D59" s="33"/>
      <c r="E59" s="33"/>
      <c r="F59" s="33"/>
      <c r="G59" s="33"/>
      <c r="H59" s="33"/>
      <c r="I59" s="33"/>
      <c r="J59" s="33"/>
      <c r="K59" s="33"/>
      <c r="L59" s="33"/>
      <c r="M59" s="33"/>
      <c r="N59" s="33"/>
      <c r="O59" s="33"/>
      <c r="P59" s="33"/>
      <c r="Q59" s="33"/>
      <c r="R59" s="33"/>
      <c r="S59" s="33"/>
      <c r="T59" s="33"/>
      <c r="U59" s="33"/>
      <c r="V59" s="33"/>
      <c r="W59" s="29"/>
      <c r="X59" s="29"/>
      <c r="Y59" s="29"/>
      <c r="Z59" s="29"/>
      <c r="AA59" s="29"/>
      <c r="AB59" s="33"/>
      <c r="AC59" s="33"/>
      <c r="AD59" s="33"/>
      <c r="AE59" s="33"/>
      <c r="AF59" s="33"/>
      <c r="AG59" s="33"/>
      <c r="AH59" s="33"/>
      <c r="AI59" s="33"/>
      <c r="AJ59" s="33"/>
      <c r="AK59" s="33"/>
      <c r="AL59" s="33"/>
      <c r="AM59" s="33"/>
      <c r="AN59" s="33"/>
      <c r="AO59" s="33"/>
      <c r="AP59" s="33"/>
      <c r="AQ59" s="33"/>
      <c r="AR59" s="33"/>
      <c r="AS59" s="33"/>
      <c r="AT59" s="33"/>
      <c r="AU59" s="33"/>
      <c r="AV59" s="33"/>
      <c r="AW59" s="33"/>
      <c r="AX59" s="33"/>
      <c r="AY59" s="33"/>
      <c r="AZ59" s="33"/>
      <c r="BA59" s="33"/>
      <c r="BB59" s="33"/>
      <c r="BC59" s="33"/>
      <c r="BD59" s="33"/>
      <c r="BE59" s="33"/>
      <c r="BF59" s="33"/>
      <c r="BG59" s="33"/>
      <c r="BH59" s="33"/>
      <c r="BI59" s="33"/>
    </row>
    <row r="60" spans="1:61" ht="14.25" customHeight="1" x14ac:dyDescent="0.25">
      <c r="A60" s="33"/>
      <c r="B60" s="42"/>
      <c r="C60" s="33"/>
      <c r="D60" s="33"/>
      <c r="E60" s="33"/>
      <c r="F60" s="33"/>
      <c r="G60" s="33"/>
      <c r="H60" s="33"/>
      <c r="I60" s="33"/>
      <c r="J60" s="33"/>
      <c r="K60" s="33"/>
      <c r="L60" s="33"/>
      <c r="M60" s="33"/>
      <c r="N60" s="33"/>
      <c r="O60" s="33"/>
      <c r="P60" s="33"/>
      <c r="Q60" s="33"/>
      <c r="R60" s="33"/>
      <c r="S60" s="33"/>
      <c r="T60" s="33"/>
      <c r="U60" s="33"/>
      <c r="V60" s="33"/>
      <c r="W60" s="29"/>
      <c r="X60" s="29"/>
      <c r="Y60" s="29"/>
      <c r="Z60" s="29"/>
      <c r="AA60" s="29"/>
      <c r="AB60" s="33"/>
      <c r="AC60" s="33"/>
      <c r="AD60" s="33"/>
      <c r="AE60" s="33"/>
      <c r="AF60" s="33"/>
      <c r="AG60" s="33"/>
      <c r="AH60" s="33"/>
      <c r="AI60" s="33"/>
      <c r="AJ60" s="33"/>
      <c r="AK60" s="33"/>
      <c r="AL60" s="33"/>
      <c r="AM60" s="33"/>
      <c r="AN60" s="33"/>
      <c r="AO60" s="33"/>
      <c r="AP60" s="33"/>
      <c r="AQ60" s="33"/>
      <c r="AR60" s="33"/>
      <c r="AS60" s="33"/>
      <c r="AT60" s="33"/>
      <c r="AU60" s="33"/>
      <c r="AV60" s="33"/>
      <c r="AW60" s="33"/>
      <c r="AX60" s="33"/>
      <c r="AY60" s="33"/>
      <c r="AZ60" s="33"/>
      <c r="BA60" s="33"/>
      <c r="BB60" s="33"/>
      <c r="BC60" s="33"/>
      <c r="BD60" s="33"/>
      <c r="BE60" s="33"/>
      <c r="BF60" s="33"/>
      <c r="BG60" s="33"/>
      <c r="BH60" s="33"/>
      <c r="BI60" s="33"/>
    </row>
    <row r="61" spans="1:61" ht="14.25" customHeight="1" x14ac:dyDescent="0.25">
      <c r="A61" s="33"/>
      <c r="B61" s="42"/>
      <c r="C61" s="33"/>
      <c r="D61" s="33"/>
      <c r="E61" s="33"/>
      <c r="F61" s="33"/>
      <c r="G61" s="33"/>
      <c r="H61" s="33"/>
      <c r="I61" s="33"/>
      <c r="J61" s="33"/>
      <c r="K61" s="33"/>
      <c r="L61" s="33"/>
      <c r="M61" s="33"/>
      <c r="N61" s="33"/>
      <c r="O61" s="33"/>
      <c r="P61" s="33"/>
      <c r="Q61" s="33"/>
      <c r="R61" s="33"/>
      <c r="S61" s="33"/>
      <c r="T61" s="33"/>
      <c r="U61" s="33"/>
      <c r="V61" s="33"/>
      <c r="W61" s="29"/>
      <c r="X61" s="29"/>
      <c r="Y61" s="29"/>
      <c r="Z61" s="29"/>
      <c r="AA61" s="29"/>
      <c r="AB61" s="33"/>
      <c r="AC61" s="33"/>
      <c r="AD61" s="33"/>
      <c r="AE61" s="33"/>
      <c r="AF61" s="33"/>
      <c r="AG61" s="33"/>
      <c r="AH61" s="33"/>
      <c r="AI61" s="33"/>
      <c r="AJ61" s="33"/>
      <c r="AK61" s="33"/>
      <c r="AL61" s="33"/>
      <c r="AM61" s="33"/>
      <c r="AN61" s="33"/>
      <c r="AO61" s="33"/>
      <c r="AP61" s="33"/>
      <c r="AQ61" s="33"/>
      <c r="AR61" s="33"/>
      <c r="AS61" s="33"/>
      <c r="AT61" s="33"/>
      <c r="AU61" s="33"/>
      <c r="AV61" s="33"/>
      <c r="AW61" s="33"/>
      <c r="AX61" s="33"/>
      <c r="AY61" s="33"/>
      <c r="AZ61" s="33"/>
      <c r="BA61" s="33"/>
      <c r="BB61" s="33"/>
      <c r="BC61" s="33"/>
      <c r="BD61" s="33"/>
      <c r="BE61" s="33"/>
      <c r="BF61" s="33"/>
      <c r="BG61" s="33"/>
      <c r="BH61" s="33"/>
      <c r="BI61" s="33"/>
    </row>
    <row r="62" spans="1:61" ht="14.25" customHeight="1" x14ac:dyDescent="0.25">
      <c r="A62" s="33"/>
      <c r="B62" s="42"/>
      <c r="C62" s="33"/>
      <c r="D62" s="33"/>
      <c r="E62" s="33"/>
      <c r="F62" s="33"/>
      <c r="G62" s="33"/>
      <c r="H62" s="33"/>
      <c r="I62" s="33"/>
      <c r="J62" s="33"/>
      <c r="K62" s="33"/>
      <c r="L62" s="33"/>
      <c r="M62" s="33"/>
      <c r="N62" s="33"/>
      <c r="O62" s="33"/>
      <c r="P62" s="33"/>
      <c r="Q62" s="33"/>
      <c r="R62" s="33"/>
      <c r="S62" s="33"/>
      <c r="T62" s="33"/>
      <c r="U62" s="33"/>
      <c r="V62" s="33"/>
      <c r="W62" s="29"/>
      <c r="X62" s="29"/>
      <c r="Y62" s="29"/>
      <c r="Z62" s="29"/>
      <c r="AA62" s="29"/>
      <c r="AB62" s="33"/>
      <c r="AC62" s="33"/>
      <c r="AD62" s="33"/>
      <c r="AE62" s="33"/>
      <c r="AF62" s="33"/>
      <c r="AG62" s="33"/>
      <c r="AH62" s="33"/>
      <c r="AI62" s="33"/>
      <c r="AJ62" s="33"/>
      <c r="AK62" s="33"/>
      <c r="AL62" s="33"/>
      <c r="AM62" s="33"/>
      <c r="AN62" s="33"/>
      <c r="AO62" s="33"/>
      <c r="AP62" s="33"/>
      <c r="AQ62" s="33"/>
      <c r="AR62" s="33"/>
      <c r="AS62" s="33"/>
      <c r="AT62" s="33"/>
      <c r="AU62" s="33"/>
      <c r="AV62" s="33"/>
      <c r="AW62" s="33"/>
      <c r="AX62" s="33"/>
      <c r="AY62" s="33"/>
      <c r="AZ62" s="33"/>
      <c r="BA62" s="33"/>
      <c r="BB62" s="33"/>
      <c r="BC62" s="33"/>
      <c r="BD62" s="33"/>
      <c r="BE62" s="33"/>
      <c r="BF62" s="33"/>
      <c r="BG62" s="33"/>
      <c r="BH62" s="33"/>
      <c r="BI62" s="33"/>
    </row>
    <row r="63" spans="1:61" ht="14.25" customHeight="1" x14ac:dyDescent="0.25">
      <c r="A63" s="33"/>
      <c r="B63" s="42"/>
      <c r="C63" s="33"/>
      <c r="D63" s="33"/>
      <c r="E63" s="33"/>
      <c r="F63" s="33"/>
      <c r="G63" s="33"/>
      <c r="H63" s="33"/>
      <c r="I63" s="33"/>
      <c r="J63" s="33"/>
      <c r="K63" s="33"/>
      <c r="L63" s="33"/>
      <c r="M63" s="33"/>
      <c r="N63" s="33"/>
      <c r="O63" s="33"/>
      <c r="P63" s="33"/>
      <c r="Q63" s="33"/>
      <c r="R63" s="33"/>
      <c r="S63" s="33"/>
      <c r="T63" s="33"/>
      <c r="U63" s="33"/>
      <c r="V63" s="33"/>
      <c r="W63" s="29"/>
      <c r="X63" s="29"/>
      <c r="Y63" s="29"/>
      <c r="Z63" s="29"/>
      <c r="AA63" s="29"/>
      <c r="AB63" s="33"/>
      <c r="AC63" s="33"/>
      <c r="AD63" s="33"/>
      <c r="AE63" s="33"/>
      <c r="AF63" s="33"/>
      <c r="AG63" s="33"/>
      <c r="AH63" s="33"/>
      <c r="AI63" s="33"/>
      <c r="AJ63" s="33"/>
      <c r="AK63" s="33"/>
      <c r="AL63" s="33"/>
      <c r="AM63" s="33"/>
      <c r="AN63" s="33"/>
      <c r="AO63" s="33"/>
      <c r="AP63" s="33"/>
      <c r="AQ63" s="33"/>
      <c r="AR63" s="33"/>
      <c r="AS63" s="33"/>
      <c r="AT63" s="33"/>
      <c r="AU63" s="33"/>
      <c r="AV63" s="33"/>
      <c r="AW63" s="33"/>
      <c r="AX63" s="33"/>
      <c r="AY63" s="33"/>
      <c r="AZ63" s="33"/>
      <c r="BA63" s="33"/>
      <c r="BB63" s="33"/>
      <c r="BC63" s="33"/>
      <c r="BD63" s="33"/>
      <c r="BE63" s="33"/>
      <c r="BF63" s="33"/>
      <c r="BG63" s="33"/>
      <c r="BH63" s="33"/>
      <c r="BI63" s="33"/>
    </row>
    <row r="64" spans="1:61" ht="14.25" customHeight="1" x14ac:dyDescent="0.25">
      <c r="A64" s="33"/>
      <c r="B64" s="42"/>
      <c r="C64" s="33"/>
      <c r="D64" s="33"/>
      <c r="E64" s="33"/>
      <c r="F64" s="33"/>
      <c r="G64" s="33"/>
      <c r="H64" s="33"/>
      <c r="I64" s="33"/>
      <c r="J64" s="33"/>
      <c r="K64" s="33"/>
      <c r="L64" s="33"/>
      <c r="M64" s="33"/>
      <c r="N64" s="33"/>
      <c r="O64" s="33"/>
      <c r="P64" s="33"/>
      <c r="Q64" s="33"/>
      <c r="R64" s="33"/>
      <c r="S64" s="33"/>
      <c r="T64" s="33"/>
      <c r="U64" s="33"/>
      <c r="V64" s="33"/>
      <c r="W64" s="29"/>
      <c r="X64" s="29"/>
      <c r="Y64" s="29"/>
      <c r="Z64" s="29"/>
      <c r="AA64" s="29"/>
      <c r="AB64" s="33"/>
      <c r="AC64" s="33"/>
      <c r="AD64" s="33"/>
      <c r="AE64" s="33"/>
      <c r="AF64" s="33"/>
      <c r="AG64" s="33"/>
      <c r="AH64" s="33"/>
      <c r="AI64" s="33"/>
      <c r="AJ64" s="33"/>
      <c r="AK64" s="33"/>
      <c r="AL64" s="33"/>
      <c r="AM64" s="33"/>
      <c r="AN64" s="33"/>
      <c r="AO64" s="33"/>
      <c r="AP64" s="33"/>
      <c r="AQ64" s="33"/>
      <c r="AR64" s="33"/>
      <c r="AS64" s="33"/>
      <c r="AT64" s="33"/>
      <c r="AU64" s="33"/>
      <c r="AV64" s="33"/>
      <c r="AW64" s="33"/>
      <c r="AX64" s="33"/>
      <c r="AY64" s="33"/>
      <c r="AZ64" s="33"/>
      <c r="BA64" s="33"/>
      <c r="BB64" s="33"/>
      <c r="BC64" s="33"/>
      <c r="BD64" s="33"/>
      <c r="BE64" s="33"/>
      <c r="BF64" s="33"/>
      <c r="BG64" s="33"/>
      <c r="BH64" s="33"/>
      <c r="BI64" s="33"/>
    </row>
    <row r="65" spans="1:61" ht="14.25" customHeight="1" x14ac:dyDescent="0.25">
      <c r="A65" s="33"/>
      <c r="B65" s="42"/>
      <c r="C65" s="33"/>
      <c r="D65" s="33"/>
      <c r="E65" s="33"/>
      <c r="F65" s="33"/>
      <c r="G65" s="33"/>
      <c r="H65" s="33"/>
      <c r="I65" s="33"/>
      <c r="J65" s="33"/>
      <c r="K65" s="33"/>
      <c r="L65" s="33"/>
      <c r="M65" s="33"/>
      <c r="N65" s="33"/>
      <c r="O65" s="33"/>
      <c r="P65" s="33"/>
      <c r="Q65" s="33"/>
      <c r="R65" s="33"/>
      <c r="S65" s="33"/>
      <c r="T65" s="33"/>
      <c r="U65" s="33"/>
      <c r="V65" s="33"/>
      <c r="W65" s="29"/>
      <c r="X65" s="29"/>
      <c r="Y65" s="29"/>
      <c r="Z65" s="29"/>
      <c r="AA65" s="29"/>
      <c r="AB65" s="33"/>
      <c r="AC65" s="33"/>
      <c r="AD65" s="33"/>
      <c r="AE65" s="33"/>
      <c r="AF65" s="33"/>
      <c r="AG65" s="33"/>
      <c r="AH65" s="33"/>
      <c r="AI65" s="33"/>
      <c r="AJ65" s="33"/>
      <c r="AK65" s="33"/>
      <c r="AL65" s="33"/>
      <c r="AM65" s="33"/>
      <c r="AN65" s="33"/>
      <c r="AO65" s="33"/>
      <c r="AP65" s="33"/>
      <c r="AQ65" s="33"/>
      <c r="AR65" s="33"/>
      <c r="AS65" s="33"/>
      <c r="AT65" s="33"/>
      <c r="AU65" s="33"/>
      <c r="AV65" s="33"/>
      <c r="AW65" s="33"/>
      <c r="AX65" s="33"/>
      <c r="AY65" s="33"/>
      <c r="AZ65" s="33"/>
      <c r="BA65" s="33"/>
      <c r="BB65" s="33"/>
      <c r="BC65" s="33"/>
      <c r="BD65" s="33"/>
      <c r="BE65" s="33"/>
      <c r="BF65" s="33"/>
      <c r="BG65" s="33"/>
      <c r="BH65" s="33"/>
      <c r="BI65" s="33"/>
    </row>
    <row r="66" spans="1:61" ht="14.25" customHeight="1" x14ac:dyDescent="0.25">
      <c r="A66" s="33"/>
      <c r="B66" s="42"/>
      <c r="C66" s="33"/>
      <c r="D66" s="33"/>
      <c r="E66" s="33"/>
      <c r="F66" s="33"/>
      <c r="G66" s="33"/>
      <c r="H66" s="33"/>
      <c r="I66" s="33"/>
      <c r="J66" s="33"/>
      <c r="K66" s="33"/>
      <c r="L66" s="33"/>
      <c r="M66" s="33"/>
      <c r="N66" s="33"/>
      <c r="O66" s="33"/>
      <c r="P66" s="33"/>
      <c r="Q66" s="33"/>
      <c r="R66" s="33"/>
      <c r="S66" s="33"/>
      <c r="T66" s="33"/>
      <c r="U66" s="33"/>
      <c r="V66" s="33"/>
      <c r="W66" s="29"/>
      <c r="X66" s="29"/>
      <c r="Y66" s="29"/>
      <c r="Z66" s="29"/>
      <c r="AA66" s="29"/>
      <c r="AB66" s="33"/>
      <c r="AC66" s="33"/>
      <c r="AD66" s="33"/>
      <c r="AE66" s="33"/>
      <c r="AF66" s="33"/>
      <c r="AG66" s="33"/>
      <c r="AH66" s="33"/>
      <c r="AI66" s="33"/>
      <c r="AJ66" s="33"/>
      <c r="AK66" s="33"/>
      <c r="AL66" s="33"/>
      <c r="AM66" s="33"/>
      <c r="AN66" s="33"/>
      <c r="AO66" s="33"/>
      <c r="AP66" s="33"/>
      <c r="AQ66" s="33"/>
      <c r="AR66" s="33"/>
      <c r="AS66" s="33"/>
      <c r="AT66" s="33"/>
      <c r="AU66" s="33"/>
      <c r="AV66" s="33"/>
      <c r="AW66" s="33"/>
      <c r="AX66" s="33"/>
      <c r="AY66" s="33"/>
      <c r="AZ66" s="33"/>
      <c r="BA66" s="33"/>
      <c r="BB66" s="33"/>
      <c r="BC66" s="33"/>
      <c r="BD66" s="33"/>
      <c r="BE66" s="33"/>
      <c r="BF66" s="33"/>
      <c r="BG66" s="33"/>
      <c r="BH66" s="33"/>
      <c r="BI66" s="33"/>
    </row>
    <row r="67" spans="1:61" ht="14.25" customHeight="1" x14ac:dyDescent="0.25">
      <c r="A67" s="33"/>
      <c r="B67" s="42"/>
      <c r="C67" s="33"/>
      <c r="D67" s="33"/>
      <c r="E67" s="33"/>
      <c r="F67" s="33"/>
      <c r="G67" s="33"/>
      <c r="H67" s="33"/>
      <c r="I67" s="33"/>
      <c r="J67" s="33"/>
      <c r="K67" s="33"/>
      <c r="L67" s="33"/>
      <c r="M67" s="33"/>
      <c r="N67" s="33"/>
      <c r="O67" s="33"/>
      <c r="P67" s="33"/>
      <c r="Q67" s="33"/>
      <c r="R67" s="33"/>
      <c r="S67" s="33"/>
      <c r="T67" s="33"/>
      <c r="U67" s="33"/>
      <c r="V67" s="33"/>
      <c r="W67" s="29"/>
      <c r="X67" s="29"/>
      <c r="Y67" s="29"/>
      <c r="Z67" s="29"/>
      <c r="AA67" s="29"/>
      <c r="AB67" s="33"/>
      <c r="AC67" s="33"/>
      <c r="AD67" s="33"/>
      <c r="AE67" s="33"/>
      <c r="AF67" s="33"/>
      <c r="AG67" s="33"/>
      <c r="AH67" s="33"/>
      <c r="AI67" s="33"/>
      <c r="AJ67" s="33"/>
      <c r="AK67" s="33"/>
      <c r="AL67" s="33"/>
      <c r="AM67" s="33"/>
      <c r="AN67" s="33"/>
      <c r="AO67" s="33"/>
      <c r="AP67" s="33"/>
      <c r="AQ67" s="33"/>
      <c r="AR67" s="33"/>
      <c r="AS67" s="33"/>
      <c r="AT67" s="33"/>
      <c r="AU67" s="33"/>
      <c r="AV67" s="33"/>
      <c r="AW67" s="33"/>
      <c r="AX67" s="33"/>
      <c r="AY67" s="33"/>
      <c r="AZ67" s="33"/>
      <c r="BA67" s="33"/>
      <c r="BB67" s="33"/>
      <c r="BC67" s="33"/>
      <c r="BD67" s="33"/>
      <c r="BE67" s="33"/>
      <c r="BF67" s="33"/>
      <c r="BG67" s="33"/>
      <c r="BH67" s="33"/>
      <c r="BI67" s="33"/>
    </row>
    <row r="68" spans="1:61" ht="14.25" customHeight="1" x14ac:dyDescent="0.25">
      <c r="A68" s="33"/>
      <c r="B68" s="42"/>
      <c r="C68" s="33"/>
      <c r="D68" s="33"/>
      <c r="E68" s="33"/>
      <c r="F68" s="33"/>
      <c r="G68" s="33"/>
      <c r="H68" s="33"/>
      <c r="I68" s="33"/>
      <c r="J68" s="33"/>
      <c r="K68" s="33"/>
      <c r="L68" s="33"/>
      <c r="M68" s="33"/>
      <c r="N68" s="33"/>
      <c r="O68" s="33"/>
      <c r="P68" s="33"/>
      <c r="Q68" s="33"/>
      <c r="R68" s="33"/>
      <c r="S68" s="33"/>
      <c r="T68" s="33"/>
      <c r="U68" s="33"/>
      <c r="V68" s="33"/>
      <c r="W68" s="29"/>
      <c r="X68" s="29"/>
      <c r="Y68" s="29"/>
      <c r="Z68" s="29"/>
      <c r="AA68" s="29"/>
      <c r="AB68" s="33"/>
      <c r="AC68" s="33"/>
      <c r="AD68" s="33"/>
      <c r="AE68" s="33"/>
      <c r="AF68" s="33"/>
      <c r="AG68" s="33"/>
      <c r="AH68" s="33"/>
      <c r="AI68" s="33"/>
      <c r="AJ68" s="33"/>
      <c r="AK68" s="33"/>
      <c r="AL68" s="33"/>
      <c r="AM68" s="33"/>
      <c r="AN68" s="33"/>
      <c r="AO68" s="33"/>
      <c r="AP68" s="33"/>
      <c r="AQ68" s="33"/>
      <c r="AR68" s="33"/>
      <c r="AS68" s="33"/>
      <c r="AT68" s="33"/>
      <c r="AU68" s="33"/>
      <c r="AV68" s="33"/>
      <c r="AW68" s="33"/>
      <c r="AX68" s="33"/>
      <c r="AY68" s="33"/>
      <c r="AZ68" s="33"/>
      <c r="BA68" s="33"/>
      <c r="BB68" s="33"/>
      <c r="BC68" s="33"/>
      <c r="BD68" s="33"/>
      <c r="BE68" s="33"/>
      <c r="BF68" s="33"/>
      <c r="BG68" s="33"/>
      <c r="BH68" s="33"/>
      <c r="BI68" s="33"/>
    </row>
    <row r="69" spans="1:61" ht="14.25" customHeight="1" x14ac:dyDescent="0.25">
      <c r="A69" s="33"/>
      <c r="B69" s="42"/>
      <c r="C69" s="33"/>
      <c r="D69" s="33"/>
      <c r="E69" s="33"/>
      <c r="F69" s="33"/>
      <c r="G69" s="33"/>
      <c r="H69" s="33"/>
      <c r="I69" s="33"/>
      <c r="J69" s="33"/>
      <c r="K69" s="33"/>
      <c r="L69" s="33"/>
      <c r="M69" s="33"/>
      <c r="N69" s="33"/>
      <c r="O69" s="33"/>
      <c r="P69" s="33"/>
      <c r="Q69" s="33"/>
      <c r="R69" s="33"/>
      <c r="S69" s="33"/>
      <c r="T69" s="33"/>
      <c r="U69" s="33"/>
      <c r="V69" s="33"/>
      <c r="W69" s="29"/>
      <c r="X69" s="29"/>
      <c r="Y69" s="29"/>
      <c r="Z69" s="29"/>
      <c r="AA69" s="29"/>
      <c r="AB69" s="33"/>
      <c r="AC69" s="33"/>
      <c r="AD69" s="33"/>
      <c r="AE69" s="33"/>
      <c r="AF69" s="33"/>
      <c r="AG69" s="33"/>
      <c r="AH69" s="33"/>
      <c r="AI69" s="33"/>
      <c r="AJ69" s="33"/>
      <c r="AK69" s="33"/>
      <c r="AL69" s="33"/>
      <c r="AM69" s="33"/>
      <c r="AN69" s="33"/>
      <c r="AO69" s="33"/>
      <c r="AP69" s="33"/>
      <c r="AQ69" s="33"/>
      <c r="AR69" s="33"/>
      <c r="AS69" s="33"/>
      <c r="AT69" s="33"/>
      <c r="AU69" s="33"/>
      <c r="AV69" s="33"/>
      <c r="AW69" s="33"/>
      <c r="AX69" s="33"/>
      <c r="AY69" s="33"/>
      <c r="AZ69" s="33"/>
      <c r="BA69" s="33"/>
      <c r="BB69" s="33"/>
      <c r="BC69" s="33"/>
      <c r="BD69" s="33"/>
      <c r="BE69" s="33"/>
      <c r="BF69" s="33"/>
      <c r="BG69" s="33"/>
      <c r="BH69" s="33"/>
      <c r="BI69" s="33"/>
    </row>
    <row r="70" spans="1:61" ht="14.25" customHeight="1" x14ac:dyDescent="0.25">
      <c r="A70" s="33"/>
      <c r="B70" s="42"/>
      <c r="C70" s="33"/>
      <c r="D70" s="33"/>
      <c r="E70" s="33"/>
      <c r="F70" s="33"/>
      <c r="G70" s="33"/>
      <c r="H70" s="33"/>
      <c r="I70" s="33"/>
      <c r="J70" s="33"/>
      <c r="K70" s="33"/>
      <c r="L70" s="33"/>
      <c r="M70" s="33"/>
      <c r="N70" s="33"/>
      <c r="O70" s="33"/>
      <c r="P70" s="33"/>
      <c r="Q70" s="33"/>
      <c r="R70" s="33"/>
      <c r="S70" s="33"/>
      <c r="T70" s="33"/>
      <c r="U70" s="33"/>
      <c r="V70" s="33"/>
      <c r="W70" s="29"/>
      <c r="X70" s="29"/>
      <c r="Y70" s="29"/>
      <c r="Z70" s="29"/>
      <c r="AA70" s="29"/>
      <c r="AB70" s="33"/>
      <c r="AC70" s="33"/>
      <c r="AD70" s="33"/>
      <c r="AE70" s="33"/>
      <c r="AF70" s="33"/>
      <c r="AG70" s="33"/>
      <c r="AH70" s="33"/>
      <c r="AI70" s="33"/>
      <c r="AJ70" s="33"/>
      <c r="AK70" s="33"/>
      <c r="AL70" s="33"/>
      <c r="AM70" s="33"/>
      <c r="AN70" s="33"/>
      <c r="AO70" s="33"/>
      <c r="AP70" s="33"/>
      <c r="AQ70" s="33"/>
      <c r="AR70" s="33"/>
      <c r="AS70" s="33"/>
      <c r="AT70" s="33"/>
      <c r="AU70" s="33"/>
      <c r="AV70" s="33"/>
      <c r="AW70" s="33"/>
      <c r="AX70" s="33"/>
      <c r="AY70" s="33"/>
      <c r="AZ70" s="33"/>
      <c r="BA70" s="33"/>
      <c r="BB70" s="33"/>
      <c r="BC70" s="33"/>
      <c r="BD70" s="33"/>
      <c r="BE70" s="33"/>
      <c r="BF70" s="33"/>
      <c r="BG70" s="33"/>
      <c r="BH70" s="33"/>
      <c r="BI70" s="33"/>
    </row>
    <row r="71" spans="1:61" ht="14.25" customHeight="1" x14ac:dyDescent="0.25">
      <c r="A71" s="33"/>
      <c r="B71" s="42"/>
      <c r="C71" s="33"/>
      <c r="D71" s="33"/>
      <c r="E71" s="33"/>
      <c r="F71" s="33"/>
      <c r="G71" s="33"/>
      <c r="H71" s="33"/>
      <c r="I71" s="33"/>
      <c r="J71" s="33"/>
      <c r="K71" s="33"/>
      <c r="L71" s="33"/>
      <c r="M71" s="33"/>
      <c r="N71" s="33"/>
      <c r="O71" s="33"/>
      <c r="P71" s="33"/>
      <c r="Q71" s="33"/>
      <c r="R71" s="33"/>
      <c r="S71" s="33"/>
      <c r="T71" s="33"/>
      <c r="U71" s="33"/>
      <c r="V71" s="33"/>
      <c r="W71" s="29"/>
      <c r="X71" s="29"/>
      <c r="Y71" s="29"/>
      <c r="Z71" s="29"/>
      <c r="AA71" s="29"/>
      <c r="AB71" s="33"/>
      <c r="AC71" s="33"/>
      <c r="AD71" s="33"/>
      <c r="AE71" s="33"/>
      <c r="AF71" s="33"/>
      <c r="AG71" s="33"/>
      <c r="AH71" s="33"/>
      <c r="AI71" s="33"/>
      <c r="AJ71" s="33"/>
      <c r="AK71" s="33"/>
      <c r="AL71" s="33"/>
      <c r="AM71" s="33"/>
      <c r="AN71" s="33"/>
      <c r="AO71" s="33"/>
      <c r="AP71" s="33"/>
      <c r="AQ71" s="33"/>
      <c r="AR71" s="33"/>
      <c r="AS71" s="33"/>
      <c r="AT71" s="33"/>
      <c r="AU71" s="33"/>
      <c r="AV71" s="33"/>
      <c r="AW71" s="33"/>
      <c r="AX71" s="33"/>
      <c r="AY71" s="33"/>
      <c r="AZ71" s="33"/>
      <c r="BA71" s="33"/>
      <c r="BB71" s="33"/>
      <c r="BC71" s="33"/>
      <c r="BD71" s="33"/>
      <c r="BE71" s="33"/>
      <c r="BF71" s="33"/>
      <c r="BG71" s="33"/>
      <c r="BH71" s="33"/>
      <c r="BI71" s="33"/>
    </row>
    <row r="72" spans="1:61" ht="14.25" customHeight="1" x14ac:dyDescent="0.25">
      <c r="A72" s="33"/>
      <c r="B72" s="42"/>
      <c r="C72" s="33"/>
      <c r="D72" s="33"/>
      <c r="E72" s="33"/>
      <c r="F72" s="33"/>
      <c r="G72" s="33"/>
      <c r="H72" s="33"/>
      <c r="I72" s="33"/>
      <c r="J72" s="33"/>
      <c r="K72" s="33"/>
      <c r="L72" s="33"/>
      <c r="M72" s="33"/>
      <c r="N72" s="33"/>
      <c r="O72" s="33"/>
      <c r="P72" s="33"/>
      <c r="Q72" s="33"/>
      <c r="R72" s="33"/>
      <c r="S72" s="33"/>
      <c r="T72" s="33"/>
      <c r="U72" s="33"/>
      <c r="V72" s="33"/>
      <c r="W72" s="29"/>
      <c r="X72" s="29"/>
      <c r="Y72" s="29"/>
      <c r="Z72" s="29"/>
      <c r="AA72" s="29"/>
      <c r="AB72" s="33"/>
      <c r="AC72" s="33"/>
      <c r="AD72" s="33"/>
      <c r="AE72" s="33"/>
      <c r="AF72" s="33"/>
      <c r="AG72" s="33"/>
      <c r="AH72" s="33"/>
      <c r="AI72" s="33"/>
      <c r="AJ72" s="33"/>
      <c r="AK72" s="33"/>
      <c r="AL72" s="33"/>
      <c r="AM72" s="33"/>
      <c r="AN72" s="33"/>
      <c r="AO72" s="33"/>
      <c r="AP72" s="33"/>
      <c r="AQ72" s="33"/>
      <c r="AR72" s="33"/>
      <c r="AS72" s="33"/>
      <c r="AT72" s="33"/>
      <c r="AU72" s="33"/>
      <c r="AV72" s="33"/>
      <c r="AW72" s="33"/>
      <c r="AX72" s="33"/>
      <c r="AY72" s="33"/>
      <c r="AZ72" s="33"/>
      <c r="BA72" s="33"/>
      <c r="BB72" s="33"/>
      <c r="BC72" s="33"/>
      <c r="BD72" s="33"/>
      <c r="BE72" s="33"/>
      <c r="BF72" s="33"/>
      <c r="BG72" s="33"/>
      <c r="BH72" s="33"/>
      <c r="BI72" s="33"/>
    </row>
    <row r="73" spans="1:61" ht="14.25" customHeight="1" x14ac:dyDescent="0.25">
      <c r="A73" s="33"/>
      <c r="B73" s="42"/>
      <c r="C73" s="33"/>
      <c r="D73" s="33"/>
      <c r="E73" s="33"/>
      <c r="F73" s="33"/>
      <c r="G73" s="33"/>
      <c r="H73" s="33"/>
      <c r="I73" s="33"/>
      <c r="J73" s="33"/>
      <c r="K73" s="33"/>
      <c r="L73" s="33"/>
      <c r="M73" s="33"/>
      <c r="N73" s="33"/>
      <c r="O73" s="33"/>
      <c r="P73" s="33"/>
      <c r="Q73" s="33"/>
      <c r="R73" s="33"/>
      <c r="S73" s="33"/>
      <c r="T73" s="33"/>
      <c r="U73" s="33"/>
      <c r="V73" s="33"/>
      <c r="W73" s="29"/>
      <c r="X73" s="29"/>
      <c r="Y73" s="29"/>
      <c r="Z73" s="29"/>
      <c r="AA73" s="29"/>
      <c r="AB73" s="33"/>
      <c r="AC73" s="33"/>
      <c r="AD73" s="33"/>
      <c r="AE73" s="33"/>
      <c r="AF73" s="33"/>
      <c r="AG73" s="33"/>
      <c r="AH73" s="33"/>
      <c r="AI73" s="33"/>
      <c r="AJ73" s="33"/>
      <c r="AK73" s="33"/>
      <c r="AL73" s="33"/>
      <c r="AM73" s="33"/>
      <c r="AN73" s="33"/>
      <c r="AO73" s="33"/>
      <c r="AP73" s="33"/>
      <c r="AQ73" s="33"/>
      <c r="AR73" s="33"/>
      <c r="AS73" s="33"/>
      <c r="AT73" s="33"/>
      <c r="AU73" s="33"/>
      <c r="AV73" s="33"/>
      <c r="AW73" s="33"/>
      <c r="AX73" s="33"/>
      <c r="AY73" s="33"/>
      <c r="AZ73" s="33"/>
      <c r="BA73" s="33"/>
      <c r="BB73" s="33"/>
      <c r="BC73" s="33"/>
      <c r="BD73" s="33"/>
      <c r="BE73" s="33"/>
      <c r="BF73" s="33"/>
      <c r="BG73" s="33"/>
      <c r="BH73" s="33"/>
      <c r="BI73" s="33"/>
    </row>
    <row r="74" spans="1:61" ht="14.25" customHeight="1" x14ac:dyDescent="0.25">
      <c r="A74" s="33"/>
      <c r="B74" s="42"/>
      <c r="C74" s="33"/>
      <c r="D74" s="33"/>
      <c r="E74" s="33"/>
      <c r="F74" s="33"/>
      <c r="G74" s="33"/>
      <c r="H74" s="33"/>
      <c r="I74" s="33"/>
      <c r="J74" s="33"/>
      <c r="K74" s="33"/>
      <c r="L74" s="33"/>
      <c r="M74" s="33"/>
      <c r="N74" s="33"/>
      <c r="O74" s="33"/>
      <c r="P74" s="33"/>
      <c r="Q74" s="33"/>
      <c r="R74" s="33"/>
      <c r="S74" s="33"/>
      <c r="T74" s="33"/>
      <c r="U74" s="33"/>
      <c r="V74" s="33"/>
      <c r="W74" s="29"/>
      <c r="X74" s="29"/>
      <c r="Y74" s="29"/>
      <c r="Z74" s="29"/>
      <c r="AA74" s="29"/>
      <c r="AB74" s="33"/>
      <c r="AC74" s="33"/>
      <c r="AD74" s="33"/>
      <c r="AE74" s="33"/>
      <c r="AF74" s="33"/>
      <c r="AG74" s="33"/>
      <c r="AH74" s="33"/>
      <c r="AI74" s="33"/>
      <c r="AJ74" s="33"/>
      <c r="AK74" s="33"/>
      <c r="AL74" s="33"/>
      <c r="AM74" s="33"/>
      <c r="AN74" s="33"/>
      <c r="AO74" s="33"/>
      <c r="AP74" s="33"/>
      <c r="AQ74" s="33"/>
      <c r="AR74" s="33"/>
      <c r="AS74" s="33"/>
      <c r="AT74" s="33"/>
      <c r="AU74" s="33"/>
      <c r="AV74" s="33"/>
      <c r="AW74" s="33"/>
      <c r="AX74" s="33"/>
      <c r="AY74" s="33"/>
      <c r="AZ74" s="33"/>
      <c r="BA74" s="33"/>
      <c r="BB74" s="33"/>
      <c r="BC74" s="33"/>
      <c r="BD74" s="33"/>
      <c r="BE74" s="33"/>
      <c r="BF74" s="33"/>
      <c r="BG74" s="33"/>
      <c r="BH74" s="33"/>
      <c r="BI74" s="33"/>
    </row>
    <row r="75" spans="1:61" ht="14.25" customHeight="1" x14ac:dyDescent="0.25">
      <c r="A75" s="33"/>
      <c r="B75" s="42"/>
      <c r="C75" s="33"/>
      <c r="D75" s="33"/>
      <c r="E75" s="33"/>
      <c r="F75" s="33"/>
      <c r="G75" s="33"/>
      <c r="H75" s="33"/>
      <c r="I75" s="33"/>
      <c r="J75" s="33"/>
      <c r="K75" s="33"/>
      <c r="L75" s="33"/>
      <c r="M75" s="33"/>
      <c r="N75" s="33"/>
      <c r="O75" s="33"/>
      <c r="P75" s="33"/>
      <c r="Q75" s="33"/>
      <c r="R75" s="33"/>
      <c r="S75" s="33"/>
      <c r="T75" s="33"/>
      <c r="U75" s="33"/>
      <c r="V75" s="33"/>
      <c r="W75" s="29"/>
      <c r="X75" s="29"/>
      <c r="Y75" s="29"/>
      <c r="Z75" s="29"/>
      <c r="AA75" s="29"/>
      <c r="AB75" s="33"/>
      <c r="AC75" s="33"/>
      <c r="AD75" s="33"/>
      <c r="AE75" s="33"/>
      <c r="AF75" s="33"/>
      <c r="AG75" s="33"/>
      <c r="AH75" s="33"/>
      <c r="AI75" s="33"/>
      <c r="AJ75" s="33"/>
      <c r="AK75" s="33"/>
      <c r="AL75" s="33"/>
      <c r="AM75" s="33"/>
      <c r="AN75" s="33"/>
      <c r="AO75" s="33"/>
      <c r="AP75" s="33"/>
      <c r="AQ75" s="33"/>
      <c r="AR75" s="33"/>
      <c r="AS75" s="33"/>
      <c r="AT75" s="33"/>
      <c r="AU75" s="33"/>
      <c r="AV75" s="33"/>
      <c r="AW75" s="33"/>
      <c r="AX75" s="33"/>
      <c r="AY75" s="33"/>
      <c r="AZ75" s="33"/>
      <c r="BA75" s="33"/>
      <c r="BB75" s="33"/>
      <c r="BC75" s="33"/>
      <c r="BD75" s="33"/>
      <c r="BE75" s="33"/>
      <c r="BF75" s="33"/>
      <c r="BG75" s="33"/>
      <c r="BH75" s="33"/>
      <c r="BI75" s="33"/>
    </row>
    <row r="76" spans="1:61" ht="14.25" customHeight="1" x14ac:dyDescent="0.25">
      <c r="A76" s="33"/>
      <c r="B76" s="42"/>
      <c r="C76" s="33"/>
      <c r="D76" s="33"/>
      <c r="E76" s="33"/>
      <c r="F76" s="33"/>
      <c r="G76" s="33"/>
      <c r="H76" s="33"/>
      <c r="I76" s="33"/>
      <c r="J76" s="33"/>
      <c r="K76" s="33"/>
      <c r="L76" s="33"/>
      <c r="M76" s="33"/>
      <c r="N76" s="33"/>
      <c r="O76" s="33"/>
      <c r="P76" s="33"/>
      <c r="Q76" s="33"/>
      <c r="R76" s="33"/>
      <c r="S76" s="33"/>
      <c r="T76" s="33"/>
      <c r="U76" s="33"/>
      <c r="V76" s="33"/>
      <c r="W76" s="29"/>
      <c r="X76" s="29"/>
      <c r="Y76" s="29"/>
      <c r="Z76" s="29"/>
      <c r="AA76" s="29"/>
      <c r="AB76" s="33"/>
      <c r="AC76" s="33"/>
      <c r="AD76" s="33"/>
      <c r="AE76" s="33"/>
      <c r="AF76" s="33"/>
      <c r="AG76" s="33"/>
      <c r="AH76" s="33"/>
      <c r="AI76" s="33"/>
      <c r="AJ76" s="33"/>
      <c r="AK76" s="33"/>
      <c r="AL76" s="33"/>
      <c r="AM76" s="33"/>
      <c r="AN76" s="33"/>
      <c r="AO76" s="33"/>
      <c r="AP76" s="33"/>
      <c r="AQ76" s="33"/>
      <c r="AR76" s="33"/>
      <c r="AS76" s="33"/>
      <c r="AT76" s="33"/>
      <c r="AU76" s="33"/>
      <c r="AV76" s="33"/>
      <c r="AW76" s="33"/>
      <c r="AX76" s="33"/>
      <c r="AY76" s="33"/>
      <c r="AZ76" s="33"/>
      <c r="BA76" s="33"/>
      <c r="BB76" s="33"/>
      <c r="BC76" s="33"/>
      <c r="BD76" s="33"/>
      <c r="BE76" s="33"/>
      <c r="BF76" s="33"/>
      <c r="BG76" s="33"/>
      <c r="BH76" s="33"/>
      <c r="BI76" s="33"/>
    </row>
    <row r="77" spans="1:61" ht="14.25" customHeight="1" x14ac:dyDescent="0.25">
      <c r="A77" s="33"/>
      <c r="B77" s="42"/>
      <c r="C77" s="33"/>
      <c r="D77" s="33"/>
      <c r="E77" s="33"/>
      <c r="F77" s="33"/>
      <c r="G77" s="33"/>
      <c r="H77" s="33"/>
      <c r="I77" s="33"/>
      <c r="J77" s="33"/>
      <c r="K77" s="33"/>
      <c r="L77" s="33"/>
      <c r="M77" s="33"/>
      <c r="N77" s="33"/>
      <c r="O77" s="33"/>
      <c r="P77" s="33"/>
      <c r="Q77" s="33"/>
      <c r="R77" s="33"/>
      <c r="S77" s="33"/>
      <c r="T77" s="33"/>
      <c r="U77" s="33"/>
      <c r="V77" s="33"/>
      <c r="W77" s="29"/>
      <c r="X77" s="29"/>
      <c r="Y77" s="29"/>
      <c r="Z77" s="29"/>
      <c r="AA77" s="29"/>
      <c r="AB77" s="33"/>
      <c r="AC77" s="33"/>
      <c r="AD77" s="33"/>
      <c r="AE77" s="33"/>
      <c r="AF77" s="33"/>
      <c r="AG77" s="33"/>
      <c r="AH77" s="33"/>
      <c r="AI77" s="33"/>
      <c r="AJ77" s="33"/>
      <c r="AK77" s="33"/>
      <c r="AL77" s="33"/>
      <c r="AM77" s="33"/>
      <c r="AN77" s="33"/>
      <c r="AO77" s="33"/>
      <c r="AP77" s="33"/>
      <c r="AQ77" s="33"/>
      <c r="AR77" s="33"/>
      <c r="AS77" s="33"/>
      <c r="AT77" s="33"/>
      <c r="AU77" s="33"/>
      <c r="AV77" s="33"/>
      <c r="AW77" s="33"/>
      <c r="AX77" s="33"/>
      <c r="AY77" s="33"/>
      <c r="AZ77" s="33"/>
      <c r="BA77" s="33"/>
      <c r="BB77" s="33"/>
      <c r="BC77" s="33"/>
      <c r="BD77" s="33"/>
      <c r="BE77" s="33"/>
      <c r="BF77" s="33"/>
      <c r="BG77" s="33"/>
      <c r="BH77" s="33"/>
      <c r="BI77" s="33"/>
    </row>
    <row r="78" spans="1:61" ht="14.25" customHeight="1" x14ac:dyDescent="0.25">
      <c r="A78" s="33"/>
      <c r="B78" s="42"/>
      <c r="C78" s="33"/>
      <c r="D78" s="33"/>
      <c r="E78" s="33"/>
      <c r="F78" s="33"/>
      <c r="G78" s="33"/>
      <c r="H78" s="33"/>
      <c r="I78" s="33"/>
      <c r="J78" s="33"/>
      <c r="K78" s="33"/>
      <c r="L78" s="33"/>
      <c r="M78" s="33"/>
      <c r="N78" s="33"/>
      <c r="O78" s="33"/>
      <c r="P78" s="33"/>
      <c r="Q78" s="33"/>
      <c r="R78" s="33"/>
      <c r="S78" s="33"/>
      <c r="T78" s="33"/>
      <c r="U78" s="33"/>
      <c r="V78" s="33"/>
      <c r="W78" s="29"/>
      <c r="X78" s="29"/>
      <c r="Y78" s="29"/>
      <c r="Z78" s="29"/>
      <c r="AA78" s="29"/>
      <c r="AB78" s="33"/>
      <c r="AC78" s="33"/>
      <c r="AD78" s="33"/>
      <c r="AE78" s="33"/>
      <c r="AF78" s="33"/>
      <c r="AG78" s="33"/>
      <c r="AH78" s="33"/>
      <c r="AI78" s="33"/>
      <c r="AJ78" s="33"/>
      <c r="AK78" s="33"/>
      <c r="AL78" s="33"/>
      <c r="AM78" s="33"/>
      <c r="AN78" s="33"/>
      <c r="AO78" s="33"/>
      <c r="AP78" s="33"/>
      <c r="AQ78" s="33"/>
      <c r="AR78" s="33"/>
      <c r="AS78" s="33"/>
      <c r="AT78" s="33"/>
      <c r="AU78" s="33"/>
      <c r="AV78" s="33"/>
      <c r="AW78" s="33"/>
      <c r="AX78" s="33"/>
      <c r="AY78" s="33"/>
      <c r="AZ78" s="33"/>
      <c r="BA78" s="33"/>
      <c r="BB78" s="33"/>
      <c r="BC78" s="33"/>
      <c r="BD78" s="33"/>
      <c r="BE78" s="33"/>
      <c r="BF78" s="33"/>
      <c r="BG78" s="33"/>
      <c r="BH78" s="33"/>
      <c r="BI78" s="33"/>
    </row>
    <row r="79" spans="1:61" ht="14.25" customHeight="1" x14ac:dyDescent="0.25">
      <c r="A79" s="33"/>
      <c r="B79" s="42"/>
      <c r="C79" s="33"/>
      <c r="D79" s="33"/>
      <c r="E79" s="33"/>
      <c r="F79" s="33"/>
      <c r="G79" s="33"/>
      <c r="H79" s="33"/>
      <c r="I79" s="33"/>
      <c r="J79" s="33"/>
      <c r="K79" s="33"/>
      <c r="L79" s="33"/>
      <c r="M79" s="33"/>
      <c r="N79" s="33"/>
      <c r="O79" s="33"/>
      <c r="P79" s="33"/>
      <c r="Q79" s="33"/>
      <c r="R79" s="33"/>
      <c r="S79" s="33"/>
      <c r="T79" s="33"/>
      <c r="U79" s="33"/>
      <c r="V79" s="33"/>
      <c r="W79" s="29"/>
      <c r="X79" s="29"/>
      <c r="Y79" s="29"/>
      <c r="Z79" s="29"/>
      <c r="AA79" s="29"/>
      <c r="AB79" s="33"/>
      <c r="AC79" s="33"/>
      <c r="AD79" s="33"/>
      <c r="AE79" s="33"/>
      <c r="AF79" s="33"/>
      <c r="AG79" s="33"/>
      <c r="AH79" s="33"/>
      <c r="AI79" s="33"/>
      <c r="AJ79" s="33"/>
      <c r="AK79" s="33"/>
      <c r="AL79" s="33"/>
      <c r="AM79" s="33"/>
      <c r="AN79" s="33"/>
      <c r="AO79" s="33"/>
      <c r="AP79" s="33"/>
      <c r="AQ79" s="33"/>
      <c r="AR79" s="33"/>
      <c r="AS79" s="33"/>
      <c r="AT79" s="33"/>
      <c r="AU79" s="33"/>
      <c r="AV79" s="33"/>
      <c r="AW79" s="33"/>
      <c r="AX79" s="33"/>
      <c r="AY79" s="33"/>
      <c r="AZ79" s="33"/>
      <c r="BA79" s="33"/>
      <c r="BB79" s="33"/>
      <c r="BC79" s="33"/>
      <c r="BD79" s="33"/>
      <c r="BE79" s="33"/>
      <c r="BF79" s="33"/>
      <c r="BG79" s="33"/>
      <c r="BH79" s="33"/>
      <c r="BI79" s="33"/>
    </row>
    <row r="80" spans="1:61" ht="14.25" customHeight="1" x14ac:dyDescent="0.25">
      <c r="A80" s="33"/>
      <c r="B80" s="42"/>
      <c r="C80" s="33"/>
      <c r="D80" s="33"/>
      <c r="E80" s="33"/>
      <c r="F80" s="33"/>
      <c r="G80" s="33"/>
      <c r="H80" s="33"/>
      <c r="I80" s="33"/>
      <c r="J80" s="33"/>
      <c r="K80" s="33"/>
      <c r="L80" s="33"/>
      <c r="M80" s="33"/>
      <c r="N80" s="33"/>
      <c r="O80" s="33"/>
      <c r="P80" s="33"/>
      <c r="Q80" s="33"/>
      <c r="R80" s="33"/>
      <c r="S80" s="33"/>
      <c r="T80" s="33"/>
      <c r="U80" s="33"/>
      <c r="V80" s="33"/>
      <c r="W80" s="29"/>
      <c r="X80" s="29"/>
      <c r="Y80" s="29"/>
      <c r="Z80" s="29"/>
      <c r="AA80" s="29"/>
      <c r="AB80" s="33"/>
      <c r="AC80" s="33"/>
      <c r="AD80" s="33"/>
      <c r="AE80" s="33"/>
      <c r="AF80" s="33"/>
      <c r="AG80" s="33"/>
      <c r="AH80" s="33"/>
      <c r="AI80" s="33"/>
      <c r="AJ80" s="33"/>
      <c r="AK80" s="33"/>
      <c r="AL80" s="33"/>
      <c r="AM80" s="33"/>
      <c r="AN80" s="33"/>
      <c r="AO80" s="33"/>
      <c r="AP80" s="33"/>
      <c r="AQ80" s="33"/>
      <c r="AR80" s="33"/>
      <c r="AS80" s="33"/>
      <c r="AT80" s="33"/>
      <c r="AU80" s="33"/>
      <c r="AV80" s="33"/>
      <c r="AW80" s="33"/>
      <c r="AX80" s="33"/>
      <c r="AY80" s="33"/>
      <c r="AZ80" s="33"/>
      <c r="BA80" s="33"/>
      <c r="BB80" s="33"/>
      <c r="BC80" s="33"/>
      <c r="BD80" s="33"/>
      <c r="BE80" s="33"/>
      <c r="BF80" s="33"/>
      <c r="BG80" s="33"/>
      <c r="BH80" s="33"/>
      <c r="BI80" s="33"/>
    </row>
    <row r="81" spans="1:61" ht="14.25" customHeight="1" x14ac:dyDescent="0.25">
      <c r="A81" s="33"/>
      <c r="B81" s="42"/>
      <c r="C81" s="33"/>
      <c r="D81" s="33"/>
      <c r="E81" s="33"/>
      <c r="F81" s="33"/>
      <c r="G81" s="33"/>
      <c r="H81" s="33"/>
      <c r="I81" s="33"/>
      <c r="J81" s="33"/>
      <c r="K81" s="33"/>
      <c r="L81" s="33"/>
      <c r="M81" s="33"/>
      <c r="N81" s="33"/>
      <c r="O81" s="33"/>
      <c r="P81" s="33"/>
      <c r="Q81" s="33"/>
      <c r="R81" s="33"/>
      <c r="S81" s="33"/>
      <c r="T81" s="33"/>
      <c r="U81" s="33"/>
      <c r="V81" s="33"/>
      <c r="W81" s="29"/>
      <c r="X81" s="29"/>
      <c r="Y81" s="29"/>
      <c r="Z81" s="29"/>
      <c r="AA81" s="29"/>
      <c r="AB81" s="33"/>
      <c r="AC81" s="33"/>
      <c r="AD81" s="33"/>
      <c r="AE81" s="33"/>
      <c r="AF81" s="33"/>
      <c r="AG81" s="33"/>
      <c r="AH81" s="33"/>
      <c r="AI81" s="33"/>
      <c r="AJ81" s="33"/>
      <c r="AK81" s="33"/>
      <c r="AL81" s="33"/>
      <c r="AM81" s="33"/>
      <c r="AN81" s="33"/>
      <c r="AO81" s="33"/>
      <c r="AP81" s="33"/>
      <c r="AQ81" s="33"/>
      <c r="AR81" s="33"/>
      <c r="AS81" s="33"/>
      <c r="AT81" s="33"/>
      <c r="AU81" s="33"/>
      <c r="AV81" s="33"/>
      <c r="AW81" s="33"/>
      <c r="AX81" s="33"/>
      <c r="AY81" s="33"/>
      <c r="AZ81" s="33"/>
      <c r="BA81" s="33"/>
      <c r="BB81" s="33"/>
      <c r="BC81" s="33"/>
      <c r="BD81" s="33"/>
      <c r="BE81" s="33"/>
      <c r="BF81" s="33"/>
      <c r="BG81" s="33"/>
      <c r="BH81" s="33"/>
      <c r="BI81" s="33"/>
    </row>
    <row r="82" spans="1:61" ht="14.25" customHeight="1" x14ac:dyDescent="0.25">
      <c r="A82" s="33"/>
      <c r="B82" s="42"/>
      <c r="C82" s="33"/>
      <c r="D82" s="33"/>
      <c r="E82" s="33"/>
      <c r="F82" s="33"/>
      <c r="G82" s="33"/>
      <c r="H82" s="33"/>
      <c r="I82" s="33"/>
      <c r="J82" s="33"/>
      <c r="K82" s="33"/>
      <c r="L82" s="33"/>
      <c r="M82" s="33"/>
      <c r="N82" s="33"/>
      <c r="O82" s="33"/>
      <c r="P82" s="33"/>
      <c r="Q82" s="33"/>
      <c r="R82" s="33"/>
      <c r="S82" s="33"/>
      <c r="T82" s="33"/>
      <c r="U82" s="33"/>
      <c r="V82" s="33"/>
      <c r="W82" s="29"/>
      <c r="X82" s="29"/>
      <c r="Y82" s="29"/>
      <c r="Z82" s="29"/>
      <c r="AA82" s="29"/>
      <c r="AB82" s="33"/>
      <c r="AC82" s="33"/>
      <c r="AD82" s="33"/>
      <c r="AE82" s="33"/>
      <c r="AF82" s="33"/>
      <c r="AG82" s="33"/>
      <c r="AH82" s="33"/>
      <c r="AI82" s="33"/>
      <c r="AJ82" s="33"/>
      <c r="AK82" s="33"/>
      <c r="AL82" s="33"/>
      <c r="AM82" s="33"/>
      <c r="AN82" s="33"/>
      <c r="AO82" s="33"/>
      <c r="AP82" s="33"/>
      <c r="AQ82" s="33"/>
      <c r="AR82" s="33"/>
      <c r="AS82" s="33"/>
      <c r="AT82" s="33"/>
      <c r="AU82" s="33"/>
      <c r="AV82" s="33"/>
      <c r="AW82" s="33"/>
      <c r="AX82" s="33"/>
      <c r="AY82" s="33"/>
      <c r="AZ82" s="33"/>
      <c r="BA82" s="33"/>
      <c r="BB82" s="33"/>
      <c r="BC82" s="33"/>
      <c r="BD82" s="33"/>
      <c r="BE82" s="33"/>
      <c r="BF82" s="33"/>
      <c r="BG82" s="33"/>
      <c r="BH82" s="33"/>
      <c r="BI82" s="33"/>
    </row>
    <row r="83" spans="1:61" ht="14.25" customHeight="1" x14ac:dyDescent="0.25">
      <c r="A83" s="33"/>
      <c r="B83" s="42"/>
      <c r="C83" s="33"/>
      <c r="D83" s="33"/>
      <c r="E83" s="33"/>
      <c r="F83" s="33"/>
      <c r="G83" s="33"/>
      <c r="H83" s="33"/>
      <c r="I83" s="33"/>
      <c r="J83" s="33"/>
      <c r="K83" s="33"/>
      <c r="L83" s="33"/>
      <c r="M83" s="33"/>
      <c r="N83" s="33"/>
      <c r="O83" s="33"/>
      <c r="P83" s="33"/>
      <c r="Q83" s="33"/>
      <c r="R83" s="33"/>
      <c r="S83" s="33"/>
      <c r="T83" s="33"/>
      <c r="U83" s="33"/>
      <c r="V83" s="33"/>
      <c r="W83" s="29"/>
      <c r="X83" s="29"/>
      <c r="Y83" s="29"/>
      <c r="Z83" s="29"/>
      <c r="AA83" s="29"/>
      <c r="AB83" s="33"/>
      <c r="AC83" s="33"/>
      <c r="AD83" s="33"/>
      <c r="AE83" s="33"/>
      <c r="AF83" s="33"/>
      <c r="AG83" s="33"/>
      <c r="AH83" s="33"/>
      <c r="AI83" s="33"/>
      <c r="AJ83" s="33"/>
      <c r="AK83" s="33"/>
      <c r="AL83" s="33"/>
      <c r="AM83" s="33"/>
      <c r="AN83" s="33"/>
      <c r="AO83" s="33"/>
      <c r="AP83" s="33"/>
      <c r="AQ83" s="33"/>
      <c r="AR83" s="33"/>
      <c r="AS83" s="33"/>
      <c r="AT83" s="33"/>
      <c r="AU83" s="33"/>
      <c r="AV83" s="33"/>
      <c r="AW83" s="33"/>
      <c r="AX83" s="33"/>
      <c r="AY83" s="33"/>
      <c r="AZ83" s="33"/>
      <c r="BA83" s="33"/>
      <c r="BB83" s="33"/>
      <c r="BC83" s="33"/>
      <c r="BD83" s="33"/>
      <c r="BE83" s="33"/>
      <c r="BF83" s="33"/>
      <c r="BG83" s="33"/>
      <c r="BH83" s="33"/>
      <c r="BI83" s="33"/>
    </row>
    <row r="84" spans="1:61" ht="14.25" customHeight="1" x14ac:dyDescent="0.25">
      <c r="A84" s="33"/>
      <c r="B84" s="42"/>
      <c r="C84" s="33"/>
      <c r="D84" s="33"/>
      <c r="E84" s="33"/>
      <c r="F84" s="33"/>
      <c r="G84" s="33"/>
      <c r="H84" s="33"/>
      <c r="I84" s="33"/>
      <c r="J84" s="33"/>
      <c r="K84" s="33"/>
      <c r="L84" s="33"/>
      <c r="M84" s="33"/>
      <c r="N84" s="33"/>
      <c r="O84" s="33"/>
      <c r="P84" s="33"/>
      <c r="Q84" s="33"/>
      <c r="R84" s="33"/>
      <c r="S84" s="33"/>
      <c r="T84" s="33"/>
      <c r="U84" s="33"/>
      <c r="V84" s="33"/>
      <c r="W84" s="29"/>
      <c r="X84" s="29"/>
      <c r="Y84" s="29"/>
      <c r="Z84" s="29"/>
      <c r="AA84" s="29"/>
      <c r="AB84" s="33"/>
      <c r="AC84" s="33"/>
      <c r="AD84" s="33"/>
      <c r="AE84" s="33"/>
      <c r="AF84" s="33"/>
      <c r="AG84" s="33"/>
      <c r="AH84" s="33"/>
      <c r="AI84" s="33"/>
      <c r="AJ84" s="33"/>
      <c r="AK84" s="33"/>
      <c r="AL84" s="33"/>
      <c r="AM84" s="33"/>
      <c r="AN84" s="33"/>
      <c r="AO84" s="33"/>
      <c r="AP84" s="33"/>
      <c r="AQ84" s="33"/>
      <c r="AR84" s="33"/>
      <c r="AS84" s="33"/>
      <c r="AT84" s="33"/>
      <c r="AU84" s="33"/>
      <c r="AV84" s="33"/>
      <c r="AW84" s="33"/>
      <c r="AX84" s="33"/>
      <c r="AY84" s="33"/>
      <c r="AZ84" s="33"/>
      <c r="BA84" s="33"/>
      <c r="BB84" s="33"/>
      <c r="BC84" s="33"/>
      <c r="BD84" s="33"/>
      <c r="BE84" s="33"/>
      <c r="BF84" s="33"/>
      <c r="BG84" s="33"/>
      <c r="BH84" s="33"/>
      <c r="BI84" s="33"/>
    </row>
    <row r="85" spans="1:61" ht="14.25" customHeight="1" x14ac:dyDescent="0.25">
      <c r="A85" s="33"/>
      <c r="B85" s="42"/>
      <c r="C85" s="33"/>
      <c r="D85" s="33"/>
      <c r="E85" s="33"/>
      <c r="F85" s="33"/>
      <c r="G85" s="33"/>
      <c r="H85" s="33"/>
      <c r="I85" s="33"/>
      <c r="J85" s="33"/>
      <c r="K85" s="33"/>
      <c r="L85" s="33"/>
      <c r="M85" s="33"/>
      <c r="N85" s="33"/>
      <c r="O85" s="33"/>
      <c r="P85" s="33"/>
      <c r="Q85" s="33"/>
      <c r="R85" s="33"/>
      <c r="S85" s="33"/>
      <c r="T85" s="33"/>
      <c r="U85" s="33"/>
      <c r="V85" s="33"/>
      <c r="W85" s="29"/>
      <c r="X85" s="29"/>
      <c r="Y85" s="29"/>
      <c r="Z85" s="29"/>
      <c r="AA85" s="29"/>
      <c r="AB85" s="33"/>
      <c r="AC85" s="33"/>
      <c r="AD85" s="33"/>
      <c r="AE85" s="33"/>
      <c r="AF85" s="33"/>
      <c r="AG85" s="33"/>
      <c r="AH85" s="33"/>
      <c r="AI85" s="33"/>
      <c r="AJ85" s="33"/>
      <c r="AK85" s="33"/>
      <c r="AL85" s="33"/>
      <c r="AM85" s="33"/>
      <c r="AN85" s="33"/>
      <c r="AO85" s="33"/>
      <c r="AP85" s="33"/>
      <c r="AQ85" s="33"/>
      <c r="AR85" s="33"/>
      <c r="AS85" s="33"/>
      <c r="AT85" s="33"/>
      <c r="AU85" s="33"/>
      <c r="AV85" s="33"/>
      <c r="AW85" s="33"/>
      <c r="AX85" s="33"/>
      <c r="AY85" s="33"/>
      <c r="AZ85" s="33"/>
      <c r="BA85" s="33"/>
      <c r="BB85" s="33"/>
      <c r="BC85" s="33"/>
      <c r="BD85" s="33"/>
      <c r="BE85" s="33"/>
      <c r="BF85" s="33"/>
      <c r="BG85" s="33"/>
      <c r="BH85" s="33"/>
      <c r="BI85" s="33"/>
    </row>
    <row r="86" spans="1:61" ht="14.25" customHeight="1" x14ac:dyDescent="0.25">
      <c r="A86" s="33"/>
      <c r="B86" s="42"/>
      <c r="C86" s="33"/>
      <c r="D86" s="33"/>
      <c r="E86" s="33"/>
      <c r="F86" s="33"/>
      <c r="G86" s="33"/>
      <c r="H86" s="33"/>
      <c r="I86" s="33"/>
      <c r="J86" s="33"/>
      <c r="K86" s="33"/>
      <c r="L86" s="33"/>
      <c r="M86" s="33"/>
      <c r="N86" s="33"/>
      <c r="O86" s="33"/>
      <c r="P86" s="33"/>
      <c r="Q86" s="33"/>
      <c r="R86" s="33"/>
      <c r="S86" s="33"/>
      <c r="T86" s="33"/>
      <c r="U86" s="33"/>
      <c r="V86" s="33"/>
      <c r="W86" s="29"/>
      <c r="X86" s="29"/>
      <c r="Y86" s="29"/>
      <c r="Z86" s="29"/>
      <c r="AA86" s="29"/>
      <c r="AB86" s="33"/>
      <c r="AC86" s="33"/>
      <c r="AD86" s="33"/>
      <c r="AE86" s="33"/>
      <c r="AF86" s="33"/>
      <c r="AG86" s="33"/>
      <c r="AH86" s="33"/>
      <c r="AI86" s="33"/>
      <c r="AJ86" s="33"/>
      <c r="AK86" s="33"/>
      <c r="AL86" s="33"/>
      <c r="AM86" s="33"/>
      <c r="AN86" s="33"/>
      <c r="AO86" s="33"/>
      <c r="AP86" s="33"/>
      <c r="AQ86" s="33"/>
      <c r="AR86" s="33"/>
      <c r="AS86" s="33"/>
      <c r="AT86" s="33"/>
      <c r="AU86" s="33"/>
      <c r="AV86" s="33"/>
      <c r="AW86" s="33"/>
      <c r="AX86" s="33"/>
      <c r="AY86" s="33"/>
      <c r="AZ86" s="33"/>
      <c r="BA86" s="33"/>
      <c r="BB86" s="33"/>
      <c r="BC86" s="33"/>
      <c r="BD86" s="33"/>
      <c r="BE86" s="33"/>
      <c r="BF86" s="33"/>
      <c r="BG86" s="33"/>
      <c r="BH86" s="33"/>
      <c r="BI86" s="33"/>
    </row>
    <row r="87" spans="1:61" ht="14.25" customHeight="1" x14ac:dyDescent="0.25">
      <c r="A87" s="33"/>
      <c r="B87" s="42"/>
      <c r="C87" s="33"/>
      <c r="D87" s="33"/>
      <c r="E87" s="33"/>
      <c r="F87" s="33"/>
      <c r="G87" s="33"/>
      <c r="H87" s="33"/>
      <c r="I87" s="33"/>
      <c r="J87" s="33"/>
      <c r="K87" s="33"/>
      <c r="L87" s="33"/>
      <c r="M87" s="33"/>
      <c r="N87" s="33"/>
      <c r="O87" s="33"/>
      <c r="P87" s="33"/>
      <c r="Q87" s="33"/>
      <c r="R87" s="33"/>
      <c r="S87" s="33"/>
      <c r="T87" s="33"/>
      <c r="U87" s="33"/>
      <c r="V87" s="33"/>
      <c r="W87" s="29"/>
      <c r="X87" s="29"/>
      <c r="Y87" s="29"/>
      <c r="Z87" s="29"/>
      <c r="AA87" s="29"/>
      <c r="AB87" s="33"/>
      <c r="AC87" s="33"/>
      <c r="AD87" s="33"/>
      <c r="AE87" s="33"/>
      <c r="AF87" s="33"/>
      <c r="AG87" s="33"/>
      <c r="AH87" s="33"/>
      <c r="AI87" s="33"/>
      <c r="AJ87" s="33"/>
      <c r="AK87" s="33"/>
      <c r="AL87" s="33"/>
      <c r="AM87" s="33"/>
      <c r="AN87" s="33"/>
      <c r="AO87" s="33"/>
      <c r="AP87" s="33"/>
      <c r="AQ87" s="33"/>
      <c r="AR87" s="33"/>
      <c r="AS87" s="33"/>
      <c r="AT87" s="33"/>
      <c r="AU87" s="33"/>
      <c r="AV87" s="33"/>
      <c r="AW87" s="33"/>
      <c r="AX87" s="33"/>
      <c r="AY87" s="33"/>
      <c r="AZ87" s="33"/>
      <c r="BA87" s="33"/>
      <c r="BB87" s="33"/>
      <c r="BC87" s="33"/>
      <c r="BD87" s="33"/>
      <c r="BE87" s="33"/>
      <c r="BF87" s="33"/>
      <c r="BG87" s="33"/>
      <c r="BH87" s="33"/>
      <c r="BI87" s="33"/>
    </row>
    <row r="88" spans="1:61" ht="14.25" customHeight="1" x14ac:dyDescent="0.25">
      <c r="A88" s="33"/>
      <c r="B88" s="42"/>
      <c r="C88" s="33"/>
      <c r="D88" s="33"/>
      <c r="E88" s="33"/>
      <c r="F88" s="33"/>
      <c r="G88" s="33"/>
      <c r="H88" s="33"/>
      <c r="I88" s="33"/>
      <c r="J88" s="33"/>
      <c r="K88" s="33"/>
      <c r="L88" s="33"/>
      <c r="M88" s="33"/>
      <c r="N88" s="33"/>
      <c r="O88" s="33"/>
      <c r="P88" s="33"/>
      <c r="Q88" s="33"/>
      <c r="R88" s="33"/>
      <c r="S88" s="33"/>
      <c r="T88" s="33"/>
      <c r="U88" s="33"/>
      <c r="V88" s="33"/>
      <c r="W88" s="29"/>
      <c r="X88" s="29"/>
      <c r="Y88" s="29"/>
      <c r="Z88" s="29"/>
      <c r="AA88" s="29"/>
      <c r="AB88" s="33"/>
      <c r="AC88" s="33"/>
      <c r="AD88" s="33"/>
      <c r="AE88" s="33"/>
      <c r="AF88" s="33"/>
      <c r="AG88" s="33"/>
      <c r="AH88" s="33"/>
      <c r="AI88" s="33"/>
      <c r="AJ88" s="33"/>
      <c r="AK88" s="33"/>
      <c r="AL88" s="33"/>
      <c r="AM88" s="33"/>
      <c r="AN88" s="33"/>
      <c r="AO88" s="33"/>
      <c r="AP88" s="33"/>
      <c r="AQ88" s="33"/>
      <c r="AR88" s="33"/>
      <c r="AS88" s="33"/>
      <c r="AT88" s="33"/>
      <c r="AU88" s="33"/>
      <c r="AV88" s="33"/>
      <c r="AW88" s="33"/>
      <c r="AX88" s="33"/>
      <c r="AY88" s="33"/>
      <c r="AZ88" s="33"/>
      <c r="BA88" s="33"/>
      <c r="BB88" s="33"/>
      <c r="BC88" s="33"/>
      <c r="BD88" s="33"/>
      <c r="BE88" s="33"/>
      <c r="BF88" s="33"/>
      <c r="BG88" s="33"/>
      <c r="BH88" s="33"/>
      <c r="BI88" s="33"/>
    </row>
    <row r="89" spans="1:61" ht="14.25" customHeight="1" x14ac:dyDescent="0.25">
      <c r="A89" s="33"/>
      <c r="B89" s="42"/>
      <c r="C89" s="33"/>
      <c r="D89" s="33"/>
      <c r="E89" s="33"/>
      <c r="F89" s="33"/>
      <c r="G89" s="33"/>
      <c r="H89" s="33"/>
      <c r="I89" s="33"/>
      <c r="J89" s="33"/>
      <c r="K89" s="33"/>
      <c r="L89" s="33"/>
      <c r="M89" s="33"/>
      <c r="N89" s="33"/>
      <c r="O89" s="33"/>
      <c r="P89" s="33"/>
      <c r="Q89" s="33"/>
      <c r="R89" s="33"/>
      <c r="S89" s="33"/>
      <c r="T89" s="33"/>
      <c r="U89" s="33"/>
      <c r="V89" s="33"/>
      <c r="W89" s="29"/>
      <c r="X89" s="29"/>
      <c r="Y89" s="29"/>
      <c r="Z89" s="29"/>
      <c r="AA89" s="29"/>
      <c r="AB89" s="33"/>
      <c r="AC89" s="33"/>
      <c r="AD89" s="33"/>
      <c r="AE89" s="33"/>
      <c r="AF89" s="33"/>
      <c r="AG89" s="33"/>
      <c r="AH89" s="33"/>
      <c r="AI89" s="33"/>
      <c r="AJ89" s="33"/>
      <c r="AK89" s="33"/>
      <c r="AL89" s="33"/>
      <c r="AM89" s="33"/>
      <c r="AN89" s="33"/>
      <c r="AO89" s="33"/>
      <c r="AP89" s="33"/>
      <c r="AQ89" s="33"/>
      <c r="AR89" s="33"/>
      <c r="AS89" s="33"/>
      <c r="AT89" s="33"/>
      <c r="AU89" s="33"/>
      <c r="AV89" s="33"/>
      <c r="AW89" s="33"/>
      <c r="AX89" s="33"/>
      <c r="AY89" s="33"/>
      <c r="AZ89" s="33"/>
      <c r="BA89" s="33"/>
      <c r="BB89" s="33"/>
      <c r="BC89" s="33"/>
      <c r="BD89" s="33"/>
      <c r="BE89" s="33"/>
      <c r="BF89" s="33"/>
      <c r="BG89" s="33"/>
      <c r="BH89" s="33"/>
      <c r="BI89" s="33"/>
    </row>
    <row r="90" spans="1:61" ht="14.25" customHeight="1" x14ac:dyDescent="0.25">
      <c r="A90" s="33"/>
      <c r="B90" s="42"/>
      <c r="C90" s="33"/>
      <c r="D90" s="33"/>
      <c r="E90" s="33"/>
      <c r="F90" s="33"/>
      <c r="G90" s="33"/>
      <c r="H90" s="33"/>
      <c r="I90" s="33"/>
      <c r="J90" s="33"/>
      <c r="K90" s="33"/>
      <c r="L90" s="33"/>
      <c r="M90" s="33"/>
      <c r="N90" s="33"/>
      <c r="O90" s="33"/>
      <c r="P90" s="33"/>
      <c r="Q90" s="33"/>
      <c r="R90" s="33"/>
      <c r="S90" s="33"/>
      <c r="T90" s="33"/>
      <c r="U90" s="33"/>
      <c r="V90" s="33"/>
      <c r="W90" s="29"/>
      <c r="X90" s="29"/>
      <c r="Y90" s="29"/>
      <c r="Z90" s="29"/>
      <c r="AA90" s="29"/>
      <c r="AB90" s="33"/>
      <c r="AC90" s="33"/>
      <c r="AD90" s="33"/>
      <c r="AE90" s="33"/>
      <c r="AF90" s="33"/>
      <c r="AG90" s="33"/>
      <c r="AH90" s="33"/>
      <c r="AI90" s="33"/>
      <c r="AJ90" s="33"/>
      <c r="AK90" s="33"/>
      <c r="AL90" s="33"/>
      <c r="AM90" s="33"/>
      <c r="AN90" s="33"/>
      <c r="AO90" s="33"/>
      <c r="AP90" s="33"/>
      <c r="AQ90" s="33"/>
      <c r="AR90" s="33"/>
      <c r="AS90" s="33"/>
      <c r="AT90" s="33"/>
      <c r="AU90" s="33"/>
      <c r="AV90" s="33"/>
      <c r="AW90" s="33"/>
      <c r="AX90" s="33"/>
      <c r="AY90" s="33"/>
      <c r="AZ90" s="33"/>
      <c r="BA90" s="33"/>
      <c r="BB90" s="33"/>
      <c r="BC90" s="33"/>
      <c r="BD90" s="33"/>
      <c r="BE90" s="33"/>
      <c r="BF90" s="33"/>
      <c r="BG90" s="33"/>
      <c r="BH90" s="33"/>
      <c r="BI90" s="33"/>
    </row>
    <row r="91" spans="1:61" ht="14.25" customHeight="1" x14ac:dyDescent="0.25">
      <c r="A91" s="33"/>
      <c r="B91" s="42"/>
      <c r="C91" s="33"/>
      <c r="D91" s="33"/>
      <c r="E91" s="33"/>
      <c r="F91" s="33"/>
      <c r="G91" s="33"/>
      <c r="H91" s="33"/>
      <c r="I91" s="33"/>
      <c r="J91" s="33"/>
      <c r="K91" s="33"/>
      <c r="L91" s="33"/>
      <c r="M91" s="33"/>
      <c r="N91" s="33"/>
      <c r="O91" s="33"/>
      <c r="P91" s="33"/>
      <c r="Q91" s="33"/>
      <c r="R91" s="33"/>
      <c r="S91" s="33"/>
      <c r="T91" s="33"/>
      <c r="U91" s="33"/>
      <c r="V91" s="33"/>
      <c r="W91" s="29"/>
      <c r="X91" s="29"/>
      <c r="Y91" s="29"/>
      <c r="Z91" s="29"/>
      <c r="AA91" s="29"/>
      <c r="AB91" s="33"/>
      <c r="AC91" s="33"/>
      <c r="AD91" s="33"/>
      <c r="AE91" s="33"/>
      <c r="AF91" s="33"/>
      <c r="AG91" s="33"/>
      <c r="AH91" s="33"/>
      <c r="AI91" s="33"/>
      <c r="AJ91" s="33"/>
      <c r="AK91" s="33"/>
      <c r="AL91" s="33"/>
      <c r="AM91" s="33"/>
      <c r="AN91" s="33"/>
      <c r="AO91" s="33"/>
      <c r="AP91" s="33"/>
      <c r="AQ91" s="33"/>
      <c r="AR91" s="33"/>
      <c r="AS91" s="33"/>
      <c r="AT91" s="33"/>
      <c r="AU91" s="33"/>
      <c r="AV91" s="33"/>
      <c r="AW91" s="33"/>
      <c r="AX91" s="33"/>
      <c r="AY91" s="33"/>
      <c r="AZ91" s="33"/>
      <c r="BA91" s="33"/>
      <c r="BB91" s="33"/>
      <c r="BC91" s="33"/>
      <c r="BD91" s="33"/>
      <c r="BE91" s="33"/>
      <c r="BF91" s="33"/>
      <c r="BG91" s="33"/>
      <c r="BH91" s="33"/>
      <c r="BI91" s="33"/>
    </row>
    <row r="92" spans="1:61" ht="14.25" customHeight="1" x14ac:dyDescent="0.25">
      <c r="A92" s="33"/>
      <c r="B92" s="42"/>
      <c r="C92" s="33"/>
      <c r="D92" s="33"/>
      <c r="E92" s="33"/>
      <c r="F92" s="33"/>
      <c r="G92" s="33"/>
      <c r="H92" s="33"/>
      <c r="I92" s="33"/>
      <c r="J92" s="33"/>
      <c r="K92" s="33"/>
      <c r="L92" s="33"/>
      <c r="M92" s="33"/>
      <c r="N92" s="33"/>
      <c r="O92" s="33"/>
      <c r="P92" s="33"/>
      <c r="Q92" s="33"/>
      <c r="R92" s="33"/>
      <c r="S92" s="33"/>
      <c r="T92" s="33"/>
      <c r="U92" s="33"/>
      <c r="V92" s="33"/>
      <c r="W92" s="29"/>
      <c r="X92" s="29"/>
      <c r="Y92" s="29"/>
      <c r="Z92" s="29"/>
      <c r="AA92" s="29"/>
      <c r="AB92" s="33"/>
      <c r="AC92" s="33"/>
      <c r="AD92" s="33"/>
      <c r="AE92" s="33"/>
      <c r="AF92" s="33"/>
      <c r="AG92" s="33"/>
      <c r="AH92" s="33"/>
      <c r="AI92" s="33"/>
      <c r="AJ92" s="33"/>
      <c r="AK92" s="33"/>
      <c r="AL92" s="33"/>
      <c r="AM92" s="33"/>
      <c r="AN92" s="33"/>
      <c r="AO92" s="33"/>
      <c r="AP92" s="33"/>
      <c r="AQ92" s="33"/>
      <c r="AR92" s="33"/>
      <c r="AS92" s="33"/>
      <c r="AT92" s="33"/>
      <c r="AU92" s="33"/>
      <c r="AV92" s="33"/>
      <c r="AW92" s="33"/>
      <c r="AX92" s="33"/>
      <c r="AY92" s="33"/>
      <c r="AZ92" s="33"/>
      <c r="BA92" s="33"/>
      <c r="BB92" s="33"/>
      <c r="BC92" s="33"/>
      <c r="BD92" s="33"/>
      <c r="BE92" s="33"/>
      <c r="BF92" s="33"/>
      <c r="BG92" s="33"/>
      <c r="BH92" s="33"/>
      <c r="BI92" s="33"/>
    </row>
    <row r="93" spans="1:61" ht="14.25" customHeight="1" x14ac:dyDescent="0.25">
      <c r="A93" s="33"/>
      <c r="B93" s="42"/>
      <c r="C93" s="33"/>
      <c r="D93" s="33"/>
      <c r="E93" s="33"/>
      <c r="F93" s="33"/>
      <c r="G93" s="33"/>
      <c r="H93" s="33"/>
      <c r="I93" s="33"/>
      <c r="J93" s="33"/>
      <c r="K93" s="33"/>
      <c r="L93" s="33"/>
      <c r="M93" s="33"/>
      <c r="N93" s="33"/>
      <c r="O93" s="33"/>
      <c r="P93" s="33"/>
      <c r="Q93" s="33"/>
      <c r="R93" s="33"/>
      <c r="S93" s="33"/>
      <c r="T93" s="33"/>
      <c r="U93" s="33"/>
      <c r="V93" s="33"/>
      <c r="W93" s="29"/>
      <c r="X93" s="29"/>
      <c r="Y93" s="29"/>
      <c r="Z93" s="29"/>
      <c r="AA93" s="29"/>
      <c r="AB93" s="33"/>
      <c r="AC93" s="33"/>
      <c r="AD93" s="33"/>
      <c r="AE93" s="33"/>
      <c r="AF93" s="33"/>
      <c r="AG93" s="33"/>
      <c r="AH93" s="33"/>
      <c r="AI93" s="33"/>
      <c r="AJ93" s="33"/>
      <c r="AK93" s="33"/>
      <c r="AL93" s="33"/>
      <c r="AM93" s="33"/>
      <c r="AN93" s="33"/>
      <c r="AO93" s="33"/>
      <c r="AP93" s="33"/>
      <c r="AQ93" s="33"/>
      <c r="AR93" s="33"/>
      <c r="AS93" s="33"/>
      <c r="AT93" s="33"/>
      <c r="AU93" s="33"/>
      <c r="AV93" s="33"/>
      <c r="AW93" s="33"/>
      <c r="AX93" s="33"/>
      <c r="AY93" s="33"/>
      <c r="AZ93" s="33"/>
      <c r="BA93" s="33"/>
      <c r="BB93" s="33"/>
      <c r="BC93" s="33"/>
      <c r="BD93" s="33"/>
      <c r="BE93" s="33"/>
      <c r="BF93" s="33"/>
      <c r="BG93" s="33"/>
      <c r="BH93" s="33"/>
      <c r="BI93" s="33"/>
    </row>
    <row r="94" spans="1:61" ht="14.25" customHeight="1" x14ac:dyDescent="0.25">
      <c r="A94" s="33"/>
      <c r="B94" s="42"/>
      <c r="C94" s="33"/>
      <c r="D94" s="33"/>
      <c r="E94" s="33"/>
      <c r="F94" s="33"/>
      <c r="G94" s="33"/>
      <c r="H94" s="33"/>
      <c r="I94" s="33"/>
      <c r="J94" s="33"/>
      <c r="K94" s="33"/>
      <c r="L94" s="33"/>
      <c r="M94" s="33"/>
      <c r="N94" s="33"/>
      <c r="O94" s="33"/>
      <c r="P94" s="33"/>
      <c r="Q94" s="33"/>
      <c r="R94" s="33"/>
      <c r="S94" s="33"/>
      <c r="T94" s="33"/>
      <c r="U94" s="33"/>
      <c r="V94" s="33"/>
      <c r="W94" s="29"/>
      <c r="X94" s="29"/>
      <c r="Y94" s="29"/>
      <c r="Z94" s="29"/>
      <c r="AA94" s="29"/>
      <c r="AB94" s="33"/>
      <c r="AC94" s="33"/>
      <c r="AD94" s="33"/>
      <c r="AE94" s="33"/>
      <c r="AF94" s="33"/>
      <c r="AG94" s="33"/>
      <c r="AH94" s="33"/>
      <c r="AI94" s="33"/>
      <c r="AJ94" s="33"/>
      <c r="AK94" s="33"/>
      <c r="AL94" s="33"/>
      <c r="AM94" s="33"/>
      <c r="AN94" s="33"/>
      <c r="AO94" s="33"/>
      <c r="AP94" s="33"/>
      <c r="AQ94" s="33"/>
      <c r="AR94" s="33"/>
      <c r="AS94" s="33"/>
      <c r="AT94" s="33"/>
      <c r="AU94" s="33"/>
      <c r="AV94" s="33"/>
      <c r="AW94" s="33"/>
      <c r="AX94" s="33"/>
      <c r="AY94" s="33"/>
      <c r="AZ94" s="33"/>
      <c r="BA94" s="33"/>
      <c r="BB94" s="33"/>
      <c r="BC94" s="33"/>
      <c r="BD94" s="33"/>
      <c r="BE94" s="33"/>
      <c r="BF94" s="33"/>
      <c r="BG94" s="33"/>
      <c r="BH94" s="33"/>
      <c r="BI94" s="33"/>
    </row>
    <row r="95" spans="1:61" ht="14.25" customHeight="1" x14ac:dyDescent="0.25">
      <c r="A95" s="33"/>
      <c r="B95" s="42"/>
      <c r="C95" s="33"/>
      <c r="D95" s="33"/>
      <c r="E95" s="33"/>
      <c r="F95" s="33"/>
      <c r="G95" s="33"/>
      <c r="H95" s="33"/>
      <c r="I95" s="33"/>
      <c r="J95" s="33"/>
      <c r="K95" s="33"/>
      <c r="L95" s="33"/>
      <c r="M95" s="33"/>
      <c r="N95" s="33"/>
      <c r="O95" s="33"/>
      <c r="P95" s="33"/>
      <c r="Q95" s="33"/>
      <c r="R95" s="33"/>
      <c r="S95" s="33"/>
      <c r="T95" s="33"/>
      <c r="U95" s="33"/>
      <c r="V95" s="33"/>
      <c r="W95" s="29"/>
      <c r="X95" s="29"/>
      <c r="Y95" s="29"/>
      <c r="Z95" s="29"/>
      <c r="AA95" s="29"/>
      <c r="AB95" s="33"/>
      <c r="AC95" s="33"/>
      <c r="AD95" s="33"/>
      <c r="AE95" s="33"/>
      <c r="AF95" s="33"/>
      <c r="AG95" s="33"/>
      <c r="AH95" s="33"/>
      <c r="AI95" s="33"/>
      <c r="AJ95" s="33"/>
      <c r="AK95" s="33"/>
      <c r="AL95" s="33"/>
      <c r="AM95" s="33"/>
      <c r="AN95" s="33"/>
      <c r="AO95" s="33"/>
      <c r="AP95" s="33"/>
      <c r="AQ95" s="33"/>
      <c r="AR95" s="33"/>
      <c r="AS95" s="33"/>
      <c r="AT95" s="33"/>
      <c r="AU95" s="33"/>
      <c r="AV95" s="33"/>
      <c r="AW95" s="33"/>
      <c r="AX95" s="33"/>
      <c r="AY95" s="33"/>
      <c r="AZ95" s="33"/>
      <c r="BA95" s="33"/>
      <c r="BB95" s="33"/>
      <c r="BC95" s="33"/>
      <c r="BD95" s="33"/>
      <c r="BE95" s="33"/>
      <c r="BF95" s="33"/>
      <c r="BG95" s="33"/>
      <c r="BH95" s="33"/>
      <c r="BI95" s="33"/>
    </row>
    <row r="96" spans="1:61" ht="14.25" customHeight="1" x14ac:dyDescent="0.25">
      <c r="A96" s="33"/>
      <c r="B96" s="42"/>
      <c r="C96" s="33"/>
      <c r="D96" s="33"/>
      <c r="E96" s="33"/>
      <c r="F96" s="33"/>
      <c r="G96" s="33"/>
      <c r="H96" s="33"/>
      <c r="I96" s="33"/>
      <c r="J96" s="33"/>
      <c r="K96" s="33"/>
      <c r="L96" s="33"/>
      <c r="M96" s="33"/>
      <c r="N96" s="33"/>
      <c r="O96" s="33"/>
      <c r="P96" s="33"/>
      <c r="Q96" s="33"/>
      <c r="R96" s="33"/>
      <c r="S96" s="33"/>
      <c r="T96" s="33"/>
      <c r="U96" s="33"/>
      <c r="V96" s="33"/>
      <c r="W96" s="29"/>
      <c r="X96" s="29"/>
      <c r="Y96" s="29"/>
      <c r="Z96" s="29"/>
      <c r="AA96" s="29"/>
      <c r="AB96" s="33"/>
      <c r="AC96" s="33"/>
      <c r="AD96" s="33"/>
      <c r="AE96" s="33"/>
      <c r="AF96" s="33"/>
      <c r="AG96" s="33"/>
      <c r="AH96" s="33"/>
      <c r="AI96" s="33"/>
      <c r="AJ96" s="33"/>
      <c r="AK96" s="33"/>
      <c r="AL96" s="33"/>
      <c r="AM96" s="33"/>
      <c r="AN96" s="33"/>
      <c r="AO96" s="33"/>
      <c r="AP96" s="33"/>
      <c r="AQ96" s="33"/>
      <c r="AR96" s="33"/>
      <c r="AS96" s="33"/>
      <c r="AT96" s="33"/>
      <c r="AU96" s="33"/>
      <c r="AV96" s="33"/>
      <c r="AW96" s="33"/>
      <c r="AX96" s="33"/>
      <c r="AY96" s="33"/>
      <c r="AZ96" s="33"/>
      <c r="BA96" s="33"/>
      <c r="BB96" s="33"/>
      <c r="BC96" s="33"/>
      <c r="BD96" s="33"/>
      <c r="BE96" s="33"/>
      <c r="BF96" s="33"/>
      <c r="BG96" s="33"/>
      <c r="BH96" s="33"/>
      <c r="BI96" s="33"/>
    </row>
    <row r="97" spans="1:61" ht="14.25" customHeight="1" x14ac:dyDescent="0.25">
      <c r="A97" s="33"/>
      <c r="B97" s="42"/>
      <c r="C97" s="33"/>
      <c r="D97" s="33"/>
      <c r="E97" s="33"/>
      <c r="F97" s="33"/>
      <c r="G97" s="33"/>
      <c r="H97" s="33"/>
      <c r="I97" s="33"/>
      <c r="J97" s="33"/>
      <c r="K97" s="33"/>
      <c r="L97" s="33"/>
      <c r="M97" s="33"/>
      <c r="N97" s="33"/>
      <c r="O97" s="33"/>
      <c r="P97" s="33"/>
      <c r="Q97" s="33"/>
      <c r="R97" s="33"/>
      <c r="S97" s="33"/>
      <c r="T97" s="33"/>
      <c r="U97" s="33"/>
      <c r="V97" s="33"/>
      <c r="W97" s="29"/>
      <c r="X97" s="29"/>
      <c r="Y97" s="29"/>
      <c r="Z97" s="29"/>
      <c r="AA97" s="29"/>
      <c r="AB97" s="33"/>
      <c r="AC97" s="33"/>
      <c r="AD97" s="33"/>
      <c r="AE97" s="33"/>
      <c r="AF97" s="33"/>
      <c r="AG97" s="33"/>
      <c r="AH97" s="33"/>
      <c r="AI97" s="33"/>
      <c r="AJ97" s="33"/>
      <c r="AK97" s="33"/>
      <c r="AL97" s="33"/>
      <c r="AM97" s="33"/>
      <c r="AN97" s="33"/>
      <c r="AO97" s="33"/>
      <c r="AP97" s="33"/>
      <c r="AQ97" s="33"/>
      <c r="AR97" s="33"/>
      <c r="AS97" s="33"/>
      <c r="AT97" s="33"/>
      <c r="AU97" s="33"/>
      <c r="AV97" s="33"/>
      <c r="AW97" s="33"/>
      <c r="AX97" s="33"/>
      <c r="AY97" s="33"/>
      <c r="AZ97" s="33"/>
      <c r="BA97" s="33"/>
      <c r="BB97" s="33"/>
      <c r="BC97" s="33"/>
      <c r="BD97" s="33"/>
      <c r="BE97" s="33"/>
      <c r="BF97" s="33"/>
      <c r="BG97" s="33"/>
      <c r="BH97" s="33"/>
      <c r="BI97" s="33"/>
    </row>
    <row r="98" spans="1:61" ht="14.25" customHeight="1" x14ac:dyDescent="0.25">
      <c r="A98" s="33"/>
      <c r="B98" s="42"/>
      <c r="C98" s="33"/>
      <c r="D98" s="33"/>
      <c r="E98" s="33"/>
      <c r="F98" s="33"/>
      <c r="G98" s="33"/>
      <c r="H98" s="33"/>
      <c r="I98" s="33"/>
      <c r="J98" s="33"/>
      <c r="K98" s="33"/>
      <c r="L98" s="33"/>
      <c r="M98" s="33"/>
      <c r="N98" s="33"/>
      <c r="O98" s="33"/>
      <c r="P98" s="33"/>
      <c r="Q98" s="33"/>
      <c r="R98" s="33"/>
      <c r="S98" s="33"/>
      <c r="T98" s="33"/>
      <c r="U98" s="33"/>
      <c r="V98" s="33"/>
      <c r="W98" s="29"/>
      <c r="X98" s="29"/>
      <c r="Y98" s="29"/>
      <c r="Z98" s="29"/>
      <c r="AA98" s="29"/>
      <c r="AB98" s="33"/>
      <c r="AC98" s="33"/>
      <c r="AD98" s="33"/>
      <c r="AE98" s="33"/>
      <c r="AF98" s="33"/>
      <c r="AG98" s="33"/>
      <c r="AH98" s="33"/>
      <c r="AI98" s="33"/>
      <c r="AJ98" s="33"/>
      <c r="AK98" s="33"/>
      <c r="AL98" s="33"/>
      <c r="AM98" s="33"/>
      <c r="AN98" s="33"/>
      <c r="AO98" s="33"/>
      <c r="AP98" s="33"/>
      <c r="AQ98" s="33"/>
      <c r="AR98" s="33"/>
      <c r="AS98" s="33"/>
      <c r="AT98" s="33"/>
      <c r="AU98" s="33"/>
      <c r="AV98" s="33"/>
      <c r="AW98" s="33"/>
      <c r="AX98" s="33"/>
      <c r="AY98" s="33"/>
      <c r="AZ98" s="33"/>
      <c r="BA98" s="33"/>
      <c r="BB98" s="33"/>
      <c r="BC98" s="33"/>
      <c r="BD98" s="33"/>
      <c r="BE98" s="33"/>
      <c r="BF98" s="33"/>
      <c r="BG98" s="33"/>
      <c r="BH98" s="33"/>
      <c r="BI98" s="33"/>
    </row>
    <row r="99" spans="1:61" ht="14.25" customHeight="1" x14ac:dyDescent="0.25">
      <c r="A99" s="33"/>
      <c r="B99" s="42"/>
      <c r="C99" s="33"/>
      <c r="D99" s="33"/>
      <c r="E99" s="33"/>
      <c r="F99" s="33"/>
      <c r="G99" s="33"/>
      <c r="H99" s="33"/>
      <c r="I99" s="33"/>
      <c r="J99" s="33"/>
      <c r="K99" s="33"/>
      <c r="L99" s="33"/>
      <c r="M99" s="33"/>
      <c r="N99" s="33"/>
      <c r="O99" s="33"/>
      <c r="P99" s="33"/>
      <c r="Q99" s="33"/>
      <c r="R99" s="33"/>
      <c r="S99" s="33"/>
      <c r="T99" s="33"/>
      <c r="U99" s="33"/>
      <c r="V99" s="33"/>
      <c r="W99" s="29"/>
      <c r="X99" s="29"/>
      <c r="Y99" s="29"/>
      <c r="Z99" s="29"/>
      <c r="AA99" s="29"/>
      <c r="AB99" s="33"/>
      <c r="AC99" s="33"/>
      <c r="AD99" s="33"/>
      <c r="AE99" s="33"/>
      <c r="AF99" s="33"/>
      <c r="AG99" s="33"/>
      <c r="AH99" s="33"/>
      <c r="AI99" s="33"/>
      <c r="AJ99" s="33"/>
      <c r="AK99" s="33"/>
      <c r="AL99" s="33"/>
      <c r="AM99" s="33"/>
      <c r="AN99" s="33"/>
      <c r="AO99" s="33"/>
      <c r="AP99" s="33"/>
      <c r="AQ99" s="33"/>
      <c r="AR99" s="33"/>
      <c r="AS99" s="33"/>
      <c r="AT99" s="33"/>
      <c r="AU99" s="33"/>
      <c r="AV99" s="33"/>
      <c r="AW99" s="33"/>
      <c r="AX99" s="33"/>
      <c r="AY99" s="33"/>
      <c r="AZ99" s="33"/>
      <c r="BA99" s="33"/>
      <c r="BB99" s="33"/>
      <c r="BC99" s="33"/>
      <c r="BD99" s="33"/>
      <c r="BE99" s="33"/>
      <c r="BF99" s="33"/>
      <c r="BG99" s="33"/>
      <c r="BH99" s="33"/>
      <c r="BI99" s="33"/>
    </row>
    <row r="100" spans="1:61" ht="14.25" customHeight="1" x14ac:dyDescent="0.25">
      <c r="A100" s="33"/>
      <c r="B100" s="42"/>
      <c r="C100" s="33"/>
      <c r="D100" s="33"/>
      <c r="E100" s="33"/>
      <c r="F100" s="33"/>
      <c r="G100" s="33"/>
      <c r="H100" s="33"/>
      <c r="I100" s="33"/>
      <c r="J100" s="33"/>
      <c r="K100" s="33"/>
      <c r="L100" s="33"/>
      <c r="M100" s="33"/>
      <c r="N100" s="33"/>
      <c r="O100" s="33"/>
      <c r="P100" s="33"/>
      <c r="Q100" s="33"/>
      <c r="R100" s="33"/>
      <c r="S100" s="33"/>
      <c r="T100" s="33"/>
      <c r="U100" s="33"/>
      <c r="V100" s="33"/>
      <c r="W100" s="29"/>
      <c r="X100" s="29"/>
      <c r="Y100" s="29"/>
      <c r="Z100" s="29"/>
      <c r="AA100" s="29"/>
      <c r="AB100" s="33"/>
      <c r="AC100" s="33"/>
      <c r="AD100" s="33"/>
      <c r="AE100" s="33"/>
      <c r="AF100" s="33"/>
      <c r="AG100" s="33"/>
      <c r="AH100" s="33"/>
      <c r="AI100" s="33"/>
      <c r="AJ100" s="33"/>
      <c r="AK100" s="33"/>
      <c r="AL100" s="33"/>
      <c r="AM100" s="33"/>
      <c r="AN100" s="33"/>
      <c r="AO100" s="33"/>
      <c r="AP100" s="33"/>
      <c r="AQ100" s="33"/>
      <c r="AR100" s="33"/>
      <c r="AS100" s="33"/>
      <c r="AT100" s="33"/>
      <c r="AU100" s="33"/>
      <c r="AV100" s="33"/>
      <c r="AW100" s="33"/>
      <c r="AX100" s="33"/>
      <c r="AY100" s="33"/>
      <c r="AZ100" s="33"/>
      <c r="BA100" s="33"/>
      <c r="BB100" s="33"/>
      <c r="BC100" s="33"/>
      <c r="BD100" s="33"/>
      <c r="BE100" s="33"/>
      <c r="BF100" s="33"/>
      <c r="BG100" s="33"/>
      <c r="BH100" s="33"/>
      <c r="BI100" s="33"/>
    </row>
    <row r="101" spans="1:61" ht="14.25" customHeight="1" x14ac:dyDescent="0.25">
      <c r="A101" s="33"/>
      <c r="B101" s="42"/>
      <c r="C101" s="33"/>
      <c r="D101" s="33"/>
      <c r="E101" s="33"/>
      <c r="F101" s="33"/>
      <c r="G101" s="33"/>
      <c r="H101" s="33"/>
      <c r="I101" s="33"/>
      <c r="J101" s="33"/>
      <c r="K101" s="33"/>
      <c r="L101" s="33"/>
      <c r="M101" s="33"/>
      <c r="N101" s="33"/>
      <c r="O101" s="33"/>
      <c r="P101" s="33"/>
      <c r="Q101" s="33"/>
      <c r="R101" s="33"/>
      <c r="S101" s="33"/>
      <c r="T101" s="33"/>
      <c r="U101" s="33"/>
      <c r="V101" s="33"/>
      <c r="W101" s="29"/>
      <c r="X101" s="29"/>
      <c r="Y101" s="29"/>
      <c r="Z101" s="29"/>
      <c r="AA101" s="29"/>
      <c r="AB101" s="33"/>
      <c r="AC101" s="33"/>
      <c r="AD101" s="33"/>
      <c r="AE101" s="33"/>
      <c r="AF101" s="33"/>
      <c r="AG101" s="33"/>
      <c r="AH101" s="33"/>
      <c r="AI101" s="33"/>
      <c r="AJ101" s="33"/>
      <c r="AK101" s="33"/>
      <c r="AL101" s="33"/>
      <c r="AM101" s="33"/>
      <c r="AN101" s="33"/>
      <c r="AO101" s="33"/>
      <c r="AP101" s="33"/>
      <c r="AQ101" s="33"/>
      <c r="AR101" s="33"/>
      <c r="AS101" s="33"/>
      <c r="AT101" s="33"/>
      <c r="AU101" s="33"/>
      <c r="AV101" s="33"/>
      <c r="AW101" s="33"/>
      <c r="AX101" s="33"/>
      <c r="AY101" s="33"/>
      <c r="AZ101" s="33"/>
      <c r="BA101" s="33"/>
      <c r="BB101" s="33"/>
      <c r="BC101" s="33"/>
      <c r="BD101" s="33"/>
      <c r="BE101" s="33"/>
      <c r="BF101" s="33"/>
      <c r="BG101" s="33"/>
      <c r="BH101" s="33"/>
      <c r="BI101" s="33"/>
    </row>
    <row r="102" spans="1:61" ht="14.25" customHeight="1" x14ac:dyDescent="0.25">
      <c r="A102" s="33"/>
      <c r="B102" s="42"/>
      <c r="C102" s="33"/>
      <c r="D102" s="33"/>
      <c r="E102" s="33"/>
      <c r="F102" s="33"/>
      <c r="G102" s="33"/>
      <c r="H102" s="33"/>
      <c r="I102" s="33"/>
      <c r="J102" s="33"/>
      <c r="K102" s="33"/>
      <c r="L102" s="33"/>
      <c r="M102" s="33"/>
      <c r="N102" s="33"/>
      <c r="O102" s="33"/>
      <c r="P102" s="33"/>
      <c r="Q102" s="33"/>
      <c r="R102" s="33"/>
      <c r="S102" s="33"/>
      <c r="T102" s="33"/>
      <c r="U102" s="33"/>
      <c r="V102" s="33"/>
      <c r="W102" s="29"/>
      <c r="X102" s="29"/>
      <c r="Y102" s="29"/>
      <c r="Z102" s="29"/>
      <c r="AA102" s="29"/>
      <c r="AB102" s="33"/>
      <c r="AC102" s="33"/>
      <c r="AD102" s="33"/>
      <c r="AE102" s="33"/>
      <c r="AF102" s="33"/>
      <c r="AG102" s="33"/>
      <c r="AH102" s="33"/>
      <c r="AI102" s="33"/>
      <c r="AJ102" s="33"/>
      <c r="AK102" s="33"/>
      <c r="AL102" s="33"/>
      <c r="AM102" s="33"/>
      <c r="AN102" s="33"/>
      <c r="AO102" s="33"/>
      <c r="AP102" s="33"/>
      <c r="AQ102" s="33"/>
      <c r="AR102" s="33"/>
      <c r="AS102" s="33"/>
      <c r="AT102" s="33"/>
      <c r="AU102" s="33"/>
      <c r="AV102" s="33"/>
      <c r="AW102" s="33"/>
      <c r="AX102" s="33"/>
      <c r="AY102" s="33"/>
      <c r="AZ102" s="33"/>
      <c r="BA102" s="33"/>
      <c r="BB102" s="33"/>
      <c r="BC102" s="33"/>
      <c r="BD102" s="33"/>
      <c r="BE102" s="33"/>
      <c r="BF102" s="33"/>
      <c r="BG102" s="33"/>
      <c r="BH102" s="33"/>
      <c r="BI102" s="33"/>
    </row>
    <row r="103" spans="1:61" ht="14.25" customHeight="1" x14ac:dyDescent="0.25">
      <c r="A103" s="33"/>
      <c r="B103" s="42"/>
      <c r="C103" s="33"/>
      <c r="D103" s="33"/>
      <c r="E103" s="33"/>
      <c r="F103" s="33"/>
      <c r="G103" s="33"/>
      <c r="H103" s="33"/>
      <c r="I103" s="33"/>
      <c r="J103" s="33"/>
      <c r="K103" s="33"/>
      <c r="L103" s="33"/>
      <c r="M103" s="33"/>
      <c r="N103" s="33"/>
      <c r="O103" s="33"/>
      <c r="P103" s="33"/>
      <c r="Q103" s="33"/>
      <c r="R103" s="33"/>
      <c r="S103" s="33"/>
      <c r="T103" s="33"/>
      <c r="U103" s="33"/>
      <c r="V103" s="33"/>
      <c r="W103" s="29"/>
      <c r="X103" s="29"/>
      <c r="Y103" s="29"/>
      <c r="Z103" s="29"/>
      <c r="AA103" s="29"/>
      <c r="AB103" s="33"/>
      <c r="AC103" s="33"/>
      <c r="AD103" s="33"/>
      <c r="AE103" s="33"/>
      <c r="AF103" s="33"/>
      <c r="AG103" s="33"/>
      <c r="AH103" s="33"/>
      <c r="AI103" s="33"/>
      <c r="AJ103" s="33"/>
      <c r="AK103" s="33"/>
      <c r="AL103" s="33"/>
      <c r="AM103" s="33"/>
      <c r="AN103" s="33"/>
      <c r="AO103" s="33"/>
      <c r="AP103" s="33"/>
      <c r="AQ103" s="33"/>
      <c r="AR103" s="33"/>
      <c r="AS103" s="33"/>
      <c r="AT103" s="33"/>
      <c r="AU103" s="33"/>
      <c r="AV103" s="33"/>
      <c r="AW103" s="33"/>
      <c r="AX103" s="33"/>
      <c r="AY103" s="33"/>
      <c r="AZ103" s="33"/>
      <c r="BA103" s="33"/>
      <c r="BB103" s="33"/>
      <c r="BC103" s="33"/>
      <c r="BD103" s="33"/>
      <c r="BE103" s="33"/>
      <c r="BF103" s="33"/>
      <c r="BG103" s="33"/>
      <c r="BH103" s="33"/>
      <c r="BI103" s="33"/>
    </row>
    <row r="104" spans="1:61" ht="14.25" customHeight="1" x14ac:dyDescent="0.25">
      <c r="A104" s="33"/>
      <c r="B104" s="42"/>
      <c r="C104" s="33"/>
      <c r="D104" s="33"/>
      <c r="E104" s="33"/>
      <c r="F104" s="33"/>
      <c r="G104" s="33"/>
      <c r="H104" s="33"/>
      <c r="I104" s="33"/>
      <c r="J104" s="33"/>
      <c r="K104" s="33"/>
      <c r="L104" s="33"/>
      <c r="M104" s="33"/>
      <c r="N104" s="33"/>
      <c r="O104" s="33"/>
      <c r="P104" s="33"/>
      <c r="Q104" s="33"/>
      <c r="R104" s="33"/>
      <c r="S104" s="33"/>
      <c r="T104" s="33"/>
      <c r="U104" s="33"/>
      <c r="V104" s="33"/>
      <c r="W104" s="29"/>
      <c r="X104" s="29"/>
      <c r="Y104" s="29"/>
      <c r="Z104" s="29"/>
      <c r="AA104" s="29"/>
      <c r="AB104" s="33"/>
      <c r="AC104" s="33"/>
      <c r="AD104" s="33"/>
      <c r="AE104" s="33"/>
      <c r="AF104" s="33"/>
      <c r="AG104" s="33"/>
      <c r="AH104" s="33"/>
      <c r="AI104" s="33"/>
      <c r="AJ104" s="33"/>
      <c r="AK104" s="33"/>
      <c r="AL104" s="33"/>
      <c r="AM104" s="33"/>
      <c r="AN104" s="33"/>
      <c r="AO104" s="33"/>
      <c r="AP104" s="33"/>
      <c r="AQ104" s="33"/>
      <c r="AR104" s="33"/>
      <c r="AS104" s="33"/>
      <c r="AT104" s="33"/>
      <c r="AU104" s="33"/>
      <c r="AV104" s="33"/>
      <c r="AW104" s="33"/>
      <c r="AX104" s="33"/>
      <c r="AY104" s="33"/>
      <c r="AZ104" s="33"/>
      <c r="BA104" s="33"/>
      <c r="BB104" s="33"/>
      <c r="BC104" s="33"/>
      <c r="BD104" s="33"/>
      <c r="BE104" s="33"/>
      <c r="BF104" s="33"/>
      <c r="BG104" s="33"/>
      <c r="BH104" s="33"/>
      <c r="BI104" s="33"/>
    </row>
    <row r="105" spans="1:61" ht="14.25" customHeight="1" x14ac:dyDescent="0.25">
      <c r="A105" s="33"/>
      <c r="B105" s="42"/>
      <c r="C105" s="33"/>
      <c r="D105" s="33"/>
      <c r="E105" s="33"/>
      <c r="F105" s="33"/>
      <c r="G105" s="33"/>
      <c r="H105" s="33"/>
      <c r="I105" s="33"/>
      <c r="J105" s="33"/>
      <c r="K105" s="33"/>
      <c r="L105" s="33"/>
      <c r="M105" s="33"/>
      <c r="N105" s="33"/>
      <c r="O105" s="33"/>
      <c r="P105" s="33"/>
      <c r="Q105" s="33"/>
      <c r="R105" s="33"/>
      <c r="S105" s="33"/>
      <c r="T105" s="33"/>
      <c r="U105" s="33"/>
      <c r="V105" s="33"/>
      <c r="W105" s="29"/>
      <c r="X105" s="29"/>
      <c r="Y105" s="29"/>
      <c r="Z105" s="29"/>
      <c r="AA105" s="29"/>
      <c r="AB105" s="33"/>
      <c r="AC105" s="33"/>
      <c r="AD105" s="33"/>
      <c r="AE105" s="33"/>
      <c r="AF105" s="33"/>
      <c r="AG105" s="33"/>
      <c r="AH105" s="33"/>
      <c r="AI105" s="33"/>
      <c r="AJ105" s="33"/>
      <c r="AK105" s="33"/>
      <c r="AL105" s="33"/>
      <c r="AM105" s="33"/>
      <c r="AN105" s="33"/>
      <c r="AO105" s="33"/>
      <c r="AP105" s="33"/>
      <c r="AQ105" s="33"/>
      <c r="AR105" s="33"/>
      <c r="AS105" s="33"/>
      <c r="AT105" s="33"/>
      <c r="AU105" s="33"/>
      <c r="AV105" s="33"/>
      <c r="AW105" s="33"/>
      <c r="AX105" s="33"/>
      <c r="AY105" s="33"/>
      <c r="AZ105" s="33"/>
      <c r="BA105" s="33"/>
      <c r="BB105" s="33"/>
      <c r="BC105" s="33"/>
      <c r="BD105" s="33"/>
      <c r="BE105" s="33"/>
      <c r="BF105" s="33"/>
      <c r="BG105" s="33"/>
      <c r="BH105" s="33"/>
      <c r="BI105" s="33"/>
    </row>
    <row r="106" spans="1:61" ht="14.25" customHeight="1" x14ac:dyDescent="0.25">
      <c r="A106" s="33"/>
      <c r="B106" s="42"/>
      <c r="C106" s="33"/>
      <c r="D106" s="33"/>
      <c r="E106" s="33"/>
      <c r="F106" s="33"/>
      <c r="G106" s="33"/>
      <c r="H106" s="33"/>
      <c r="I106" s="33"/>
      <c r="J106" s="33"/>
      <c r="K106" s="33"/>
      <c r="L106" s="33"/>
      <c r="M106" s="33"/>
      <c r="N106" s="33"/>
      <c r="O106" s="33"/>
      <c r="P106" s="33"/>
      <c r="Q106" s="33"/>
      <c r="R106" s="33"/>
      <c r="S106" s="33"/>
      <c r="T106" s="33"/>
      <c r="U106" s="33"/>
      <c r="V106" s="33"/>
      <c r="W106" s="29"/>
      <c r="X106" s="29"/>
      <c r="Y106" s="29"/>
      <c r="Z106" s="29"/>
      <c r="AA106" s="29"/>
      <c r="AB106" s="33"/>
      <c r="AC106" s="33"/>
      <c r="AD106" s="33"/>
      <c r="AE106" s="33"/>
      <c r="AF106" s="33"/>
      <c r="AG106" s="33"/>
      <c r="AH106" s="33"/>
      <c r="AI106" s="33"/>
      <c r="AJ106" s="33"/>
      <c r="AK106" s="33"/>
      <c r="AL106" s="33"/>
      <c r="AM106" s="33"/>
      <c r="AN106" s="33"/>
      <c r="AO106" s="33"/>
      <c r="AP106" s="33"/>
      <c r="AQ106" s="33"/>
      <c r="AR106" s="33"/>
      <c r="AS106" s="33"/>
      <c r="AT106" s="33"/>
      <c r="AU106" s="33"/>
      <c r="AV106" s="33"/>
      <c r="AW106" s="33"/>
      <c r="AX106" s="33"/>
      <c r="AY106" s="33"/>
      <c r="AZ106" s="33"/>
      <c r="BA106" s="33"/>
      <c r="BB106" s="33"/>
      <c r="BC106" s="33"/>
      <c r="BD106" s="33"/>
      <c r="BE106" s="33"/>
      <c r="BF106" s="33"/>
      <c r="BG106" s="33"/>
      <c r="BH106" s="33"/>
      <c r="BI106" s="33"/>
    </row>
  </sheetData>
  <sheetProtection algorithmName="SHA-512" hashValue="dQCr6FQwJDXyyM5x4SEh9jpC8yPpe8UhOf3SyX3XbO95Gx+dzwqlUkCSjfBicD4ctDV+X2/RkNB29QkSoYyAFQ==" saltValue="81I6IT3kS+ifow6djgi1Rg==" spinCount="100000" sheet="1" formatRows="0"/>
  <mergeCells count="5">
    <mergeCell ref="B9:B11"/>
    <mergeCell ref="D9:V9"/>
    <mergeCell ref="Q2:R2"/>
    <mergeCell ref="U2:V2"/>
    <mergeCell ref="B1:B3"/>
  </mergeCells>
  <conditionalFormatting sqref="E37 E44 E40 E51:E54">
    <cfRule type="expression" dxfId="112" priority="389">
      <formula>E$7="NÃO"</formula>
    </cfRule>
  </conditionalFormatting>
  <conditionalFormatting sqref="E37 E44 E40 E51:E54">
    <cfRule type="expression" dxfId="111" priority="390">
      <formula>E$7= "SIM"</formula>
    </cfRule>
  </conditionalFormatting>
  <conditionalFormatting sqref="I7 E7 M7 Q7 U7">
    <cfRule type="expression" dxfId="110" priority="125">
      <formula>E$7="NÃO"</formula>
    </cfRule>
  </conditionalFormatting>
  <conditionalFormatting sqref="I7 E7 M7 Q7 U7">
    <cfRule type="expression" dxfId="109" priority="126">
      <formula>E$7= "SIM"</formula>
    </cfRule>
  </conditionalFormatting>
  <conditionalFormatting sqref="L2">
    <cfRule type="expression" dxfId="108" priority="123">
      <formula>L$2="NÃO"</formula>
    </cfRule>
  </conditionalFormatting>
  <conditionalFormatting sqref="L2">
    <cfRule type="expression" dxfId="107" priority="124">
      <formula>L$2= "SIM"</formula>
    </cfRule>
  </conditionalFormatting>
  <conditionalFormatting sqref="D2">
    <cfRule type="expression" dxfId="106" priority="127">
      <formula>AND($L$2="Sim",$D$2&lt;$D$11)</formula>
    </cfRule>
  </conditionalFormatting>
  <conditionalFormatting sqref="D2">
    <cfRule type="expression" dxfId="105" priority="128">
      <formula>AND($L$2="Sim",$D$2&gt;$V$11)</formula>
    </cfRule>
  </conditionalFormatting>
  <conditionalFormatting sqref="E29:E30">
    <cfRule type="expression" dxfId="104" priority="71">
      <formula>E$7="NÃO"</formula>
    </cfRule>
  </conditionalFormatting>
  <conditionalFormatting sqref="E16">
    <cfRule type="expression" dxfId="103" priority="79">
      <formula>E$7="NÃO"</formula>
    </cfRule>
  </conditionalFormatting>
  <conditionalFormatting sqref="E16">
    <cfRule type="expression" dxfId="102" priority="80">
      <formula>E$7= "SIM"</formula>
    </cfRule>
  </conditionalFormatting>
  <conditionalFormatting sqref="E17">
    <cfRule type="expression" dxfId="101" priority="77">
      <formula>E$7="NÃO"</formula>
    </cfRule>
  </conditionalFormatting>
  <conditionalFormatting sqref="E17">
    <cfRule type="expression" dxfId="100" priority="78">
      <formula>E$7= "SIM"</formula>
    </cfRule>
  </conditionalFormatting>
  <conditionalFormatting sqref="E18">
    <cfRule type="expression" dxfId="99" priority="75">
      <formula>E$7="NÃO"</formula>
    </cfRule>
  </conditionalFormatting>
  <conditionalFormatting sqref="E18">
    <cfRule type="expression" dxfId="98" priority="76">
      <formula>E$7= "SIM"</formula>
    </cfRule>
  </conditionalFormatting>
  <conditionalFormatting sqref="E19">
    <cfRule type="expression" dxfId="97" priority="73">
      <formula>E$7="NÃO"</formula>
    </cfRule>
  </conditionalFormatting>
  <conditionalFormatting sqref="E19">
    <cfRule type="expression" dxfId="96" priority="74">
      <formula>E$7= "SIM"</formula>
    </cfRule>
  </conditionalFormatting>
  <conditionalFormatting sqref="E29:E30">
    <cfRule type="expression" dxfId="95" priority="72">
      <formula>E$7= "SIM"</formula>
    </cfRule>
  </conditionalFormatting>
  <conditionalFormatting sqref="D7">
    <cfRule type="expression" dxfId="94" priority="69">
      <formula>AND($L$2="Sim",$D$7&lt; 65%)</formula>
    </cfRule>
  </conditionalFormatting>
  <conditionalFormatting sqref="E15">
    <cfRule type="expression" dxfId="93" priority="67">
      <formula>E$7="NÃO"</formula>
    </cfRule>
  </conditionalFormatting>
  <conditionalFormatting sqref="E15">
    <cfRule type="expression" dxfId="92" priority="68">
      <formula>E$7= "SIM"</formula>
    </cfRule>
  </conditionalFormatting>
  <conditionalFormatting sqref="I16">
    <cfRule type="expression" dxfId="91" priority="65">
      <formula>I$7="NÃO"</formula>
    </cfRule>
  </conditionalFormatting>
  <conditionalFormatting sqref="I16">
    <cfRule type="expression" dxfId="90" priority="66">
      <formula>I$7= "SIM"</formula>
    </cfRule>
  </conditionalFormatting>
  <conditionalFormatting sqref="I17">
    <cfRule type="expression" dxfId="89" priority="63">
      <formula>I$7="NÃO"</formula>
    </cfRule>
  </conditionalFormatting>
  <conditionalFormatting sqref="I17">
    <cfRule type="expression" dxfId="88" priority="64">
      <formula>I$7= "SIM"</formula>
    </cfRule>
  </conditionalFormatting>
  <conditionalFormatting sqref="I18">
    <cfRule type="expression" dxfId="87" priority="61">
      <formula>I$7="NÃO"</formula>
    </cfRule>
  </conditionalFormatting>
  <conditionalFormatting sqref="I18">
    <cfRule type="expression" dxfId="86" priority="62">
      <formula>I$7= "SIM"</formula>
    </cfRule>
  </conditionalFormatting>
  <conditionalFormatting sqref="I19">
    <cfRule type="expression" dxfId="85" priority="59">
      <formula>I$7="NÃO"</formula>
    </cfRule>
  </conditionalFormatting>
  <conditionalFormatting sqref="I19">
    <cfRule type="expression" dxfId="84" priority="60">
      <formula>I$7= "SIM"</formula>
    </cfRule>
  </conditionalFormatting>
  <conditionalFormatting sqref="I15">
    <cfRule type="expression" dxfId="83" priority="57">
      <formula>I$7="NÃO"</formula>
    </cfRule>
  </conditionalFormatting>
  <conditionalFormatting sqref="I15">
    <cfRule type="expression" dxfId="82" priority="58">
      <formula>I$7= "SIM"</formula>
    </cfRule>
  </conditionalFormatting>
  <conditionalFormatting sqref="M16">
    <cfRule type="expression" dxfId="81" priority="55">
      <formula>M$7="NÃO"</formula>
    </cfRule>
  </conditionalFormatting>
  <conditionalFormatting sqref="M16">
    <cfRule type="expression" dxfId="80" priority="56">
      <formula>M$7= "SIM"</formula>
    </cfRule>
  </conditionalFormatting>
  <conditionalFormatting sqref="M17">
    <cfRule type="expression" dxfId="79" priority="53">
      <formula>M$7="NÃO"</formula>
    </cfRule>
  </conditionalFormatting>
  <conditionalFormatting sqref="M17">
    <cfRule type="expression" dxfId="78" priority="54">
      <formula>M$7= "SIM"</formula>
    </cfRule>
  </conditionalFormatting>
  <conditionalFormatting sqref="M18">
    <cfRule type="expression" dxfId="77" priority="51">
      <formula>M$7="NÃO"</formula>
    </cfRule>
  </conditionalFormatting>
  <conditionalFormatting sqref="M18">
    <cfRule type="expression" dxfId="76" priority="52">
      <formula>M$7= "SIM"</formula>
    </cfRule>
  </conditionalFormatting>
  <conditionalFormatting sqref="M19">
    <cfRule type="expression" dxfId="75" priority="49">
      <formula>M$7="NÃO"</formula>
    </cfRule>
  </conditionalFormatting>
  <conditionalFormatting sqref="M19">
    <cfRule type="expression" dxfId="74" priority="50">
      <formula>M$7= "SIM"</formula>
    </cfRule>
  </conditionalFormatting>
  <conditionalFormatting sqref="M15">
    <cfRule type="expression" dxfId="73" priority="47">
      <formula>M$7="NÃO"</formula>
    </cfRule>
  </conditionalFormatting>
  <conditionalFormatting sqref="M15">
    <cfRule type="expression" dxfId="72" priority="48">
      <formula>M$7= "SIM"</formula>
    </cfRule>
  </conditionalFormatting>
  <conditionalFormatting sqref="Q16">
    <cfRule type="expression" dxfId="71" priority="45">
      <formula>Q$7="NÃO"</formula>
    </cfRule>
  </conditionalFormatting>
  <conditionalFormatting sqref="Q16">
    <cfRule type="expression" dxfId="70" priority="46">
      <formula>Q$7= "SIM"</formula>
    </cfRule>
  </conditionalFormatting>
  <conditionalFormatting sqref="Q17">
    <cfRule type="expression" dxfId="69" priority="43">
      <formula>Q$7="NÃO"</formula>
    </cfRule>
  </conditionalFormatting>
  <conditionalFormatting sqref="Q17">
    <cfRule type="expression" dxfId="68" priority="44">
      <formula>Q$7= "SIM"</formula>
    </cfRule>
  </conditionalFormatting>
  <conditionalFormatting sqref="Q18">
    <cfRule type="expression" dxfId="67" priority="41">
      <formula>Q$7="NÃO"</formula>
    </cfRule>
  </conditionalFormatting>
  <conditionalFormatting sqref="Q18">
    <cfRule type="expression" dxfId="66" priority="42">
      <formula>Q$7= "SIM"</formula>
    </cfRule>
  </conditionalFormatting>
  <conditionalFormatting sqref="Q19">
    <cfRule type="expression" dxfId="65" priority="39">
      <formula>Q$7="NÃO"</formula>
    </cfRule>
  </conditionalFormatting>
  <conditionalFormatting sqref="Q19">
    <cfRule type="expression" dxfId="64" priority="40">
      <formula>Q$7= "SIM"</formula>
    </cfRule>
  </conditionalFormatting>
  <conditionalFormatting sqref="Q15">
    <cfRule type="expression" dxfId="63" priority="37">
      <formula>Q$7="NÃO"</formula>
    </cfRule>
  </conditionalFormatting>
  <conditionalFormatting sqref="Q15">
    <cfRule type="expression" dxfId="62" priority="38">
      <formula>Q$7= "SIM"</formula>
    </cfRule>
  </conditionalFormatting>
  <conditionalFormatting sqref="U16">
    <cfRule type="expression" dxfId="61" priority="35">
      <formula>U$7="NÃO"</formula>
    </cfRule>
  </conditionalFormatting>
  <conditionalFormatting sqref="U16">
    <cfRule type="expression" dxfId="60" priority="36">
      <formula>U$7= "SIM"</formula>
    </cfRule>
  </conditionalFormatting>
  <conditionalFormatting sqref="U17">
    <cfRule type="expression" dxfId="59" priority="33">
      <formula>U$7="NÃO"</formula>
    </cfRule>
  </conditionalFormatting>
  <conditionalFormatting sqref="U17">
    <cfRule type="expression" dxfId="58" priority="34">
      <formula>U$7= "SIM"</formula>
    </cfRule>
  </conditionalFormatting>
  <conditionalFormatting sqref="U18">
    <cfRule type="expression" dxfId="57" priority="31">
      <formula>U$7="NÃO"</formula>
    </cfRule>
  </conditionalFormatting>
  <conditionalFormatting sqref="U18">
    <cfRule type="expression" dxfId="56" priority="32">
      <formula>U$7= "SIM"</formula>
    </cfRule>
  </conditionalFormatting>
  <conditionalFormatting sqref="U19">
    <cfRule type="expression" dxfId="55" priority="29">
      <formula>U$7="NÃO"</formula>
    </cfRule>
  </conditionalFormatting>
  <conditionalFormatting sqref="U19">
    <cfRule type="expression" dxfId="54" priority="30">
      <formula>U$7= "SIM"</formula>
    </cfRule>
  </conditionalFormatting>
  <conditionalFormatting sqref="U15">
    <cfRule type="expression" dxfId="53" priority="27">
      <formula>U$7="NÃO"</formula>
    </cfRule>
  </conditionalFormatting>
  <conditionalFormatting sqref="U15">
    <cfRule type="expression" dxfId="52" priority="28">
      <formula>U$7= "SIM"</formula>
    </cfRule>
  </conditionalFormatting>
  <conditionalFormatting sqref="E34">
    <cfRule type="expression" dxfId="51" priority="25">
      <formula>E$7="NÃO"</formula>
    </cfRule>
  </conditionalFormatting>
  <conditionalFormatting sqref="E34">
    <cfRule type="expression" dxfId="50" priority="26">
      <formula>E$7= "SIM"</formula>
    </cfRule>
  </conditionalFormatting>
  <conditionalFormatting sqref="I37 I44 I40 I51:I54">
    <cfRule type="expression" dxfId="49" priority="23">
      <formula>I$7="NÃO"</formula>
    </cfRule>
  </conditionalFormatting>
  <conditionalFormatting sqref="I37 I44 I40 I51:I54">
    <cfRule type="expression" dxfId="48" priority="24">
      <formula>I$7= "SIM"</formula>
    </cfRule>
  </conditionalFormatting>
  <conditionalFormatting sqref="I29:I30">
    <cfRule type="expression" dxfId="47" priority="21">
      <formula>I$7="NÃO"</formula>
    </cfRule>
  </conditionalFormatting>
  <conditionalFormatting sqref="I29:I30">
    <cfRule type="expression" dxfId="46" priority="22">
      <formula>I$7= "SIM"</formula>
    </cfRule>
  </conditionalFormatting>
  <conditionalFormatting sqref="I34">
    <cfRule type="expression" dxfId="45" priority="19">
      <formula>I$7="NÃO"</formula>
    </cfRule>
  </conditionalFormatting>
  <conditionalFormatting sqref="I34">
    <cfRule type="expression" dxfId="44" priority="20">
      <formula>I$7= "SIM"</formula>
    </cfRule>
  </conditionalFormatting>
  <conditionalFormatting sqref="M37 M44 M40 M51:M54">
    <cfRule type="expression" dxfId="43" priority="17">
      <formula>M$7="NÃO"</formula>
    </cfRule>
  </conditionalFormatting>
  <conditionalFormatting sqref="M37 M44 M40 M51:M54">
    <cfRule type="expression" dxfId="42" priority="18">
      <formula>M$7= "SIM"</formula>
    </cfRule>
  </conditionalFormatting>
  <conditionalFormatting sqref="M29:M30">
    <cfRule type="expression" dxfId="41" priority="15">
      <formula>M$7="NÃO"</formula>
    </cfRule>
  </conditionalFormatting>
  <conditionalFormatting sqref="M29:M30">
    <cfRule type="expression" dxfId="40" priority="16">
      <formula>M$7= "SIM"</formula>
    </cfRule>
  </conditionalFormatting>
  <conditionalFormatting sqref="M34">
    <cfRule type="expression" dxfId="39" priority="13">
      <formula>M$7="NÃO"</formula>
    </cfRule>
  </conditionalFormatting>
  <conditionalFormatting sqref="M34">
    <cfRule type="expression" dxfId="38" priority="14">
      <formula>M$7= "SIM"</formula>
    </cfRule>
  </conditionalFormatting>
  <conditionalFormatting sqref="Q37 Q44 Q40 Q51:Q54">
    <cfRule type="expression" dxfId="37" priority="11">
      <formula>Q$7="NÃO"</formula>
    </cfRule>
  </conditionalFormatting>
  <conditionalFormatting sqref="Q37 Q44 Q40 Q51:Q54">
    <cfRule type="expression" dxfId="36" priority="12">
      <formula>Q$7= "SIM"</formula>
    </cfRule>
  </conditionalFormatting>
  <conditionalFormatting sqref="Q29:Q30">
    <cfRule type="expression" dxfId="35" priority="9">
      <formula>Q$7="NÃO"</formula>
    </cfRule>
  </conditionalFormatting>
  <conditionalFormatting sqref="Q29:Q30">
    <cfRule type="expression" dxfId="34" priority="10">
      <formula>Q$7= "SIM"</formula>
    </cfRule>
  </conditionalFormatting>
  <conditionalFormatting sqref="Q34">
    <cfRule type="expression" dxfId="33" priority="7">
      <formula>Q$7="NÃO"</formula>
    </cfRule>
  </conditionalFormatting>
  <conditionalFormatting sqref="Q34">
    <cfRule type="expression" dxfId="32" priority="8">
      <formula>Q$7= "SIM"</formula>
    </cfRule>
  </conditionalFormatting>
  <conditionalFormatting sqref="U37 U44 U40 U51:U54">
    <cfRule type="expression" dxfId="31" priority="5">
      <formula>U$7="NÃO"</formula>
    </cfRule>
  </conditionalFormatting>
  <conditionalFormatting sqref="U37 U44 U40 U51:U54">
    <cfRule type="expression" dxfId="30" priority="6">
      <formula>U$7= "SIM"</formula>
    </cfRule>
  </conditionalFormatting>
  <conditionalFormatting sqref="U29:U30">
    <cfRule type="expression" dxfId="29" priority="3">
      <formula>U$7="NÃO"</formula>
    </cfRule>
  </conditionalFormatting>
  <conditionalFormatting sqref="U29:U30">
    <cfRule type="expression" dxfId="28" priority="4">
      <formula>U$7= "SIM"</formula>
    </cfRule>
  </conditionalFormatting>
  <conditionalFormatting sqref="U34">
    <cfRule type="expression" dxfId="27" priority="1">
      <formula>U$7="NÃO"</formula>
    </cfRule>
  </conditionalFormatting>
  <conditionalFormatting sqref="U34">
    <cfRule type="expression" dxfId="26" priority="2">
      <formula>U$7= "SIM"</formula>
    </cfRule>
  </conditionalFormatting>
  <pageMargins left="0.511811024" right="0.511811024" top="0.78740157499999996" bottom="0.78740157499999996" header="0" footer="0"/>
  <pageSetup paperSize="9" orientation="portrait"/>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0">
    <outlinePr summaryBelow="0"/>
  </sheetPr>
  <dimension ref="A1:BI107"/>
  <sheetViews>
    <sheetView zoomScale="75" zoomScaleNormal="75" workbookViewId="0">
      <selection activeCell="V33" sqref="V33"/>
    </sheetView>
  </sheetViews>
  <sheetFormatPr defaultColWidth="14.42578125" defaultRowHeight="15" customHeight="1" outlineLevelRow="1" x14ac:dyDescent="0.25"/>
  <cols>
    <col min="1" max="1" width="1.28515625" customWidth="1"/>
    <col min="2" max="2" width="60.7109375" customWidth="1"/>
    <col min="3" max="3" width="1.7109375" customWidth="1"/>
    <col min="4" max="4" width="11.7109375" customWidth="1"/>
    <col min="5" max="5" width="15.7109375" customWidth="1"/>
    <col min="6" max="6" width="11.7109375" customWidth="1"/>
    <col min="7" max="7" width="1.7109375" customWidth="1"/>
    <col min="8" max="8" width="11.7109375" customWidth="1"/>
    <col min="9" max="9" width="15.7109375" customWidth="1"/>
    <col min="10" max="10" width="11.7109375" customWidth="1"/>
    <col min="11" max="11" width="1.7109375" customWidth="1"/>
    <col min="12" max="12" width="11.7109375" customWidth="1"/>
    <col min="13" max="13" width="15.7109375" customWidth="1"/>
    <col min="14" max="14" width="11.7109375" customWidth="1"/>
    <col min="15" max="15" width="1.7109375" customWidth="1"/>
    <col min="16" max="16" width="11.7109375" customWidth="1"/>
    <col min="17" max="17" width="15.7109375" customWidth="1"/>
    <col min="18" max="18" width="11.7109375" customWidth="1"/>
    <col min="19" max="19" width="1.7109375" customWidth="1"/>
    <col min="20" max="20" width="11.7109375" customWidth="1"/>
    <col min="21" max="21" width="15.7109375" customWidth="1"/>
    <col min="22" max="22" width="11.7109375" customWidth="1"/>
    <col min="23" max="24" width="8.7109375" hidden="1" customWidth="1"/>
    <col min="25" max="26" width="9.42578125" hidden="1" customWidth="1"/>
    <col min="27" max="27" width="10.28515625" hidden="1" customWidth="1"/>
    <col min="28" max="61" width="8.42578125" customWidth="1"/>
  </cols>
  <sheetData>
    <row r="1" spans="1:61" ht="19.899999999999999" customHeight="1" x14ac:dyDescent="0.25">
      <c r="A1" s="405"/>
      <c r="B1" s="2950" t="s">
        <v>775</v>
      </c>
      <c r="C1" s="433"/>
      <c r="D1" s="433"/>
      <c r="E1" s="433"/>
      <c r="F1" s="433"/>
      <c r="G1" s="433"/>
      <c r="H1" s="433"/>
      <c r="I1" s="433"/>
      <c r="J1" s="1133"/>
      <c r="K1" s="1133"/>
      <c r="L1" s="1133"/>
      <c r="M1" s="1133"/>
      <c r="N1" s="433"/>
      <c r="O1" s="433"/>
      <c r="P1" s="433"/>
      <c r="Q1" s="433"/>
      <c r="R1" s="433"/>
      <c r="S1" s="433"/>
      <c r="T1" s="433"/>
      <c r="U1" s="433"/>
      <c r="V1" s="433"/>
    </row>
    <row r="2" spans="1:61" ht="19.899999999999999" customHeight="1" x14ac:dyDescent="0.3">
      <c r="A2" s="770"/>
      <c r="B2" s="2950"/>
      <c r="C2" s="436"/>
      <c r="D2" s="899">
        <f>IF('R-Definição'!E121="Novo",('R-Resumo Bal. Massa'!B47+'R&amp;C-Painel de Controle'!D31)*(1+'R&amp;C-Painel de Controle'!H74),0)</f>
        <v>74.627575124999993</v>
      </c>
      <c r="E2" s="900" t="s">
        <v>21</v>
      </c>
      <c r="H2" s="1105">
        <f>D2*313</f>
        <v>23358.431014124999</v>
      </c>
      <c r="I2" s="1104" t="s">
        <v>249</v>
      </c>
      <c r="L2" s="1086" t="str">
        <f>IF(D2&gt;0,"Sim","Não")</f>
        <v>Sim</v>
      </c>
      <c r="M2" s="431"/>
      <c r="N2" s="431"/>
      <c r="O2" s="431"/>
      <c r="P2" s="1106" t="s">
        <v>436</v>
      </c>
      <c r="Q2" s="2941" t="str">
        <f>'R-Definição'!D2</f>
        <v>CIRSOP - Consórcio RSU Oeste Paulista</v>
      </c>
      <c r="R2" s="2942"/>
      <c r="S2" s="429"/>
      <c r="T2" s="1106" t="s">
        <v>437</v>
      </c>
      <c r="U2" s="2941" t="str">
        <f>'R-Definição'!D3</f>
        <v>Biodigestão c/ Prod. E. Elétrica</v>
      </c>
      <c r="V2" s="2942"/>
      <c r="W2" s="53"/>
      <c r="X2" s="53"/>
      <c r="Y2" s="53"/>
      <c r="Z2" s="53"/>
      <c r="AA2" s="53"/>
      <c r="AB2" s="53"/>
      <c r="AC2" s="53"/>
      <c r="AD2" s="53"/>
      <c r="AE2" s="53"/>
      <c r="AF2" s="53"/>
      <c r="AG2" s="53"/>
      <c r="AH2" s="53"/>
      <c r="AI2" s="53"/>
      <c r="AJ2" s="53"/>
      <c r="AK2" s="53"/>
      <c r="AL2" s="53"/>
      <c r="AM2" s="53"/>
      <c r="AN2" s="53"/>
      <c r="AO2" s="53"/>
      <c r="AP2" s="53"/>
      <c r="AQ2" s="53"/>
      <c r="AR2" s="53"/>
      <c r="AS2" s="53"/>
      <c r="AT2" s="53"/>
      <c r="AU2" s="53"/>
      <c r="AV2" s="53"/>
      <c r="AW2" s="53"/>
      <c r="AX2" s="53"/>
      <c r="AY2" s="53"/>
      <c r="AZ2" s="53"/>
      <c r="BA2" s="53"/>
      <c r="BB2" s="53"/>
      <c r="BC2" s="53"/>
      <c r="BD2" s="53"/>
      <c r="BE2" s="53"/>
      <c r="BF2" s="53"/>
      <c r="BG2" s="53"/>
      <c r="BH2" s="53"/>
      <c r="BI2" s="53"/>
    </row>
    <row r="3" spans="1:61" ht="19.899999999999999" customHeight="1" x14ac:dyDescent="0.25">
      <c r="A3" s="405"/>
      <c r="B3" s="2950"/>
      <c r="C3" s="427"/>
      <c r="D3" s="426"/>
      <c r="E3" s="426"/>
      <c r="F3" s="426"/>
      <c r="G3" s="426"/>
      <c r="H3" s="426"/>
      <c r="I3" s="426"/>
      <c r="J3" s="426"/>
      <c r="K3" s="426"/>
      <c r="L3" s="426"/>
      <c r="M3" s="426"/>
      <c r="N3" s="426"/>
      <c r="O3" s="431"/>
      <c r="P3" s="426"/>
      <c r="Q3" s="426"/>
      <c r="R3" s="426"/>
      <c r="S3" s="426"/>
      <c r="T3" s="426"/>
      <c r="U3" s="426"/>
      <c r="V3" s="426"/>
    </row>
    <row r="4" spans="1:61" ht="7.9" customHeight="1" x14ac:dyDescent="0.25">
      <c r="A4" s="405"/>
      <c r="B4" s="683"/>
      <c r="C4" s="403"/>
      <c r="D4" s="1061"/>
      <c r="E4" s="1061"/>
      <c r="F4" s="1061"/>
      <c r="G4" s="403"/>
      <c r="H4" s="1061"/>
      <c r="I4" s="1061"/>
      <c r="J4" s="1061"/>
      <c r="K4" s="403"/>
      <c r="L4" s="1061"/>
      <c r="M4" s="1061"/>
      <c r="N4" s="1061"/>
      <c r="O4" s="403"/>
      <c r="P4" s="1061"/>
      <c r="Q4" s="1061"/>
      <c r="R4" s="1061"/>
      <c r="S4" s="905"/>
      <c r="T4" s="1061"/>
      <c r="U4" s="1061"/>
      <c r="V4" s="906"/>
    </row>
    <row r="5" spans="1:61" ht="17.649999999999999" customHeight="1" x14ac:dyDescent="0.25">
      <c r="A5" s="405"/>
      <c r="B5" s="865" t="s">
        <v>755</v>
      </c>
      <c r="C5" s="437"/>
      <c r="D5" s="1110">
        <v>4.25</v>
      </c>
      <c r="E5" s="870" t="s">
        <v>766</v>
      </c>
      <c r="F5" s="868"/>
      <c r="G5" s="868"/>
      <c r="H5" s="868"/>
      <c r="I5" s="868"/>
      <c r="J5" s="868"/>
      <c r="K5" s="868"/>
      <c r="L5" s="868"/>
      <c r="M5" s="868"/>
      <c r="N5" s="868"/>
      <c r="O5" s="868"/>
      <c r="P5" s="868"/>
      <c r="Q5" s="868"/>
      <c r="R5" s="868"/>
      <c r="S5" s="868"/>
      <c r="T5" s="868"/>
      <c r="U5" s="868"/>
      <c r="V5" s="317"/>
    </row>
    <row r="6" spans="1:61" ht="7.9" customHeight="1" x14ac:dyDescent="0.25">
      <c r="A6" s="405"/>
      <c r="B6" s="683"/>
      <c r="C6" s="403"/>
      <c r="D6" s="1061"/>
      <c r="E6" s="1061"/>
      <c r="F6" s="1061"/>
      <c r="G6" s="403"/>
      <c r="H6" s="1061"/>
      <c r="I6" s="1061"/>
      <c r="J6" s="1061"/>
      <c r="K6" s="403"/>
      <c r="L6" s="1061"/>
      <c r="M6" s="1061"/>
      <c r="N6" s="1061"/>
      <c r="O6" s="403"/>
      <c r="P6" s="1061"/>
      <c r="Q6" s="1061"/>
      <c r="R6" s="1061"/>
      <c r="S6" s="905"/>
      <c r="T6" s="1061"/>
      <c r="U6" s="1061"/>
      <c r="V6" s="906"/>
    </row>
    <row r="7" spans="1:61" ht="16.899999999999999" customHeight="1" x14ac:dyDescent="0.25">
      <c r="A7" s="405"/>
      <c r="B7" s="849"/>
      <c r="C7" s="849"/>
      <c r="D7" s="849"/>
      <c r="E7" s="1054" t="str">
        <f>IF(AND(L2="Sim",$D$2&gt;D11,$D$2&lt;=F11),"SIM","NÃO")</f>
        <v>NÃO</v>
      </c>
      <c r="F7" s="853"/>
      <c r="G7" s="849"/>
      <c r="H7" s="853"/>
      <c r="I7" s="1090" t="str">
        <f>IF(AND(L2="Sim",$D$2&gt;H11,$D$2&lt;=J11),"SIM","NÃO")</f>
        <v>SIM</v>
      </c>
      <c r="J7" s="853"/>
      <c r="K7" s="849"/>
      <c r="L7" s="853"/>
      <c r="M7" s="1054" t="str">
        <f>IF(AND(L2="Sim",$D$2&gt;L11,$D$2&lt;=N11),"SIM","NÃO")</f>
        <v>NÃO</v>
      </c>
      <c r="N7" s="853"/>
      <c r="O7" s="1088"/>
      <c r="P7" s="853"/>
      <c r="Q7" s="1054" t="str">
        <f>IF(AND(L2="Sim",$D$2&gt;P11,$D$2&lt;=R11),"SIM","NÃO")</f>
        <v>NÃO</v>
      </c>
      <c r="R7" s="853"/>
      <c r="S7" s="849"/>
      <c r="T7" s="853"/>
      <c r="U7" s="1091" t="str">
        <f>IF(AND(L2="Sim",$D$2&gt;T11,$D$2&lt;=V11*1.5),"SIM","NÃO")</f>
        <v>NÃO</v>
      </c>
      <c r="V7" s="849"/>
    </row>
    <row r="8" spans="1:61" ht="7.9" customHeight="1" thickBot="1" x14ac:dyDescent="0.3">
      <c r="A8" s="405"/>
      <c r="B8" s="683"/>
      <c r="C8" s="403"/>
      <c r="D8" s="1061"/>
      <c r="E8" s="1061"/>
      <c r="F8" s="1061"/>
      <c r="G8" s="403"/>
      <c r="H8" s="1061"/>
      <c r="I8" s="1061"/>
      <c r="J8" s="1061"/>
      <c r="K8" s="403"/>
      <c r="L8" s="1061"/>
      <c r="M8" s="1061"/>
      <c r="N8" s="1061"/>
      <c r="O8" s="403"/>
      <c r="P8" s="1061"/>
      <c r="Q8" s="1061"/>
      <c r="R8" s="1061"/>
      <c r="S8" s="905"/>
      <c r="T8" s="1061"/>
      <c r="U8" s="1061"/>
      <c r="V8" s="906"/>
    </row>
    <row r="9" spans="1:61" ht="17.649999999999999" customHeight="1" thickTop="1" thickBot="1" x14ac:dyDescent="0.35">
      <c r="A9" s="405"/>
      <c r="B9" s="2944" t="s">
        <v>640</v>
      </c>
      <c r="C9" s="901"/>
      <c r="D9" s="2947" t="s">
        <v>402</v>
      </c>
      <c r="E9" s="2948"/>
      <c r="F9" s="2948"/>
      <c r="G9" s="2948"/>
      <c r="H9" s="2948"/>
      <c r="I9" s="2948"/>
      <c r="J9" s="2948"/>
      <c r="K9" s="2948"/>
      <c r="L9" s="2948"/>
      <c r="M9" s="2948"/>
      <c r="N9" s="2948"/>
      <c r="O9" s="2948"/>
      <c r="P9" s="2948"/>
      <c r="Q9" s="2948"/>
      <c r="R9" s="2948"/>
      <c r="S9" s="2948"/>
      <c r="T9" s="2948"/>
      <c r="U9" s="2948"/>
      <c r="V9" s="2949"/>
    </row>
    <row r="10" spans="1:61" ht="7.5" customHeight="1" x14ac:dyDescent="0.25">
      <c r="A10" s="405"/>
      <c r="B10" s="2945"/>
      <c r="C10" s="901"/>
      <c r="D10" s="1072"/>
      <c r="E10" s="898"/>
      <c r="F10" s="898"/>
      <c r="G10" s="850"/>
      <c r="H10" s="898"/>
      <c r="I10" s="898"/>
      <c r="J10" s="898"/>
      <c r="K10" s="850"/>
      <c r="L10" s="898"/>
      <c r="M10" s="898"/>
      <c r="N10" s="898"/>
      <c r="O10" s="850"/>
      <c r="P10" s="898"/>
      <c r="Q10" s="898"/>
      <c r="R10" s="898"/>
      <c r="S10" s="850"/>
      <c r="T10" s="898"/>
      <c r="U10" s="898"/>
      <c r="V10" s="1073"/>
    </row>
    <row r="11" spans="1:61" ht="17.649999999999999" customHeight="1" thickBot="1" x14ac:dyDescent="0.3">
      <c r="A11" s="405"/>
      <c r="B11" s="2946"/>
      <c r="C11" s="901"/>
      <c r="D11" s="1064">
        <v>10</v>
      </c>
      <c r="E11" s="1066" t="s">
        <v>21</v>
      </c>
      <c r="F11" s="1066">
        <v>25</v>
      </c>
      <c r="G11" s="1067"/>
      <c r="H11" s="1066">
        <f>F11</f>
        <v>25</v>
      </c>
      <c r="I11" s="1066" t="s">
        <v>21</v>
      </c>
      <c r="J11" s="1066">
        <v>100</v>
      </c>
      <c r="K11" s="1067"/>
      <c r="L11" s="1066">
        <f>J11</f>
        <v>100</v>
      </c>
      <c r="M11" s="1066" t="s">
        <v>21</v>
      </c>
      <c r="N11" s="1066">
        <v>300</v>
      </c>
      <c r="O11" s="1067"/>
      <c r="P11" s="1066">
        <f>N11</f>
        <v>300</v>
      </c>
      <c r="Q11" s="1066" t="s">
        <v>21</v>
      </c>
      <c r="R11" s="1066">
        <v>800</v>
      </c>
      <c r="S11" s="1067"/>
      <c r="T11" s="1066">
        <f>R11</f>
        <v>800</v>
      </c>
      <c r="U11" s="1066" t="s">
        <v>21</v>
      </c>
      <c r="V11" s="1068">
        <v>2000</v>
      </c>
    </row>
    <row r="12" spans="1:61" ht="7.9" customHeight="1" thickTop="1" thickBot="1" x14ac:dyDescent="0.3">
      <c r="A12" s="405"/>
      <c r="B12" s="1070"/>
      <c r="C12" s="751"/>
      <c r="D12" s="1071"/>
      <c r="E12" s="1071"/>
      <c r="F12" s="1071"/>
      <c r="G12" s="751"/>
      <c r="H12" s="1071"/>
      <c r="I12" s="1071"/>
      <c r="J12" s="1071"/>
      <c r="K12" s="751"/>
      <c r="L12" s="1071"/>
      <c r="M12" s="1071"/>
      <c r="N12" s="1071"/>
      <c r="O12" s="751"/>
      <c r="P12" s="1071"/>
      <c r="Q12" s="1071"/>
      <c r="R12" s="1071"/>
      <c r="S12" s="751"/>
      <c r="T12" s="1071"/>
      <c r="U12" s="1071"/>
      <c r="V12" s="1071"/>
    </row>
    <row r="13" spans="1:61" s="882" customFormat="1" ht="16.899999999999999" customHeight="1" thickTop="1" thickBot="1" x14ac:dyDescent="0.35">
      <c r="A13" s="1177"/>
      <c r="B13" s="1227" t="s">
        <v>443</v>
      </c>
      <c r="C13" s="990"/>
      <c r="D13" s="979" t="s">
        <v>754</v>
      </c>
      <c r="E13" s="980" t="s">
        <v>442</v>
      </c>
      <c r="F13" s="981" t="s">
        <v>289</v>
      </c>
      <c r="G13" s="869"/>
      <c r="H13" s="979" t="s">
        <v>754</v>
      </c>
      <c r="I13" s="980" t="s">
        <v>442</v>
      </c>
      <c r="J13" s="981" t="s">
        <v>289</v>
      </c>
      <c r="K13" s="869"/>
      <c r="L13" s="979" t="s">
        <v>754</v>
      </c>
      <c r="M13" s="980" t="s">
        <v>442</v>
      </c>
      <c r="N13" s="981" t="s">
        <v>289</v>
      </c>
      <c r="O13" s="869"/>
      <c r="P13" s="979" t="s">
        <v>754</v>
      </c>
      <c r="Q13" s="980" t="s">
        <v>442</v>
      </c>
      <c r="R13" s="981" t="s">
        <v>289</v>
      </c>
      <c r="S13" s="869"/>
      <c r="T13" s="979" t="s">
        <v>754</v>
      </c>
      <c r="U13" s="980" t="s">
        <v>442</v>
      </c>
      <c r="V13" s="981" t="s">
        <v>289</v>
      </c>
      <c r="W13" s="1188"/>
    </row>
    <row r="14" spans="1:61" ht="7.9" customHeight="1" x14ac:dyDescent="0.25">
      <c r="A14" s="681"/>
      <c r="B14" s="1228"/>
      <c r="C14" s="652"/>
      <c r="D14" s="1232"/>
      <c r="E14" s="344"/>
      <c r="F14" s="1233"/>
      <c r="G14" s="652"/>
      <c r="H14" s="1232"/>
      <c r="I14" s="344"/>
      <c r="J14" s="1233"/>
      <c r="K14" s="652"/>
      <c r="L14" s="1232"/>
      <c r="M14" s="344"/>
      <c r="N14" s="1233"/>
      <c r="O14" s="652"/>
      <c r="P14" s="1232"/>
      <c r="Q14" s="344"/>
      <c r="R14" s="1233"/>
      <c r="S14" s="652"/>
      <c r="T14" s="1232"/>
      <c r="U14" s="344"/>
      <c r="V14" s="1244"/>
      <c r="W14" s="1189"/>
    </row>
    <row r="15" spans="1:61" ht="16.899999999999999" customHeight="1" x14ac:dyDescent="0.25">
      <c r="A15" s="681"/>
      <c r="B15" s="1010" t="s">
        <v>403</v>
      </c>
      <c r="C15" s="652"/>
      <c r="D15" s="1234">
        <f>1.012922*(1+'R&amp;C-Painel de Controle'!$D$61)</f>
        <v>1.0129220000000001</v>
      </c>
      <c r="E15" s="345" t="str">
        <f>(IF(E$7="SIM",D15*(1-(($D$2-D$11)/(F$11-D$11)))+F15*(1-((F$11-$D$2)/(F$11-D$11))),"-"))</f>
        <v>-</v>
      </c>
      <c r="F15" s="1235">
        <f>1.02232*(1+'R&amp;C-Painel de Controle'!$D$61)</f>
        <v>1.0223199999999999</v>
      </c>
      <c r="G15" s="652"/>
      <c r="H15" s="1234">
        <f>F15</f>
        <v>1.0223199999999999</v>
      </c>
      <c r="I15" s="345">
        <f>(IF(I$7="SIM",H15*(1-(($D$2-H$11)/(J$11-H$11)))+J15*(1-((J$11-$D$2)/(J$11-H$11))),"-"))</f>
        <v>1.0713632931405284</v>
      </c>
      <c r="J15" s="1235">
        <f>1.096437*(1+'R&amp;C-Painel de Controle'!$D$61)</f>
        <v>1.0964370000000001</v>
      </c>
      <c r="K15" s="652"/>
      <c r="L15" s="1234">
        <f>J15</f>
        <v>1.0964370000000001</v>
      </c>
      <c r="M15" s="345" t="str">
        <f>(IF(M$7="SIM",L15*(1-(($D$2-L$11)/(N$11-L$11)))+N15*(1-((N$11-$D$2)/(N$11-L$11))),"-"))</f>
        <v>-</v>
      </c>
      <c r="N15" s="1235">
        <f>1.255526*(1+'R&amp;C-Painel de Controle'!$D$61)</f>
        <v>1.2555259999999999</v>
      </c>
      <c r="O15" s="652"/>
      <c r="P15" s="1234">
        <f>N15</f>
        <v>1.2555259999999999</v>
      </c>
      <c r="Q15" s="345" t="str">
        <f>(IF(Q$7="SIM",P15*(1-(($D$2-P$11)/(R$11-P$11)))+R15*(1-((R$11-$D$2)/(R$11-P$11))),"-"))</f>
        <v>-</v>
      </c>
      <c r="R15" s="1235">
        <f>1.537231*(1+'R&amp;C-Painel de Controle'!$D$61)</f>
        <v>1.537231</v>
      </c>
      <c r="S15" s="652"/>
      <c r="T15" s="1234">
        <f>R15</f>
        <v>1.537231</v>
      </c>
      <c r="U15" s="345" t="str">
        <f>(IF(U$7="SIM",T15*(1-(($D$2-T$11)/(V$11-T$11)))+V15*(1-((V$11-$D$2)/(V$11-T$11))),"-"))</f>
        <v>-</v>
      </c>
      <c r="V15" s="1245">
        <f>2.052554*(1+'R&amp;C-Painel de Controle'!$D$61)</f>
        <v>2.0525540000000002</v>
      </c>
      <c r="W15" s="1220">
        <v>1.0175927734202665</v>
      </c>
      <c r="X15" s="48">
        <v>1.0346283117455466</v>
      </c>
      <c r="Y15" s="48">
        <v>1.1759456636118601</v>
      </c>
      <c r="Z15" s="48">
        <v>1.39635311725268</v>
      </c>
      <c r="AA15" s="48">
        <v>1.7948731530568369</v>
      </c>
    </row>
    <row r="16" spans="1:61" ht="16.899999999999999" customHeight="1" x14ac:dyDescent="0.25">
      <c r="A16" s="681"/>
      <c r="B16" s="1010" t="s">
        <v>404</v>
      </c>
      <c r="C16" s="652"/>
      <c r="D16" s="1234">
        <f>3.053937*(1+'R&amp;C-Painel de Controle'!$D$61)</f>
        <v>3.0539369999999999</v>
      </c>
      <c r="E16" s="345" t="str">
        <f>(IF(E$7="SIM",D16*(1-(($D$2-D$11)/(F$11-D$11)))+F16*(1-((F$11-$D$2)/(F$11-D$11))),"-"))</f>
        <v>-</v>
      </c>
      <c r="F16" s="1235">
        <f>4.549606*(1+'R&amp;C-Painel de Controle'!$D$61)</f>
        <v>4.5496059999999998</v>
      </c>
      <c r="G16" s="652"/>
      <c r="H16" s="1234">
        <f>F16</f>
        <v>4.5496059999999998</v>
      </c>
      <c r="I16" s="345">
        <f>(IF(I$7="SIM",H16*(1-(($D$2-H$11)/(J$11-H$11)))+J16*(1-((J$11-$D$2)/(J$11-H$11))),"-"))</f>
        <v>7.2366586317940431</v>
      </c>
      <c r="J16" s="1235">
        <f>8.610432*(1+'R&amp;C-Painel de Controle'!$D$61)</f>
        <v>8.6104319999999994</v>
      </c>
      <c r="K16" s="652"/>
      <c r="L16" s="1234">
        <f>J16</f>
        <v>8.6104319999999994</v>
      </c>
      <c r="M16" s="345" t="str">
        <f>(IF(M$7="SIM",L16*(1-(($D$2-L$11)/(N$11-L$11)))+N16*(1-((N$11-$D$2)/(N$11-L$11))),"-"))</f>
        <v>-</v>
      </c>
      <c r="N16" s="1235">
        <f>16.217811*(1+'R&amp;C-Painel de Controle'!$D$61)</f>
        <v>16.217811000000001</v>
      </c>
      <c r="O16" s="652"/>
      <c r="P16" s="1234">
        <f>N16</f>
        <v>16.217811000000001</v>
      </c>
      <c r="Q16" s="345" t="str">
        <f>(IF(Q$7="SIM",P16*(1-(($D$2-P$11)/(R$11-P$11)))+R16*(1-((R$11-$D$2)/(R$11-P$11))),"-"))</f>
        <v>-</v>
      </c>
      <c r="R16" s="1235">
        <f>31.995049*(1+'R&amp;C-Painel de Controle'!$D$61)</f>
        <v>31.995049000000002</v>
      </c>
      <c r="S16" s="652"/>
      <c r="T16" s="1234">
        <f>R16</f>
        <v>31.995049000000002</v>
      </c>
      <c r="U16" s="345" t="str">
        <f>(IF(U$7="SIM",T16*(1-(($D$2-T$11)/(V$11-T$11)))+V16*(1-((V$11-$D$2)/(V$11-T$11))),"-"))</f>
        <v>-</v>
      </c>
      <c r="V16" s="1245">
        <f>59.563195*(1+'R&amp;C-Painel de Controle'!$D$61)</f>
        <v>59.563195</v>
      </c>
      <c r="W16" s="1220">
        <v>3.7972793080141334</v>
      </c>
      <c r="X16" s="48">
        <v>5.2239710222273068</v>
      </c>
      <c r="Y16" s="48">
        <v>12.412407861806459</v>
      </c>
      <c r="Z16" s="48">
        <v>24.105008407747249</v>
      </c>
      <c r="AA16" s="48">
        <v>45.778086999905341</v>
      </c>
    </row>
    <row r="17" spans="1:61" ht="16.899999999999999" customHeight="1" x14ac:dyDescent="0.25">
      <c r="A17" s="681"/>
      <c r="B17" s="1010" t="s">
        <v>659</v>
      </c>
      <c r="C17" s="652"/>
      <c r="D17" s="1236">
        <f>14151/10000</f>
        <v>1.4151</v>
      </c>
      <c r="E17" s="345" t="str">
        <f>(IF(E$7="SIM",(D17*(1-(($D$2-D$11)/(F$11-D$11)))+F17*(1-((F$11-$D$2)/(F$11-D$11))))*10000*('R&amp;C-Painel de Controle'!$D$56+0.18)/1000000,"-"))</f>
        <v>-</v>
      </c>
      <c r="F17" s="1237">
        <f>H17</f>
        <v>3.5377000000000001</v>
      </c>
      <c r="G17" s="652"/>
      <c r="H17" s="1236">
        <f>35377/10000</f>
        <v>3.5377000000000001</v>
      </c>
      <c r="I17" s="345">
        <f>(IF(I$7="SIM",(H17*(1-(($D$2-H$11)/(J$11-H$11)))+J17*(1-((J$11-$D$2)/(J$11-H$11))))*10000*('R&amp;C-Painel de Controle'!$D$56+0.18)/1000000,"-"))</f>
        <v>1.8024673355723499</v>
      </c>
      <c r="J17" s="1237">
        <f>L17</f>
        <v>9.0093999999999994</v>
      </c>
      <c r="K17" s="652"/>
      <c r="L17" s="1236">
        <f>90094/10000</f>
        <v>9.0093999999999994</v>
      </c>
      <c r="M17" s="345" t="str">
        <f>(IF(M$7="SIM",(L17*(1-(($D$2-L$11)/(N$11-L$11)))+N17*(1-((N$11-$D$2)/(N$11-L$11))))*10000*('R&amp;C-Painel de Controle'!$D$56+0.18)/1000000,"-"))</f>
        <v>-</v>
      </c>
      <c r="N17" s="1237">
        <f>P17</f>
        <v>18.984400000000001</v>
      </c>
      <c r="O17" s="652"/>
      <c r="P17" s="1236">
        <f>189844/10000</f>
        <v>18.984400000000001</v>
      </c>
      <c r="Q17" s="345" t="str">
        <f>(IF(Q$7="SIM",(P17*(1-(($D$2-P$11)/(R$11-P$11)))+R17*(1-((R$11-$D$2)/(R$11-P$11))))*10000*('R&amp;C-Painel de Controle'!$D$56+0.18)/1000000,"-"))</f>
        <v>-</v>
      </c>
      <c r="R17" s="1237">
        <f>T17</f>
        <v>36.037500000000001</v>
      </c>
      <c r="S17" s="652"/>
      <c r="T17" s="1236">
        <f>360375/10000</f>
        <v>36.037500000000001</v>
      </c>
      <c r="U17" s="345" t="str">
        <f>(IF(U$7="SIM",(T17*(1-(($D$2-T$11)/(V$11-T$11)))+V17*(1-((V$11-$D$2)/(V$11-T$11))))*10000*('R&amp;C-Painel de Controle'!$D$56+0.18)/1000000,"-"))</f>
        <v>-</v>
      </c>
      <c r="V17" s="1246">
        <f>648960/10000</f>
        <v>64.896000000000001</v>
      </c>
      <c r="W17" s="1220">
        <v>4.446044714976E-3</v>
      </c>
      <c r="X17" s="48">
        <v>8.0034537353183988E-3</v>
      </c>
      <c r="Y17" s="48">
        <v>2.5190375456699998E-2</v>
      </c>
      <c r="Z17" s="48">
        <v>4.9516944205459684E-2</v>
      </c>
      <c r="AA17" s="48">
        <v>9.0838199800286998E-2</v>
      </c>
    </row>
    <row r="18" spans="1:61" s="1259" customFormat="1" ht="19.899999999999999" customHeight="1" x14ac:dyDescent="0.3">
      <c r="A18" s="1248"/>
      <c r="B18" s="1230" t="s">
        <v>377</v>
      </c>
      <c r="C18" s="1249"/>
      <c r="D18" s="1250" t="s">
        <v>289</v>
      </c>
      <c r="E18" s="1251" t="str">
        <f>IF(E7="SIM",SUM(E15:E17),"-")</f>
        <v>-</v>
      </c>
      <c r="F18" s="1252"/>
      <c r="G18" s="1249"/>
      <c r="H18" s="1253"/>
      <c r="I18" s="1251">
        <f>IF(I7="SIM",SUM(I15:I17),"-")</f>
        <v>10.110489260506922</v>
      </c>
      <c r="J18" s="1254"/>
      <c r="K18" s="1249"/>
      <c r="L18" s="1253"/>
      <c r="M18" s="1251" t="str">
        <f>IF(M7="SIM",SUM(M15:M17),"-")</f>
        <v>-</v>
      </c>
      <c r="N18" s="1254"/>
      <c r="O18" s="1249"/>
      <c r="P18" s="1253"/>
      <c r="Q18" s="1251" t="str">
        <f>IF(Q7="SIM",SUM(Q15:Q17),"-")</f>
        <v>-</v>
      </c>
      <c r="R18" s="1254"/>
      <c r="S18" s="1249"/>
      <c r="T18" s="1253"/>
      <c r="U18" s="1251" t="str">
        <f>IF(U7="SIM",SUM(U15:U17),"-")</f>
        <v>-</v>
      </c>
      <c r="V18" s="1255"/>
      <c r="W18" s="1256">
        <v>4.8193181261493763</v>
      </c>
      <c r="X18" s="1257">
        <v>6.2666027877081714</v>
      </c>
      <c r="Y18" s="1257">
        <v>13.613543900875021</v>
      </c>
      <c r="Z18" s="1257">
        <v>25.55087846920539</v>
      </c>
      <c r="AA18" s="1257">
        <v>47.663798352762463</v>
      </c>
      <c r="AB18" s="1258"/>
      <c r="AC18" s="1258"/>
      <c r="AD18" s="1258"/>
      <c r="AE18" s="1258"/>
      <c r="AF18" s="1258"/>
      <c r="AG18" s="1258"/>
      <c r="AH18" s="1258"/>
      <c r="AI18" s="1258"/>
      <c r="AJ18" s="1258"/>
      <c r="AK18" s="1258"/>
      <c r="AL18" s="1258"/>
      <c r="AM18" s="1258"/>
      <c r="AN18" s="1258"/>
      <c r="AO18" s="1258"/>
      <c r="AP18" s="1258"/>
      <c r="AQ18" s="1258"/>
      <c r="AR18" s="1258"/>
      <c r="AS18" s="1258"/>
      <c r="AT18" s="1258"/>
      <c r="AU18" s="1258"/>
      <c r="AV18" s="1258"/>
      <c r="AW18" s="1258"/>
      <c r="AX18" s="1258"/>
      <c r="AY18" s="1258"/>
      <c r="AZ18" s="1258"/>
      <c r="BA18" s="1258"/>
      <c r="BB18" s="1258"/>
      <c r="BC18" s="1258"/>
      <c r="BD18" s="1258"/>
      <c r="BE18" s="1258"/>
      <c r="BF18" s="1258"/>
      <c r="BG18" s="1258"/>
      <c r="BH18" s="1258"/>
      <c r="BI18" s="1258"/>
    </row>
    <row r="19" spans="1:61" ht="16.899999999999999" customHeight="1" outlineLevel="1" x14ac:dyDescent="0.25">
      <c r="A19" s="681"/>
      <c r="B19" s="1147" t="s">
        <v>378</v>
      </c>
      <c r="C19" s="652"/>
      <c r="D19" s="1239" t="s">
        <v>289</v>
      </c>
      <c r="E19" s="304" t="str">
        <f>IF(E7="SIM",E18*1000000/$H$2,"-")</f>
        <v>-</v>
      </c>
      <c r="F19" s="1240"/>
      <c r="G19" s="652"/>
      <c r="H19" s="1232"/>
      <c r="I19" s="304">
        <f>IF(I7="SIM",I18*1000000/$H$2,"-")</f>
        <v>432.84111224735267</v>
      </c>
      <c r="J19" s="1233"/>
      <c r="K19" s="652"/>
      <c r="L19" s="1232"/>
      <c r="M19" s="304" t="str">
        <f>IF(M7="SIM",M18*1000000/$H$2,"-")</f>
        <v>-</v>
      </c>
      <c r="N19" s="1233"/>
      <c r="O19" s="652"/>
      <c r="P19" s="1232"/>
      <c r="Q19" s="304" t="str">
        <f>IF(Q7="SIM",Q18*1000000/$H$2,"-")</f>
        <v>-</v>
      </c>
      <c r="R19" s="1233"/>
      <c r="S19" s="652"/>
      <c r="T19" s="1232"/>
      <c r="U19" s="304" t="str">
        <f>IF(U7="SIM",U18*1000000/$H$2,"-")</f>
        <v>-</v>
      </c>
      <c r="V19" s="1244"/>
      <c r="W19" s="1221">
        <v>882.10990440414639</v>
      </c>
      <c r="X19" s="37">
        <v>534.53805805301647</v>
      </c>
      <c r="Y19" s="37">
        <v>217.51775045861243</v>
      </c>
      <c r="Z19" s="37">
        <v>148.43433971999801</v>
      </c>
      <c r="AA19" s="37">
        <v>108.7752903312492</v>
      </c>
    </row>
    <row r="20" spans="1:61" ht="16.899999999999999" customHeight="1" outlineLevel="1" x14ac:dyDescent="0.25">
      <c r="A20" s="681"/>
      <c r="B20" s="1229"/>
      <c r="C20" s="652"/>
      <c r="D20" s="1232"/>
      <c r="E20" s="375"/>
      <c r="F20" s="1238"/>
      <c r="G20" s="766"/>
      <c r="H20" s="1239"/>
      <c r="I20" s="375"/>
      <c r="J20" s="1240"/>
      <c r="K20" s="766"/>
      <c r="L20" s="1239"/>
      <c r="M20" s="375"/>
      <c r="N20" s="1240"/>
      <c r="O20" s="766"/>
      <c r="P20" s="1239"/>
      <c r="Q20" s="375"/>
      <c r="R20" s="1240"/>
      <c r="S20" s="766"/>
      <c r="T20" s="1239"/>
      <c r="U20" s="375"/>
      <c r="V20" s="1244"/>
      <c r="W20" s="1189"/>
      <c r="X20" s="54">
        <f>(X19-W19)/X19</f>
        <v>-0.65022843764785243</v>
      </c>
      <c r="Y20" s="54">
        <f>(Y19-X19)/Y19</f>
        <v>-1.4574456885748466</v>
      </c>
      <c r="Z20" s="54">
        <f>(Z19-Y19)/Z19</f>
        <v>-0.46541393904490869</v>
      </c>
      <c r="AA20" s="54">
        <f>(AA19-Z19)/AA19</f>
        <v>-0.36459612535141611</v>
      </c>
    </row>
    <row r="21" spans="1:61" ht="16.899999999999999" customHeight="1" collapsed="1" x14ac:dyDescent="0.25">
      <c r="A21" s="681"/>
      <c r="B21" s="1010" t="s">
        <v>661</v>
      </c>
      <c r="C21" s="652"/>
      <c r="D21" s="1234">
        <f>(0.095595+5.95269)*(1+'R&amp;C-Painel de Controle'!$D$61)/4</f>
        <v>1.51207125</v>
      </c>
      <c r="E21" s="345" t="str">
        <f>(IF(E$7="SIM",D21*(1-(($D$2-D11)/(F11-D11)))+F21*(1-((F11-$D$2)/(F11-D11))),"-"))</f>
        <v>-</v>
      </c>
      <c r="F21" s="1235">
        <f>(0.238988+10.386701)*(1+'R&amp;C-Painel de Controle'!$D$61)/4</f>
        <v>2.6564222500000003</v>
      </c>
      <c r="G21" s="652"/>
      <c r="H21" s="1234">
        <f>F21</f>
        <v>2.6564222500000003</v>
      </c>
      <c r="I21" s="345">
        <f>(IF(I$7="SIM",H21*(1-(($D$2-H11)/(J11-H11)))+J21*(1-((J11-$D$2)/(J11-H11))),"-"))</f>
        <v>3.9986794233758252</v>
      </c>
      <c r="J21" s="1235">
        <f>(0.612445+18.127224)*(1+'R&amp;C-Painel de Controle'!$D$61)/4</f>
        <v>4.6849172499999998</v>
      </c>
      <c r="K21" s="652"/>
      <c r="L21" s="1234">
        <f>J21</f>
        <v>4.6849172499999998</v>
      </c>
      <c r="M21" s="345" t="str">
        <f>(IF(M$7="SIM",L21*(1-(($D$2-L11)/(N11-L11)))+N21*(1-((N11-$D$2)/(N11-L11))),"-"))</f>
        <v>-</v>
      </c>
      <c r="N21" s="1235">
        <f>(1.290533+31.64309)*(1+'R&amp;C-Painel de Controle'!$D$61)/4</f>
        <v>8.2334057499999993</v>
      </c>
      <c r="O21" s="652"/>
      <c r="P21" s="1234">
        <f>N21</f>
        <v>8.2334057499999993</v>
      </c>
      <c r="Q21" s="345" t="str">
        <f>(IF(Q$7="SIM",P21*(1-(($D$2-P11)/(R11-P11)))+R21*(1-((R11-$D$2)/(R11-P11))),"-"))</f>
        <v>-</v>
      </c>
      <c r="R21" s="1235">
        <f>(2.449781+61.248048)*(1+'R&amp;C-Painel de Controle'!$D$61)/4</f>
        <v>15.92445725</v>
      </c>
      <c r="S21" s="652"/>
      <c r="T21" s="1234">
        <f>R21</f>
        <v>15.92445725</v>
      </c>
      <c r="U21" s="345" t="str">
        <f>(IF(U$7="SIM",T21*(1-(($D$2-T11)/(V11-T11)))+V21*(1-((V11-$D$2)/(V11-T11))),"-"))</f>
        <v>-</v>
      </c>
      <c r="V21" s="1245">
        <f>(4.411535+117.519148)*(1+'R&amp;C-Painel de Controle'!$D$61)/4</f>
        <v>30.48267075</v>
      </c>
      <c r="W21" s="1222"/>
      <c r="X21" s="55"/>
      <c r="Y21" s="56"/>
      <c r="Z21" s="56"/>
      <c r="AA21" s="56"/>
    </row>
    <row r="22" spans="1:61" ht="16.899999999999999" customHeight="1" thickBot="1" x14ac:dyDescent="0.3">
      <c r="A22" s="681"/>
      <c r="B22" s="1231" t="s">
        <v>660</v>
      </c>
      <c r="C22" s="766"/>
      <c r="D22" s="1241">
        <f>24.615167*(1+'R&amp;C-Painel de Controle'!$D$61)/4*('R&amp;C-Painel de Controle'!$D$73/60)</f>
        <v>5.4358493791666662</v>
      </c>
      <c r="E22" s="1242" t="str">
        <f>(IF(E$7="SIM",D22*(1-(($D$2-D11)/(F11-D11)))+F22*(1-((F11-$D$2)/(F11-D11))),"-"))</f>
        <v>-</v>
      </c>
      <c r="F22" s="1243">
        <f>39.645904*(1+'R&amp;C-Painel de Controle'!$D$61)/4*('R&amp;C-Painel de Controle'!$D$73/60)</f>
        <v>8.7551371333333332</v>
      </c>
      <c r="G22" s="766"/>
      <c r="H22" s="1241">
        <f>F22</f>
        <v>8.7551371333333332</v>
      </c>
      <c r="I22" s="1242">
        <f>(IF(I$7="SIM",H22*(1-(($D$2-H11)/(J11-H11)))+J22*(1-((J11-$D$2)/(J11-H11))),"-"))</f>
        <v>9.9117877519729465</v>
      </c>
      <c r="J22" s="1243">
        <f>47.561357*(1+'R&amp;C-Painel de Controle'!$D$61)/4*('R&amp;C-Painel de Controle'!$D$73/60)</f>
        <v>10.503133004166667</v>
      </c>
      <c r="K22" s="766"/>
      <c r="L22" s="1241">
        <f>J22</f>
        <v>10.503133004166667</v>
      </c>
      <c r="M22" s="1242" t="str">
        <f>(IF(M$7="SIM",L22*(1-(($D$2-L11)/(N11-L11)))+N22*(1-((N11-$D$2)/(N11-L11))),"-"))</f>
        <v>-</v>
      </c>
      <c r="N22" s="1243">
        <f>84.065865*(1+'R&amp;C-Painel de Controle'!$D$61)/4*('R&amp;C-Painel de Controle'!$D$73/60)</f>
        <v>18.564545187499998</v>
      </c>
      <c r="O22" s="766"/>
      <c r="P22" s="1241">
        <f>N22</f>
        <v>18.564545187499998</v>
      </c>
      <c r="Q22" s="1242" t="str">
        <f>(IF(Q$7="SIM",P22*(1-(($D$2-P11)/(R11-P11)))+R22*(1-((R11-$D$2)/(R11-P11))),"-"))</f>
        <v>-</v>
      </c>
      <c r="R22" s="1243">
        <f>167.459142*(1+'R&amp;C-Painel de Controle'!$D$61)/4*('R&amp;C-Painel de Controle'!$D$73/60)</f>
        <v>36.980560525000001</v>
      </c>
      <c r="S22" s="766"/>
      <c r="T22" s="1241">
        <f>R22</f>
        <v>36.980560525000001</v>
      </c>
      <c r="U22" s="1242" t="str">
        <f>(IF(U$7="SIM",T22*(1-(($D$2-T11)/(V11-T11)))+V22*(1-((V11-$D$2)/(V11-T11))),"-"))</f>
        <v>-</v>
      </c>
      <c r="V22" s="1247">
        <f>337.434973*(1+'R&amp;C-Painel de Controle'!$D$61)/4*('R&amp;C-Painel de Controle'!$D$73/60)</f>
        <v>74.516889870833339</v>
      </c>
      <c r="W22" s="1223"/>
      <c r="X22" s="57"/>
      <c r="Y22" s="57"/>
      <c r="Z22" s="57"/>
      <c r="AA22" s="57"/>
    </row>
    <row r="23" spans="1:61" ht="15" customHeight="1" thickTop="1" thickBot="1" x14ac:dyDescent="0.3">
      <c r="A23" s="405"/>
      <c r="B23" s="1224"/>
      <c r="C23" s="771"/>
      <c r="D23" s="1225"/>
      <c r="E23" s="376"/>
      <c r="F23" s="1225"/>
      <c r="G23" s="771"/>
      <c r="H23" s="1225"/>
      <c r="I23" s="1225"/>
      <c r="J23" s="1225"/>
      <c r="K23" s="771"/>
      <c r="L23" s="1225"/>
      <c r="M23" s="1225"/>
      <c r="N23" s="1225"/>
      <c r="O23" s="771"/>
      <c r="P23" s="1225"/>
      <c r="Q23" s="1225"/>
      <c r="R23" s="1225"/>
      <c r="S23" s="771"/>
      <c r="T23" s="1225"/>
      <c r="U23" s="1225"/>
      <c r="V23" s="1226"/>
    </row>
    <row r="24" spans="1:61" s="882" customFormat="1" ht="19.899999999999999" customHeight="1" thickTop="1" thickBot="1" x14ac:dyDescent="0.35">
      <c r="A24" s="1177"/>
      <c r="B24" s="1219" t="s">
        <v>439</v>
      </c>
      <c r="C24" s="991"/>
      <c r="D24" s="982" t="s">
        <v>754</v>
      </c>
      <c r="E24" s="983" t="s">
        <v>774</v>
      </c>
      <c r="F24" s="984" t="s">
        <v>289</v>
      </c>
      <c r="G24" s="403"/>
      <c r="H24" s="985" t="s">
        <v>754</v>
      </c>
      <c r="I24" s="983" t="s">
        <v>774</v>
      </c>
      <c r="J24" s="987" t="s">
        <v>289</v>
      </c>
      <c r="K24" s="403"/>
      <c r="L24" s="985" t="s">
        <v>754</v>
      </c>
      <c r="M24" s="983" t="s">
        <v>774</v>
      </c>
      <c r="N24" s="987" t="s">
        <v>289</v>
      </c>
      <c r="O24" s="403"/>
      <c r="P24" s="985" t="s">
        <v>754</v>
      </c>
      <c r="Q24" s="983" t="s">
        <v>774</v>
      </c>
      <c r="R24" s="987" t="s">
        <v>289</v>
      </c>
      <c r="S24" s="403"/>
      <c r="T24" s="985" t="s">
        <v>754</v>
      </c>
      <c r="U24" s="983" t="s">
        <v>774</v>
      </c>
      <c r="V24" s="987" t="s">
        <v>289</v>
      </c>
      <c r="W24" s="1188"/>
    </row>
    <row r="25" spans="1:61" ht="7.9" customHeight="1" x14ac:dyDescent="0.25">
      <c r="A25" s="681"/>
      <c r="B25" s="1214"/>
      <c r="C25" s="1181"/>
      <c r="D25" s="1215"/>
      <c r="E25" s="377"/>
      <c r="F25" s="1217"/>
      <c r="G25" s="1181"/>
      <c r="H25" s="1215"/>
      <c r="I25" s="1216"/>
      <c r="J25" s="1217"/>
      <c r="K25" s="1181"/>
      <c r="L25" s="1215"/>
      <c r="M25" s="1216"/>
      <c r="N25" s="1217"/>
      <c r="O25" s="1181"/>
      <c r="P25" s="1215"/>
      <c r="Q25" s="1216"/>
      <c r="R25" s="1217"/>
      <c r="S25" s="1181"/>
      <c r="T25" s="1215"/>
      <c r="U25" s="1216"/>
      <c r="V25" s="1218"/>
      <c r="W25" s="1189"/>
    </row>
    <row r="26" spans="1:61" ht="16.899999999999999" customHeight="1" x14ac:dyDescent="0.25">
      <c r="A26" s="681"/>
      <c r="B26" s="1010" t="s">
        <v>759</v>
      </c>
      <c r="C26" s="1181"/>
      <c r="D26" s="1195"/>
      <c r="E26" s="377" t="str">
        <f>(IF(E$7="SIM",E27+E28,"-"))</f>
        <v>-</v>
      </c>
      <c r="F26" s="1196"/>
      <c r="G26" s="1181"/>
      <c r="H26" s="1195"/>
      <c r="I26" s="377">
        <f>(IF(I$7="SIM",I27+I28,"-"))</f>
        <v>0.74862353396294012</v>
      </c>
      <c r="J26" s="1196"/>
      <c r="K26" s="1181"/>
      <c r="L26" s="1195"/>
      <c r="M26" s="377" t="str">
        <f>(IF(M$7="SIM",M27+M28,"-"))</f>
        <v>-</v>
      </c>
      <c r="N26" s="1196"/>
      <c r="O26" s="1181"/>
      <c r="P26" s="1195"/>
      <c r="Q26" s="377" t="str">
        <f>(IF(Q$7="SIM",Q27+Q28,"-"))</f>
        <v>-</v>
      </c>
      <c r="R26" s="1196"/>
      <c r="S26" s="1181"/>
      <c r="T26" s="1195"/>
      <c r="U26" s="377" t="str">
        <f>(IF(U$7="SIM",U27+U28,"-"))</f>
        <v>-</v>
      </c>
      <c r="V26" s="1209"/>
      <c r="W26" s="1189"/>
    </row>
    <row r="27" spans="1:61" ht="16.899999999999999" customHeight="1" outlineLevel="1" x14ac:dyDescent="0.25">
      <c r="A27" s="681"/>
      <c r="B27" s="1193" t="s">
        <v>662</v>
      </c>
      <c r="C27" s="1181"/>
      <c r="D27" s="1197">
        <f>230044.995625*(1+'R&amp;C-Painel de Controle'!$D$61)</f>
        <v>230044.99562500001</v>
      </c>
      <c r="E27" s="377" t="str">
        <f>(IF(E$7="SIM",(D27*(1-(($D$2-D$11)/(F$11-D$11)))+F27*(1-((F$11-$D$2)/(F$11-D$11))))/1000000,"-"))</f>
        <v>-</v>
      </c>
      <c r="F27" s="1198">
        <f>306726.660833333*(1+'R&amp;C-Painel de Controle'!$D$61)</f>
        <v>306726.66083333298</v>
      </c>
      <c r="G27" s="1183"/>
      <c r="H27" s="1197">
        <f t="shared" ref="H27:H43" si="0">F27</f>
        <v>306726.66083333298</v>
      </c>
      <c r="I27" s="377">
        <f>(IF(I$7="SIM",(H27*(1-(($D$2-H$11)/(J$11-H$11)))+J27*(1-((J$11-$D$2)/(J$11-H$11))))/1000000,"-"))</f>
        <v>0.37438044040376267</v>
      </c>
      <c r="J27" s="1198">
        <f>408968.881111111*(1+'R&amp;C-Painel de Controle'!$D$61)</f>
        <v>408968.88111111103</v>
      </c>
      <c r="K27" s="1183"/>
      <c r="L27" s="1197">
        <f t="shared" ref="L27:L43" si="1">J27</f>
        <v>408968.88111111103</v>
      </c>
      <c r="M27" s="377" t="str">
        <f>(IF(M$7="SIM",(L27*(1-(($D$2-L$11)/(N$11-L$11)))+N27*(1-((N$11-$D$2)/(N$11-L$11))))/1000000,"-"))</f>
        <v>-</v>
      </c>
      <c r="N27" s="1198">
        <f>1289352.9*(1+'R&amp;C-Painel de Controle'!$D$61)</f>
        <v>1289352.8999999999</v>
      </c>
      <c r="O27" s="1183"/>
      <c r="P27" s="1197">
        <f t="shared" ref="P27:P43" si="2">N27</f>
        <v>1289352.8999999999</v>
      </c>
      <c r="Q27" s="377" t="str">
        <f>(IF(Q$7="SIM",(P27*(1-(($D$2-P$11)/(R$11-P$11)))+R27*(1-((R$11-$D$2)/(R$11-P$11))))/1000000,"-"))</f>
        <v>-</v>
      </c>
      <c r="R27" s="1198">
        <f>2124504.31222222*(1+'R&amp;C-Painel de Controle'!$D$61)</f>
        <v>2124504.31222222</v>
      </c>
      <c r="S27" s="1183"/>
      <c r="T27" s="1197">
        <f t="shared" ref="T27:T43" si="3">R27</f>
        <v>2124504.31222222</v>
      </c>
      <c r="U27" s="377" t="str">
        <f>(IF(U$7="SIM",(T27*(1-(($D$2-T$11)/(V$11-T$11)))+V27*(1-((V$11-$D$2)/(V$11-T$11))))/1000000,"-"))</f>
        <v>-</v>
      </c>
      <c r="V27" s="1210">
        <f>2665116.43777778*(1+'R&amp;C-Painel de Controle'!$D$61)</f>
        <v>2665116.43777778</v>
      </c>
      <c r="W27" s="1189"/>
    </row>
    <row r="28" spans="1:61" ht="16.899999999999999" customHeight="1" outlineLevel="1" x14ac:dyDescent="0.25">
      <c r="A28" s="681"/>
      <c r="B28" s="1193" t="s">
        <v>663</v>
      </c>
      <c r="C28" s="1181"/>
      <c r="D28" s="1197">
        <f>229960.6003125*(1+'R&amp;C-Painel de Controle'!$D$61)</f>
        <v>229960.6003125</v>
      </c>
      <c r="E28" s="377" t="str">
        <f>(IF(E$7="SIM",(D28*(1-(($D$2-D$11)/(F$11-D$11)))+F28*(1-((F$11-$D$2)/(F$11-D$11))))/1000000,"-"))</f>
        <v>-</v>
      </c>
      <c r="F28" s="1198">
        <f>306614.13375*(1+'R&amp;C-Painel de Controle'!$D$61)</f>
        <v>306614.13374999998</v>
      </c>
      <c r="G28" s="1183"/>
      <c r="H28" s="1197">
        <f t="shared" si="0"/>
        <v>306614.13374999998</v>
      </c>
      <c r="I28" s="377">
        <f>(IF(I$7="SIM",(H28*(1-(($D$2-H$11)/(J$11-H$11)))+J28*(1-((J$11-$D$2)/(J$11-H$11))))/1000000,"-"))</f>
        <v>0.3742430935591774</v>
      </c>
      <c r="J28" s="1198">
        <f>408818.845*(1+'R&amp;C-Painel de Controle'!$D$61)</f>
        <v>408818.84499999997</v>
      </c>
      <c r="K28" s="1183"/>
      <c r="L28" s="1197">
        <f t="shared" si="1"/>
        <v>408818.84499999997</v>
      </c>
      <c r="M28" s="377" t="str">
        <f>(IF(M$7="SIM",(L28*(1-(($D$2-L$11)/(N$11-L$11)))+N28*(1-((N$11-$D$2)/(N$11-L$11))))/1000000,"-"))</f>
        <v>-</v>
      </c>
      <c r="N28" s="1198">
        <f>975095.206666667*(1+'R&amp;C-Painel de Controle'!$D$61)</f>
        <v>975095.20666666701</v>
      </c>
      <c r="O28" s="1183"/>
      <c r="P28" s="1197">
        <f t="shared" si="2"/>
        <v>975095.20666666701</v>
      </c>
      <c r="Q28" s="377" t="str">
        <f>(IF(Q$7="SIM",(P28*(1-(($D$2-P$11)/(R$11-P$11)))+R28*(1-((R$11-$D$2)/(R$11-P$11))))/1000000,"-"))</f>
        <v>-</v>
      </c>
      <c r="R28" s="1198">
        <f>1922105.38444444*(1+'R&amp;C-Painel de Controle'!$D$61)</f>
        <v>1922105.38444444</v>
      </c>
      <c r="S28" s="1183"/>
      <c r="T28" s="1197">
        <f t="shared" si="3"/>
        <v>1922105.38444444</v>
      </c>
      <c r="U28" s="377" t="str">
        <f>(IF(U$7="SIM",(T28*(1-(($D$2-T$11)/(V$11-T$11)))+V28*(1-((V$11-$D$2)/(V$11-T$11))))/1000000,"-"))</f>
        <v>-</v>
      </c>
      <c r="V28" s="1210">
        <f>2427599.98277778*(1+'R&amp;C-Painel de Controle'!$D$61)</f>
        <v>2427599.9827777799</v>
      </c>
      <c r="W28" s="1189"/>
    </row>
    <row r="29" spans="1:61" ht="16.899999999999999" customHeight="1" x14ac:dyDescent="0.25">
      <c r="A29" s="681"/>
      <c r="B29" s="1010" t="s">
        <v>758</v>
      </c>
      <c r="C29" s="1181"/>
      <c r="D29" s="1197"/>
      <c r="E29" s="377" t="str">
        <f>(IF(E$7="SIM",E30,"-"))</f>
        <v>-</v>
      </c>
      <c r="F29" s="1198"/>
      <c r="G29" s="1183"/>
      <c r="H29" s="1197"/>
      <c r="I29" s="377">
        <f>(IF(I$7="SIM",I30,"-"))</f>
        <v>6.79813222157953E-3</v>
      </c>
      <c r="J29" s="1198"/>
      <c r="K29" s="1183"/>
      <c r="L29" s="1197"/>
      <c r="M29" s="377" t="str">
        <f>(IF(M$7="SIM",M30,"-"))</f>
        <v>-</v>
      </c>
      <c r="N29" s="1198"/>
      <c r="O29" s="1183"/>
      <c r="P29" s="1197"/>
      <c r="Q29" s="377" t="str">
        <f>(IF(Q$7="SIM",Q30,"-"))</f>
        <v>-</v>
      </c>
      <c r="R29" s="1198"/>
      <c r="S29" s="1183"/>
      <c r="T29" s="1197"/>
      <c r="U29" s="377" t="str">
        <f>(IF(U$7="SIM",U30,"-"))</f>
        <v>-</v>
      </c>
      <c r="V29" s="1210"/>
      <c r="W29" s="1189"/>
    </row>
    <row r="30" spans="1:61" ht="16.899999999999999" customHeight="1" outlineLevel="1" x14ac:dyDescent="0.25">
      <c r="A30" s="681"/>
      <c r="B30" s="1193" t="s">
        <v>445</v>
      </c>
      <c r="C30" s="1181"/>
      <c r="D30" s="1197">
        <f>3648.21111111111*(1+'R&amp;C-Painel de Controle'!$D$61)</f>
        <v>3648.2111111111099</v>
      </c>
      <c r="E30" s="377" t="str">
        <f>(IF(E$7="SIM",(D30*(1-(($D$2-D$11)/(F$11-D$11)))+F30*(1-((F$11-$D$2)/(F$11-D$11))))/1000000,"-"))</f>
        <v>-</v>
      </c>
      <c r="F30" s="1198">
        <f>3720.52777777778*(1+'R&amp;C-Painel de Controle'!$D$61)</f>
        <v>3720.5277777777801</v>
      </c>
      <c r="G30" s="1184"/>
      <c r="H30" s="1197">
        <f>F30</f>
        <v>3720.5277777777801</v>
      </c>
      <c r="I30" s="377">
        <f>(IF(I$7="SIM",(H30*(1-(($D$2-H$11)/(J$11-H$11)))+J30*(1-((J$11-$D$2)/(J$11-H$11))))/1000000,"-"))</f>
        <v>6.79813222157953E-3</v>
      </c>
      <c r="J30" s="1198">
        <f>8371.57777777778*(1+'R&amp;C-Painel de Controle'!$D$61)</f>
        <v>8371.5777777777803</v>
      </c>
      <c r="K30" s="1184"/>
      <c r="L30" s="1197">
        <f>J30</f>
        <v>8371.5777777777803</v>
      </c>
      <c r="M30" s="377" t="str">
        <f>(IF(M$7="SIM",(L30*(1-(($D$2-L$11)/(N$11-L$11)))+N30*(1-((N$11-$D$2)/(N$11-L$11))))/1000000,"-"))</f>
        <v>-</v>
      </c>
      <c r="N30" s="1198">
        <f>17914.8*(1+'R&amp;C-Painel de Controle'!$D$61)</f>
        <v>17914.8</v>
      </c>
      <c r="O30" s="1184"/>
      <c r="P30" s="1197">
        <f>N30</f>
        <v>17914.8</v>
      </c>
      <c r="Q30" s="377" t="str">
        <f>(IF(Q$7="SIM",(P30*(1-(($D$2-P$11)/(R$11-P$11)))+R30*(1-((R$11-$D$2)/(R$11-P$11))))/1000000,"-"))</f>
        <v>-</v>
      </c>
      <c r="R30" s="1198">
        <f>41772.7777777778*(1+'R&amp;C-Painel de Controle'!$D$61)</f>
        <v>41772.777777777803</v>
      </c>
      <c r="S30" s="1184"/>
      <c r="T30" s="1197">
        <f>R30</f>
        <v>41772.777777777803</v>
      </c>
      <c r="U30" s="377" t="str">
        <f>(IF(U$7="SIM",(T30*(1-(($D$2-T$11)/(V$11-T$11)))+V30*(1-((V$11-$D$2)/(V$11-T$11))))/1000000,"-"))</f>
        <v>-</v>
      </c>
      <c r="V30" s="1210">
        <f>99031.9111111111*(1+'R&amp;C-Painel de Controle'!$D$61)</f>
        <v>99031.911111111098</v>
      </c>
      <c r="W30" s="1189"/>
    </row>
    <row r="31" spans="1:61" ht="16.899999999999999" customHeight="1" x14ac:dyDescent="0.25">
      <c r="A31" s="681"/>
      <c r="B31" s="1010" t="s">
        <v>760</v>
      </c>
      <c r="C31" s="1181"/>
      <c r="D31" s="1197"/>
      <c r="E31" s="377" t="str">
        <f>(IF(E$7="SIM",E32+E33+E34+E35,"-"))</f>
        <v>-</v>
      </c>
      <c r="F31" s="1198"/>
      <c r="G31" s="1184"/>
      <c r="H31" s="1197"/>
      <c r="I31" s="377">
        <f>(IF(I$7="SIM",I32+I33+I34+I35,"-"))</f>
        <v>0.13190426420942677</v>
      </c>
      <c r="J31" s="1198"/>
      <c r="K31" s="1184"/>
      <c r="L31" s="1197"/>
      <c r="M31" s="377" t="str">
        <f>(IF(M$7="SIM",M32+M33+M34+M35,"-"))</f>
        <v>-</v>
      </c>
      <c r="N31" s="1198"/>
      <c r="O31" s="1184"/>
      <c r="P31" s="1197"/>
      <c r="Q31" s="377" t="str">
        <f>(IF(Q$7="SIM",Q32+Q33+Q34+Q35,"-"))</f>
        <v>-</v>
      </c>
      <c r="R31" s="1198"/>
      <c r="S31" s="1184"/>
      <c r="T31" s="1197"/>
      <c r="U31" s="377" t="str">
        <f>(IF(U$7="SIM",U32+U33+U34+U35,"-"))</f>
        <v>-</v>
      </c>
      <c r="V31" s="1210"/>
      <c r="W31" s="1189"/>
    </row>
    <row r="32" spans="1:61" ht="16.899999999999999" customHeight="1" outlineLevel="1" x14ac:dyDescent="0.25">
      <c r="A32" s="681"/>
      <c r="B32" s="1193" t="s">
        <v>406</v>
      </c>
      <c r="C32" s="1181"/>
      <c r="D32" s="1197">
        <f>3857.29166666667*(1+'R&amp;C-Painel de Controle'!$D$61)*('R&amp;C-Painel de Controle'!$D$91/8.05)</f>
        <v>7187.5000000000055</v>
      </c>
      <c r="E32" s="377" t="str">
        <f>(IF(E$7="SIM",(D32*(1-(($D$2-D$11)/(F$11-D$11)))+F32*(1-((F$11-$D$2)/(F$11-D$11))))/1000000,"-"))</f>
        <v>-</v>
      </c>
      <c r="F32" s="1198">
        <f>9643.22916666667*(1+'R&amp;C-Painel de Controle'!$D$61)*('R&amp;C-Painel de Controle'!$D$91/8.05)</f>
        <v>17968.750000000004</v>
      </c>
      <c r="G32" s="1185"/>
      <c r="H32" s="1197">
        <f t="shared" si="0"/>
        <v>17968.750000000004</v>
      </c>
      <c r="I32" s="377">
        <f>(IF(I$7="SIM",(H32*(1-(($D$2-H$11)/(J$11-H$11)))+J32*(1-((J$11-$D$2)/(J$11-H$11))))/1000000,"-"))</f>
        <v>3.6595908905667295E-2</v>
      </c>
      <c r="J32" s="1198">
        <f>24750.6194444444*(1+'R&amp;C-Painel de Controle'!$D$61)*('R&amp;C-Painel de Controle'!$D$91/8.05)</f>
        <v>46119.166666666577</v>
      </c>
      <c r="K32" s="1185"/>
      <c r="L32" s="1197">
        <f t="shared" si="1"/>
        <v>46119.166666666577</v>
      </c>
      <c r="M32" s="377" t="str">
        <f>(IF(M$7="SIM",(L32*(1-(($D$2-L$11)/(N$11-L$11)))+N32*(1-((N$11-$D$2)/(N$11-L$11))))/1000000,"-"))</f>
        <v>-</v>
      </c>
      <c r="N32" s="1198">
        <f>52142.0861111111*(1+'R&amp;C-Painel de Controle'!$D$61)*('R&amp;C-Painel de Controle'!$D$91/8.05)</f>
        <v>97159.166666666628</v>
      </c>
      <c r="O32" s="1185"/>
      <c r="P32" s="1197">
        <f t="shared" si="2"/>
        <v>97159.166666666628</v>
      </c>
      <c r="Q32" s="377" t="str">
        <f>(IF(Q$7="SIM",(P32*(1-(($D$2-P$11)/(R$11-P$11)))+R32*(1-((R$11-$D$2)/(R$11-P$11))))/1000000,"-"))</f>
        <v>-</v>
      </c>
      <c r="R32" s="1198">
        <f>98949.2583333333*(1+'R&amp;C-Painel de Controle'!$D$61)*('R&amp;C-Painel de Controle'!$D$91/8.05)</f>
        <v>184377.49999999991</v>
      </c>
      <c r="S32" s="1185"/>
      <c r="T32" s="1197">
        <f t="shared" si="3"/>
        <v>184377.49999999991</v>
      </c>
      <c r="U32" s="377" t="str">
        <f>(IF(U$7="SIM",(T32*(1-(($D$2-T$11)/(V$11-T$11)))+V32*(1-((V$11-$D$2)/(V$11-T$11))))/1000000,"-"))</f>
        <v>-</v>
      </c>
      <c r="V32" s="1210">
        <f>178111.616666667*(1+'R&amp;C-Painel de Controle'!$D$61)*('R&amp;C-Painel de Controle'!$D$91/8.05)</f>
        <v>331885.00000000058</v>
      </c>
      <c r="W32" s="1189"/>
    </row>
    <row r="33" spans="1:61" ht="16.899999999999999" customHeight="1" outlineLevel="1" x14ac:dyDescent="0.25">
      <c r="A33" s="681"/>
      <c r="B33" s="1193" t="s">
        <v>407</v>
      </c>
      <c r="C33" s="1181"/>
      <c r="D33" s="1197">
        <f>5590.05686868687*(1+'R&amp;C-Painel de Controle'!$D$61)</f>
        <v>5590.0568686868701</v>
      </c>
      <c r="E33" s="377" t="str">
        <f>(IF(E$7="SIM",(D33*(1-(($D$2-D$11)/(F$11-D$11)))+F33*(1-((F$11-$D$2)/(F$11-D$11))))/1000000,"-"))</f>
        <v>-</v>
      </c>
      <c r="F33" s="1198">
        <f>13506.4161616162*(1+'R&amp;C-Painel de Controle'!$D$61)</f>
        <v>13506.4161616162</v>
      </c>
      <c r="G33" s="1183"/>
      <c r="H33" s="1197">
        <f t="shared" si="0"/>
        <v>13506.4161616162</v>
      </c>
      <c r="I33" s="377">
        <f>(IF(I$7="SIM",(H33*(1-(($D$2-H$11)/(J$11-H$11)))+J33*(1-((J$11-$D$2)/(J$11-H$11))))/1000000,"-"))</f>
        <v>2.6608863166747231E-2</v>
      </c>
      <c r="J33" s="1198">
        <f>33307.5755555556*(1+'R&amp;C-Painel de Controle'!$D$61)</f>
        <v>33307.575555555602</v>
      </c>
      <c r="K33" s="1183"/>
      <c r="L33" s="1197">
        <f t="shared" si="1"/>
        <v>33307.575555555602</v>
      </c>
      <c r="M33" s="377" t="str">
        <f>(IF(M$7="SIM",(L33*(1-(($D$2-L$11)/(N$11-L$11)))+N33*(1-((N$11-$D$2)/(N$11-L$11))))/1000000,"-"))</f>
        <v>-</v>
      </c>
      <c r="N33" s="1198">
        <f>72191*(1+'R&amp;C-Painel de Controle'!$D$61)</f>
        <v>72191</v>
      </c>
      <c r="O33" s="1183"/>
      <c r="P33" s="1197">
        <f t="shared" si="2"/>
        <v>72191</v>
      </c>
      <c r="Q33" s="377" t="str">
        <f>(IF(Q$7="SIM",(P33*(1-(($D$2-P$11)/(R$11-P$11)))+R33*(1-((R$11-$D$2)/(R$11-P$11))))/1000000,"-"))</f>
        <v>-</v>
      </c>
      <c r="R33" s="1198">
        <f>134378.801666667*(1+'R&amp;C-Painel de Controle'!$D$61)</f>
        <v>134378.80166666699</v>
      </c>
      <c r="S33" s="1183"/>
      <c r="T33" s="1197">
        <f t="shared" si="3"/>
        <v>134378.80166666699</v>
      </c>
      <c r="U33" s="377" t="str">
        <f>(IF(U$7="SIM",(T33*(1-(($D$2-T$11)/(V$11-T$11)))+V33*(1-((V$11-$D$2)/(V$11-T$11))))/1000000,"-"))</f>
        <v>-</v>
      </c>
      <c r="V33" s="1210">
        <f>235377.144444444*(1+'R&amp;C-Painel de Controle'!$D$61)</f>
        <v>235377.14444444401</v>
      </c>
      <c r="W33" s="1189"/>
    </row>
    <row r="34" spans="1:61" ht="16.899999999999999" customHeight="1" outlineLevel="1" x14ac:dyDescent="0.25">
      <c r="A34" s="681"/>
      <c r="B34" s="1193" t="s">
        <v>409</v>
      </c>
      <c r="C34" s="1181"/>
      <c r="D34" s="1197">
        <f>187.5*(1+'R&amp;C-Painel de Controle'!$D$61)</f>
        <v>187.5</v>
      </c>
      <c r="E34" s="377" t="str">
        <f>(IF(E$7="SIM",(D34*(1-(($D$2-D$11)/(F$11-D$11)))+F34*(1-((F$11-$D$2)/(F$11-D$11))))/1000000,"-"))</f>
        <v>-</v>
      </c>
      <c r="F34" s="1198">
        <f>468.75*(1+'R&amp;C-Painel de Controle'!$D$61)</f>
        <v>468.75</v>
      </c>
      <c r="G34" s="1184"/>
      <c r="H34" s="1197">
        <f t="shared" si="0"/>
        <v>468.75</v>
      </c>
      <c r="I34" s="377">
        <f>(IF(I$7="SIM",(H34*(1-(($D$2-H$11)/(J$11-H$11)))+J34*(1-((J$11-$D$2)/(J$11-H$11))))/1000000,"-"))</f>
        <v>9.5261885746874989E-4</v>
      </c>
      <c r="J34" s="1198">
        <f>1200*(1+'R&amp;C-Painel de Controle'!$D$61)</f>
        <v>1200</v>
      </c>
      <c r="K34" s="1184"/>
      <c r="L34" s="1197">
        <f t="shared" si="1"/>
        <v>1200</v>
      </c>
      <c r="M34" s="377" t="str">
        <f>(IF(M$7="SIM",(L34*(1-(($D$2-L$11)/(N$11-L$11)))+N34*(1-((N$11-$D$2)/(N$11-L$11))))/1000000,"-"))</f>
        <v>-</v>
      </c>
      <c r="N34" s="1198">
        <f>2525*(1+'R&amp;C-Painel de Controle'!$D$61)</f>
        <v>2525</v>
      </c>
      <c r="O34" s="1184"/>
      <c r="P34" s="1197">
        <f t="shared" si="2"/>
        <v>2525</v>
      </c>
      <c r="Q34" s="377" t="str">
        <f>(IF(Q$7="SIM",(P34*(1-(($D$2-P$11)/(R$11-P$11)))+R34*(1-((R$11-$D$2)/(R$11-P$11))))/1000000,"-"))</f>
        <v>-</v>
      </c>
      <c r="R34" s="1198">
        <f>4800*(1+'R&amp;C-Painel de Controle'!$D$61)</f>
        <v>4800</v>
      </c>
      <c r="S34" s="1184"/>
      <c r="T34" s="1197">
        <f t="shared" si="3"/>
        <v>4800</v>
      </c>
      <c r="U34" s="377" t="str">
        <f>(IF(U$7="SIM",(T34*(1-(($D$2-T$11)/(V$11-T$11)))+V34*(1-((V$11-$D$2)/(V$11-T$11))))/1000000,"-"))</f>
        <v>-</v>
      </c>
      <c r="V34" s="1210">
        <f>8650*(1+'R&amp;C-Painel de Controle'!$D$61)</f>
        <v>8650</v>
      </c>
      <c r="W34" s="1189"/>
    </row>
    <row r="35" spans="1:61" ht="16.899999999999999" customHeight="1" outlineLevel="1" x14ac:dyDescent="0.25">
      <c r="A35" s="1178"/>
      <c r="B35" s="1193" t="s">
        <v>444</v>
      </c>
      <c r="C35" s="1182"/>
      <c r="D35" s="1197">
        <f>37176.0604245283*(1+'R&amp;C-Painel de Controle'!$D$61)</f>
        <v>37176.060424528303</v>
      </c>
      <c r="E35" s="377" t="str">
        <f>(IF(E$7="SIM",(D35*(1-(($D$2-D$11)/(F$11-D$11)))+F35*(1-((F$11-$D$2)/(F$11-D$11))))/1000000,"-"))</f>
        <v>-</v>
      </c>
      <c r="F35" s="1198">
        <f>65324.2475196541*(1+'R&amp;C-Painel de Controle'!$D$61)</f>
        <v>65324.247519654098</v>
      </c>
      <c r="G35" s="1183"/>
      <c r="H35" s="1197">
        <f t="shared" si="0"/>
        <v>65324.247519654098</v>
      </c>
      <c r="I35" s="377">
        <f>(IF(I$7="SIM",(H35*(1-(($D$2-H$11)/(J$11-H$11)))+J35*(1-((J$11-$D$2)/(J$11-H$11))))/1000000,"-"))</f>
        <v>6.7746873279543499E-2</v>
      </c>
      <c r="J35" s="1198">
        <f>68985.4566666667*(1+'R&amp;C-Painel de Controle'!$D$61)</f>
        <v>68985.456666666694</v>
      </c>
      <c r="K35" s="1183"/>
      <c r="L35" s="1197">
        <f t="shared" si="1"/>
        <v>68985.456666666694</v>
      </c>
      <c r="M35" s="377" t="str">
        <f>(IF(M$7="SIM",(L35*(1-(($D$2-L$11)/(N$11-L$11)))+N35*(1-((N$11-$D$2)/(N$11-L$11))))/1000000,"-"))</f>
        <v>-</v>
      </c>
      <c r="N35" s="1198">
        <f>75933.0966666667*(1+'R&amp;C-Painel de Controle'!$D$61)</f>
        <v>75933.096666666694</v>
      </c>
      <c r="O35" s="1183"/>
      <c r="P35" s="1197">
        <f t="shared" si="2"/>
        <v>75933.096666666694</v>
      </c>
      <c r="Q35" s="377" t="str">
        <f>(IF(Q$7="SIM",(P35*(1-(($D$2-P$11)/(R$11-P$11)))+R35*(1-((R$11-$D$2)/(R$11-P$11))))/1000000,"-"))</f>
        <v>-</v>
      </c>
      <c r="R35" s="1198">
        <f>86805.8733333333*(1+'R&amp;C-Painel de Controle'!$D$61)</f>
        <v>86805.873333333293</v>
      </c>
      <c r="S35" s="1183"/>
      <c r="T35" s="1197">
        <f t="shared" si="3"/>
        <v>86805.873333333293</v>
      </c>
      <c r="U35" s="377" t="str">
        <f>(IF(U$7="SIM",(T35*(1-(($D$2-T$11)/(V$11-T$11)))+V35*(1-((V$11-$D$2)/(V$11-T$11))))/1000000,"-"))</f>
        <v>-</v>
      </c>
      <c r="V35" s="1210">
        <f>104399.310555556*(1+'R&amp;C-Painel de Controle'!$D$61)</f>
        <v>104399.310555556</v>
      </c>
      <c r="W35" s="1190"/>
      <c r="Y35" s="1"/>
      <c r="Z35" s="1"/>
      <c r="AA35" s="1"/>
      <c r="AB35" s="1"/>
      <c r="AC35" s="1"/>
      <c r="AD35" s="1"/>
      <c r="AE35" s="1"/>
      <c r="AF35" s="1"/>
      <c r="AG35" s="1"/>
      <c r="AH35" s="1"/>
      <c r="AI35" s="1"/>
      <c r="AJ35" s="1"/>
      <c r="AK35" s="1"/>
      <c r="AL35" s="1"/>
      <c r="AM35" s="1"/>
      <c r="AN35" s="1"/>
      <c r="AO35" s="1"/>
      <c r="AP35" s="1"/>
      <c r="AQ35" s="1"/>
      <c r="AR35" s="1"/>
      <c r="AS35" s="1"/>
      <c r="AT35" s="1"/>
      <c r="AU35" s="1"/>
      <c r="AV35" s="1"/>
      <c r="AW35" s="1"/>
      <c r="AX35" s="1"/>
      <c r="AY35" s="1"/>
      <c r="AZ35" s="1"/>
      <c r="BA35" s="1"/>
      <c r="BB35" s="1"/>
      <c r="BC35" s="1"/>
      <c r="BD35" s="1"/>
      <c r="BE35" s="1"/>
      <c r="BF35" s="1"/>
      <c r="BG35" s="1"/>
      <c r="BH35" s="1"/>
      <c r="BI35" s="1"/>
    </row>
    <row r="36" spans="1:61" ht="16.899999999999999" customHeight="1" x14ac:dyDescent="0.25">
      <c r="A36" s="1178"/>
      <c r="B36" s="1010" t="s">
        <v>761</v>
      </c>
      <c r="C36" s="1182"/>
      <c r="D36" s="1197"/>
      <c r="E36" s="377" t="str">
        <f>(IF(E$7="SIM",E37+E38+E39+E40,"-"))</f>
        <v>-</v>
      </c>
      <c r="F36" s="1198"/>
      <c r="G36" s="1183"/>
      <c r="H36" s="1197"/>
      <c r="I36" s="377">
        <f>(IF(I$7="SIM",I37+I38+I39+I40,"-"))</f>
        <v>1.181445316283863</v>
      </c>
      <c r="J36" s="1198"/>
      <c r="K36" s="1183"/>
      <c r="L36" s="1197"/>
      <c r="M36" s="377" t="str">
        <f>(IF(M$7="SIM",M37+M38+M39+M40,"-"))</f>
        <v>-</v>
      </c>
      <c r="N36" s="1198"/>
      <c r="O36" s="1183"/>
      <c r="P36" s="1197"/>
      <c r="Q36" s="377" t="str">
        <f>(IF(Q$7="SIM",Q37+Q38+Q39+Q40,"-"))</f>
        <v>-</v>
      </c>
      <c r="R36" s="1198"/>
      <c r="S36" s="1183"/>
      <c r="T36" s="1197"/>
      <c r="U36" s="377" t="str">
        <f>(IF(U$7="SIM",U37+U38+U39+U40,"-"))</f>
        <v>-</v>
      </c>
      <c r="V36" s="1210"/>
      <c r="W36" s="1190"/>
      <c r="Y36" s="1"/>
      <c r="Z36" s="1"/>
      <c r="AA36" s="1"/>
      <c r="AB36" s="1"/>
      <c r="AC36" s="1"/>
      <c r="AD36" s="1"/>
      <c r="AE36" s="1"/>
      <c r="AF36" s="1"/>
      <c r="AG36" s="1"/>
      <c r="AH36" s="1"/>
      <c r="AI36" s="1"/>
      <c r="AJ36" s="1"/>
      <c r="AK36" s="1"/>
      <c r="AL36" s="1"/>
      <c r="AM36" s="1"/>
      <c r="AN36" s="1"/>
      <c r="AO36" s="1"/>
      <c r="AP36" s="1"/>
      <c r="AQ36" s="1"/>
      <c r="AR36" s="1"/>
      <c r="AS36" s="1"/>
      <c r="AT36" s="1"/>
      <c r="AU36" s="1"/>
      <c r="AV36" s="1"/>
      <c r="AW36" s="1"/>
      <c r="AX36" s="1"/>
      <c r="AY36" s="1"/>
      <c r="AZ36" s="1"/>
      <c r="BA36" s="1"/>
      <c r="BB36" s="1"/>
      <c r="BC36" s="1"/>
      <c r="BD36" s="1"/>
      <c r="BE36" s="1"/>
      <c r="BF36" s="1"/>
      <c r="BG36" s="1"/>
      <c r="BH36" s="1"/>
      <c r="BI36" s="1"/>
    </row>
    <row r="37" spans="1:61" ht="16.899999999999999" customHeight="1" outlineLevel="1" x14ac:dyDescent="0.25">
      <c r="A37" s="681"/>
      <c r="B37" s="1193" t="s">
        <v>757</v>
      </c>
      <c r="C37" s="1181"/>
      <c r="D37" s="1197">
        <f>139761.136722222*'R&amp;C-Painel de Controle'!$D$72/125*(0.7+0.3*'R&amp;C-Painel de Controle'!$D$74/3.5)</f>
        <v>107017.09897587284</v>
      </c>
      <c r="E37" s="377" t="str">
        <f>(IF(E$7="SIM",(D37*(1-(($D$2-D$11)/(F$11-D$11)))+F37*(1-((F$11-$D$2)/(F$11-D$11))))/1000000,"-"))</f>
        <v>-</v>
      </c>
      <c r="F37" s="1198">
        <f>349402.841805556*'R&amp;C-Painel de Controle'!$D$72/125*(0.7+0.3*'R&amp;C-Painel de Controle'!$D$74/3.5)</f>
        <v>267542.74743968283</v>
      </c>
      <c r="G37" s="1183"/>
      <c r="H37" s="1197">
        <f>F37</f>
        <v>267542.74743968283</v>
      </c>
      <c r="I37" s="377">
        <f>(IF(I$7="SIM",(H37*(1-(($D$2-H$11)/(J$11-H$11)))+J37*(1-((J$11-$D$2)/(J$11-H$11))))/1000000,"-"))</f>
        <v>0.79864265934815115</v>
      </c>
      <c r="J37" s="1198">
        <f>1397611.36722222*'R&amp;C-Painel de Controle'!$D$72/125*(0.7+0.3*'R&amp;C-Painel de Controle'!$D$74/3.5)</f>
        <v>1070170.9897587283</v>
      </c>
      <c r="K37" s="1183"/>
      <c r="L37" s="1197">
        <f>J37</f>
        <v>1070170.9897587283</v>
      </c>
      <c r="M37" s="377" t="str">
        <f>(IF(M$7="SIM",(L37*(1-(($D$2-L$11)/(N$11-L$11)))+N37*(1-((N$11-$D$2)/(N$11-L$11))))/1000000,"-"))</f>
        <v>-</v>
      </c>
      <c r="N37" s="1198">
        <f>1510004.01111111*'R&amp;C-Painel de Controle'!$D$72/125*(0.7+0.3*'R&amp;C-Painel de Controle'!$D$74/3.5)</f>
        <v>1156231.6427936498</v>
      </c>
      <c r="O37" s="1183"/>
      <c r="P37" s="1197">
        <f>N37</f>
        <v>1156231.6427936498</v>
      </c>
      <c r="Q37" s="377" t="str">
        <f>(IF(Q$7="SIM",(P37*(1-(($D$2-P$11)/(R$11-P$11)))+R37*(1-((R$11-$D$2)/(R$11-P$11))))/1000000,"-"))</f>
        <v>-</v>
      </c>
      <c r="R37" s="1198">
        <f>2674675.75222222*'R&amp;C-Painel de Controle'!$D$72/125*(0.7+0.3*'R&amp;C-Painel de Controle'!$D$74/3.5)</f>
        <v>2048037.4331301569</v>
      </c>
      <c r="S37" s="1183"/>
      <c r="T37" s="1197">
        <f>R37</f>
        <v>2048037.4331301569</v>
      </c>
      <c r="U37" s="377" t="str">
        <f>(IF(U$7="SIM",(T37*(1-(($D$2-T$11)/(V$11-T$11)))+V37*(1-((V$11-$D$2)/(V$11-T$11))))/1000000,"-"))</f>
        <v>-</v>
      </c>
      <c r="V37" s="1210">
        <f>5792117.34944444*'R&amp;C-Painel de Controle'!$D$72/125*(0.7+0.3*'R&amp;C-Painel de Controle'!$D$74/3.5)</f>
        <v>4435106.9990031701</v>
      </c>
      <c r="W37" s="1189"/>
    </row>
    <row r="38" spans="1:61" ht="16.899999999999999" customHeight="1" outlineLevel="1" x14ac:dyDescent="0.25">
      <c r="A38" s="1178"/>
      <c r="B38" s="1193" t="s">
        <v>405</v>
      </c>
      <c r="C38" s="1182"/>
      <c r="D38" s="1197">
        <f>1711.85111111111*(1+'R&amp;C-Painel de Controle'!$D$61)</f>
        <v>1711.85111111111</v>
      </c>
      <c r="E38" s="377" t="str">
        <f>(IF(E$7="SIM",(D38*(1-(($D$2-D$11)/(F$11-D$11)))+F38*(1-((F$11-$D$2)/(F$11-D$11))))/1000000,"-"))</f>
        <v>-</v>
      </c>
      <c r="F38" s="1198">
        <f>4279.62777777778*(1+'R&amp;C-Painel de Controle'!$D$61)</f>
        <v>4279.6277777777796</v>
      </c>
      <c r="G38" s="1186"/>
      <c r="H38" s="1197">
        <f>F38</f>
        <v>4279.6277777777796</v>
      </c>
      <c r="I38" s="377">
        <f>(IF(I$7="SIM",(H38*(1-(($D$2-H$11)/(J$11-H$11)))+J38*(1-((J$11-$D$2)/(J$11-H$11))))/1000000,"-"))</f>
        <v>1.2946445231892435E-2</v>
      </c>
      <c r="J38" s="1198">
        <f>17377.4127777778*(1+'R&amp;C-Painel de Controle'!$D$61)</f>
        <v>17377.412777777801</v>
      </c>
      <c r="K38" s="1186"/>
      <c r="L38" s="1197">
        <f>J38</f>
        <v>17377.412777777801</v>
      </c>
      <c r="M38" s="377" t="str">
        <f>(IF(M$7="SIM",(L38*(1-(($D$2-L$11)/(N$11-L$11)))+N38*(1-((N$11-$D$2)/(N$11-L$11))))/1000000,"-"))</f>
        <v>-</v>
      </c>
      <c r="N38" s="1198">
        <f>55585.0411111111*(1+'R&amp;C-Painel de Controle'!$D$61)</f>
        <v>55585.041111111103</v>
      </c>
      <c r="O38" s="1186"/>
      <c r="P38" s="1197">
        <f>N38</f>
        <v>55585.041111111103</v>
      </c>
      <c r="Q38" s="377" t="str">
        <f>(IF(Q$7="SIM",(P38*(1-(($D$2-P$11)/(R$11-P$11)))+R38*(1-((R$11-$D$2)/(R$11-P$11))))/1000000,"-"))</f>
        <v>-</v>
      </c>
      <c r="R38" s="1198">
        <f>142843.91*(1+'R&amp;C-Painel de Controle'!$D$61)</f>
        <v>142843.91</v>
      </c>
      <c r="S38" s="1186"/>
      <c r="T38" s="1197">
        <f>R38</f>
        <v>142843.91</v>
      </c>
      <c r="U38" s="377" t="str">
        <f>(IF(U$7="SIM",(T38*(1-(($D$2-T$11)/(V$11-T$11)))+V38*(1-((V$11-$D$2)/(V$11-T$11))))/1000000,"-"))</f>
        <v>-</v>
      </c>
      <c r="V38" s="1210">
        <f>326023.525*(1+'R&amp;C-Painel de Controle'!$D$61)</f>
        <v>326023.52500000002</v>
      </c>
      <c r="W38" s="1190"/>
      <c r="Y38" s="1"/>
      <c r="Z38" s="1"/>
      <c r="AA38" s="1"/>
      <c r="AB38" s="1"/>
      <c r="AC38" s="1"/>
      <c r="AD38" s="1"/>
      <c r="AE38" s="1"/>
      <c r="AF38" s="1"/>
      <c r="AG38" s="1"/>
      <c r="AH38" s="1"/>
      <c r="AI38" s="1"/>
      <c r="AJ38" s="1"/>
      <c r="AK38" s="1"/>
      <c r="AL38" s="1"/>
      <c r="AM38" s="1"/>
      <c r="AN38" s="1"/>
      <c r="AO38" s="1"/>
      <c r="AP38" s="1"/>
      <c r="AQ38" s="1"/>
      <c r="AR38" s="1"/>
      <c r="AS38" s="1"/>
      <c r="AT38" s="1"/>
      <c r="AU38" s="1"/>
      <c r="AV38" s="1"/>
      <c r="AW38" s="1"/>
      <c r="AX38" s="1"/>
      <c r="AY38" s="1"/>
      <c r="AZ38" s="1"/>
      <c r="BA38" s="1"/>
      <c r="BB38" s="1"/>
      <c r="BC38" s="1"/>
      <c r="BD38" s="1"/>
      <c r="BE38" s="1"/>
      <c r="BF38" s="1"/>
      <c r="BG38" s="1"/>
      <c r="BH38" s="1"/>
      <c r="BI38" s="1"/>
    </row>
    <row r="39" spans="1:61" ht="16.899999999999999" customHeight="1" outlineLevel="1" x14ac:dyDescent="0.25">
      <c r="A39" s="1178"/>
      <c r="B39" s="1193" t="s">
        <v>410</v>
      </c>
      <c r="C39" s="1182"/>
      <c r="D39" s="1197">
        <f>18914.0625*(1+'R&amp;C-Painel de Controle'!$D$61)</f>
        <v>18914.0625</v>
      </c>
      <c r="E39" s="377" t="str">
        <f>(IF(E$7="SIM",(D39*(1-(($D$2-D$11)/(F$11-D$11)))+F39*(1-((F$11-$D$2)/(F$11-D$11))))/1000000,"-"))</f>
        <v>-</v>
      </c>
      <c r="F39" s="1198">
        <f>33625*(1+'R&amp;C-Painel de Controle'!$D$61)</f>
        <v>33625</v>
      </c>
      <c r="G39" s="1183"/>
      <c r="H39" s="1197">
        <f t="shared" si="0"/>
        <v>33625</v>
      </c>
      <c r="I39" s="377">
        <f>(IF(I$7="SIM",(H39*(1-(($D$2-H$11)/(J$11-H$11)))+J39*(1-((J$11-$D$2)/(J$11-H$11))))/1000000,"-"))</f>
        <v>3.3625000000000002E-2</v>
      </c>
      <c r="J39" s="1198">
        <f>33625*(1+'R&amp;C-Painel de Controle'!$D$61)</f>
        <v>33625</v>
      </c>
      <c r="K39" s="1183"/>
      <c r="L39" s="1197">
        <f t="shared" si="1"/>
        <v>33625</v>
      </c>
      <c r="M39" s="377" t="str">
        <f>(IF(M$7="SIM",(L39*(1-(($D$2-L$11)/(N$11-L$11)))+N39*(1-((N$11-$D$2)/(N$11-L$11))))/1000000,"-"))</f>
        <v>-</v>
      </c>
      <c r="N39" s="1198">
        <f>67250*(1+'R&amp;C-Painel de Controle'!$D$61)</f>
        <v>67250</v>
      </c>
      <c r="O39" s="1183"/>
      <c r="P39" s="1197">
        <f t="shared" si="2"/>
        <v>67250</v>
      </c>
      <c r="Q39" s="377" t="str">
        <f>(IF(Q$7="SIM",(P39*(1-(($D$2-P$11)/(R$11-P$11)))+R39*(1-((R$11-$D$2)/(R$11-P$11))))/1000000,"-"))</f>
        <v>-</v>
      </c>
      <c r="R39" s="1198">
        <f>67250*(1+'R&amp;C-Painel de Controle'!$D$61)</f>
        <v>67250</v>
      </c>
      <c r="S39" s="1183"/>
      <c r="T39" s="1197">
        <f t="shared" si="3"/>
        <v>67250</v>
      </c>
      <c r="U39" s="377" t="str">
        <f>(IF(U$7="SIM",(T39*(1-(($D$2-T$11)/(V$11-T$11)))+V39*(1-((V$11-$D$2)/(V$11-T$11))))/1000000,"-"))</f>
        <v>-</v>
      </c>
      <c r="V39" s="1210">
        <f>67250*(1+'R&amp;C-Painel de Controle'!$D$61)</f>
        <v>67250</v>
      </c>
      <c r="W39" s="1190"/>
      <c r="Y39" s="1"/>
      <c r="Z39" s="1"/>
      <c r="AA39" s="1"/>
      <c r="AB39" s="1"/>
      <c r="AC39" s="1"/>
      <c r="AD39" s="1"/>
      <c r="AE39" s="1"/>
      <c r="AF39" s="1"/>
      <c r="AG39" s="1"/>
      <c r="AH39" s="1"/>
      <c r="AI39" s="1"/>
      <c r="AJ39" s="1"/>
      <c r="AK39" s="1"/>
      <c r="AL39" s="1"/>
      <c r="AM39" s="1"/>
      <c r="AN39" s="1"/>
      <c r="AO39" s="1"/>
      <c r="AP39" s="1"/>
      <c r="AQ39" s="1"/>
      <c r="AR39" s="1"/>
      <c r="AS39" s="1"/>
      <c r="AT39" s="1"/>
      <c r="AU39" s="1"/>
      <c r="AV39" s="1"/>
      <c r="AW39" s="1"/>
      <c r="AX39" s="1"/>
      <c r="AY39" s="1"/>
      <c r="AZ39" s="1"/>
      <c r="BA39" s="1"/>
      <c r="BB39" s="1"/>
      <c r="BC39" s="1"/>
      <c r="BD39" s="1"/>
      <c r="BE39" s="1"/>
      <c r="BF39" s="1"/>
      <c r="BG39" s="1"/>
      <c r="BH39" s="1"/>
      <c r="BI39" s="1"/>
    </row>
    <row r="40" spans="1:61" ht="16.899999999999999" customHeight="1" outlineLevel="1" x14ac:dyDescent="0.25">
      <c r="A40" s="681"/>
      <c r="B40" s="1193" t="s">
        <v>411</v>
      </c>
      <c r="C40" s="1181"/>
      <c r="D40" s="1197">
        <f>134894.388888889*(1+'R&amp;C-Painel de Controle'!$D$61)</f>
        <v>134894.38888888899</v>
      </c>
      <c r="E40" s="377" t="str">
        <f>(IF(E$7="SIM",(D40*(1-(($D$2-D$11)/(F$11-D$11)))+F40*(1-((F$11-$D$2)/(F$11-D$11))))/1000000,"-"))</f>
        <v>-</v>
      </c>
      <c r="F40" s="1198">
        <f>202341.583333333*(1+'R&amp;C-Painel de Controle'!$D$61)</f>
        <v>202341.58333333299</v>
      </c>
      <c r="G40" s="1185"/>
      <c r="H40" s="1197">
        <f t="shared" si="0"/>
        <v>202341.58333333299</v>
      </c>
      <c r="I40" s="377">
        <f>(IF(I$7="SIM",(H40*(1-(($D$2-H$11)/(J$11-H$11)))+J40*(1-((J$11-$D$2)/(J$11-H$11))))/1000000,"-"))</f>
        <v>0.33623121170381937</v>
      </c>
      <c r="J40" s="1198">
        <f>404683.166666667*(1+'R&amp;C-Painel de Controle'!$D$61)</f>
        <v>404683.16666666698</v>
      </c>
      <c r="K40" s="1185"/>
      <c r="L40" s="1197">
        <f t="shared" si="1"/>
        <v>404683.16666666698</v>
      </c>
      <c r="M40" s="377" t="str">
        <f>(IF(M$7="SIM",(L40*(1-(($D$2-L$11)/(N$11-L$11)))+N40*(1-((N$11-$D$2)/(N$11-L$11))))/1000000,"-"))</f>
        <v>-</v>
      </c>
      <c r="N40" s="1198">
        <f>582743.76*(1+'R&amp;C-Painel de Controle'!$D$61)</f>
        <v>582743.76</v>
      </c>
      <c r="O40" s="1185"/>
      <c r="P40" s="1197">
        <f t="shared" si="2"/>
        <v>582743.76</v>
      </c>
      <c r="Q40" s="377" t="str">
        <f>(IF(Q$7="SIM",(P40*(1-(($D$2-P$11)/(R$11-P$11)))+R40*(1-((R$11-$D$2)/(R$11-P$11))))/1000000,"-"))</f>
        <v>-</v>
      </c>
      <c r="R40" s="1198">
        <f>1165487.52*(1+'R&amp;C-Painel de Controle'!$D$61)</f>
        <v>1165487.52</v>
      </c>
      <c r="S40" s="1185"/>
      <c r="T40" s="1197">
        <f t="shared" si="3"/>
        <v>1165487.52</v>
      </c>
      <c r="U40" s="377" t="str">
        <f>(IF(U$7="SIM",(T40*(1-(($D$2-T$11)/(V$11-T$11)))+V40*(1-((V$11-$D$2)/(V$11-T$11))))/1000000,"-"))</f>
        <v>-</v>
      </c>
      <c r="V40" s="1210">
        <f>2330975.04*(1+'R&amp;C-Painel de Controle'!$D$61)</f>
        <v>2330975.04</v>
      </c>
      <c r="W40" s="1189"/>
    </row>
    <row r="41" spans="1:61" ht="16.899999999999999" customHeight="1" x14ac:dyDescent="0.25">
      <c r="A41" s="681"/>
      <c r="B41" s="1010" t="s">
        <v>762</v>
      </c>
      <c r="C41" s="1181"/>
      <c r="D41" s="1197"/>
      <c r="E41" s="377" t="str">
        <f>(IF(E$7="SIM",E42+E43+E44,"-"))</f>
        <v>-</v>
      </c>
      <c r="F41" s="1198"/>
      <c r="G41" s="1186"/>
      <c r="H41" s="1197"/>
      <c r="I41" s="377">
        <f>(IF(I$7="SIM",I42+I43+I44,"-"))</f>
        <v>1.4705093371942832</v>
      </c>
      <c r="J41" s="1198"/>
      <c r="K41" s="1186"/>
      <c r="L41" s="1197"/>
      <c r="M41" s="377" t="str">
        <f>(IF(M$7="SIM",M42+M43+M44,"-"))</f>
        <v>-</v>
      </c>
      <c r="N41" s="1198"/>
      <c r="O41" s="1186"/>
      <c r="P41" s="1197"/>
      <c r="Q41" s="377" t="str">
        <f>(IF(Q$7="SIM",Q42+Q43+Q44,"-"))</f>
        <v>-</v>
      </c>
      <c r="R41" s="1198"/>
      <c r="S41" s="1186"/>
      <c r="T41" s="1197"/>
      <c r="U41" s="377" t="str">
        <f>(IF(U$7="SIM",U42+U43+U44,"-"))</f>
        <v>-</v>
      </c>
      <c r="V41" s="1210"/>
      <c r="W41" s="1189"/>
    </row>
    <row r="42" spans="1:61" ht="16.899999999999999" customHeight="1" outlineLevel="1" x14ac:dyDescent="0.25">
      <c r="A42" s="681"/>
      <c r="B42" s="1193" t="s">
        <v>408</v>
      </c>
      <c r="C42" s="1181"/>
      <c r="D42" s="1197">
        <f>489033.018867925*'R&amp;C-Painel de Controle'!$D$73/60</f>
        <v>431979.16666666704</v>
      </c>
      <c r="E42" s="377" t="str">
        <f>(IF(E$7="SIM",(D42*(1-(($D$2-D$11)/(F$11-D$11)))+F42*(1-((F$11-$D$2)/(F$11-D$11))))/1000000,"-"))</f>
        <v>-</v>
      </c>
      <c r="F42" s="1198">
        <f>1222582.54716981*'R&amp;C-Painel de Controle'!$D$73/60</f>
        <v>1079947.9166666653</v>
      </c>
      <c r="G42" s="1184"/>
      <c r="H42" s="1197">
        <f>F42</f>
        <v>1079947.9166666653</v>
      </c>
      <c r="I42" s="377">
        <f>(IF(I$7="SIM",(H42*(1-(($D$2-H$11)/(J$11-H$11)))+J42*(1-((J$11-$D$2)/(J$11-H$11))))/1000000,"-"))</f>
        <v>1.3028075090065776</v>
      </c>
      <c r="J42" s="1198">
        <f>1603863.33333333*'R&amp;C-Painel de Controle'!$D$73/60</f>
        <v>1416745.9444444415</v>
      </c>
      <c r="K42" s="1184"/>
      <c r="L42" s="1197">
        <f>J42</f>
        <v>1416745.9444444415</v>
      </c>
      <c r="M42" s="377" t="str">
        <f>(IF(M$7="SIM",(L42*(1-(($D$2-L$11)/(N$11-L$11)))+N42*(1-((N$11-$D$2)/(N$11-L$11))))/1000000,"-"))</f>
        <v>-</v>
      </c>
      <c r="N42" s="1198">
        <f>3379627.47222222*'R&amp;C-Painel de Controle'!$D$73/60</f>
        <v>2985337.600462961</v>
      </c>
      <c r="O42" s="1184"/>
      <c r="P42" s="1197">
        <f>N42</f>
        <v>2985337.600462961</v>
      </c>
      <c r="Q42" s="377" t="str">
        <f>(IF(Q$7="SIM",(P42*(1-(($D$2-P$11)/(R$11-P$11)))+R42*(1-((R$11-$D$2)/(R$11-P$11))))/1000000,"-"))</f>
        <v>-</v>
      </c>
      <c r="R42" s="1198">
        <f>6873700.05555556*'R&amp;C-Painel de Controle'!$D$73/60</f>
        <v>6071768.382407411</v>
      </c>
      <c r="S42" s="1184"/>
      <c r="T42" s="1197">
        <f>R42</f>
        <v>6071768.382407411</v>
      </c>
      <c r="U42" s="377" t="str">
        <f>(IF(U$7="SIM",(T42*(1-(($D$2-T$11)/(V$11-T$11)))+V42*(1-((V$11-$D$2)/(V$11-T$11))))/1000000,"-"))</f>
        <v>-</v>
      </c>
      <c r="V42" s="1210">
        <f>14028508.8333333*'R&amp;C-Painel de Controle'!$D$73/60</f>
        <v>12391849.469444416</v>
      </c>
      <c r="W42" s="1189"/>
    </row>
    <row r="43" spans="1:61" ht="16.899999999999999" customHeight="1" outlineLevel="1" x14ac:dyDescent="0.25">
      <c r="A43" s="681"/>
      <c r="B43" s="1193" t="s">
        <v>413</v>
      </c>
      <c r="C43" s="1181"/>
      <c r="D43" s="1197">
        <f>6105*(1+'R&amp;C-Painel de Controle'!$D$61)</f>
        <v>6105</v>
      </c>
      <c r="E43" s="377" t="str">
        <f>(IF(E$7="SIM",(D43*(1-(($D$2-D$11)/(F$11-D$11)))+F43*(1-((F$11-$D$2)/(F$11-D$11))))/1000000,"-"))</f>
        <v>-</v>
      </c>
      <c r="F43" s="1198">
        <f>15262.5*(1+'R&amp;C-Painel de Controle'!$D$61)</f>
        <v>15262.5</v>
      </c>
      <c r="G43" s="1184"/>
      <c r="H43" s="1197">
        <f t="shared" si="0"/>
        <v>15262.5</v>
      </c>
      <c r="I43" s="377">
        <f>(IF(I$7="SIM",(H43*(1-(($D$2-H$11)/(J$11-H$11)))+J43*(1-((J$11-$D$2)/(J$11-H$11))))/1000000,"-"))</f>
        <v>4.5560134613812503E-2</v>
      </c>
      <c r="J43" s="1198">
        <f>61050*(1+'R&amp;C-Painel de Controle'!$D$61)</f>
        <v>61050</v>
      </c>
      <c r="K43" s="1184"/>
      <c r="L43" s="1197">
        <f t="shared" si="1"/>
        <v>61050</v>
      </c>
      <c r="M43" s="377" t="str">
        <f>(IF(M$7="SIM",(L43*(1-(($D$2-L$11)/(N$11-L$11)))+N43*(1-((N$11-$D$2)/(N$11-L$11))))/1000000,"-"))</f>
        <v>-</v>
      </c>
      <c r="N43" s="1198">
        <f>183150*(1+'R&amp;C-Painel de Controle'!$D$61)</f>
        <v>183150</v>
      </c>
      <c r="O43" s="1184"/>
      <c r="P43" s="1197">
        <f t="shared" si="2"/>
        <v>183150</v>
      </c>
      <c r="Q43" s="377" t="str">
        <f>(IF(Q$7="SIM",(P43*(1-(($D$2-P$11)/(R$11-P$11)))+R43*(1-((R$11-$D$2)/(R$11-P$11))))/1000000,"-"))</f>
        <v>-</v>
      </c>
      <c r="R43" s="1198">
        <f>540000*(1+'R&amp;C-Painel de Controle'!$D$61)</f>
        <v>540000</v>
      </c>
      <c r="S43" s="1184"/>
      <c r="T43" s="1197">
        <f t="shared" si="3"/>
        <v>540000</v>
      </c>
      <c r="U43" s="377" t="str">
        <f>(IF(U$7="SIM",(T43*(1-(($D$2-T$11)/(V$11-T$11)))+V43*(1-((V$11-$D$2)/(V$11-T$11))))/1000000,"-"))</f>
        <v>-</v>
      </c>
      <c r="V43" s="1210">
        <f>1092000*(1+'R&amp;C-Painel de Controle'!$D$61)</f>
        <v>1092000</v>
      </c>
      <c r="W43" s="1189"/>
    </row>
    <row r="44" spans="1:61" ht="16.899999999999999" customHeight="1" outlineLevel="1" x14ac:dyDescent="0.25">
      <c r="A44" s="681"/>
      <c r="B44" s="1193" t="s">
        <v>412</v>
      </c>
      <c r="C44" s="1181"/>
      <c r="D44" s="1197">
        <f>95175*(1+'R&amp;C-Painel de Controle'!$D$61)</f>
        <v>95175</v>
      </c>
      <c r="E44" s="377" t="str">
        <f>(IF(E$7="SIM",(D44*(1-(($D$2-D$11)/(F$11-D$11)))+F44*(1-((F$11-$D$2)/(F$11-D$11))))/1000000,"-"))</f>
        <v>-</v>
      </c>
      <c r="F44" s="1198">
        <f>30097.293051576*(1+'R&amp;C-Painel de Controle'!$D$61)</f>
        <v>30097.293051576002</v>
      </c>
      <c r="G44" s="1186"/>
      <c r="H44" s="1197">
        <f>F44</f>
        <v>30097.293051576002</v>
      </c>
      <c r="I44" s="377">
        <f>(IF(I$7="SIM",(H44*(1-(($D$2-H$11)/(J$11-H$11)))+J44*(1-((J$11-$D$2)/(J$11-H$11))))/1000000,"-"))</f>
        <v>0.12214169357389294</v>
      </c>
      <c r="J44" s="1198">
        <f>169200*(1+'R&amp;C-Painel de Controle'!$D$61)</f>
        <v>169200</v>
      </c>
      <c r="K44" s="1186"/>
      <c r="L44" s="1197">
        <f>J44</f>
        <v>169200</v>
      </c>
      <c r="M44" s="377" t="str">
        <f>(IF(M$7="SIM",(L44*(1-(($D$2-L$11)/(N$11-L$11)))+N44*(1-((N$11-$D$2)/(N$11-L$11))))/1000000,"-"))</f>
        <v>-</v>
      </c>
      <c r="N44" s="1198">
        <f>225600*(1+'R&amp;C-Painel de Controle'!$D$61)</f>
        <v>225600</v>
      </c>
      <c r="O44" s="1186"/>
      <c r="P44" s="1197">
        <f>N44</f>
        <v>225600</v>
      </c>
      <c r="Q44" s="377" t="str">
        <f>(IF(Q$7="SIM",(P44*(1-(($D$2-P$11)/(R$11-P$11)))+R44*(1-((R$11-$D$2)/(R$11-P$11))))/1000000,"-"))</f>
        <v>-</v>
      </c>
      <c r="R44" s="1198">
        <f>278400*(1+'R&amp;C-Painel de Controle'!$D$61)</f>
        <v>278400</v>
      </c>
      <c r="S44" s="1186"/>
      <c r="T44" s="1197">
        <f>R44</f>
        <v>278400</v>
      </c>
      <c r="U44" s="377" t="str">
        <f>(IF(U$7="SIM",(T44*(1-(($D$2-T$11)/(V$11-T$11)))+V44*(1-((V$11-$D$2)/(V$11-T$11))))/1000000,"-"))</f>
        <v>-</v>
      </c>
      <c r="V44" s="1210">
        <f>822000*(1+'R&amp;C-Painel de Controle'!$D$61)</f>
        <v>822000</v>
      </c>
      <c r="W44" s="1189"/>
    </row>
    <row r="45" spans="1:61" s="882" customFormat="1" ht="19.899999999999999" customHeight="1" x14ac:dyDescent="0.3">
      <c r="A45" s="1179"/>
      <c r="B45" s="1194" t="s">
        <v>386</v>
      </c>
      <c r="C45" s="1179"/>
      <c r="D45" s="1199"/>
      <c r="E45" s="1174" t="str">
        <f>(IF(E$7="SIM",E46*1000000/$H$2,"-"))</f>
        <v>-</v>
      </c>
      <c r="F45" s="1200"/>
      <c r="G45" s="1187"/>
      <c r="H45" s="1208"/>
      <c r="I45" s="1174">
        <f>(IF(I$7="SIM",I46*1000000/$H$2,"-"))</f>
        <v>166.67252350575487</v>
      </c>
      <c r="J45" s="1200"/>
      <c r="K45" s="1187"/>
      <c r="L45" s="1208"/>
      <c r="M45" s="1174" t="str">
        <f>(IF(M$7="SIM",M46*1000000/$H$2,"-"))</f>
        <v>-</v>
      </c>
      <c r="N45" s="1200"/>
      <c r="O45" s="1187"/>
      <c r="P45" s="1208"/>
      <c r="Q45" s="1174" t="str">
        <f>(IF(Q$7="SIM",Q46*1000000/$H$2,"-"))</f>
        <v>-</v>
      </c>
      <c r="R45" s="1200"/>
      <c r="S45" s="1187"/>
      <c r="T45" s="1208"/>
      <c r="U45" s="1174" t="str">
        <f>(IF(U$7="SIM",U46*1000000/$H$2,"-"))</f>
        <v>-</v>
      </c>
      <c r="V45" s="1211"/>
      <c r="W45" s="1191"/>
      <c r="X45" s="1092"/>
      <c r="Y45" s="1092"/>
      <c r="Z45" s="1092"/>
      <c r="AA45" s="1092"/>
      <c r="AB45" s="1092"/>
      <c r="AC45" s="1092"/>
      <c r="AD45" s="1092"/>
      <c r="AE45" s="1092"/>
      <c r="AF45" s="1092"/>
      <c r="AG45" s="1092"/>
      <c r="AH45" s="1092"/>
      <c r="AI45" s="1092"/>
      <c r="AJ45" s="1092"/>
      <c r="AK45" s="1092"/>
      <c r="AL45" s="1092"/>
      <c r="AM45" s="1092"/>
      <c r="AN45" s="1092"/>
      <c r="AO45" s="1092"/>
      <c r="AP45" s="1092"/>
      <c r="AQ45" s="1092"/>
      <c r="AR45" s="1092"/>
      <c r="AS45" s="1092"/>
      <c r="AT45" s="1092"/>
      <c r="AU45" s="1092"/>
      <c r="AV45" s="1092"/>
      <c r="AW45" s="1092"/>
      <c r="AX45" s="1092"/>
      <c r="AY45" s="1092"/>
      <c r="AZ45" s="1092"/>
      <c r="BA45" s="1092"/>
      <c r="BB45" s="1092"/>
      <c r="BC45" s="1092"/>
      <c r="BD45" s="1092"/>
      <c r="BE45" s="1092"/>
      <c r="BF45" s="1092"/>
      <c r="BG45" s="1092"/>
      <c r="BH45" s="1092"/>
      <c r="BI45" s="1092"/>
    </row>
    <row r="46" spans="1:61" s="882" customFormat="1" ht="19.899999999999999" customHeight="1" x14ac:dyDescent="0.3">
      <c r="A46" s="1179"/>
      <c r="B46" s="1194" t="s">
        <v>387</v>
      </c>
      <c r="C46" s="1179"/>
      <c r="D46" s="1201">
        <v>0.1</v>
      </c>
      <c r="E46" s="1175" t="str">
        <f>(IF(E$7="SIM",(E26+E29+E31+E36+E41)*(1+D46),"-"))</f>
        <v>-</v>
      </c>
      <c r="F46" s="1202"/>
      <c r="G46" s="1179"/>
      <c r="H46" s="1201">
        <v>0.1</v>
      </c>
      <c r="I46" s="1175">
        <f>(IF(I$7="SIM",(I26+I29+I31+I36+I41)*(1+H46),"-"))</f>
        <v>3.8932086422593022</v>
      </c>
      <c r="J46" s="1202"/>
      <c r="K46" s="1179"/>
      <c r="L46" s="1201">
        <v>0.1</v>
      </c>
      <c r="M46" s="1175" t="str">
        <f>(IF(M$7="SIM",(M26+M29+M31+M36+M41)*(1+L46),"-"))</f>
        <v>-</v>
      </c>
      <c r="N46" s="1202"/>
      <c r="O46" s="1179"/>
      <c r="P46" s="1201">
        <v>0.1</v>
      </c>
      <c r="Q46" s="1175" t="str">
        <f>(IF(Q$7="SIM",(Q26+Q29+Q31+Q36+Q41)*(1+P46),"-"))</f>
        <v>-</v>
      </c>
      <c r="R46" s="1202"/>
      <c r="S46" s="1179"/>
      <c r="T46" s="1201">
        <v>0.1</v>
      </c>
      <c r="U46" s="1175" t="str">
        <f>(IF(U$7="SIM",(U26+U29+U31+U36+U41)*(1+T46),"-"))</f>
        <v>-</v>
      </c>
      <c r="V46" s="1211"/>
      <c r="W46" s="1191"/>
      <c r="X46" s="1092"/>
      <c r="Y46" s="1092"/>
      <c r="Z46" s="1092"/>
      <c r="AA46" s="1092"/>
      <c r="AB46" s="1092"/>
      <c r="AC46" s="1092"/>
      <c r="AD46" s="1092"/>
      <c r="AE46" s="1092"/>
      <c r="AF46" s="1092"/>
      <c r="AG46" s="1092"/>
      <c r="AH46" s="1092"/>
      <c r="AI46" s="1092"/>
      <c r="AJ46" s="1092"/>
      <c r="AK46" s="1092"/>
      <c r="AL46" s="1092"/>
      <c r="AM46" s="1092"/>
      <c r="AN46" s="1092"/>
      <c r="AO46" s="1092"/>
      <c r="AP46" s="1092"/>
      <c r="AQ46" s="1092"/>
      <c r="AR46" s="1092"/>
      <c r="AS46" s="1092"/>
      <c r="AT46" s="1092"/>
      <c r="AU46" s="1092"/>
      <c r="AV46" s="1092"/>
      <c r="AW46" s="1092"/>
      <c r="AX46" s="1092"/>
      <c r="AY46" s="1092"/>
      <c r="AZ46" s="1092"/>
      <c r="BA46" s="1092"/>
      <c r="BB46" s="1092"/>
      <c r="BC46" s="1092"/>
      <c r="BD46" s="1092"/>
      <c r="BE46" s="1092"/>
      <c r="BF46" s="1092"/>
      <c r="BG46" s="1092"/>
      <c r="BH46" s="1092"/>
      <c r="BI46" s="1092"/>
    </row>
    <row r="47" spans="1:61" s="691" customFormat="1" ht="16.899999999999999" customHeight="1" x14ac:dyDescent="0.25">
      <c r="A47" s="1180"/>
      <c r="B47" s="1013" t="s">
        <v>388</v>
      </c>
      <c r="C47" s="656"/>
      <c r="D47" s="1203"/>
      <c r="E47" s="1176" t="str">
        <f>(IF(E$7="SIM",((E27+E34+E35+E30+E39+E40+E44)*(1+D46)),"-"))</f>
        <v>-</v>
      </c>
      <c r="F47" s="1204"/>
      <c r="G47" s="656"/>
      <c r="H47" s="1203"/>
      <c r="I47" s="1176">
        <f>(IF(I$7="SIM",((I27+I34+I35+I30+I39+I40+I44)*(1+H46)),"-"))</f>
        <v>1.0360635670440734</v>
      </c>
      <c r="J47" s="1204"/>
      <c r="K47" s="656"/>
      <c r="L47" s="1203"/>
      <c r="M47" s="1176" t="str">
        <f>(IF(M$7="SIM",((M27+M34+M35+M30+M39+M40+M44)*(1+L46)),"-"))</f>
        <v>-</v>
      </c>
      <c r="N47" s="1204"/>
      <c r="O47" s="656"/>
      <c r="P47" s="1203"/>
      <c r="Q47" s="1176" t="str">
        <f>(IF(Q$7="SIM",((Q27+Q34+Q35+Q30+Q39+Q40+Q44)*(1+P46)),"-"))</f>
        <v>-</v>
      </c>
      <c r="R47" s="1204"/>
      <c r="S47" s="656"/>
      <c r="T47" s="1203"/>
      <c r="U47" s="1176" t="str">
        <f>(IF(U$7="SIM",((U27+U34+U35+U30+U39+U40+U44)*(1+T46)),"-"))</f>
        <v>-</v>
      </c>
      <c r="V47" s="1212"/>
      <c r="W47" s="1192"/>
    </row>
    <row r="48" spans="1:61" s="691" customFormat="1" ht="16.899999999999999" customHeight="1" thickBot="1" x14ac:dyDescent="0.3">
      <c r="A48" s="1180"/>
      <c r="B48" s="1014" t="s">
        <v>389</v>
      </c>
      <c r="C48" s="656"/>
      <c r="D48" s="1205"/>
      <c r="E48" s="1206" t="str">
        <f>(IF(E$7="SIM",((E37+E28+E38+E32+E33+E42+E43)*1000000/$H$2)*(1+D46),"-"))</f>
        <v>-</v>
      </c>
      <c r="F48" s="1207"/>
      <c r="G48" s="656"/>
      <c r="H48" s="1205"/>
      <c r="I48" s="1206">
        <f>(IF(I$7="SIM",((I37+I28+I38+I32+I33+I42+I43)*1000000/$H$2)*(1+H46),"-"))</f>
        <v>122.31750811890976</v>
      </c>
      <c r="J48" s="1207"/>
      <c r="K48" s="656"/>
      <c r="L48" s="1205"/>
      <c r="M48" s="1206" t="str">
        <f>(IF(M$7="SIM",((M37+M28+M38+M32+M33+M42+M43)*1000000/$H$2)*(1+L46),"-"))</f>
        <v>-</v>
      </c>
      <c r="N48" s="1207"/>
      <c r="O48" s="656"/>
      <c r="P48" s="1205"/>
      <c r="Q48" s="1206" t="str">
        <f>(IF(Q$7="SIM",((Q37+Q28+Q38+Q32+Q33+Q42+Q43)*1000000/$H$2)*(1+P46),"-"))</f>
        <v>-</v>
      </c>
      <c r="R48" s="1207"/>
      <c r="S48" s="656"/>
      <c r="T48" s="1205"/>
      <c r="U48" s="1206" t="str">
        <f>(IF(U$7="SIM",((U37+U28+U38+U32+U33+U42+U43)*1000000/$H$2)*(1+T46),"-"))</f>
        <v>-</v>
      </c>
      <c r="V48" s="1213"/>
      <c r="W48" s="1192"/>
    </row>
    <row r="49" spans="2:21" ht="14.25" customHeight="1" thickTop="1" x14ac:dyDescent="0.25">
      <c r="B49" s="1"/>
    </row>
    <row r="50" spans="2:21" ht="14.25" customHeight="1" x14ac:dyDescent="0.25">
      <c r="B50" s="1"/>
      <c r="U50" s="58"/>
    </row>
    <row r="51" spans="2:21" ht="14.25" customHeight="1" x14ac:dyDescent="0.25">
      <c r="B51" s="1"/>
    </row>
    <row r="52" spans="2:21" ht="14.25" customHeight="1" x14ac:dyDescent="0.25">
      <c r="B52" s="1"/>
    </row>
    <row r="53" spans="2:21" ht="14.25" customHeight="1" x14ac:dyDescent="0.25">
      <c r="B53" s="1"/>
    </row>
    <row r="54" spans="2:21" ht="14.25" customHeight="1" x14ac:dyDescent="0.25">
      <c r="B54" s="1"/>
    </row>
    <row r="55" spans="2:21" ht="14.25" customHeight="1" x14ac:dyDescent="0.25">
      <c r="B55" s="1"/>
    </row>
    <row r="56" spans="2:21" ht="14.25" customHeight="1" x14ac:dyDescent="0.25">
      <c r="B56" s="1"/>
    </row>
    <row r="57" spans="2:21" ht="14.25" customHeight="1" x14ac:dyDescent="0.25">
      <c r="B57" s="1"/>
    </row>
    <row r="58" spans="2:21" ht="14.25" customHeight="1" x14ac:dyDescent="0.25">
      <c r="B58" s="1"/>
    </row>
    <row r="59" spans="2:21" ht="14.25" customHeight="1" x14ac:dyDescent="0.25">
      <c r="B59" s="1"/>
    </row>
    <row r="60" spans="2:21" ht="14.25" customHeight="1" x14ac:dyDescent="0.25">
      <c r="B60" s="1"/>
    </row>
    <row r="61" spans="2:21" ht="14.25" customHeight="1" x14ac:dyDescent="0.25">
      <c r="B61" s="1"/>
    </row>
    <row r="62" spans="2:21" ht="14.25" customHeight="1" x14ac:dyDescent="0.25">
      <c r="B62" s="1"/>
    </row>
    <row r="63" spans="2:21" ht="14.25" customHeight="1" x14ac:dyDescent="0.25">
      <c r="B63" s="1"/>
    </row>
    <row r="64" spans="2:21" ht="14.25" customHeight="1" x14ac:dyDescent="0.25">
      <c r="B64" s="1"/>
    </row>
    <row r="65" spans="2:2" ht="14.25" customHeight="1" x14ac:dyDescent="0.25">
      <c r="B65" s="1"/>
    </row>
    <row r="66" spans="2:2" ht="14.25" customHeight="1" x14ac:dyDescent="0.25">
      <c r="B66" s="1"/>
    </row>
    <row r="67" spans="2:2" ht="14.25" customHeight="1" x14ac:dyDescent="0.25">
      <c r="B67" s="1"/>
    </row>
    <row r="68" spans="2:2" ht="14.25" customHeight="1" x14ac:dyDescent="0.25">
      <c r="B68" s="1"/>
    </row>
    <row r="69" spans="2:2" ht="14.25" customHeight="1" x14ac:dyDescent="0.25">
      <c r="B69" s="1"/>
    </row>
    <row r="70" spans="2:2" ht="14.25" customHeight="1" x14ac:dyDescent="0.25">
      <c r="B70" s="1"/>
    </row>
    <row r="71" spans="2:2" ht="14.25" customHeight="1" x14ac:dyDescent="0.25">
      <c r="B71" s="1"/>
    </row>
    <row r="72" spans="2:2" ht="14.25" customHeight="1" x14ac:dyDescent="0.25">
      <c r="B72" s="1"/>
    </row>
    <row r="73" spans="2:2" ht="14.25" customHeight="1" x14ac:dyDescent="0.25">
      <c r="B73" s="1"/>
    </row>
    <row r="74" spans="2:2" ht="14.25" customHeight="1" x14ac:dyDescent="0.25">
      <c r="B74" s="1"/>
    </row>
    <row r="75" spans="2:2" ht="14.25" customHeight="1" x14ac:dyDescent="0.25">
      <c r="B75" s="1"/>
    </row>
    <row r="76" spans="2:2" ht="14.25" customHeight="1" x14ac:dyDescent="0.25">
      <c r="B76" s="1"/>
    </row>
    <row r="77" spans="2:2" ht="14.25" customHeight="1" x14ac:dyDescent="0.25">
      <c r="B77" s="1"/>
    </row>
    <row r="78" spans="2:2" ht="14.25" customHeight="1" x14ac:dyDescent="0.25">
      <c r="B78" s="1"/>
    </row>
    <row r="79" spans="2:2" ht="14.25" customHeight="1" x14ac:dyDescent="0.25">
      <c r="B79" s="1"/>
    </row>
    <row r="80" spans="2:2" ht="14.25" customHeight="1" x14ac:dyDescent="0.25">
      <c r="B80" s="1"/>
    </row>
    <row r="81" spans="2:2" ht="14.25" customHeight="1" x14ac:dyDescent="0.25">
      <c r="B81" s="1"/>
    </row>
    <row r="82" spans="2:2" ht="14.25" customHeight="1" x14ac:dyDescent="0.25">
      <c r="B82" s="1"/>
    </row>
    <row r="83" spans="2:2" ht="14.25" customHeight="1" x14ac:dyDescent="0.25">
      <c r="B83" s="1"/>
    </row>
    <row r="84" spans="2:2" ht="14.25" customHeight="1" x14ac:dyDescent="0.25">
      <c r="B84" s="1"/>
    </row>
    <row r="85" spans="2:2" ht="14.25" customHeight="1" x14ac:dyDescent="0.25">
      <c r="B85" s="1"/>
    </row>
    <row r="86" spans="2:2" ht="14.25" customHeight="1" x14ac:dyDescent="0.25">
      <c r="B86" s="1"/>
    </row>
    <row r="87" spans="2:2" ht="14.25" customHeight="1" x14ac:dyDescent="0.25">
      <c r="B87" s="1"/>
    </row>
    <row r="88" spans="2:2" ht="14.25" customHeight="1" x14ac:dyDescent="0.25">
      <c r="B88" s="1"/>
    </row>
    <row r="89" spans="2:2" ht="14.25" customHeight="1" x14ac:dyDescent="0.25">
      <c r="B89" s="1"/>
    </row>
    <row r="90" spans="2:2" ht="14.25" customHeight="1" x14ac:dyDescent="0.25">
      <c r="B90" s="1"/>
    </row>
    <row r="91" spans="2:2" ht="14.25" customHeight="1" x14ac:dyDescent="0.25">
      <c r="B91" s="1"/>
    </row>
    <row r="92" spans="2:2" ht="14.25" customHeight="1" x14ac:dyDescent="0.25">
      <c r="B92" s="1"/>
    </row>
    <row r="93" spans="2:2" ht="14.25" customHeight="1" x14ac:dyDescent="0.25">
      <c r="B93" s="1"/>
    </row>
    <row r="94" spans="2:2" ht="14.25" customHeight="1" x14ac:dyDescent="0.25">
      <c r="B94" s="1"/>
    </row>
    <row r="95" spans="2:2" ht="14.25" customHeight="1" x14ac:dyDescent="0.25">
      <c r="B95" s="1"/>
    </row>
    <row r="96" spans="2:2" ht="14.25" customHeight="1" x14ac:dyDescent="0.25">
      <c r="B96" s="1"/>
    </row>
    <row r="97" spans="2:2" ht="14.25" customHeight="1" x14ac:dyDescent="0.25">
      <c r="B97" s="1"/>
    </row>
    <row r="98" spans="2:2" ht="14.25" customHeight="1" x14ac:dyDescent="0.25">
      <c r="B98" s="1"/>
    </row>
    <row r="99" spans="2:2" ht="14.25" customHeight="1" x14ac:dyDescent="0.25">
      <c r="B99" s="1"/>
    </row>
    <row r="100" spans="2:2" ht="14.25" customHeight="1" x14ac:dyDescent="0.25">
      <c r="B100" s="1"/>
    </row>
    <row r="101" spans="2:2" ht="14.25" customHeight="1" x14ac:dyDescent="0.25">
      <c r="B101" s="1"/>
    </row>
    <row r="102" spans="2:2" ht="14.25" customHeight="1" x14ac:dyDescent="0.25">
      <c r="B102" s="1"/>
    </row>
    <row r="103" spans="2:2" ht="14.25" customHeight="1" x14ac:dyDescent="0.25">
      <c r="B103" s="1"/>
    </row>
    <row r="104" spans="2:2" ht="14.25" customHeight="1" x14ac:dyDescent="0.25">
      <c r="B104" s="1"/>
    </row>
    <row r="105" spans="2:2" ht="14.25" customHeight="1" x14ac:dyDescent="0.25">
      <c r="B105" s="1"/>
    </row>
    <row r="106" spans="2:2" ht="14.25" customHeight="1" x14ac:dyDescent="0.25">
      <c r="B106" s="1"/>
    </row>
    <row r="107" spans="2:2" ht="14.25" customHeight="1" x14ac:dyDescent="0.25">
      <c r="B107" s="1"/>
    </row>
  </sheetData>
  <sheetProtection algorithmName="SHA-512" hashValue="rzaW8f4DIj+zsNgjhPrinBUz7LjCKUVQnxQHZ3i/xuQMCJW//+it2G/24wcf6w+iKkPLLgvkqFaAI7svu0LN6w==" saltValue="baO/vB1oqYpEfjedXkqaQA==" spinCount="100000" sheet="1" objects="1" scenarios="1"/>
  <mergeCells count="5">
    <mergeCell ref="B9:B11"/>
    <mergeCell ref="D9:V9"/>
    <mergeCell ref="Q2:R2"/>
    <mergeCell ref="U2:V2"/>
    <mergeCell ref="B1:B3"/>
  </mergeCells>
  <conditionalFormatting sqref="I7 E7 M7 Q7 U7">
    <cfRule type="expression" dxfId="25" priority="53">
      <formula>E$7="NÃO"</formula>
    </cfRule>
  </conditionalFormatting>
  <conditionalFormatting sqref="I7 E7 M7 Q7 U7">
    <cfRule type="expression" dxfId="24" priority="54">
      <formula>E$7= "SIM"</formula>
    </cfRule>
  </conditionalFormatting>
  <conditionalFormatting sqref="L2">
    <cfRule type="expression" dxfId="23" priority="51">
      <formula>L$2="NÃO"</formula>
    </cfRule>
  </conditionalFormatting>
  <conditionalFormatting sqref="L2">
    <cfRule type="expression" dxfId="22" priority="52">
      <formula>L$2= "SIM"</formula>
    </cfRule>
  </conditionalFormatting>
  <conditionalFormatting sqref="D2">
    <cfRule type="expression" dxfId="21" priority="55">
      <formula>AND($L$2="Sim",$D$2&lt;$D$11)</formula>
    </cfRule>
  </conditionalFormatting>
  <conditionalFormatting sqref="D2">
    <cfRule type="expression" dxfId="20" priority="56">
      <formula>AND($L$2="Sim",$D$2&gt;$V$11)</formula>
    </cfRule>
  </conditionalFormatting>
  <conditionalFormatting sqref="I15:I22">
    <cfRule type="expression" dxfId="19" priority="25">
      <formula>I$7="NÃO"</formula>
    </cfRule>
    <cfRule type="expression" dxfId="18" priority="26">
      <formula>I$7= "SIM"</formula>
    </cfRule>
  </conditionalFormatting>
  <conditionalFormatting sqref="E15:E22">
    <cfRule type="expression" dxfId="17" priority="23">
      <formula>E$7="NÃO"</formula>
    </cfRule>
    <cfRule type="expression" dxfId="16" priority="24">
      <formula>E$7= "SIM"</formula>
    </cfRule>
  </conditionalFormatting>
  <conditionalFormatting sqref="Q15:Q22">
    <cfRule type="expression" dxfId="15" priority="21">
      <formula>Q$7="NÃO"</formula>
    </cfRule>
    <cfRule type="expression" dxfId="14" priority="22">
      <formula>Q$7= "SIM"</formula>
    </cfRule>
  </conditionalFormatting>
  <conditionalFormatting sqref="U15:U22">
    <cfRule type="expression" dxfId="13" priority="19">
      <formula>U$7="NÃO"</formula>
    </cfRule>
    <cfRule type="expression" dxfId="12" priority="20">
      <formula>U$7= "SIM"</formula>
    </cfRule>
  </conditionalFormatting>
  <conditionalFormatting sqref="U26:U48">
    <cfRule type="expression" dxfId="11" priority="5">
      <formula>U$7="NÃO"</formula>
    </cfRule>
    <cfRule type="expression" dxfId="10" priority="6">
      <formula>U$7= "SIM"</formula>
    </cfRule>
  </conditionalFormatting>
  <conditionalFormatting sqref="Q26:Q48">
    <cfRule type="expression" dxfId="9" priority="9">
      <formula>Q$7="NÃO"</formula>
    </cfRule>
    <cfRule type="expression" dxfId="8" priority="10">
      <formula>Q$7= "SIM"</formula>
    </cfRule>
  </conditionalFormatting>
  <conditionalFormatting sqref="I26:I48">
    <cfRule type="expression" dxfId="7" priority="17">
      <formula>I$7="NÃO"</formula>
    </cfRule>
    <cfRule type="expression" dxfId="6" priority="18">
      <formula>I$7= "SIM"</formula>
    </cfRule>
  </conditionalFormatting>
  <conditionalFormatting sqref="E26:E48">
    <cfRule type="expression" dxfId="5" priority="13">
      <formula>E$7="NÃO"</formula>
    </cfRule>
    <cfRule type="expression" dxfId="4" priority="14">
      <formula>E$7= "SIM"</formula>
    </cfRule>
  </conditionalFormatting>
  <conditionalFormatting sqref="M15:M22">
    <cfRule type="expression" dxfId="3" priority="381">
      <formula>M$7="NÃO"</formula>
    </cfRule>
    <cfRule type="expression" dxfId="2" priority="390">
      <formula>M$7= "SIM"</formula>
    </cfRule>
  </conditionalFormatting>
  <conditionalFormatting sqref="M26:M48">
    <cfRule type="expression" dxfId="1" priority="1">
      <formula>M$7="NÃO"</formula>
    </cfRule>
    <cfRule type="expression" dxfId="0" priority="2">
      <formula>M$7= "SIM"</formula>
    </cfRule>
  </conditionalFormatting>
  <pageMargins left="0.511811024" right="0.511811024" top="0.78740157499999996" bottom="0.78740157499999996" header="0" footer="0"/>
  <pageSetup paperSize="9" orientation="portrait"/>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E8F354-F005-4075-AE2D-7A515DF3885B}">
  <dimension ref="A1:W79"/>
  <sheetViews>
    <sheetView view="pageBreakPreview" zoomScale="60" zoomScaleNormal="60" workbookViewId="0">
      <selection activeCell="L13" sqref="L13"/>
    </sheetView>
  </sheetViews>
  <sheetFormatPr defaultColWidth="11.42578125" defaultRowHeight="12.75" x14ac:dyDescent="0.2"/>
  <cols>
    <col min="1" max="1" width="8.42578125" style="1848" customWidth="1"/>
    <col min="2" max="2" width="11.42578125" style="1848"/>
    <col min="3" max="3" width="5.7109375" style="1848" customWidth="1"/>
    <col min="4" max="4" width="14.85546875" style="1848" customWidth="1"/>
    <col min="5" max="5" width="14" style="1848" customWidth="1"/>
    <col min="6" max="10" width="11.42578125" style="1848"/>
    <col min="11" max="11" width="6.5703125" style="1848" customWidth="1"/>
    <col min="12" max="15" width="11.42578125" style="1846"/>
    <col min="16" max="16" width="12.42578125" style="1846" customWidth="1"/>
    <col min="17" max="17" width="15.85546875" style="1846" customWidth="1"/>
    <col min="18" max="18" width="11.42578125" style="1846"/>
    <col min="19" max="19" width="14.28515625" style="1846" customWidth="1"/>
    <col min="20" max="20" width="12.7109375" style="1846" customWidth="1"/>
    <col min="21" max="21" width="11.42578125" style="1846"/>
    <col min="22" max="22" width="15.5703125" style="1846" customWidth="1"/>
    <col min="23" max="23" width="12.7109375" style="1846" customWidth="1"/>
    <col min="24" max="16384" width="11.42578125" style="1846"/>
  </cols>
  <sheetData>
    <row r="1" spans="1:23" ht="21" x14ac:dyDescent="0.2">
      <c r="A1" s="1842"/>
      <c r="B1" s="1843"/>
      <c r="C1" s="1842"/>
      <c r="D1" s="1842"/>
      <c r="E1" s="1842"/>
      <c r="F1" s="1842"/>
      <c r="G1" s="1842"/>
      <c r="H1" s="1842"/>
      <c r="I1" s="1842"/>
      <c r="J1" s="1842"/>
      <c r="K1" s="1844"/>
      <c r="L1" s="1845"/>
    </row>
    <row r="2" spans="1:23" ht="19.5" customHeight="1" x14ac:dyDescent="0.2">
      <c r="A2" s="1842"/>
      <c r="B2" s="1842"/>
      <c r="C2" s="1842"/>
      <c r="D2" s="1842"/>
      <c r="E2" s="1842"/>
      <c r="F2" s="1842"/>
      <c r="G2" s="1842"/>
      <c r="H2" s="1842"/>
      <c r="I2" s="1842"/>
      <c r="J2" s="1842"/>
      <c r="K2" s="1844"/>
      <c r="L2" s="1845"/>
    </row>
    <row r="3" spans="1:23" ht="20.25" customHeight="1" x14ac:dyDescent="0.3">
      <c r="A3" s="1844"/>
      <c r="B3" s="1847"/>
      <c r="C3" s="1844"/>
      <c r="D3" s="1844"/>
      <c r="E3" s="1844"/>
      <c r="F3" s="1844"/>
      <c r="G3" s="1844"/>
      <c r="H3" s="1844"/>
      <c r="I3" s="1844"/>
      <c r="J3" s="1844"/>
      <c r="K3" s="1844"/>
      <c r="L3" s="1845"/>
    </row>
    <row r="4" spans="1:23" ht="9" customHeight="1" x14ac:dyDescent="0.2">
      <c r="A4" s="1844"/>
      <c r="B4" s="1844"/>
      <c r="C4" s="1844"/>
      <c r="D4" s="1844"/>
      <c r="E4" s="1844"/>
      <c r="F4" s="1844"/>
      <c r="G4" s="1844"/>
      <c r="H4" s="1844"/>
      <c r="I4" s="1844"/>
      <c r="J4" s="1844"/>
      <c r="K4" s="1844"/>
      <c r="L4" s="1845"/>
    </row>
    <row r="5" spans="1:23" ht="9" customHeight="1" x14ac:dyDescent="0.2"/>
    <row r="6" spans="1:23" ht="9" customHeight="1" x14ac:dyDescent="0.2"/>
    <row r="7" spans="1:23" ht="18.75" x14ac:dyDescent="0.3">
      <c r="B7" s="1849"/>
      <c r="C7" s="1850"/>
      <c r="D7" s="1850"/>
      <c r="E7" s="1850"/>
      <c r="F7" s="1850"/>
      <c r="G7" s="1850"/>
    </row>
    <row r="8" spans="1:23" ht="14.25" x14ac:dyDescent="0.25">
      <c r="B8" s="1851"/>
      <c r="C8" s="1850"/>
      <c r="D8" s="1850"/>
      <c r="E8" s="1850"/>
      <c r="F8" s="1850"/>
      <c r="G8" s="1850"/>
    </row>
    <row r="9" spans="1:23" ht="14.25" x14ac:dyDescent="0.25">
      <c r="B9" s="1852"/>
      <c r="C9" s="1850"/>
      <c r="D9" s="1850"/>
      <c r="E9" s="1850"/>
      <c r="F9" s="1850"/>
      <c r="G9" s="1850"/>
    </row>
    <row r="10" spans="1:23" ht="121.5" customHeight="1" x14ac:dyDescent="0.2"/>
    <row r="11" spans="1:23" ht="21" customHeight="1" x14ac:dyDescent="0.2">
      <c r="A11" s="1853"/>
      <c r="B11" s="1846"/>
      <c r="C11" s="1846"/>
      <c r="D11" s="1846"/>
      <c r="E11" s="1846"/>
      <c r="F11" s="1846"/>
      <c r="G11" s="1846"/>
      <c r="H11" s="1846"/>
      <c r="I11" s="1853"/>
      <c r="J11" s="1853"/>
      <c r="K11" s="1844"/>
    </row>
    <row r="12" spans="1:23" ht="21" customHeight="1" x14ac:dyDescent="0.2">
      <c r="A12" s="1853"/>
      <c r="B12" s="1846"/>
      <c r="C12" s="1846"/>
      <c r="D12" s="1846"/>
      <c r="E12" s="1846"/>
      <c r="F12" s="1846"/>
      <c r="G12" s="1846"/>
      <c r="H12" s="1846"/>
      <c r="I12" s="1846"/>
      <c r="J12" s="1846"/>
      <c r="K12" s="1846"/>
    </row>
    <row r="13" spans="1:23" ht="24.75" customHeight="1" x14ac:dyDescent="0.2">
      <c r="A13" s="1853"/>
      <c r="B13" s="1846"/>
      <c r="C13" s="1846"/>
      <c r="D13" s="1846"/>
      <c r="E13" s="1846"/>
      <c r="F13" s="1846"/>
      <c r="G13" s="1846"/>
      <c r="H13" s="1846"/>
      <c r="I13" s="1846"/>
      <c r="J13" s="1846"/>
      <c r="K13" s="1846"/>
      <c r="L13" s="1854" t="s">
        <v>1035</v>
      </c>
      <c r="M13" s="1855"/>
      <c r="N13" s="1856"/>
      <c r="O13" s="1856"/>
      <c r="P13" s="1856"/>
      <c r="Q13" s="1856"/>
      <c r="R13" s="1856"/>
      <c r="S13" s="1856"/>
      <c r="T13" s="1856"/>
      <c r="U13" s="1856"/>
      <c r="V13" s="1856"/>
      <c r="W13" s="1856"/>
    </row>
    <row r="14" spans="1:23" ht="24.75" customHeight="1" x14ac:dyDescent="0.2">
      <c r="A14" s="1853"/>
      <c r="B14" s="1846"/>
      <c r="C14" s="1846"/>
      <c r="D14" s="1846"/>
      <c r="E14" s="1846"/>
      <c r="F14" s="1846"/>
      <c r="G14" s="1846"/>
      <c r="H14" s="1846"/>
      <c r="I14" s="1846"/>
      <c r="J14" s="1846"/>
      <c r="K14" s="1846"/>
      <c r="L14" s="1857" t="s">
        <v>1036</v>
      </c>
    </row>
    <row r="15" spans="1:23" ht="24.75" customHeight="1" x14ac:dyDescent="0.2">
      <c r="L15" s="1857" t="s">
        <v>1037</v>
      </c>
    </row>
    <row r="16" spans="1:23" ht="24.75" customHeight="1" x14ac:dyDescent="0.2">
      <c r="L16" s="1857" t="s">
        <v>1038</v>
      </c>
    </row>
    <row r="17" spans="2:23" ht="24.75" customHeight="1" x14ac:dyDescent="0.2">
      <c r="B17" s="1846"/>
      <c r="C17" s="1846"/>
      <c r="D17" s="1846"/>
      <c r="E17" s="1846"/>
      <c r="F17" s="1846"/>
      <c r="G17" s="1846"/>
      <c r="H17" s="1846"/>
      <c r="I17" s="1846"/>
      <c r="J17" s="1846"/>
      <c r="K17" s="1846"/>
      <c r="L17" s="1857" t="s">
        <v>1039</v>
      </c>
    </row>
    <row r="18" spans="2:23" ht="24.75" customHeight="1" x14ac:dyDescent="0.2"/>
    <row r="19" spans="2:23" ht="24.75" customHeight="1" x14ac:dyDescent="0.2">
      <c r="L19" s="1858" t="s">
        <v>1040</v>
      </c>
      <c r="M19" s="1859"/>
      <c r="N19" s="1860"/>
      <c r="O19" s="1860"/>
      <c r="P19" s="1860"/>
      <c r="Q19" s="1860"/>
      <c r="R19" s="1860"/>
      <c r="S19" s="1859"/>
      <c r="T19" s="1859"/>
      <c r="U19" s="1859"/>
      <c r="V19" s="1859"/>
      <c r="W19" s="1859"/>
    </row>
    <row r="20" spans="2:23" ht="24.75" customHeight="1" x14ac:dyDescent="0.2">
      <c r="B20" s="1846"/>
      <c r="C20" s="1846"/>
      <c r="D20" s="1846"/>
      <c r="E20" s="1846"/>
      <c r="F20" s="1846"/>
      <c r="G20" s="1846"/>
      <c r="H20" s="1846"/>
      <c r="I20" s="1846"/>
      <c r="J20" s="1846"/>
      <c r="K20" s="1846"/>
      <c r="L20" s="1858" t="s">
        <v>1041</v>
      </c>
      <c r="M20" s="1859"/>
      <c r="N20" s="1860"/>
      <c r="O20" s="1860"/>
      <c r="P20" s="1860"/>
      <c r="Q20" s="1860"/>
      <c r="R20" s="1860"/>
      <c r="S20" s="1859"/>
      <c r="T20" s="1859"/>
      <c r="U20" s="1859"/>
      <c r="V20" s="1859"/>
      <c r="W20" s="1859"/>
    </row>
    <row r="21" spans="2:23" ht="24.75" customHeight="1" x14ac:dyDescent="0.2">
      <c r="B21" s="1846"/>
      <c r="C21" s="1846"/>
      <c r="D21" s="1846"/>
      <c r="E21" s="1846"/>
      <c r="F21" s="1846"/>
      <c r="G21" s="1846"/>
      <c r="H21" s="1846"/>
      <c r="I21" s="1846"/>
      <c r="J21" s="1846"/>
      <c r="K21" s="1846"/>
      <c r="L21" s="1861" t="s">
        <v>1042</v>
      </c>
      <c r="M21" s="1861"/>
      <c r="N21" s="1861"/>
      <c r="O21" s="1861"/>
      <c r="P21" s="1861"/>
      <c r="Q21" s="1861"/>
      <c r="R21" s="1861"/>
      <c r="S21" s="1861"/>
      <c r="T21" s="1861"/>
      <c r="U21" s="1861"/>
      <c r="V21" s="1861"/>
      <c r="W21" s="1861"/>
    </row>
    <row r="23" spans="2:23" ht="14.25" x14ac:dyDescent="0.25">
      <c r="L23" s="1862" t="s">
        <v>1043</v>
      </c>
    </row>
    <row r="25" spans="2:23" ht="18.75" customHeight="1" x14ac:dyDescent="0.2">
      <c r="M25" s="1863" t="s">
        <v>1044</v>
      </c>
      <c r="N25" s="1864" t="s">
        <v>1045</v>
      </c>
    </row>
    <row r="26" spans="2:23" ht="18.75" customHeight="1" x14ac:dyDescent="0.25">
      <c r="C26" s="1865"/>
      <c r="D26" s="1865"/>
      <c r="E26" s="1865"/>
      <c r="F26" s="1865"/>
      <c r="G26" s="1865"/>
      <c r="H26" s="1865"/>
      <c r="I26" s="1865"/>
      <c r="J26" s="1865"/>
      <c r="L26" s="1848"/>
      <c r="M26" s="1866" t="s">
        <v>1046</v>
      </c>
      <c r="N26" s="1864" t="s">
        <v>1047</v>
      </c>
    </row>
    <row r="27" spans="2:23" ht="18.75" customHeight="1" x14ac:dyDescent="0.2">
      <c r="M27" s="1866" t="s">
        <v>1048</v>
      </c>
      <c r="N27" s="1864" t="s">
        <v>1049</v>
      </c>
    </row>
    <row r="28" spans="2:23" ht="18.75" customHeight="1" x14ac:dyDescent="0.2">
      <c r="M28" s="1866" t="s">
        <v>1050</v>
      </c>
      <c r="N28" s="1864" t="s">
        <v>1051</v>
      </c>
    </row>
    <row r="29" spans="2:23" ht="18.75" customHeight="1" x14ac:dyDescent="0.2">
      <c r="M29" s="1866" t="s">
        <v>1052</v>
      </c>
      <c r="N29" s="1864" t="s">
        <v>1053</v>
      </c>
    </row>
    <row r="31" spans="2:23" x14ac:dyDescent="0.2">
      <c r="B31" s="1846"/>
      <c r="C31" s="1846"/>
      <c r="D31" s="1846"/>
      <c r="E31" s="1846"/>
      <c r="F31" s="1846"/>
      <c r="G31" s="1846"/>
      <c r="H31" s="1846"/>
      <c r="I31" s="1846"/>
      <c r="J31" s="1846"/>
      <c r="K31" s="1846"/>
    </row>
    <row r="32" spans="2:23" ht="14.25" x14ac:dyDescent="0.25">
      <c r="L32" s="1867"/>
      <c r="M32" s="1868" t="s">
        <v>1054</v>
      </c>
      <c r="N32" s="1869" t="s">
        <v>1055</v>
      </c>
      <c r="O32" s="1867"/>
      <c r="P32" s="1867"/>
      <c r="Q32" s="1867"/>
      <c r="R32" s="1867"/>
      <c r="S32" s="1845"/>
    </row>
    <row r="33" spans="4:22" ht="14.25" x14ac:dyDescent="0.25">
      <c r="L33" s="1867"/>
      <c r="M33" s="1868" t="s">
        <v>1056</v>
      </c>
      <c r="N33" s="1870" t="s">
        <v>1057</v>
      </c>
      <c r="O33" s="1867"/>
      <c r="P33" s="1867"/>
      <c r="Q33" s="1867"/>
      <c r="R33" s="1867"/>
      <c r="S33" s="1845"/>
    </row>
    <row r="34" spans="4:22" ht="14.25" x14ac:dyDescent="0.25">
      <c r="L34" s="1867"/>
      <c r="M34" s="1868"/>
      <c r="N34" s="1870" t="s">
        <v>1058</v>
      </c>
      <c r="O34" s="1867"/>
      <c r="P34" s="1867"/>
      <c r="Q34" s="1867"/>
      <c r="R34" s="1867"/>
      <c r="S34" s="1845"/>
    </row>
    <row r="35" spans="4:22" ht="14.25" x14ac:dyDescent="0.25">
      <c r="L35" s="1867"/>
      <c r="M35" s="1871"/>
      <c r="N35" s="1870" t="s">
        <v>1059</v>
      </c>
      <c r="O35" s="1867"/>
      <c r="P35" s="1867"/>
      <c r="Q35" s="1867"/>
      <c r="R35" s="1867"/>
      <c r="S35" s="1845"/>
    </row>
    <row r="36" spans="4:22" ht="14.25" x14ac:dyDescent="0.25">
      <c r="L36" s="1867"/>
      <c r="M36" s="1868"/>
      <c r="N36" s="1870"/>
      <c r="O36" s="1867"/>
      <c r="P36" s="1867"/>
      <c r="Q36" s="1867"/>
      <c r="R36" s="1867"/>
      <c r="S36" s="1845"/>
    </row>
    <row r="37" spans="4:22" ht="14.25" x14ac:dyDescent="0.25">
      <c r="L37" s="2952" t="s">
        <v>1060</v>
      </c>
      <c r="M37" s="2952"/>
      <c r="N37" s="1869" t="s">
        <v>1061</v>
      </c>
      <c r="O37" s="1867"/>
      <c r="P37" s="1867"/>
      <c r="Q37" s="1867"/>
      <c r="R37" s="1867"/>
      <c r="S37" s="1845"/>
    </row>
    <row r="40" spans="4:22" ht="14.25" x14ac:dyDescent="0.25">
      <c r="D40" s="2953" t="s">
        <v>1062</v>
      </c>
      <c r="E40" s="2953"/>
      <c r="F40" s="1872" t="s">
        <v>1063</v>
      </c>
      <c r="G40" s="1873"/>
      <c r="H40" s="1873"/>
      <c r="I40" s="1874"/>
      <c r="J40" s="1874"/>
      <c r="K40" s="1875"/>
      <c r="L40" s="1875"/>
      <c r="M40" s="1875"/>
      <c r="N40" s="1874"/>
      <c r="O40" s="1874"/>
      <c r="P40" s="1874"/>
      <c r="Q40" s="1874"/>
      <c r="R40" s="1874"/>
      <c r="S40" s="1874"/>
      <c r="T40" s="1874"/>
      <c r="U40" s="1874"/>
      <c r="V40" s="1874"/>
    </row>
    <row r="41" spans="4:22" ht="14.25" x14ac:dyDescent="0.25">
      <c r="D41" s="2953" t="s">
        <v>1064</v>
      </c>
      <c r="E41" s="2953"/>
      <c r="F41" s="1876" t="s">
        <v>1065</v>
      </c>
      <c r="G41" s="1877"/>
      <c r="H41" s="1877"/>
      <c r="I41" s="1872"/>
      <c r="J41" s="1873"/>
      <c r="K41" s="1873"/>
      <c r="L41" s="1873"/>
      <c r="M41" s="1873"/>
      <c r="N41" s="1873"/>
      <c r="O41" s="1873"/>
      <c r="P41" s="1873"/>
      <c r="Q41" s="1873"/>
      <c r="R41" s="1873"/>
      <c r="S41" s="1873"/>
      <c r="T41" s="1873"/>
      <c r="U41" s="1874"/>
      <c r="V41" s="1874"/>
    </row>
    <row r="42" spans="4:22" ht="14.25" x14ac:dyDescent="0.25">
      <c r="D42" s="2954"/>
      <c r="E42" s="2954"/>
      <c r="F42" s="1878" t="s">
        <v>1066</v>
      </c>
      <c r="G42" s="1877"/>
      <c r="H42" s="1877"/>
      <c r="I42" s="1876"/>
      <c r="J42" s="1873"/>
      <c r="K42" s="1873"/>
      <c r="L42" s="1873"/>
      <c r="M42" s="1873"/>
      <c r="N42" s="1873"/>
      <c r="O42" s="1873"/>
      <c r="P42" s="1873"/>
      <c r="Q42" s="1873"/>
      <c r="R42" s="1873"/>
      <c r="S42" s="1873"/>
      <c r="T42" s="1873"/>
      <c r="U42" s="1874"/>
      <c r="V42" s="1874"/>
    </row>
    <row r="43" spans="4:22" ht="15" customHeight="1" x14ac:dyDescent="0.2">
      <c r="D43" s="2953" t="s">
        <v>1067</v>
      </c>
      <c r="E43" s="2953"/>
      <c r="F43" s="1879" t="s">
        <v>1068</v>
      </c>
      <c r="G43" s="1879"/>
      <c r="H43" s="1879"/>
      <c r="I43" s="1879"/>
      <c r="J43" s="1879"/>
      <c r="K43" s="1879"/>
      <c r="L43" s="1875"/>
      <c r="M43" s="1875"/>
      <c r="N43" s="1874"/>
      <c r="O43" s="1874"/>
      <c r="P43" s="1874"/>
      <c r="Q43" s="1874"/>
      <c r="R43" s="1874"/>
      <c r="S43" s="1874"/>
      <c r="T43" s="1874"/>
      <c r="U43" s="1874"/>
      <c r="V43" s="1874"/>
    </row>
    <row r="44" spans="4:22" ht="31.5" customHeight="1" x14ac:dyDescent="0.25">
      <c r="D44" s="2955" t="s">
        <v>1069</v>
      </c>
      <c r="E44" s="2955"/>
      <c r="F44" s="1880" t="s">
        <v>1070</v>
      </c>
      <c r="G44" s="1879"/>
      <c r="H44" s="1879"/>
      <c r="I44" s="1879"/>
      <c r="J44" s="1879"/>
      <c r="K44" s="1879"/>
      <c r="L44" s="1875"/>
      <c r="M44" s="1875"/>
      <c r="N44" s="1874"/>
      <c r="O44" s="1874"/>
      <c r="P44" s="1874"/>
      <c r="Q44" s="1874"/>
      <c r="R44" s="1874"/>
      <c r="S44" s="1874"/>
      <c r="T44" s="1874"/>
      <c r="U44" s="1874"/>
      <c r="V44" s="1874"/>
    </row>
    <row r="45" spans="4:22" ht="14.25" x14ac:dyDescent="0.2">
      <c r="D45" s="2953" t="s">
        <v>1071</v>
      </c>
      <c r="E45" s="2953"/>
      <c r="F45" s="1879" t="s">
        <v>1072</v>
      </c>
      <c r="G45" s="1879"/>
      <c r="H45" s="1879"/>
      <c r="I45" s="1879"/>
      <c r="J45" s="1879"/>
      <c r="K45" s="1879"/>
      <c r="L45" s="1879"/>
      <c r="M45" s="1879"/>
      <c r="N45" s="1881"/>
      <c r="O45" s="1881"/>
      <c r="P45" s="1874"/>
      <c r="Q45" s="1874"/>
      <c r="R45" s="1874"/>
      <c r="S45" s="1874"/>
      <c r="T45" s="1874"/>
      <c r="U45" s="1874"/>
      <c r="V45" s="1874"/>
    </row>
    <row r="46" spans="4:22" ht="15.75" x14ac:dyDescent="0.2">
      <c r="D46" s="2953" t="s">
        <v>1073</v>
      </c>
      <c r="E46" s="2953"/>
      <c r="F46" s="1881" t="s">
        <v>1074</v>
      </c>
      <c r="G46" s="1879"/>
      <c r="H46" s="1879"/>
      <c r="I46" s="1879"/>
      <c r="J46" s="1882"/>
      <c r="K46" s="1879"/>
      <c r="L46" s="1879"/>
      <c r="M46" s="1881"/>
      <c r="N46" s="1881"/>
      <c r="O46" s="1883"/>
      <c r="P46" s="1874"/>
      <c r="Q46" s="1874"/>
      <c r="R46" s="1874"/>
      <c r="S46" s="1874"/>
      <c r="T46" s="1874"/>
      <c r="U46" s="1874"/>
      <c r="V46" s="1874"/>
    </row>
    <row r="47" spans="4:22" ht="15.75" x14ac:dyDescent="0.2">
      <c r="D47" s="2953" t="s">
        <v>1075</v>
      </c>
      <c r="E47" s="2953"/>
      <c r="F47" s="1879" t="s">
        <v>1076</v>
      </c>
      <c r="G47" s="1879"/>
      <c r="H47" s="1879"/>
      <c r="I47" s="1879"/>
      <c r="J47" s="1879"/>
      <c r="K47" s="1882"/>
      <c r="L47" s="1879"/>
      <c r="M47" s="1879"/>
      <c r="N47" s="1881"/>
      <c r="O47" s="1881"/>
      <c r="P47" s="1874"/>
      <c r="Q47" s="1874"/>
      <c r="R47" s="1874"/>
      <c r="S47" s="1874"/>
      <c r="T47" s="1874"/>
      <c r="U47" s="1874"/>
      <c r="V47" s="1874"/>
    </row>
    <row r="48" spans="4:22" ht="18.75" x14ac:dyDescent="0.2">
      <c r="D48" s="2953" t="s">
        <v>1077</v>
      </c>
      <c r="E48" s="2953"/>
      <c r="F48" s="1884" t="s">
        <v>1078</v>
      </c>
      <c r="G48" s="1879"/>
      <c r="H48" s="1885"/>
      <c r="I48" s="1882"/>
      <c r="J48" s="1882"/>
      <c r="K48" s="1882"/>
      <c r="L48" s="1879"/>
      <c r="M48" s="1879"/>
      <c r="N48" s="1881"/>
      <c r="O48" s="1881"/>
      <c r="P48" s="1874"/>
      <c r="Q48" s="1874"/>
      <c r="R48" s="1874"/>
      <c r="S48" s="1874"/>
      <c r="T48" s="1874"/>
      <c r="U48" s="1874"/>
      <c r="V48" s="1874"/>
    </row>
    <row r="49" spans="4:22" ht="14.25" x14ac:dyDescent="0.2">
      <c r="D49" s="1886"/>
      <c r="E49" s="1887"/>
      <c r="F49" s="1887"/>
      <c r="G49" s="1887"/>
      <c r="H49" s="1887"/>
      <c r="I49" s="1887"/>
      <c r="J49" s="1887"/>
      <c r="K49" s="1887"/>
      <c r="L49" s="1879"/>
      <c r="M49" s="1879"/>
      <c r="N49" s="1881"/>
      <c r="O49" s="1881"/>
      <c r="P49" s="1874"/>
      <c r="Q49" s="1874"/>
      <c r="R49" s="1874"/>
      <c r="S49" s="1874"/>
      <c r="T49" s="1874"/>
      <c r="U49" s="1874"/>
      <c r="V49" s="1874"/>
    </row>
    <row r="50" spans="4:22" x14ac:dyDescent="0.2">
      <c r="L50" s="1848"/>
      <c r="M50" s="1848"/>
      <c r="T50" s="1888"/>
      <c r="U50" s="1888"/>
    </row>
    <row r="51" spans="4:22" x14ac:dyDescent="0.2">
      <c r="L51" s="1848"/>
      <c r="M51" s="1848"/>
      <c r="T51" s="1888"/>
      <c r="U51" s="1888"/>
    </row>
    <row r="52" spans="4:22" ht="15.75" x14ac:dyDescent="0.25">
      <c r="D52" s="2956" t="s">
        <v>1079</v>
      </c>
      <c r="E52" s="2956"/>
      <c r="F52" s="2956"/>
      <c r="G52" s="2956"/>
      <c r="H52" s="2956"/>
      <c r="I52" s="2956"/>
      <c r="J52" s="2956"/>
      <c r="K52" s="2956"/>
      <c r="L52" s="2956"/>
      <c r="M52" s="2956"/>
      <c r="N52" s="2956"/>
      <c r="O52" s="2956"/>
      <c r="P52" s="2956"/>
      <c r="Q52" s="2956"/>
      <c r="R52" s="2956"/>
      <c r="S52" s="2956"/>
      <c r="T52" s="2956"/>
    </row>
    <row r="53" spans="4:22" ht="14.25" x14ac:dyDescent="0.2">
      <c r="D53" s="2951" t="s">
        <v>1080</v>
      </c>
      <c r="E53" s="2951"/>
      <c r="F53" s="2951"/>
      <c r="G53" s="2951"/>
      <c r="H53" s="2951"/>
      <c r="I53" s="2951"/>
      <c r="J53" s="2951"/>
      <c r="K53" s="2951"/>
      <c r="L53" s="2951"/>
      <c r="M53" s="2951"/>
      <c r="N53" s="2951"/>
      <c r="O53" s="2951"/>
      <c r="P53" s="2951"/>
      <c r="Q53" s="2951"/>
      <c r="R53" s="2951"/>
      <c r="S53" s="2951"/>
      <c r="T53" s="2951"/>
    </row>
    <row r="79" spans="12:13" x14ac:dyDescent="0.2">
      <c r="L79" s="1848"/>
      <c r="M79" s="1848"/>
    </row>
  </sheetData>
  <sheetProtection selectLockedCells="1" selectUnlockedCells="1"/>
  <mergeCells count="12">
    <mergeCell ref="D53:T53"/>
    <mergeCell ref="L37:M37"/>
    <mergeCell ref="D40:E40"/>
    <mergeCell ref="D41:E41"/>
    <mergeCell ref="D42:E42"/>
    <mergeCell ref="D43:E43"/>
    <mergeCell ref="D44:E44"/>
    <mergeCell ref="D45:E45"/>
    <mergeCell ref="D46:E46"/>
    <mergeCell ref="D47:E47"/>
    <mergeCell ref="D48:E48"/>
    <mergeCell ref="D52:T52"/>
  </mergeCells>
  <hyperlinks>
    <hyperlink ref="D53" r:id="rId1" xr:uid="{BE98F82F-B7B6-4A22-A4CB-96F73C7A3216}"/>
    <hyperlink ref="F48" r:id="rId2" xr:uid="{F0810635-7C2B-40A0-9CDF-42254DD4BC58}"/>
  </hyperlinks>
  <pageMargins left="0.78740157499999996" right="0.78740157499999996" top="0.984251969" bottom="0.984251969" header="0.4921259845" footer="0.4921259845"/>
  <pageSetup paperSize="9" scale="30" orientation="portrait" horizontalDpi="1200" verticalDpi="1200" r:id="rId3"/>
  <headerFooter alignWithMargins="0"/>
  <drawing r:id="rId4"/>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A53D2A-3B6B-4844-83F4-B3CF87883920}">
  <dimension ref="A1:T132"/>
  <sheetViews>
    <sheetView showGridLines="0" zoomScaleNormal="100" workbookViewId="0"/>
  </sheetViews>
  <sheetFormatPr defaultColWidth="11.42578125" defaultRowHeight="12.75" x14ac:dyDescent="0.2"/>
  <cols>
    <col min="1" max="1" width="12.140625" style="1846" customWidth="1"/>
    <col min="2" max="2" width="34.42578125" style="1846" customWidth="1"/>
    <col min="3" max="5" width="14.42578125" style="1846" customWidth="1"/>
    <col min="6" max="6" width="5.42578125" style="1846" customWidth="1"/>
    <col min="7" max="7" width="9.42578125" style="1846" customWidth="1"/>
    <col min="8" max="8" width="12.85546875" style="1846" customWidth="1"/>
    <col min="9" max="9" width="12.42578125" style="1846" customWidth="1"/>
    <col min="10" max="10" width="22.42578125" style="1846" customWidth="1"/>
    <col min="11" max="11" width="15.42578125" style="1846" customWidth="1"/>
    <col min="12" max="12" width="2.85546875" style="1846" customWidth="1"/>
    <col min="13" max="16384" width="11.42578125" style="1846"/>
  </cols>
  <sheetData>
    <row r="1" spans="1:20" x14ac:dyDescent="0.2">
      <c r="A1" s="1889"/>
      <c r="B1" s="1889"/>
      <c r="C1" s="1889"/>
      <c r="D1" s="1889"/>
      <c r="E1" s="1889"/>
      <c r="F1" s="1889"/>
      <c r="G1" s="1889"/>
      <c r="H1" s="1889"/>
      <c r="I1" s="1889"/>
      <c r="J1" s="1889"/>
      <c r="K1" s="1889"/>
      <c r="L1" s="1889"/>
      <c r="M1" s="1889"/>
      <c r="N1" s="1890"/>
      <c r="O1" s="1890"/>
      <c r="P1" s="1890"/>
      <c r="Q1" s="1890"/>
      <c r="R1" s="1890"/>
      <c r="S1" s="1890"/>
      <c r="T1" s="1890"/>
    </row>
    <row r="2" spans="1:20" ht="27" customHeight="1" x14ac:dyDescent="0.2">
      <c r="A2" s="1889"/>
      <c r="B2" s="1889"/>
      <c r="C2" s="1889"/>
      <c r="D2" s="1891"/>
      <c r="E2" s="1892" t="s">
        <v>1081</v>
      </c>
      <c r="F2" s="1893"/>
      <c r="G2" s="1893"/>
      <c r="H2" s="1889"/>
      <c r="I2" s="1889"/>
      <c r="J2" s="1889"/>
      <c r="K2" s="1889"/>
      <c r="L2" s="1889"/>
      <c r="M2" s="1889"/>
      <c r="N2" s="1890"/>
      <c r="O2" s="1890"/>
      <c r="P2" s="1890"/>
      <c r="Q2" s="1890"/>
      <c r="R2" s="1890"/>
      <c r="S2" s="1890"/>
      <c r="T2" s="1890"/>
    </row>
    <row r="3" spans="1:20" ht="26.1" customHeight="1" x14ac:dyDescent="0.2">
      <c r="A3" s="1894" t="s">
        <v>1082</v>
      </c>
      <c r="B3" s="1895"/>
      <c r="C3" s="1889"/>
      <c r="D3" s="1896"/>
      <c r="E3" s="1889"/>
      <c r="F3" s="1889"/>
      <c r="G3" s="1889"/>
      <c r="H3" s="1889"/>
      <c r="I3" s="1889"/>
      <c r="J3" s="1889"/>
      <c r="K3" s="1889"/>
      <c r="L3" s="1889"/>
      <c r="M3" s="1889"/>
      <c r="N3" s="1890"/>
      <c r="O3" s="1890"/>
      <c r="P3" s="1890"/>
      <c r="Q3" s="1890"/>
      <c r="R3" s="1890"/>
      <c r="S3" s="1890"/>
      <c r="T3" s="1890"/>
    </row>
    <row r="4" spans="1:20" ht="18" customHeight="1" x14ac:dyDescent="0.25">
      <c r="A4" s="1897" t="s">
        <v>1083</v>
      </c>
      <c r="B4" s="1898"/>
      <c r="C4" s="1898"/>
      <c r="D4" s="1899"/>
      <c r="E4" s="1898"/>
      <c r="F4" s="1900"/>
      <c r="G4" s="1889"/>
      <c r="H4" s="1889"/>
      <c r="I4" s="1889"/>
      <c r="J4" s="1889"/>
      <c r="K4" s="1889"/>
      <c r="L4" s="1889"/>
      <c r="M4" s="1889"/>
      <c r="N4" s="1890"/>
      <c r="O4" s="1890"/>
      <c r="P4" s="1890"/>
      <c r="Q4" s="1890"/>
      <c r="R4" s="1890"/>
      <c r="S4" s="1890"/>
      <c r="T4" s="1890"/>
    </row>
    <row r="5" spans="1:20" ht="18" customHeight="1" x14ac:dyDescent="0.25">
      <c r="A5" s="1901"/>
      <c r="B5" s="1898"/>
      <c r="C5" s="1898"/>
      <c r="D5" s="1899"/>
      <c r="E5" s="1898"/>
      <c r="F5" s="1900"/>
      <c r="G5" s="1889"/>
      <c r="H5" s="1889"/>
      <c r="I5" s="1889"/>
      <c r="J5" s="1889"/>
      <c r="K5" s="1889"/>
      <c r="L5" s="1889"/>
      <c r="M5" s="1889"/>
      <c r="N5" s="1890"/>
      <c r="O5" s="1890"/>
      <c r="P5" s="1890"/>
      <c r="Q5" s="1890"/>
      <c r="R5" s="1890"/>
      <c r="S5" s="1890"/>
      <c r="T5" s="1890"/>
    </row>
    <row r="6" spans="1:20" ht="18" customHeight="1" x14ac:dyDescent="0.25">
      <c r="A6" s="1898"/>
      <c r="B6" s="1898"/>
      <c r="C6" s="1898"/>
      <c r="D6" s="1899"/>
      <c r="E6" s="1898"/>
      <c r="F6" s="1900"/>
      <c r="G6" s="1889"/>
      <c r="H6" s="1902"/>
      <c r="I6" s="1902"/>
      <c r="J6" s="1903"/>
      <c r="K6" s="1889"/>
      <c r="L6" s="1889"/>
      <c r="M6" s="1889"/>
      <c r="N6" s="1890"/>
      <c r="O6" s="1890"/>
      <c r="P6" s="1890"/>
      <c r="Q6" s="1890"/>
      <c r="R6" s="1890"/>
      <c r="S6" s="1890"/>
      <c r="T6" s="1890"/>
    </row>
    <row r="7" spans="1:20" ht="18" customHeight="1" x14ac:dyDescent="0.25">
      <c r="A7" s="1904" t="s">
        <v>1084</v>
      </c>
      <c r="B7" s="1898"/>
      <c r="C7" s="1898"/>
      <c r="D7" s="1898"/>
      <c r="E7" s="1898"/>
      <c r="F7" s="1900"/>
      <c r="G7" s="1889"/>
      <c r="H7" s="1889"/>
      <c r="I7" s="1889"/>
      <c r="J7" s="1889"/>
      <c r="K7" s="1889"/>
      <c r="L7" s="1889"/>
      <c r="M7" s="1889"/>
      <c r="N7" s="1890"/>
      <c r="O7" s="1890"/>
      <c r="P7" s="1890"/>
      <c r="Q7" s="1890"/>
      <c r="R7" s="1890"/>
      <c r="S7" s="1890"/>
      <c r="T7" s="1890"/>
    </row>
    <row r="8" spans="1:20" ht="18" customHeight="1" x14ac:dyDescent="0.25">
      <c r="A8" s="1898"/>
      <c r="B8" s="1905"/>
      <c r="C8" s="1905"/>
      <c r="D8" s="1905"/>
      <c r="E8" s="1906" t="s">
        <v>1085</v>
      </c>
      <c r="F8" s="1900"/>
      <c r="G8" s="1889"/>
      <c r="H8" s="1889"/>
      <c r="I8" s="1889"/>
      <c r="J8" s="1889"/>
      <c r="K8" s="1889"/>
      <c r="L8" s="1889"/>
      <c r="M8" s="1889"/>
      <c r="N8" s="1890"/>
      <c r="O8" s="1890"/>
      <c r="P8" s="1890"/>
      <c r="Q8" s="1890"/>
      <c r="R8" s="1890"/>
      <c r="S8" s="1890"/>
      <c r="T8" s="1890"/>
    </row>
    <row r="9" spans="1:20" ht="18" customHeight="1" x14ac:dyDescent="0.25">
      <c r="A9" s="1898"/>
      <c r="B9" s="1907" t="s">
        <v>1082</v>
      </c>
      <c r="C9" s="1908"/>
      <c r="D9" s="1909"/>
      <c r="E9" s="1910">
        <f>'R&amp;C-Painel de Controle'!D8</f>
        <v>23025.599999999999</v>
      </c>
      <c r="F9" s="1900"/>
      <c r="G9" s="1911"/>
      <c r="H9" s="1889"/>
      <c r="I9" s="1889"/>
      <c r="J9" s="1889"/>
      <c r="K9" s="1889"/>
      <c r="L9" s="1889"/>
      <c r="M9" s="1889"/>
      <c r="N9" s="1890"/>
      <c r="O9" s="1890"/>
      <c r="P9" s="1890"/>
      <c r="Q9" s="1890"/>
      <c r="R9" s="1890"/>
      <c r="S9" s="1890"/>
      <c r="T9" s="1890"/>
    </row>
    <row r="10" spans="1:20" ht="18" customHeight="1" x14ac:dyDescent="0.25">
      <c r="A10" s="1898"/>
      <c r="B10" s="1898"/>
      <c r="C10" s="1898"/>
      <c r="D10" s="1898"/>
      <c r="E10" s="1898"/>
      <c r="F10" s="1900"/>
      <c r="G10" s="1889"/>
      <c r="H10" s="1889"/>
      <c r="I10" s="1889"/>
      <c r="J10" s="1889"/>
      <c r="K10" s="1889"/>
      <c r="L10" s="1889"/>
      <c r="M10" s="1889"/>
      <c r="N10" s="1890"/>
      <c r="O10" s="1890"/>
      <c r="P10" s="1890"/>
      <c r="Q10" s="1890"/>
      <c r="R10" s="1890"/>
      <c r="S10" s="1890"/>
      <c r="T10" s="1890"/>
    </row>
    <row r="11" spans="1:20" ht="18" customHeight="1" x14ac:dyDescent="0.25">
      <c r="A11" s="1897" t="s">
        <v>1086</v>
      </c>
      <c r="B11" s="1898"/>
      <c r="C11" s="1898"/>
      <c r="D11" s="1898"/>
      <c r="E11" s="1898"/>
      <c r="F11" s="1900"/>
      <c r="G11" s="1889"/>
      <c r="H11" s="1889"/>
      <c r="I11" s="1889"/>
      <c r="J11" s="1889"/>
      <c r="K11" s="1889"/>
      <c r="L11" s="1889"/>
      <c r="M11" s="1889"/>
      <c r="N11" s="1890"/>
      <c r="O11" s="1890"/>
      <c r="P11" s="1890"/>
      <c r="Q11" s="1890"/>
      <c r="R11" s="1890"/>
      <c r="S11" s="1890"/>
      <c r="T11" s="1890"/>
    </row>
    <row r="12" spans="1:20" ht="33" customHeight="1" x14ac:dyDescent="0.25">
      <c r="A12" s="1898"/>
      <c r="B12" s="1898"/>
      <c r="C12" s="1898"/>
      <c r="D12" s="1898"/>
      <c r="E12" s="1898"/>
      <c r="F12" s="1900"/>
      <c r="G12" s="1889"/>
      <c r="H12" s="1889"/>
      <c r="I12" s="1889"/>
      <c r="J12" s="1889"/>
      <c r="K12" s="1889"/>
      <c r="L12" s="1889"/>
      <c r="M12" s="1889"/>
      <c r="N12" s="1890"/>
      <c r="O12" s="1890"/>
      <c r="P12" s="1890"/>
      <c r="Q12" s="1890"/>
      <c r="R12" s="1890"/>
      <c r="S12" s="1890"/>
      <c r="T12" s="1890"/>
    </row>
    <row r="13" spans="1:20" ht="26.1" customHeight="1" x14ac:dyDescent="0.25">
      <c r="A13" s="1912" t="s">
        <v>1087</v>
      </c>
      <c r="B13" s="1913"/>
      <c r="C13" s="1913"/>
      <c r="D13" s="1913"/>
      <c r="E13" s="1913"/>
      <c r="F13" s="1900"/>
      <c r="G13" s="1889"/>
      <c r="H13" s="1889"/>
      <c r="I13" s="1889"/>
      <c r="J13" s="1914"/>
      <c r="K13" s="1889"/>
      <c r="L13" s="1889"/>
      <c r="M13" s="1889"/>
      <c r="N13" s="1890"/>
      <c r="O13" s="1890"/>
      <c r="P13" s="1890"/>
      <c r="Q13" s="1890"/>
      <c r="R13" s="1890"/>
      <c r="S13" s="1890"/>
      <c r="T13" s="1890"/>
    </row>
    <row r="14" spans="1:20" ht="18" customHeight="1" x14ac:dyDescent="0.2">
      <c r="A14" s="1904" t="s">
        <v>1088</v>
      </c>
      <c r="B14" s="1915"/>
      <c r="C14" s="1915"/>
      <c r="D14" s="1915"/>
      <c r="E14" s="1915"/>
      <c r="F14" s="1900"/>
      <c r="G14" s="1889"/>
      <c r="H14" s="1889"/>
      <c r="I14" s="1889"/>
      <c r="J14" s="1914"/>
      <c r="K14" s="1889"/>
      <c r="L14" s="1889"/>
      <c r="M14" s="1889"/>
      <c r="N14" s="1890"/>
      <c r="O14" s="1890"/>
      <c r="P14" s="1890"/>
      <c r="Q14" s="1890"/>
      <c r="R14" s="1890"/>
      <c r="S14" s="1890"/>
      <c r="T14" s="1890"/>
    </row>
    <row r="15" spans="1:20" ht="18" customHeight="1" x14ac:dyDescent="0.2">
      <c r="A15" s="1904" t="s">
        <v>1089</v>
      </c>
      <c r="B15" s="1915"/>
      <c r="C15" s="1915"/>
      <c r="D15" s="1915"/>
      <c r="E15" s="1915"/>
      <c r="F15" s="1900"/>
      <c r="G15" s="1889"/>
      <c r="H15" s="1889"/>
      <c r="I15" s="1889"/>
      <c r="J15" s="1889"/>
      <c r="K15" s="1889"/>
      <c r="L15" s="1889"/>
      <c r="M15" s="1889"/>
      <c r="N15" s="1890"/>
      <c r="O15" s="1890"/>
      <c r="P15" s="1890"/>
      <c r="Q15" s="1890"/>
      <c r="R15" s="1890"/>
      <c r="S15" s="1890"/>
      <c r="T15" s="1890"/>
    </row>
    <row r="16" spans="1:20" ht="18" customHeight="1" x14ac:dyDescent="0.2">
      <c r="A16" s="1904" t="s">
        <v>1090</v>
      </c>
      <c r="B16" s="1915"/>
      <c r="C16" s="1915"/>
      <c r="D16" s="1915"/>
      <c r="E16" s="1915"/>
      <c r="F16" s="1900"/>
      <c r="G16" s="1889"/>
      <c r="H16" s="1889"/>
      <c r="I16" s="1916"/>
      <c r="J16" s="1889"/>
      <c r="K16" s="1889"/>
      <c r="L16" s="1889"/>
      <c r="M16" s="1889"/>
      <c r="N16" s="1890"/>
      <c r="O16" s="1890"/>
      <c r="P16" s="1890"/>
      <c r="Q16" s="1890"/>
      <c r="R16" s="1890"/>
      <c r="S16" s="1890"/>
      <c r="T16" s="1890"/>
    </row>
    <row r="17" spans="1:20" ht="18" customHeight="1" x14ac:dyDescent="0.25">
      <c r="A17" s="1898"/>
      <c r="B17" s="1898"/>
      <c r="C17" s="1898"/>
      <c r="D17" s="1898"/>
      <c r="E17" s="1898"/>
      <c r="F17" s="1900"/>
      <c r="G17" s="1889"/>
      <c r="H17" s="1889"/>
      <c r="I17" s="1916"/>
      <c r="J17" s="1889"/>
      <c r="K17" s="1889"/>
      <c r="L17" s="1889"/>
      <c r="M17" s="1889"/>
      <c r="N17" s="1890"/>
      <c r="O17" s="1890"/>
      <c r="P17" s="1890"/>
      <c r="Q17" s="1890"/>
      <c r="R17" s="1890"/>
      <c r="S17" s="1890"/>
      <c r="T17" s="1890"/>
    </row>
    <row r="18" spans="1:20" ht="18" customHeight="1" x14ac:dyDescent="0.25">
      <c r="A18" s="1898"/>
      <c r="B18" s="1917"/>
      <c r="C18" s="1918"/>
      <c r="D18" s="1919" t="s">
        <v>1091</v>
      </c>
      <c r="E18" s="1920" t="s">
        <v>1092</v>
      </c>
      <c r="F18" s="1900"/>
      <c r="G18" s="1921"/>
      <c r="H18" s="1889"/>
      <c r="I18" s="1889"/>
      <c r="J18" s="1889"/>
      <c r="K18" s="1889"/>
      <c r="L18" s="1889"/>
      <c r="M18" s="1889"/>
      <c r="N18" s="1890"/>
      <c r="O18" s="1890"/>
      <c r="P18" s="1890"/>
      <c r="Q18" s="1890"/>
      <c r="R18" s="1890"/>
      <c r="S18" s="1890"/>
      <c r="T18" s="1890"/>
    </row>
    <row r="19" spans="1:20" ht="18" customHeight="1" x14ac:dyDescent="0.25">
      <c r="A19" s="1898"/>
      <c r="B19" s="1922" t="s">
        <v>1093</v>
      </c>
      <c r="C19" s="1923"/>
      <c r="D19" s="1924">
        <f>0.96*365</f>
        <v>350.4</v>
      </c>
      <c r="E19" s="1925"/>
      <c r="F19" s="1900"/>
      <c r="G19" s="1889"/>
      <c r="H19" s="1889"/>
      <c r="I19" s="1889"/>
      <c r="J19" s="1889"/>
      <c r="K19" s="1889"/>
      <c r="L19" s="1889"/>
      <c r="M19" s="1889"/>
      <c r="N19" s="1890"/>
      <c r="O19" s="1890"/>
      <c r="P19" s="1890"/>
      <c r="Q19" s="1890"/>
      <c r="R19" s="1890"/>
      <c r="S19" s="1890"/>
      <c r="T19" s="1890"/>
    </row>
    <row r="20" spans="1:20" ht="18" customHeight="1" x14ac:dyDescent="0.25">
      <c r="A20" s="1898"/>
      <c r="B20" s="1926"/>
      <c r="C20" s="1927"/>
      <c r="D20" s="1919" t="s">
        <v>1091</v>
      </c>
      <c r="E20" s="1928" t="s">
        <v>1094</v>
      </c>
      <c r="F20" s="1900"/>
      <c r="G20" s="1889"/>
      <c r="H20" s="1929" t="s">
        <v>1095</v>
      </c>
      <c r="I20" s="1930"/>
      <c r="J20" s="1930"/>
      <c r="K20" s="1931"/>
      <c r="L20" s="1889"/>
      <c r="M20" s="1889"/>
      <c r="N20" s="1890"/>
      <c r="O20" s="1890"/>
      <c r="P20" s="1890"/>
      <c r="Q20" s="1890"/>
      <c r="R20" s="1890"/>
      <c r="S20" s="1890"/>
      <c r="T20" s="1890"/>
    </row>
    <row r="21" spans="1:20" ht="18" customHeight="1" x14ac:dyDescent="0.25">
      <c r="A21" s="1898"/>
      <c r="B21" s="1922" t="s">
        <v>1096</v>
      </c>
      <c r="C21" s="1932"/>
      <c r="D21" s="1933">
        <v>0.96</v>
      </c>
      <c r="E21" s="1925"/>
      <c r="F21" s="1900"/>
      <c r="G21" s="1934"/>
      <c r="H21" s="1935" t="s">
        <v>1097</v>
      </c>
      <c r="I21" s="1936"/>
      <c r="J21" s="1936"/>
      <c r="K21" s="1937"/>
      <c r="L21" s="1889"/>
      <c r="M21" s="1889"/>
      <c r="N21" s="1890"/>
      <c r="O21" s="1890"/>
      <c r="P21" s="1890"/>
      <c r="Q21" s="1890"/>
      <c r="R21" s="1890"/>
      <c r="S21" s="1890"/>
      <c r="T21" s="1890"/>
    </row>
    <row r="22" spans="1:20" ht="18" customHeight="1" x14ac:dyDescent="0.25">
      <c r="A22" s="1898"/>
      <c r="B22" s="1898"/>
      <c r="C22" s="1898"/>
      <c r="D22" s="1898"/>
      <c r="E22" s="1938"/>
      <c r="F22" s="1900"/>
      <c r="G22" s="1889"/>
      <c r="H22" s="1939"/>
      <c r="I22" s="1936"/>
      <c r="J22" s="1936"/>
      <c r="K22" s="1937"/>
      <c r="L22" s="1889"/>
      <c r="M22" s="1889"/>
      <c r="N22" s="1890"/>
      <c r="O22" s="1890"/>
      <c r="P22" s="1890"/>
      <c r="Q22" s="1890"/>
      <c r="R22" s="1890"/>
      <c r="S22" s="1890"/>
      <c r="T22" s="1890"/>
    </row>
    <row r="23" spans="1:20" ht="26.1" customHeight="1" x14ac:dyDescent="0.25">
      <c r="A23" s="1912" t="s">
        <v>1098</v>
      </c>
      <c r="B23" s="1940"/>
      <c r="C23" s="1940"/>
      <c r="D23" s="1940"/>
      <c r="E23" s="1940"/>
      <c r="F23" s="1900"/>
      <c r="G23" s="1889"/>
      <c r="H23" s="1941" t="s">
        <v>1099</v>
      </c>
      <c r="I23" s="1936"/>
      <c r="J23" s="1936"/>
      <c r="K23" s="1937"/>
      <c r="L23" s="1889"/>
      <c r="M23" s="1889"/>
      <c r="N23" s="1890"/>
      <c r="O23" s="1890"/>
      <c r="P23" s="1890"/>
      <c r="Q23" s="1890"/>
      <c r="R23" s="1890"/>
      <c r="S23" s="1890"/>
      <c r="T23" s="1890"/>
    </row>
    <row r="24" spans="1:20" ht="18" customHeight="1" x14ac:dyDescent="0.25">
      <c r="A24" s="1942"/>
      <c r="B24" s="1943"/>
      <c r="C24" s="1898"/>
      <c r="D24" s="1898"/>
      <c r="E24" s="1898"/>
      <c r="F24" s="1900"/>
      <c r="G24" s="1889"/>
      <c r="H24" s="1939"/>
      <c r="I24" s="1944" t="s">
        <v>1085</v>
      </c>
      <c r="J24" s="1945">
        <f>IF($E$9&gt;0,$E$9,(IF($E$19&gt;0,$E$19/1000*$E$26,$E$21/1000*365*$E$26)))</f>
        <v>23025.599999999999</v>
      </c>
      <c r="K24" s="1937"/>
      <c r="L24" s="1889"/>
      <c r="M24" s="1889"/>
      <c r="N24" s="1890"/>
      <c r="O24" s="1890"/>
      <c r="P24" s="1890"/>
      <c r="Q24" s="1890"/>
      <c r="R24" s="1890"/>
      <c r="S24" s="1890"/>
      <c r="T24" s="1890"/>
    </row>
    <row r="25" spans="1:20" ht="18" customHeight="1" x14ac:dyDescent="0.25">
      <c r="A25" s="1898"/>
      <c r="B25" s="1905"/>
      <c r="C25" s="1905"/>
      <c r="D25" s="1905"/>
      <c r="E25" s="1906" t="s">
        <v>1100</v>
      </c>
      <c r="F25" s="1900"/>
      <c r="G25" s="1889"/>
      <c r="H25" s="1939"/>
      <c r="I25" s="1944" t="s">
        <v>1092</v>
      </c>
      <c r="J25" s="1946">
        <v>350</v>
      </c>
      <c r="K25" s="1937"/>
      <c r="L25" s="1889"/>
      <c r="M25" s="1889"/>
      <c r="N25" s="1890"/>
      <c r="O25" s="1890"/>
      <c r="P25" s="1890"/>
      <c r="Q25" s="1890"/>
      <c r="R25" s="1890"/>
      <c r="S25" s="1890"/>
      <c r="T25" s="1890"/>
    </row>
    <row r="26" spans="1:20" ht="18" customHeight="1" x14ac:dyDescent="0.25">
      <c r="A26" s="1898"/>
      <c r="B26" s="1907" t="s">
        <v>1101</v>
      </c>
      <c r="C26" s="1947"/>
      <c r="D26" s="1948"/>
      <c r="E26" s="1949">
        <f>'R&amp;C-Painel de Controle'!D6</f>
        <v>411597</v>
      </c>
      <c r="F26" s="1900"/>
      <c r="G26" s="1889"/>
      <c r="H26" s="1939"/>
      <c r="I26" s="1944" t="s">
        <v>1094</v>
      </c>
      <c r="J26" s="1950">
        <f>IF(E26&gt;0,J25/365,"insira o número de habitantes na célula verde")</f>
        <v>0.95890410958904104</v>
      </c>
      <c r="K26" s="1937"/>
      <c r="L26" s="1889"/>
      <c r="M26" s="1889"/>
      <c r="N26" s="1890"/>
      <c r="O26" s="1890"/>
      <c r="P26" s="1890"/>
      <c r="Q26" s="1890"/>
      <c r="R26" s="1890"/>
      <c r="S26" s="1890"/>
      <c r="T26" s="1890"/>
    </row>
    <row r="27" spans="1:20" ht="18" customHeight="1" x14ac:dyDescent="0.25">
      <c r="A27" s="1898"/>
      <c r="B27" s="1898"/>
      <c r="C27" s="1898"/>
      <c r="D27" s="1898"/>
      <c r="E27" s="1898"/>
      <c r="F27" s="1900"/>
      <c r="G27" s="1889"/>
      <c r="H27" s="1951"/>
      <c r="I27" s="1952"/>
      <c r="J27" s="1952"/>
      <c r="K27" s="1953"/>
      <c r="L27" s="1889"/>
      <c r="M27" s="1889"/>
      <c r="N27" s="1890"/>
      <c r="O27" s="1890"/>
      <c r="P27" s="1890"/>
      <c r="Q27" s="1890"/>
      <c r="R27" s="1890"/>
      <c r="S27" s="1890"/>
      <c r="T27" s="1890"/>
    </row>
    <row r="28" spans="1:20" ht="18" customHeight="1" x14ac:dyDescent="0.2">
      <c r="A28" s="1889"/>
      <c r="B28" s="1889"/>
      <c r="C28" s="1889"/>
      <c r="D28" s="1889"/>
      <c r="E28" s="1889"/>
      <c r="F28" s="1889"/>
      <c r="G28" s="1914"/>
      <c r="H28" s="1954"/>
      <c r="I28" s="1955"/>
      <c r="J28" s="1954"/>
      <c r="K28" s="1889"/>
      <c r="L28" s="1889"/>
      <c r="M28" s="1889"/>
      <c r="N28" s="1890"/>
      <c r="O28" s="1890"/>
      <c r="P28" s="1890"/>
      <c r="Q28" s="1890"/>
      <c r="R28" s="1890"/>
      <c r="S28" s="1890"/>
      <c r="T28" s="1890"/>
    </row>
    <row r="29" spans="1:20" ht="26.1" customHeight="1" x14ac:dyDescent="0.25">
      <c r="A29" s="1912" t="s">
        <v>1102</v>
      </c>
      <c r="B29" s="1956"/>
      <c r="C29" s="1956"/>
      <c r="D29" s="1956"/>
      <c r="E29" s="1956"/>
      <c r="F29" s="1889"/>
      <c r="G29" s="1889"/>
      <c r="H29" s="1889"/>
      <c r="I29" s="1934"/>
      <c r="J29" s="1889"/>
      <c r="K29" s="1889"/>
      <c r="L29" s="1889"/>
      <c r="M29" s="1889"/>
      <c r="N29" s="1890"/>
      <c r="O29" s="1890"/>
      <c r="P29" s="1890"/>
      <c r="Q29" s="1890"/>
      <c r="R29" s="1890"/>
      <c r="S29" s="1890"/>
      <c r="T29" s="1890"/>
    </row>
    <row r="30" spans="1:20" ht="14.25" x14ac:dyDescent="0.25">
      <c r="A30" s="1897" t="s">
        <v>1103</v>
      </c>
      <c r="B30" s="1957"/>
      <c r="C30" s="1957"/>
      <c r="D30" s="1957"/>
      <c r="E30" s="1957"/>
      <c r="F30" s="1889"/>
      <c r="G30" s="1911"/>
      <c r="H30" s="1889"/>
      <c r="I30" s="1958"/>
      <c r="J30" s="1889"/>
      <c r="K30" s="1889"/>
      <c r="L30" s="1889"/>
      <c r="M30" s="1889"/>
      <c r="N30" s="1890"/>
      <c r="O30" s="1890"/>
      <c r="P30" s="1890"/>
      <c r="Q30" s="1890"/>
      <c r="R30" s="1890"/>
      <c r="S30" s="1890"/>
      <c r="T30" s="1890"/>
    </row>
    <row r="31" spans="1:20" ht="18" customHeight="1" x14ac:dyDescent="0.25">
      <c r="A31" s="1897"/>
      <c r="B31" s="1898"/>
      <c r="C31" s="1898"/>
      <c r="D31" s="1957"/>
      <c r="E31" s="1957"/>
      <c r="F31" s="1889"/>
      <c r="G31" s="1911"/>
      <c r="H31" s="1889"/>
      <c r="I31" s="1958"/>
      <c r="J31" s="1889"/>
      <c r="K31" s="1889"/>
      <c r="L31" s="1889"/>
      <c r="M31" s="1889"/>
      <c r="N31" s="1890"/>
      <c r="O31" s="1890"/>
      <c r="P31" s="1890"/>
      <c r="Q31" s="1890"/>
      <c r="R31" s="1890"/>
      <c r="S31" s="1890"/>
      <c r="T31" s="1890"/>
    </row>
    <row r="32" spans="1:20" ht="18" customHeight="1" x14ac:dyDescent="0.25">
      <c r="A32" s="1897" t="s">
        <v>1104</v>
      </c>
      <c r="B32" s="1898"/>
      <c r="C32" s="1898"/>
      <c r="D32" s="1957"/>
      <c r="E32" s="1957"/>
      <c r="F32" s="1889"/>
      <c r="G32" s="1959"/>
      <c r="H32" s="1959"/>
      <c r="I32" s="1959"/>
      <c r="J32" s="1959"/>
      <c r="K32" s="1959"/>
      <c r="L32" s="1889"/>
      <c r="M32" s="1889"/>
      <c r="N32" s="1890"/>
      <c r="O32" s="1890"/>
      <c r="P32" s="1890"/>
      <c r="Q32" s="1890"/>
      <c r="R32" s="1890"/>
      <c r="S32" s="1890"/>
      <c r="T32" s="1890"/>
    </row>
    <row r="33" spans="1:20" ht="18" customHeight="1" x14ac:dyDescent="0.25">
      <c r="A33" s="1957"/>
      <c r="B33" s="1957"/>
      <c r="C33" s="1957"/>
      <c r="D33" s="1957"/>
      <c r="E33" s="1957"/>
      <c r="F33" s="1889"/>
      <c r="G33" s="1902"/>
      <c r="H33" s="1959"/>
      <c r="I33" s="1902"/>
      <c r="J33" s="1960"/>
      <c r="K33" s="1959"/>
      <c r="L33" s="1889"/>
      <c r="M33" s="1889"/>
      <c r="N33" s="1890"/>
      <c r="O33" s="1890"/>
      <c r="P33" s="1890"/>
      <c r="Q33" s="1890"/>
      <c r="R33" s="1890"/>
      <c r="S33" s="1890"/>
      <c r="T33" s="1890"/>
    </row>
    <row r="34" spans="1:20" ht="39" customHeight="1" x14ac:dyDescent="0.25">
      <c r="A34" s="1957"/>
      <c r="B34" s="1961" t="s">
        <v>16</v>
      </c>
      <c r="C34" s="1962" t="s">
        <v>1091</v>
      </c>
      <c r="D34" s="1963"/>
      <c r="E34" s="1964" t="s">
        <v>1105</v>
      </c>
      <c r="F34" s="1889"/>
      <c r="G34" s="1965"/>
      <c r="H34" s="1902"/>
      <c r="I34" s="1966"/>
      <c r="J34" s="1966"/>
      <c r="K34" s="1959"/>
      <c r="L34" s="1889"/>
      <c r="M34" s="1889"/>
      <c r="N34" s="1890"/>
      <c r="O34" s="1890"/>
      <c r="P34" s="1890"/>
      <c r="Q34" s="1890"/>
      <c r="R34" s="1890"/>
      <c r="S34" s="1890"/>
      <c r="T34" s="1890"/>
    </row>
    <row r="35" spans="1:20" ht="18" customHeight="1" x14ac:dyDescent="0.25">
      <c r="A35" s="1957"/>
      <c r="B35" s="1967" t="s">
        <v>1106</v>
      </c>
      <c r="C35" s="1968">
        <v>0.48399999999999999</v>
      </c>
      <c r="D35" s="1969"/>
      <c r="E35" s="1970">
        <f>'R-Entrada'!E26/100</f>
        <v>0.48399999999999999</v>
      </c>
      <c r="F35" s="1971"/>
      <c r="G35" s="2643"/>
      <c r="H35" s="1902"/>
      <c r="I35" s="1972"/>
      <c r="J35" s="1973"/>
      <c r="K35" s="1959"/>
      <c r="L35" s="1889"/>
      <c r="M35" s="1889"/>
      <c r="N35" s="1890"/>
      <c r="O35" s="1890"/>
      <c r="P35" s="1890"/>
      <c r="Q35" s="1890"/>
      <c r="R35" s="1890"/>
      <c r="S35" s="1890"/>
      <c r="T35" s="1890"/>
    </row>
    <row r="36" spans="1:20" ht="18" customHeight="1" x14ac:dyDescent="0.25">
      <c r="A36" s="1957"/>
      <c r="B36" s="1967" t="s">
        <v>1107</v>
      </c>
      <c r="C36" s="1968">
        <v>0.03</v>
      </c>
      <c r="D36" s="1969"/>
      <c r="E36" s="1970">
        <f>'R-Entrada'!E27/100</f>
        <v>0.03</v>
      </c>
      <c r="F36" s="1971"/>
      <c r="G36" s="2643"/>
      <c r="H36" s="1902"/>
      <c r="I36" s="1972"/>
      <c r="J36" s="1973"/>
      <c r="K36" s="1959"/>
      <c r="L36" s="1889"/>
      <c r="M36" s="1889"/>
      <c r="N36" s="1890"/>
      <c r="O36" s="1890"/>
      <c r="P36" s="1890"/>
      <c r="Q36" s="1890"/>
      <c r="R36" s="1890"/>
      <c r="S36" s="1890"/>
      <c r="T36" s="1890"/>
    </row>
    <row r="37" spans="1:20" ht="18" customHeight="1" x14ac:dyDescent="0.25">
      <c r="A37" s="1957"/>
      <c r="B37" s="1967" t="s">
        <v>1108</v>
      </c>
      <c r="C37" s="1968">
        <v>0.13100000000000001</v>
      </c>
      <c r="D37" s="1969"/>
      <c r="E37" s="1970">
        <f>'R-Entrada'!E28/100</f>
        <v>0.13100000000000001</v>
      </c>
      <c r="F37" s="1889"/>
      <c r="G37" s="2643"/>
      <c r="H37" s="1902"/>
      <c r="I37" s="1972"/>
      <c r="J37" s="1973"/>
      <c r="K37" s="1959"/>
      <c r="L37" s="1889"/>
      <c r="M37" s="1889"/>
      <c r="N37" s="1890"/>
      <c r="O37" s="1890"/>
      <c r="P37" s="1890"/>
      <c r="Q37" s="1890"/>
      <c r="R37" s="1890"/>
      <c r="S37" s="1890"/>
      <c r="T37" s="1890"/>
    </row>
    <row r="38" spans="1:20" ht="18" customHeight="1" x14ac:dyDescent="0.25">
      <c r="A38" s="1957"/>
      <c r="B38" s="1967" t="s">
        <v>1109</v>
      </c>
      <c r="C38" s="1968">
        <v>0.13500000000000001</v>
      </c>
      <c r="D38" s="1969"/>
      <c r="E38" s="1970">
        <f>('R-Entrada'!E29+'R-Entrada'!E30)/100</f>
        <v>0.13500000000000001</v>
      </c>
      <c r="F38" s="1889"/>
      <c r="G38" s="2643"/>
      <c r="H38" s="1902"/>
      <c r="I38" s="1972"/>
      <c r="J38" s="1973"/>
      <c r="K38" s="1959"/>
      <c r="L38" s="1889"/>
      <c r="M38" s="1889"/>
      <c r="N38" s="1890"/>
      <c r="O38" s="1890"/>
      <c r="P38" s="1890"/>
      <c r="Q38" s="1890"/>
      <c r="R38" s="1890"/>
      <c r="S38" s="1890"/>
      <c r="T38" s="1890"/>
    </row>
    <row r="39" spans="1:20" ht="18" customHeight="1" x14ac:dyDescent="0.25">
      <c r="A39" s="1957"/>
      <c r="B39" s="1967" t="s">
        <v>50</v>
      </c>
      <c r="C39" s="1968">
        <v>2.4E-2</v>
      </c>
      <c r="D39" s="1969"/>
      <c r="E39" s="1970">
        <f>'R-Entrada'!E31/100</f>
        <v>2.4E-2</v>
      </c>
      <c r="F39" s="1889"/>
      <c r="G39" s="2643"/>
      <c r="H39" s="1902"/>
      <c r="I39" s="1972"/>
      <c r="J39" s="1973"/>
      <c r="K39" s="1959"/>
      <c r="L39" s="1889"/>
      <c r="M39" s="1889"/>
      <c r="N39" s="1890"/>
      <c r="O39" s="1890"/>
      <c r="P39" s="1890"/>
      <c r="Q39" s="1890"/>
      <c r="R39" s="1890"/>
      <c r="S39" s="1890"/>
      <c r="T39" s="1890"/>
    </row>
    <row r="40" spans="1:20" ht="18" customHeight="1" x14ac:dyDescent="0.25">
      <c r="A40" s="1957"/>
      <c r="B40" s="1967" t="s">
        <v>1110</v>
      </c>
      <c r="C40" s="1968">
        <v>2.3E-2</v>
      </c>
      <c r="D40" s="1969"/>
      <c r="E40" s="1970">
        <f>'R-Entrada'!E32/100</f>
        <v>2.3E-2</v>
      </c>
      <c r="F40" s="1889"/>
      <c r="G40" s="2643"/>
      <c r="H40" s="1902"/>
      <c r="I40" s="1972"/>
      <c r="J40" s="1973"/>
      <c r="K40" s="1959"/>
      <c r="L40" s="1889"/>
      <c r="M40" s="1889"/>
      <c r="N40" s="1890"/>
      <c r="O40" s="1890"/>
      <c r="P40" s="1890"/>
      <c r="Q40" s="1890"/>
      <c r="R40" s="1890"/>
      <c r="S40" s="1890"/>
      <c r="T40" s="1890"/>
    </row>
    <row r="41" spans="1:20" ht="18" customHeight="1" x14ac:dyDescent="0.25">
      <c r="A41" s="1957"/>
      <c r="B41" s="1967" t="s">
        <v>1111</v>
      </c>
      <c r="C41" s="1968">
        <v>6.0000000000000001E-3</v>
      </c>
      <c r="D41" s="1969"/>
      <c r="E41" s="1970">
        <f>'R-Entrada'!E33/100</f>
        <v>6.0000000000000001E-3</v>
      </c>
      <c r="F41" s="1914"/>
      <c r="G41" s="2643"/>
      <c r="H41" s="1902"/>
      <c r="I41" s="1972"/>
      <c r="J41" s="1973"/>
      <c r="K41" s="1959"/>
      <c r="L41" s="1889"/>
      <c r="M41" s="1889"/>
      <c r="N41" s="1890"/>
      <c r="O41" s="1890"/>
      <c r="P41" s="1890"/>
      <c r="Q41" s="1890"/>
      <c r="R41" s="1890"/>
      <c r="S41" s="1890"/>
      <c r="T41" s="1890"/>
    </row>
    <row r="42" spans="1:20" ht="18" customHeight="1" x14ac:dyDescent="0.25">
      <c r="A42" s="1957"/>
      <c r="B42" s="1967" t="s">
        <v>1112</v>
      </c>
      <c r="C42" s="1968">
        <v>2.5999999999999999E-2</v>
      </c>
      <c r="D42" s="1974"/>
      <c r="E42" s="1970">
        <f>'R-Entrada'!E34/100</f>
        <v>4.4500000000000005E-2</v>
      </c>
      <c r="F42" s="1889"/>
      <c r="G42" s="2643"/>
      <c r="H42" s="1902"/>
      <c r="I42" s="1959"/>
      <c r="J42" s="1959"/>
      <c r="K42" s="1959"/>
      <c r="L42" s="1889"/>
      <c r="M42" s="1889"/>
      <c r="N42" s="1890"/>
      <c r="O42" s="1890"/>
      <c r="P42" s="1890"/>
      <c r="Q42" s="1890"/>
      <c r="R42" s="1890"/>
      <c r="S42" s="1890"/>
      <c r="T42" s="1890"/>
    </row>
    <row r="43" spans="1:20" ht="18" customHeight="1" x14ac:dyDescent="0.25">
      <c r="A43" s="1957"/>
      <c r="B43" s="1967" t="s">
        <v>1113</v>
      </c>
      <c r="C43" s="1968">
        <v>7.0000000000000001E-3</v>
      </c>
      <c r="D43" s="1974"/>
      <c r="E43" s="1970">
        <f>'R-Entrada'!E35/100</f>
        <v>9.5999999999999992E-3</v>
      </c>
      <c r="F43" s="1889"/>
      <c r="G43" s="2643"/>
      <c r="H43" s="1902"/>
      <c r="I43" s="1959"/>
      <c r="J43" s="1959"/>
      <c r="K43" s="1959"/>
      <c r="L43" s="1889"/>
      <c r="M43" s="1889"/>
      <c r="N43" s="1890"/>
      <c r="O43" s="1890"/>
      <c r="P43" s="1890"/>
      <c r="Q43" s="1890"/>
      <c r="R43" s="1890"/>
      <c r="S43" s="1890"/>
      <c r="T43" s="1890"/>
    </row>
    <row r="44" spans="1:20" ht="18" customHeight="1" x14ac:dyDescent="0.25">
      <c r="A44" s="1957"/>
      <c r="B44" s="1967" t="s">
        <v>1114</v>
      </c>
      <c r="C44" s="1975">
        <v>0.04</v>
      </c>
      <c r="D44" s="1974"/>
      <c r="E44" s="1970">
        <f>'R-Entrada'!E36/100</f>
        <v>0.04</v>
      </c>
      <c r="F44" s="1889"/>
      <c r="G44" s="2643"/>
      <c r="H44" s="1976"/>
      <c r="I44" s="1889"/>
      <c r="J44" s="1889"/>
      <c r="K44" s="1889"/>
      <c r="L44" s="1889"/>
      <c r="M44" s="1889"/>
      <c r="N44" s="1890"/>
      <c r="O44" s="1890"/>
      <c r="P44" s="1890"/>
      <c r="Q44" s="1890"/>
      <c r="R44" s="1890"/>
      <c r="S44" s="1890"/>
      <c r="T44" s="1890"/>
    </row>
    <row r="45" spans="1:20" ht="18" customHeight="1" x14ac:dyDescent="0.25">
      <c r="A45" s="1957"/>
      <c r="B45" s="1967" t="s">
        <v>1115</v>
      </c>
      <c r="C45" s="1968">
        <v>4.7E-2</v>
      </c>
      <c r="D45" s="1974"/>
      <c r="E45" s="1970">
        <f>'R-Entrada'!E37/100</f>
        <v>7.3000000000000001E-3</v>
      </c>
      <c r="F45" s="1889"/>
      <c r="G45" s="2643"/>
      <c r="H45" s="1976"/>
      <c r="I45" s="1889"/>
      <c r="J45" s="1889"/>
      <c r="K45" s="1889"/>
      <c r="L45" s="1889"/>
      <c r="M45" s="1889"/>
      <c r="N45" s="1890"/>
      <c r="O45" s="1890"/>
      <c r="P45" s="1890"/>
      <c r="Q45" s="1890"/>
      <c r="R45" s="1890"/>
      <c r="S45" s="1890"/>
      <c r="T45" s="1890"/>
    </row>
    <row r="46" spans="1:20" ht="18" customHeight="1" x14ac:dyDescent="0.25">
      <c r="A46" s="1957"/>
      <c r="B46" s="1967" t="s">
        <v>1116</v>
      </c>
      <c r="C46" s="1968">
        <v>0</v>
      </c>
      <c r="D46" s="1974"/>
      <c r="E46" s="1970">
        <f>'R-Entrada'!E38/100</f>
        <v>0</v>
      </c>
      <c r="F46" s="1889"/>
      <c r="G46" s="2643"/>
      <c r="H46" s="1976"/>
      <c r="I46" s="1889"/>
      <c r="J46" s="1889"/>
      <c r="K46" s="1889"/>
      <c r="L46" s="1889"/>
      <c r="M46" s="1889"/>
      <c r="N46" s="1890"/>
      <c r="O46" s="1890"/>
      <c r="P46" s="1890"/>
      <c r="Q46" s="1890"/>
      <c r="R46" s="1890"/>
      <c r="S46" s="1890"/>
      <c r="T46" s="1890"/>
    </row>
    <row r="47" spans="1:20" ht="18" customHeight="1" x14ac:dyDescent="0.25">
      <c r="A47" s="1977"/>
      <c r="B47" s="1967" t="s">
        <v>1117</v>
      </c>
      <c r="C47" s="1968">
        <v>4.7E-2</v>
      </c>
      <c r="D47" s="1978"/>
      <c r="E47" s="1970">
        <f>'R-Entrada'!E39/100</f>
        <v>6.5600000000000019E-2</v>
      </c>
      <c r="F47" s="1889"/>
      <c r="G47" s="2643"/>
      <c r="H47" s="1976"/>
      <c r="I47" s="1889"/>
      <c r="J47" s="1889"/>
      <c r="K47" s="1889"/>
      <c r="L47" s="1889"/>
      <c r="M47" s="1889"/>
      <c r="N47" s="1890"/>
      <c r="O47" s="1890"/>
      <c r="P47" s="1890"/>
      <c r="Q47" s="1890"/>
      <c r="R47" s="1890"/>
      <c r="S47" s="1890"/>
      <c r="T47" s="1890"/>
    </row>
    <row r="48" spans="1:20" ht="18" customHeight="1" x14ac:dyDescent="0.25">
      <c r="A48" s="1957"/>
      <c r="B48" s="1979" t="s">
        <v>42</v>
      </c>
      <c r="C48" s="1980">
        <f>SUM(C35:C47)</f>
        <v>1.0000000000000002</v>
      </c>
      <c r="D48" s="1980">
        <f>SUM(D35:D47)</f>
        <v>0</v>
      </c>
      <c r="E48" s="1981">
        <f>SUM(E35:E47)</f>
        <v>1.0000000000000002</v>
      </c>
      <c r="F48" s="1911"/>
      <c r="G48" s="1982"/>
      <c r="H48" s="1889"/>
      <c r="I48" s="1889"/>
      <c r="J48" s="1889"/>
      <c r="K48" s="1889"/>
      <c r="L48" s="1889"/>
      <c r="M48" s="1889"/>
      <c r="N48" s="1890"/>
      <c r="O48" s="1890"/>
      <c r="P48" s="1890"/>
      <c r="Q48" s="1890"/>
      <c r="R48" s="1890"/>
      <c r="S48" s="1890"/>
      <c r="T48" s="1890"/>
    </row>
    <row r="49" spans="1:20" x14ac:dyDescent="0.2">
      <c r="A49" s="1889"/>
      <c r="B49" s="1889"/>
      <c r="C49" s="1983"/>
      <c r="D49" s="1983"/>
      <c r="E49" s="1889"/>
      <c r="F49" s="1889"/>
      <c r="G49" s="1889"/>
      <c r="H49" s="1889"/>
      <c r="I49" s="1889"/>
      <c r="J49" s="1889"/>
      <c r="K49" s="1889"/>
      <c r="L49" s="1889"/>
      <c r="M49" s="1889"/>
      <c r="N49" s="1984"/>
      <c r="O49" s="1890"/>
      <c r="P49" s="1890"/>
      <c r="Q49" s="1890"/>
      <c r="R49" s="1890"/>
      <c r="S49" s="1890"/>
      <c r="T49" s="1890"/>
    </row>
    <row r="50" spans="1:20" ht="26.1" customHeight="1" x14ac:dyDescent="0.2">
      <c r="A50" s="1912" t="s">
        <v>1118</v>
      </c>
      <c r="B50" s="1985"/>
      <c r="C50" s="1986"/>
      <c r="D50" s="1986"/>
      <c r="E50" s="1985"/>
      <c r="F50" s="1985"/>
      <c r="G50" s="1985"/>
      <c r="H50" s="1985"/>
      <c r="I50" s="1889"/>
      <c r="J50" s="1889"/>
      <c r="K50" s="1889"/>
      <c r="L50" s="1889"/>
      <c r="M50" s="1889"/>
      <c r="N50" s="1890"/>
      <c r="O50" s="1890"/>
      <c r="P50" s="1890"/>
      <c r="Q50" s="1890"/>
      <c r="R50" s="1890"/>
      <c r="S50" s="1890"/>
      <c r="T50" s="1890"/>
    </row>
    <row r="51" spans="1:20" ht="18" customHeight="1" x14ac:dyDescent="0.2">
      <c r="A51" s="1904" t="s">
        <v>1119</v>
      </c>
      <c r="B51" s="1915"/>
      <c r="C51" s="1915"/>
      <c r="D51" s="1915"/>
      <c r="E51" s="1915"/>
      <c r="F51" s="1915"/>
      <c r="G51" s="1900"/>
      <c r="H51" s="1900"/>
      <c r="I51" s="1900"/>
      <c r="J51" s="1900"/>
      <c r="K51" s="1900"/>
      <c r="L51" s="1900"/>
      <c r="M51" s="1889"/>
      <c r="N51" s="1890"/>
      <c r="O51" s="1890"/>
      <c r="P51" s="1890"/>
      <c r="Q51" s="1890"/>
      <c r="R51" s="1890"/>
      <c r="S51" s="1890"/>
      <c r="T51" s="1890"/>
    </row>
    <row r="52" spans="1:20" ht="18" customHeight="1" x14ac:dyDescent="0.2">
      <c r="A52" s="1987"/>
      <c r="B52" s="1915"/>
      <c r="C52" s="1915"/>
      <c r="D52" s="1915"/>
      <c r="E52" s="1915"/>
      <c r="F52" s="1915"/>
      <c r="G52" s="1900"/>
      <c r="H52" s="1900"/>
      <c r="I52" s="1900"/>
      <c r="J52" s="1900"/>
      <c r="K52" s="1900"/>
      <c r="L52" s="1900"/>
      <c r="M52" s="1889"/>
      <c r="N52" s="1890"/>
      <c r="O52" s="1890"/>
      <c r="P52" s="1890"/>
      <c r="Q52" s="1890"/>
      <c r="R52" s="1890"/>
      <c r="S52" s="1890"/>
      <c r="T52" s="1890"/>
    </row>
    <row r="53" spans="1:20" ht="18" customHeight="1" x14ac:dyDescent="0.2">
      <c r="A53" s="1904" t="s">
        <v>1120</v>
      </c>
      <c r="B53" s="1915"/>
      <c r="C53" s="1915"/>
      <c r="D53" s="1915"/>
      <c r="E53" s="1915"/>
      <c r="F53" s="1915"/>
      <c r="G53" s="1900"/>
      <c r="H53" s="1900"/>
      <c r="I53" s="1900"/>
      <c r="J53" s="1900"/>
      <c r="K53" s="1900"/>
      <c r="L53" s="1900"/>
      <c r="M53" s="1988"/>
      <c r="N53" s="1890"/>
      <c r="O53" s="1890"/>
      <c r="P53" s="1890"/>
      <c r="Q53" s="1890"/>
      <c r="R53" s="1890"/>
      <c r="S53" s="1890"/>
      <c r="T53" s="1890"/>
    </row>
    <row r="54" spans="1:20" ht="18" customHeight="1" x14ac:dyDescent="0.2">
      <c r="A54" s="1915"/>
      <c r="B54" s="1989" t="s">
        <v>1121</v>
      </c>
      <c r="C54" s="1990"/>
      <c r="D54" s="1990"/>
      <c r="E54" s="1991"/>
      <c r="F54" s="1915"/>
      <c r="G54" s="1900"/>
      <c r="H54" s="1900"/>
      <c r="I54" s="1900"/>
      <c r="J54" s="1900"/>
      <c r="K54" s="1900"/>
      <c r="L54" s="1900"/>
      <c r="M54" s="1889"/>
      <c r="N54" s="1890"/>
      <c r="O54" s="1890"/>
      <c r="P54" s="1890"/>
      <c r="Q54" s="1890"/>
      <c r="R54" s="1890"/>
      <c r="S54" s="1890"/>
      <c r="T54" s="1890"/>
    </row>
    <row r="55" spans="1:20" ht="18" customHeight="1" x14ac:dyDescent="0.2">
      <c r="A55" s="1915"/>
      <c r="B55" s="1992" t="s">
        <v>1122</v>
      </c>
      <c r="C55" s="1908"/>
      <c r="D55" s="1909"/>
      <c r="E55" s="1993">
        <v>0</v>
      </c>
      <c r="F55" s="1915"/>
      <c r="G55" s="1900"/>
      <c r="H55" s="1900"/>
      <c r="I55" s="1900"/>
      <c r="J55" s="1900"/>
      <c r="K55" s="1900"/>
      <c r="L55" s="1900"/>
      <c r="M55" s="1889"/>
      <c r="N55" s="1890"/>
      <c r="O55" s="1890"/>
      <c r="P55" s="1890"/>
      <c r="Q55" s="1890"/>
      <c r="R55" s="1890"/>
      <c r="S55" s="1890"/>
      <c r="T55" s="1890"/>
    </row>
    <row r="56" spans="1:20" ht="18" customHeight="1" x14ac:dyDescent="0.2">
      <c r="A56" s="1915"/>
      <c r="B56" s="1992" t="s">
        <v>1123</v>
      </c>
      <c r="C56" s="1908"/>
      <c r="D56" s="1909"/>
      <c r="E56" s="1993">
        <v>1</v>
      </c>
      <c r="F56" s="1915"/>
      <c r="G56" s="1900"/>
      <c r="H56" s="1900"/>
      <c r="I56" s="1900"/>
      <c r="J56" s="1900"/>
      <c r="K56" s="1900"/>
      <c r="L56" s="1900"/>
      <c r="M56" s="1889"/>
      <c r="N56" s="1890"/>
      <c r="O56" s="1890"/>
      <c r="P56" s="1890"/>
      <c r="Q56" s="1890"/>
      <c r="R56" s="1890"/>
      <c r="S56" s="1890"/>
      <c r="T56" s="1890"/>
    </row>
    <row r="57" spans="1:20" ht="18" customHeight="1" x14ac:dyDescent="0.25">
      <c r="A57" s="1898"/>
      <c r="B57" s="1898"/>
      <c r="C57" s="1898"/>
      <c r="D57" s="1898"/>
      <c r="E57" s="1898"/>
      <c r="F57" s="1898"/>
      <c r="G57" s="1900"/>
      <c r="H57" s="1994" t="s">
        <v>1095</v>
      </c>
      <c r="I57" s="1995"/>
      <c r="J57" s="1995"/>
      <c r="K57" s="1995"/>
      <c r="L57" s="1996"/>
      <c r="M57" s="1889"/>
      <c r="N57" s="1890"/>
      <c r="O57" s="1890"/>
      <c r="P57" s="1890"/>
      <c r="Q57" s="1890"/>
      <c r="R57" s="1890"/>
      <c r="S57" s="1890"/>
      <c r="T57" s="1890"/>
    </row>
    <row r="58" spans="1:20" ht="18" customHeight="1" x14ac:dyDescent="0.25">
      <c r="A58" s="1898"/>
      <c r="B58" s="1898"/>
      <c r="C58" s="1898"/>
      <c r="D58" s="1898"/>
      <c r="E58" s="1898"/>
      <c r="F58" s="1898"/>
      <c r="G58" s="1900"/>
      <c r="H58" s="1997" t="s">
        <v>1124</v>
      </c>
      <c r="I58" s="1998"/>
      <c r="J58" s="1998"/>
      <c r="K58" s="1998"/>
      <c r="L58" s="1999"/>
      <c r="M58" s="1889"/>
      <c r="N58" s="1890"/>
      <c r="O58" s="1890"/>
      <c r="P58" s="1890"/>
      <c r="Q58" s="1890"/>
      <c r="R58" s="1890"/>
      <c r="S58" s="1890"/>
      <c r="T58" s="1890"/>
    </row>
    <row r="59" spans="1:20" ht="26.1" customHeight="1" x14ac:dyDescent="0.25">
      <c r="A59" s="2000" t="s">
        <v>1125</v>
      </c>
      <c r="B59" s="2001"/>
      <c r="C59" s="2001"/>
      <c r="D59" s="2001"/>
      <c r="E59" s="2001"/>
      <c r="F59" s="1898"/>
      <c r="G59" s="1900"/>
      <c r="H59" s="2002" t="s">
        <v>1126</v>
      </c>
      <c r="I59" s="1998"/>
      <c r="J59" s="1998"/>
      <c r="K59" s="1998"/>
      <c r="L59" s="1999"/>
      <c r="M59" s="1889"/>
      <c r="N59" s="1890"/>
      <c r="O59" s="1890"/>
      <c r="P59" s="1890"/>
      <c r="Q59" s="1890"/>
      <c r="R59" s="1890"/>
      <c r="S59" s="1890"/>
      <c r="T59" s="1890"/>
    </row>
    <row r="60" spans="1:20" ht="18" customHeight="1" x14ac:dyDescent="0.25">
      <c r="A60" s="1904" t="s">
        <v>1127</v>
      </c>
      <c r="B60" s="1915"/>
      <c r="C60" s="1915"/>
      <c r="D60" s="1915"/>
      <c r="E60" s="1915"/>
      <c r="F60" s="1898"/>
      <c r="G60" s="1900"/>
      <c r="H60" s="2003"/>
      <c r="I60" s="1998"/>
      <c r="J60" s="1998"/>
      <c r="K60" s="1998"/>
      <c r="L60" s="1999"/>
      <c r="M60" s="1889"/>
      <c r="N60" s="1890"/>
      <c r="O60" s="1890"/>
      <c r="P60" s="1890"/>
      <c r="Q60" s="1890"/>
      <c r="R60" s="1890"/>
      <c r="S60" s="1890"/>
      <c r="T60" s="1890"/>
    </row>
    <row r="61" spans="1:20" ht="18" customHeight="1" x14ac:dyDescent="0.25">
      <c r="A61" s="1904"/>
      <c r="B61" s="1915"/>
      <c r="C61" s="1915"/>
      <c r="D61" s="1915"/>
      <c r="E61" s="1915"/>
      <c r="F61" s="1898"/>
      <c r="G61" s="1900"/>
      <c r="H61" s="2004" t="s">
        <v>1128</v>
      </c>
      <c r="I61" s="1998"/>
      <c r="J61" s="1998"/>
      <c r="K61" s="1998"/>
      <c r="L61" s="1999"/>
      <c r="M61" s="1889"/>
      <c r="N61" s="1890"/>
      <c r="O61" s="1890"/>
      <c r="P61" s="1890"/>
      <c r="Q61" s="1890"/>
      <c r="R61" s="1890"/>
      <c r="S61" s="1890"/>
      <c r="T61" s="1890"/>
    </row>
    <row r="62" spans="1:20" ht="18" customHeight="1" x14ac:dyDescent="0.25">
      <c r="A62" s="1904" t="s">
        <v>1129</v>
      </c>
      <c r="B62" s="1915"/>
      <c r="C62" s="1915"/>
      <c r="D62" s="1915"/>
      <c r="E62" s="1915"/>
      <c r="F62" s="1898"/>
      <c r="G62" s="1900"/>
      <c r="H62" s="1997" t="s">
        <v>1130</v>
      </c>
      <c r="I62" s="1998"/>
      <c r="J62" s="2005" t="s">
        <v>1131</v>
      </c>
      <c r="K62" s="2006">
        <f>IF((E55+E56)=1,'CO2 - Cálculos'!C67+'CO2 - Cálculos'!C68,"errado")</f>
        <v>8.5983600000000013</v>
      </c>
      <c r="L62" s="1999"/>
      <c r="M62" s="1889"/>
      <c r="N62" s="1890"/>
      <c r="O62" s="1890"/>
      <c r="P62" s="1890"/>
      <c r="Q62" s="1890"/>
      <c r="R62" s="1890"/>
      <c r="S62" s="1890"/>
      <c r="T62" s="1890"/>
    </row>
    <row r="63" spans="1:20" ht="18" customHeight="1" x14ac:dyDescent="0.25">
      <c r="A63" s="1904"/>
      <c r="B63" s="1915"/>
      <c r="C63" s="1915"/>
      <c r="D63" s="1915"/>
      <c r="E63" s="1915"/>
      <c r="F63" s="1898"/>
      <c r="G63" s="1900"/>
      <c r="H63" s="1997" t="s">
        <v>1132</v>
      </c>
      <c r="I63" s="1998"/>
      <c r="J63" s="2005" t="s">
        <v>1105</v>
      </c>
      <c r="K63" s="2007">
        <f>+'CO2 - Cálculos'!C62</f>
        <v>0.27421050000000002</v>
      </c>
      <c r="L63" s="1999"/>
      <c r="M63" s="1889"/>
      <c r="N63" s="1890"/>
      <c r="O63" s="1890"/>
      <c r="P63" s="1890"/>
      <c r="Q63" s="1890"/>
      <c r="R63" s="1890"/>
      <c r="S63" s="1890"/>
      <c r="T63" s="1890"/>
    </row>
    <row r="64" spans="1:20" ht="18" customHeight="1" x14ac:dyDescent="0.25">
      <c r="A64" s="1904"/>
      <c r="B64" s="1915"/>
      <c r="C64" s="1915"/>
      <c r="D64" s="1915"/>
      <c r="E64" s="1915"/>
      <c r="F64" s="1898"/>
      <c r="G64" s="1900"/>
      <c r="H64" s="1997" t="s">
        <v>1133</v>
      </c>
      <c r="I64" s="1998"/>
      <c r="J64" s="2005" t="s">
        <v>1105</v>
      </c>
      <c r="K64" s="2007">
        <f>+'CO2 - Cálculos'!C63</f>
        <v>0.10932450000000002</v>
      </c>
      <c r="L64" s="1999"/>
      <c r="M64" s="1889"/>
      <c r="N64" s="1890"/>
      <c r="O64" s="1890"/>
      <c r="P64" s="1890"/>
      <c r="Q64" s="1890"/>
      <c r="R64" s="1890"/>
      <c r="S64" s="1890"/>
      <c r="T64" s="1890"/>
    </row>
    <row r="65" spans="1:20" ht="18" customHeight="1" x14ac:dyDescent="0.25">
      <c r="A65" s="2008"/>
      <c r="B65" s="1915"/>
      <c r="C65" s="1915"/>
      <c r="D65" s="1915"/>
      <c r="E65" s="1915"/>
      <c r="F65" s="1898"/>
      <c r="G65" s="1900"/>
      <c r="H65" s="1997" t="s">
        <v>1134</v>
      </c>
      <c r="I65" s="1998"/>
      <c r="J65" s="2005" t="s">
        <v>1105</v>
      </c>
      <c r="K65" s="2007">
        <f>+'CO2 - Cálculos'!C64</f>
        <v>0.164886</v>
      </c>
      <c r="L65" s="1999"/>
      <c r="M65" s="1889"/>
      <c r="N65" s="1890"/>
      <c r="O65" s="1890"/>
      <c r="P65" s="1890"/>
      <c r="Q65" s="1890"/>
      <c r="R65" s="1890"/>
      <c r="S65" s="1890"/>
      <c r="T65" s="1890"/>
    </row>
    <row r="66" spans="1:20" ht="18" customHeight="1" x14ac:dyDescent="0.25">
      <c r="A66" s="1915"/>
      <c r="B66" s="1961" t="s">
        <v>1135</v>
      </c>
      <c r="C66" s="1961" t="s">
        <v>1136</v>
      </c>
      <c r="D66" s="2009"/>
      <c r="E66" s="1961" t="s">
        <v>1137</v>
      </c>
      <c r="F66" s="1898"/>
      <c r="G66" s="1900"/>
      <c r="H66" s="2010"/>
      <c r="I66" s="2011"/>
      <c r="J66" s="2011"/>
      <c r="K66" s="2011"/>
      <c r="L66" s="2012"/>
      <c r="M66" s="1889"/>
      <c r="N66" s="1890"/>
      <c r="O66" s="1890"/>
      <c r="P66" s="1890"/>
      <c r="Q66" s="1890"/>
      <c r="R66" s="1890"/>
      <c r="S66" s="1890"/>
      <c r="T66" s="1890"/>
    </row>
    <row r="67" spans="1:20" ht="18" customHeight="1" x14ac:dyDescent="0.25">
      <c r="A67" s="1915"/>
      <c r="B67" s="1967" t="s">
        <v>1138</v>
      </c>
      <c r="C67" s="2013">
        <v>93</v>
      </c>
      <c r="D67" s="2013" t="s">
        <v>1137</v>
      </c>
      <c r="E67" s="1925">
        <v>75.900000000000006</v>
      </c>
      <c r="F67" s="1898" t="s">
        <v>1139</v>
      </c>
      <c r="G67" s="1900"/>
      <c r="H67" s="1900"/>
      <c r="I67" s="1900"/>
      <c r="J67" s="1900"/>
      <c r="K67" s="1900"/>
      <c r="L67" s="1900"/>
      <c r="M67" s="1889"/>
      <c r="N67" s="1890"/>
      <c r="O67" s="1890"/>
      <c r="P67" s="1890"/>
      <c r="Q67" s="1890"/>
      <c r="R67" s="1890"/>
      <c r="S67" s="1890"/>
      <c r="T67" s="1890"/>
    </row>
    <row r="68" spans="1:20" ht="18" customHeight="1" x14ac:dyDescent="0.2">
      <c r="A68" s="1900"/>
      <c r="B68" s="1900"/>
      <c r="C68" s="1900"/>
      <c r="D68" s="1900"/>
      <c r="E68" s="1900"/>
      <c r="F68" s="1900"/>
      <c r="G68" s="1900"/>
      <c r="H68" s="1900"/>
      <c r="I68" s="1900"/>
      <c r="J68" s="1900"/>
      <c r="K68" s="1900"/>
      <c r="L68" s="1900"/>
      <c r="M68" s="1889"/>
      <c r="N68" s="1890"/>
      <c r="O68" s="1890"/>
      <c r="P68" s="1890"/>
      <c r="Q68" s="1890"/>
      <c r="R68" s="1890"/>
      <c r="S68" s="1890"/>
      <c r="T68" s="1890"/>
    </row>
    <row r="69" spans="1:20" x14ac:dyDescent="0.2">
      <c r="A69" s="1900"/>
      <c r="B69" s="1900"/>
      <c r="C69" s="1900"/>
      <c r="D69" s="1900"/>
      <c r="E69" s="1900"/>
      <c r="F69" s="1900"/>
      <c r="G69" s="1900"/>
      <c r="H69" s="1900"/>
      <c r="I69" s="1900"/>
      <c r="J69" s="1900"/>
      <c r="K69" s="1900"/>
      <c r="L69" s="1900"/>
      <c r="M69" s="1889"/>
      <c r="N69" s="1890"/>
      <c r="O69" s="1890"/>
      <c r="P69" s="1890"/>
      <c r="Q69" s="1890"/>
      <c r="R69" s="1890"/>
      <c r="S69" s="1890"/>
      <c r="T69" s="1890"/>
    </row>
    <row r="70" spans="1:20" x14ac:dyDescent="0.2">
      <c r="A70" s="1889"/>
      <c r="B70" s="1889"/>
      <c r="C70" s="1889"/>
      <c r="D70" s="1889"/>
      <c r="E70" s="1889"/>
      <c r="F70" s="1889"/>
      <c r="G70" s="1889"/>
      <c r="H70" s="1889"/>
      <c r="I70" s="1889"/>
      <c r="J70" s="1889"/>
      <c r="K70" s="1889"/>
      <c r="L70" s="1889"/>
      <c r="M70" s="1889"/>
      <c r="N70" s="1890"/>
      <c r="O70" s="1890"/>
      <c r="P70" s="1890"/>
      <c r="Q70" s="1890"/>
      <c r="R70" s="1890"/>
      <c r="S70" s="1890"/>
      <c r="T70" s="1890"/>
    </row>
    <row r="71" spans="1:20" x14ac:dyDescent="0.2">
      <c r="A71" s="1890"/>
      <c r="B71" s="1890"/>
      <c r="C71" s="1890"/>
      <c r="D71" s="1890"/>
      <c r="E71" s="1890"/>
      <c r="F71" s="1890"/>
      <c r="G71" s="1890"/>
      <c r="H71" s="1890"/>
      <c r="I71" s="1890"/>
      <c r="J71" s="1890"/>
      <c r="K71" s="1890"/>
      <c r="L71" s="1890"/>
      <c r="M71" s="1890"/>
      <c r="N71" s="1890"/>
      <c r="O71" s="1890"/>
      <c r="P71" s="1890"/>
      <c r="Q71" s="1890"/>
      <c r="R71" s="1890"/>
      <c r="S71" s="1890"/>
      <c r="T71" s="1890"/>
    </row>
    <row r="72" spans="1:20" x14ac:dyDescent="0.2">
      <c r="A72" s="1890"/>
      <c r="B72" s="1890"/>
      <c r="C72" s="1890"/>
      <c r="D72" s="1890"/>
      <c r="E72" s="1890"/>
      <c r="F72" s="1890"/>
      <c r="G72" s="1890"/>
      <c r="H72" s="1890"/>
      <c r="I72" s="1890"/>
      <c r="J72" s="1890"/>
      <c r="K72" s="1890"/>
      <c r="L72" s="1890"/>
      <c r="M72" s="1890"/>
      <c r="N72" s="1890"/>
      <c r="O72" s="1890"/>
      <c r="P72" s="1890"/>
      <c r="Q72" s="1890"/>
      <c r="R72" s="1890"/>
      <c r="S72" s="1890"/>
      <c r="T72" s="1890"/>
    </row>
    <row r="73" spans="1:20" x14ac:dyDescent="0.2">
      <c r="A73" s="1890"/>
      <c r="B73" s="1890"/>
      <c r="C73" s="1890"/>
      <c r="D73" s="1890"/>
      <c r="E73" s="1890"/>
      <c r="F73" s="1890"/>
      <c r="G73" s="1890"/>
      <c r="H73" s="1890"/>
      <c r="I73" s="1890"/>
      <c r="J73" s="1890"/>
      <c r="K73" s="1890"/>
      <c r="L73" s="1890"/>
      <c r="M73" s="1890"/>
      <c r="N73" s="1890"/>
      <c r="O73" s="1890"/>
      <c r="P73" s="1890"/>
      <c r="Q73" s="1890"/>
      <c r="R73" s="1890"/>
      <c r="S73" s="1890"/>
      <c r="T73" s="1890"/>
    </row>
    <row r="74" spans="1:20" x14ac:dyDescent="0.2">
      <c r="A74" s="1890"/>
      <c r="B74" s="1890"/>
      <c r="C74" s="1890"/>
      <c r="D74" s="1890"/>
      <c r="E74" s="1890"/>
      <c r="F74" s="1890"/>
      <c r="G74" s="1890"/>
      <c r="H74" s="1890"/>
      <c r="I74" s="1890"/>
      <c r="J74" s="1890"/>
      <c r="K74" s="1890"/>
      <c r="L74" s="1890"/>
      <c r="M74" s="1890"/>
      <c r="N74" s="1890"/>
      <c r="O74" s="1890"/>
      <c r="P74" s="1890"/>
      <c r="Q74" s="1890"/>
      <c r="R74" s="1890"/>
      <c r="S74" s="1890"/>
      <c r="T74" s="1890"/>
    </row>
    <row r="75" spans="1:20" x14ac:dyDescent="0.2">
      <c r="A75" s="1890"/>
      <c r="B75" s="1890"/>
      <c r="C75" s="1890"/>
      <c r="D75" s="1890"/>
      <c r="E75" s="1890"/>
      <c r="F75" s="1890"/>
      <c r="G75" s="1890"/>
      <c r="H75" s="1890"/>
      <c r="I75" s="1890"/>
      <c r="J75" s="1890"/>
      <c r="K75" s="1890"/>
      <c r="L75" s="1890"/>
      <c r="M75" s="1890"/>
      <c r="N75" s="1890"/>
      <c r="O75" s="1890"/>
      <c r="P75" s="1890"/>
      <c r="Q75" s="1890"/>
      <c r="R75" s="1890"/>
      <c r="S75" s="1890"/>
      <c r="T75" s="1890"/>
    </row>
    <row r="76" spans="1:20" x14ac:dyDescent="0.2">
      <c r="A76" s="1890"/>
      <c r="B76" s="1890"/>
      <c r="C76" s="1890"/>
      <c r="D76" s="1890"/>
      <c r="E76" s="1890"/>
      <c r="F76" s="1890"/>
      <c r="G76" s="1890"/>
      <c r="H76" s="1890"/>
      <c r="I76" s="1890"/>
      <c r="J76" s="1890"/>
      <c r="K76" s="1890"/>
      <c r="L76" s="1890"/>
      <c r="M76" s="1890"/>
      <c r="N76" s="1890"/>
      <c r="O76" s="1890"/>
      <c r="P76" s="1890"/>
      <c r="Q76" s="1890"/>
      <c r="R76" s="1890"/>
      <c r="S76" s="1890"/>
      <c r="T76" s="1890"/>
    </row>
    <row r="77" spans="1:20" x14ac:dyDescent="0.2">
      <c r="A77" s="1890"/>
      <c r="B77" s="1890"/>
      <c r="C77" s="1890"/>
      <c r="D77" s="1890"/>
      <c r="E77" s="1890"/>
      <c r="F77" s="1890"/>
      <c r="G77" s="1890"/>
      <c r="H77" s="1890"/>
      <c r="I77" s="1890"/>
      <c r="J77" s="1890"/>
      <c r="K77" s="1890"/>
      <c r="L77" s="1890"/>
      <c r="M77" s="1890"/>
      <c r="N77" s="1890"/>
      <c r="O77" s="1890"/>
      <c r="P77" s="1890"/>
      <c r="Q77" s="1890"/>
      <c r="R77" s="1890"/>
      <c r="S77" s="1890"/>
      <c r="T77" s="1890"/>
    </row>
    <row r="78" spans="1:20" x14ac:dyDescent="0.2">
      <c r="A78" s="1890"/>
      <c r="B78" s="1890"/>
      <c r="C78" s="1890"/>
      <c r="D78" s="1890"/>
      <c r="E78" s="1890"/>
      <c r="F78" s="1890"/>
      <c r="G78" s="1890"/>
      <c r="H78" s="1890"/>
      <c r="I78" s="1890"/>
      <c r="J78" s="1890"/>
      <c r="K78" s="1890"/>
      <c r="L78" s="1890"/>
      <c r="M78" s="1890"/>
      <c r="N78" s="1890"/>
      <c r="O78" s="1890"/>
      <c r="P78" s="1890"/>
      <c r="Q78" s="1890"/>
      <c r="R78" s="1890"/>
      <c r="S78" s="1890"/>
      <c r="T78" s="1890"/>
    </row>
    <row r="79" spans="1:20" x14ac:dyDescent="0.2">
      <c r="A79" s="1890"/>
      <c r="B79" s="1890"/>
      <c r="C79" s="1890"/>
      <c r="D79" s="1890"/>
      <c r="E79" s="1890"/>
      <c r="F79" s="1890"/>
      <c r="G79" s="1890"/>
      <c r="H79" s="1890"/>
      <c r="I79" s="1890"/>
      <c r="J79" s="1890"/>
      <c r="K79" s="1890"/>
      <c r="L79" s="1890"/>
      <c r="M79" s="1890"/>
      <c r="N79" s="1890"/>
      <c r="O79" s="1890"/>
      <c r="P79" s="1890"/>
      <c r="Q79" s="1890"/>
      <c r="R79" s="1890"/>
      <c r="S79" s="1890"/>
      <c r="T79" s="1890"/>
    </row>
    <row r="80" spans="1:20" x14ac:dyDescent="0.2">
      <c r="A80" s="1890"/>
      <c r="B80" s="1890"/>
      <c r="C80" s="1890"/>
      <c r="D80" s="1890"/>
      <c r="E80" s="1890"/>
      <c r="F80" s="1890"/>
      <c r="G80" s="1890"/>
      <c r="H80" s="1890"/>
      <c r="I80" s="1890"/>
      <c r="J80" s="1890"/>
      <c r="K80" s="1890"/>
      <c r="L80" s="1890"/>
      <c r="M80" s="1890"/>
      <c r="N80" s="1890"/>
      <c r="O80" s="1890"/>
      <c r="P80" s="1890"/>
      <c r="Q80" s="1890"/>
      <c r="R80" s="1890"/>
      <c r="S80" s="1890"/>
      <c r="T80" s="1890"/>
    </row>
    <row r="81" spans="1:20" x14ac:dyDescent="0.2">
      <c r="A81" s="1890"/>
      <c r="B81" s="1890"/>
      <c r="C81" s="1890"/>
      <c r="D81" s="1890"/>
      <c r="E81" s="1890"/>
      <c r="F81" s="1890"/>
      <c r="G81" s="1890"/>
      <c r="H81" s="1890"/>
      <c r="I81" s="1890"/>
      <c r="J81" s="1890"/>
      <c r="K81" s="1890"/>
      <c r="L81" s="1890"/>
      <c r="M81" s="1890"/>
      <c r="N81" s="1890"/>
      <c r="O81" s="1890"/>
      <c r="P81" s="1890"/>
      <c r="Q81" s="1890"/>
      <c r="R81" s="1890"/>
      <c r="S81" s="1890"/>
      <c r="T81" s="1890"/>
    </row>
    <row r="82" spans="1:20" x14ac:dyDescent="0.2">
      <c r="A82" s="1890"/>
      <c r="B82" s="1890"/>
      <c r="C82" s="1890"/>
      <c r="D82" s="1890"/>
      <c r="E82" s="1890"/>
      <c r="F82" s="1890"/>
      <c r="G82" s="1890"/>
      <c r="H82" s="1890"/>
      <c r="I82" s="1890"/>
      <c r="J82" s="1890"/>
      <c r="K82" s="1890"/>
      <c r="L82" s="1890"/>
      <c r="M82" s="1890"/>
      <c r="N82" s="1890"/>
      <c r="O82" s="1890"/>
      <c r="P82" s="1890"/>
      <c r="Q82" s="1890"/>
      <c r="R82" s="1890"/>
      <c r="S82" s="1890"/>
      <c r="T82" s="1890"/>
    </row>
    <row r="83" spans="1:20" x14ac:dyDescent="0.2">
      <c r="A83" s="1890"/>
      <c r="B83" s="1890"/>
      <c r="C83" s="1890"/>
      <c r="D83" s="1890"/>
      <c r="E83" s="1890"/>
      <c r="F83" s="1890"/>
      <c r="G83" s="1890"/>
      <c r="H83" s="1890"/>
      <c r="I83" s="1890"/>
      <c r="J83" s="1890"/>
      <c r="K83" s="1890"/>
      <c r="L83" s="1890"/>
      <c r="M83" s="1890"/>
      <c r="N83" s="1890"/>
      <c r="O83" s="1890"/>
      <c r="P83" s="1890"/>
      <c r="Q83" s="1890"/>
      <c r="R83" s="1890"/>
      <c r="S83" s="1890"/>
      <c r="T83" s="1890"/>
    </row>
    <row r="84" spans="1:20" x14ac:dyDescent="0.2">
      <c r="A84" s="1890"/>
      <c r="B84" s="1890"/>
      <c r="C84" s="1890"/>
      <c r="D84" s="1890"/>
      <c r="E84" s="1890"/>
      <c r="F84" s="1890"/>
      <c r="G84" s="1890"/>
      <c r="H84" s="1890"/>
      <c r="I84" s="1890"/>
      <c r="J84" s="1890"/>
      <c r="K84" s="1890"/>
      <c r="L84" s="1890"/>
      <c r="M84" s="1890"/>
      <c r="N84" s="1890"/>
      <c r="O84" s="1890"/>
      <c r="P84" s="1890"/>
      <c r="Q84" s="1890"/>
      <c r="R84" s="1890"/>
      <c r="S84" s="1890"/>
      <c r="T84" s="1890"/>
    </row>
    <row r="85" spans="1:20" x14ac:dyDescent="0.2">
      <c r="A85" s="1890"/>
      <c r="B85" s="1890"/>
      <c r="C85" s="1890"/>
      <c r="D85" s="1890"/>
      <c r="E85" s="1890"/>
      <c r="F85" s="1890"/>
      <c r="G85" s="1890"/>
      <c r="H85" s="1890"/>
      <c r="I85" s="1890"/>
      <c r="J85" s="1890"/>
      <c r="K85" s="1890"/>
      <c r="L85" s="1890"/>
      <c r="M85" s="1890"/>
      <c r="N85" s="1890"/>
      <c r="O85" s="1890"/>
      <c r="P85" s="1890"/>
      <c r="Q85" s="1890"/>
      <c r="R85" s="1890"/>
      <c r="S85" s="1890"/>
      <c r="T85" s="1890"/>
    </row>
    <row r="86" spans="1:20" x14ac:dyDescent="0.2">
      <c r="A86" s="1890"/>
      <c r="B86" s="1890"/>
      <c r="C86" s="1890"/>
      <c r="D86" s="1890"/>
      <c r="E86" s="1890"/>
      <c r="F86" s="1890"/>
      <c r="G86" s="1890"/>
      <c r="H86" s="1890"/>
      <c r="I86" s="1890"/>
      <c r="J86" s="1890"/>
      <c r="K86" s="1890"/>
      <c r="L86" s="1890"/>
      <c r="M86" s="1890"/>
      <c r="N86" s="1890"/>
      <c r="O86" s="1890"/>
      <c r="P86" s="1890"/>
      <c r="Q86" s="1890"/>
      <c r="R86" s="1890"/>
      <c r="S86" s="1890"/>
      <c r="T86" s="1890"/>
    </row>
    <row r="87" spans="1:20" x14ac:dyDescent="0.2">
      <c r="A87" s="1890"/>
      <c r="B87" s="1890"/>
      <c r="C87" s="1890"/>
      <c r="D87" s="1890"/>
      <c r="E87" s="1890"/>
      <c r="F87" s="1890"/>
      <c r="G87" s="1890"/>
      <c r="H87" s="1890"/>
      <c r="I87" s="1890"/>
      <c r="J87" s="1890"/>
      <c r="K87" s="1890"/>
      <c r="L87" s="1890"/>
      <c r="M87" s="1890"/>
      <c r="N87" s="1890"/>
      <c r="O87" s="1890"/>
      <c r="P87" s="1890"/>
      <c r="Q87" s="1890"/>
      <c r="R87" s="1890"/>
      <c r="S87" s="1890"/>
      <c r="T87" s="1890"/>
    </row>
    <row r="88" spans="1:20" x14ac:dyDescent="0.2">
      <c r="A88" s="1890"/>
      <c r="B88" s="1890"/>
      <c r="C88" s="1890"/>
      <c r="D88" s="1890"/>
      <c r="E88" s="1890"/>
      <c r="F88" s="1890"/>
      <c r="G88" s="1890"/>
      <c r="H88" s="1890"/>
      <c r="I88" s="1890"/>
      <c r="J88" s="1890"/>
      <c r="K88" s="1890"/>
      <c r="L88" s="1890"/>
      <c r="M88" s="1890"/>
      <c r="N88" s="1890"/>
      <c r="O88" s="1890"/>
      <c r="P88" s="1890"/>
      <c r="Q88" s="1890"/>
      <c r="R88" s="1890"/>
      <c r="S88" s="1890"/>
      <c r="T88" s="1890"/>
    </row>
    <row r="89" spans="1:20" x14ac:dyDescent="0.2">
      <c r="A89" s="1890"/>
      <c r="B89" s="1890"/>
      <c r="C89" s="1890"/>
      <c r="D89" s="1890"/>
      <c r="E89" s="1890"/>
      <c r="F89" s="1890"/>
      <c r="G89" s="1890"/>
      <c r="H89" s="1890"/>
      <c r="I89" s="1890"/>
      <c r="J89" s="1890"/>
      <c r="K89" s="1890"/>
      <c r="L89" s="1890"/>
      <c r="M89" s="1890"/>
      <c r="N89" s="1890"/>
      <c r="O89" s="1890"/>
      <c r="P89" s="1890"/>
      <c r="Q89" s="1890"/>
      <c r="R89" s="1890"/>
      <c r="S89" s="1890"/>
      <c r="T89" s="1890"/>
    </row>
    <row r="90" spans="1:20" x14ac:dyDescent="0.2">
      <c r="A90" s="1890"/>
      <c r="B90" s="1890"/>
      <c r="C90" s="1890"/>
      <c r="D90" s="1890"/>
      <c r="E90" s="1890"/>
      <c r="F90" s="1890"/>
      <c r="G90" s="1890"/>
      <c r="H90" s="1890"/>
      <c r="I90" s="1890"/>
      <c r="J90" s="1890"/>
      <c r="K90" s="1890"/>
      <c r="L90" s="1890"/>
      <c r="M90" s="1890"/>
      <c r="N90" s="1890"/>
      <c r="O90" s="1890"/>
      <c r="P90" s="1890"/>
      <c r="Q90" s="1890"/>
      <c r="R90" s="1890"/>
      <c r="S90" s="1890"/>
      <c r="T90" s="1890"/>
    </row>
    <row r="91" spans="1:20" x14ac:dyDescent="0.2">
      <c r="A91" s="1890"/>
      <c r="B91" s="1890"/>
      <c r="C91" s="1890"/>
      <c r="D91" s="1890"/>
      <c r="E91" s="1890"/>
      <c r="F91" s="1890"/>
      <c r="G91" s="1890"/>
      <c r="H91" s="1890"/>
      <c r="I91" s="1890"/>
      <c r="J91" s="1890"/>
      <c r="K91" s="1890"/>
      <c r="L91" s="1890"/>
      <c r="M91" s="1890"/>
      <c r="N91" s="1890"/>
      <c r="O91" s="1890"/>
      <c r="P91" s="1890"/>
      <c r="Q91" s="1890"/>
      <c r="R91" s="1890"/>
      <c r="S91" s="1890"/>
      <c r="T91" s="1890"/>
    </row>
    <row r="92" spans="1:20" x14ac:dyDescent="0.2">
      <c r="A92" s="1890"/>
      <c r="B92" s="1890"/>
      <c r="C92" s="1890"/>
      <c r="D92" s="1890"/>
      <c r="E92" s="1890"/>
      <c r="F92" s="1890"/>
      <c r="G92" s="1890"/>
      <c r="H92" s="1890"/>
      <c r="I92" s="1890"/>
      <c r="J92" s="1890"/>
      <c r="K92" s="1890"/>
      <c r="L92" s="1890"/>
      <c r="M92" s="1890"/>
      <c r="N92" s="1890"/>
      <c r="O92" s="1890"/>
      <c r="P92" s="1890"/>
      <c r="Q92" s="1890"/>
      <c r="R92" s="1890"/>
      <c r="S92" s="1890"/>
      <c r="T92" s="1890"/>
    </row>
    <row r="93" spans="1:20" x14ac:dyDescent="0.2">
      <c r="A93" s="1890"/>
      <c r="B93" s="1890"/>
      <c r="C93" s="1890"/>
      <c r="D93" s="1890"/>
      <c r="E93" s="1890"/>
      <c r="F93" s="1890"/>
      <c r="G93" s="1890"/>
      <c r="H93" s="1890"/>
      <c r="I93" s="1890"/>
      <c r="J93" s="1890"/>
      <c r="K93" s="1890"/>
      <c r="L93" s="1890"/>
      <c r="M93" s="1890"/>
      <c r="N93" s="1890"/>
      <c r="O93" s="1890"/>
      <c r="P93" s="1890"/>
      <c r="Q93" s="1890"/>
      <c r="R93" s="1890"/>
      <c r="S93" s="1890"/>
      <c r="T93" s="1890"/>
    </row>
    <row r="94" spans="1:20" x14ac:dyDescent="0.2">
      <c r="A94" s="1890"/>
      <c r="B94" s="1890"/>
      <c r="C94" s="1890"/>
      <c r="D94" s="1890"/>
      <c r="E94" s="1890"/>
      <c r="F94" s="1890"/>
      <c r="G94" s="1890"/>
      <c r="H94" s="1890"/>
      <c r="I94" s="1890"/>
      <c r="J94" s="1890"/>
      <c r="K94" s="1890"/>
      <c r="L94" s="1890"/>
      <c r="M94" s="1890"/>
      <c r="N94" s="1890"/>
      <c r="O94" s="1890"/>
      <c r="P94" s="1890"/>
      <c r="Q94" s="1890"/>
      <c r="R94" s="1890"/>
      <c r="S94" s="1890"/>
      <c r="T94" s="1890"/>
    </row>
    <row r="95" spans="1:20" x14ac:dyDescent="0.2">
      <c r="A95" s="1890"/>
      <c r="B95" s="1890"/>
      <c r="C95" s="1890"/>
      <c r="D95" s="1890"/>
      <c r="E95" s="1890"/>
      <c r="F95" s="1890"/>
      <c r="G95" s="1890"/>
      <c r="H95" s="1890"/>
      <c r="I95" s="1890"/>
      <c r="J95" s="1890"/>
      <c r="K95" s="1890"/>
      <c r="L95" s="1890"/>
      <c r="M95" s="1890"/>
      <c r="N95" s="1890"/>
      <c r="O95" s="1890"/>
      <c r="P95" s="1890"/>
      <c r="Q95" s="1890"/>
      <c r="R95" s="1890"/>
      <c r="S95" s="1890"/>
      <c r="T95" s="1890"/>
    </row>
    <row r="96" spans="1:20" x14ac:dyDescent="0.2">
      <c r="A96" s="1890"/>
      <c r="B96" s="1890"/>
      <c r="C96" s="1890"/>
      <c r="D96" s="1890"/>
      <c r="E96" s="1890"/>
      <c r="F96" s="1890"/>
      <c r="G96" s="1890"/>
      <c r="H96" s="1890"/>
      <c r="I96" s="1890"/>
      <c r="J96" s="1890"/>
      <c r="K96" s="1890"/>
      <c r="L96" s="1890"/>
      <c r="M96" s="1890"/>
      <c r="N96" s="1890"/>
      <c r="O96" s="1890"/>
      <c r="P96" s="1890"/>
      <c r="Q96" s="1890"/>
      <c r="R96" s="1890"/>
      <c r="S96" s="1890"/>
      <c r="T96" s="1890"/>
    </row>
    <row r="97" spans="1:20" x14ac:dyDescent="0.2">
      <c r="A97" s="1890"/>
      <c r="B97" s="1890"/>
      <c r="C97" s="1890"/>
      <c r="D97" s="1890"/>
      <c r="E97" s="1890"/>
      <c r="F97" s="1890"/>
      <c r="G97" s="1890"/>
      <c r="H97" s="1890"/>
      <c r="I97" s="1890"/>
      <c r="J97" s="1890"/>
      <c r="K97" s="1890"/>
      <c r="L97" s="1890"/>
      <c r="M97" s="1890"/>
      <c r="N97" s="1890"/>
      <c r="O97" s="1890"/>
      <c r="P97" s="1890"/>
      <c r="Q97" s="1890"/>
      <c r="R97" s="1890"/>
      <c r="S97" s="1890"/>
      <c r="T97" s="1890"/>
    </row>
    <row r="98" spans="1:20" x14ac:dyDescent="0.2">
      <c r="A98" s="1890"/>
      <c r="B98" s="1890"/>
      <c r="C98" s="1890"/>
      <c r="D98" s="1890"/>
      <c r="E98" s="1890"/>
      <c r="F98" s="1890"/>
      <c r="G98" s="1890"/>
      <c r="H98" s="1890"/>
      <c r="I98" s="1890"/>
      <c r="J98" s="1890"/>
      <c r="K98" s="1890"/>
      <c r="L98" s="1890"/>
      <c r="M98" s="1890"/>
      <c r="N98" s="1890"/>
      <c r="O98" s="1890"/>
      <c r="P98" s="1890"/>
      <c r="Q98" s="1890"/>
      <c r="R98" s="1890"/>
      <c r="S98" s="1890"/>
      <c r="T98" s="1890"/>
    </row>
    <row r="99" spans="1:20" x14ac:dyDescent="0.2">
      <c r="A99" s="1890"/>
      <c r="B99" s="1890"/>
      <c r="C99" s="1890"/>
      <c r="D99" s="1890"/>
      <c r="E99" s="1890"/>
      <c r="F99" s="1890"/>
      <c r="G99" s="1890"/>
      <c r="H99" s="1890"/>
      <c r="I99" s="1890"/>
      <c r="J99" s="1890"/>
      <c r="K99" s="1890"/>
      <c r="L99" s="1890"/>
      <c r="M99" s="1890"/>
      <c r="N99" s="1890"/>
      <c r="O99" s="1890"/>
      <c r="P99" s="1890"/>
      <c r="Q99" s="1890"/>
      <c r="R99" s="1890"/>
      <c r="S99" s="1890"/>
      <c r="T99" s="1890"/>
    </row>
    <row r="100" spans="1:20" x14ac:dyDescent="0.2">
      <c r="A100" s="1890"/>
      <c r="B100" s="1890"/>
      <c r="C100" s="1890"/>
      <c r="D100" s="1890"/>
      <c r="E100" s="1890"/>
      <c r="F100" s="1890"/>
      <c r="G100" s="1890"/>
      <c r="H100" s="1890"/>
      <c r="I100" s="1890"/>
      <c r="J100" s="1890"/>
      <c r="K100" s="1890"/>
      <c r="L100" s="1890"/>
      <c r="M100" s="1890"/>
      <c r="N100" s="1890"/>
      <c r="O100" s="1890"/>
      <c r="P100" s="1890"/>
      <c r="Q100" s="1890"/>
      <c r="R100" s="1890"/>
      <c r="S100" s="1890"/>
      <c r="T100" s="1890"/>
    </row>
    <row r="101" spans="1:20" x14ac:dyDescent="0.2">
      <c r="A101" s="1890"/>
      <c r="B101" s="1890"/>
      <c r="C101" s="1890"/>
      <c r="D101" s="1890"/>
      <c r="E101" s="1890"/>
      <c r="F101" s="1890"/>
      <c r="G101" s="1890"/>
      <c r="H101" s="1890"/>
      <c r="I101" s="1890"/>
      <c r="J101" s="1890"/>
      <c r="K101" s="1890"/>
      <c r="L101" s="1890"/>
      <c r="M101" s="1890"/>
      <c r="N101" s="1890"/>
      <c r="O101" s="1890"/>
      <c r="P101" s="1890"/>
      <c r="Q101" s="1890"/>
      <c r="R101" s="1890"/>
      <c r="S101" s="1890"/>
      <c r="T101" s="1890"/>
    </row>
    <row r="102" spans="1:20" x14ac:dyDescent="0.2">
      <c r="A102" s="1890"/>
      <c r="B102" s="1890"/>
      <c r="C102" s="1890"/>
      <c r="D102" s="1890"/>
      <c r="E102" s="1890"/>
      <c r="F102" s="1890"/>
      <c r="G102" s="1890"/>
      <c r="H102" s="1890"/>
      <c r="I102" s="1890"/>
      <c r="J102" s="1890"/>
      <c r="K102" s="1890"/>
      <c r="L102" s="1890"/>
      <c r="M102" s="1890"/>
      <c r="N102" s="1890"/>
      <c r="O102" s="1890"/>
      <c r="P102" s="1890"/>
      <c r="Q102" s="1890"/>
      <c r="R102" s="1890"/>
      <c r="S102" s="1890"/>
      <c r="T102" s="1890"/>
    </row>
    <row r="103" spans="1:20" x14ac:dyDescent="0.2">
      <c r="A103" s="1890"/>
      <c r="B103" s="1890"/>
      <c r="C103" s="1890"/>
      <c r="D103" s="1890"/>
      <c r="E103" s="1890"/>
      <c r="F103" s="1890"/>
      <c r="G103" s="1890"/>
      <c r="H103" s="1890"/>
      <c r="I103" s="1890"/>
      <c r="J103" s="1890"/>
      <c r="K103" s="1890"/>
      <c r="L103" s="1890"/>
      <c r="M103" s="1890"/>
      <c r="N103" s="1890"/>
      <c r="O103" s="1890"/>
      <c r="P103" s="1890"/>
      <c r="Q103" s="1890"/>
      <c r="R103" s="1890"/>
      <c r="S103" s="1890"/>
      <c r="T103" s="1890"/>
    </row>
    <row r="104" spans="1:20" x14ac:dyDescent="0.2">
      <c r="A104" s="1890"/>
      <c r="B104" s="1890"/>
      <c r="C104" s="1890"/>
      <c r="D104" s="1890"/>
      <c r="E104" s="1890"/>
      <c r="F104" s="1890"/>
      <c r="G104" s="1890"/>
      <c r="H104" s="1890"/>
      <c r="I104" s="1890"/>
      <c r="J104" s="1890"/>
      <c r="K104" s="1890"/>
      <c r="L104" s="1890"/>
      <c r="M104" s="1890"/>
      <c r="N104" s="1890"/>
      <c r="O104" s="1890"/>
      <c r="P104" s="1890"/>
      <c r="Q104" s="1890"/>
      <c r="R104" s="1890"/>
      <c r="S104" s="1890"/>
      <c r="T104" s="1890"/>
    </row>
    <row r="105" spans="1:20" x14ac:dyDescent="0.2">
      <c r="A105" s="1890"/>
      <c r="B105" s="1890"/>
      <c r="C105" s="1890"/>
      <c r="D105" s="1890"/>
      <c r="E105" s="1890"/>
      <c r="F105" s="1890"/>
      <c r="G105" s="1890"/>
      <c r="H105" s="1890"/>
      <c r="I105" s="1890"/>
      <c r="J105" s="1890"/>
      <c r="K105" s="1890"/>
      <c r="L105" s="1890"/>
      <c r="M105" s="1890"/>
      <c r="N105" s="1890"/>
      <c r="O105" s="1890"/>
      <c r="P105" s="1890"/>
      <c r="Q105" s="1890"/>
      <c r="R105" s="1890"/>
      <c r="S105" s="1890"/>
      <c r="T105" s="1890"/>
    </row>
    <row r="106" spans="1:20" x14ac:dyDescent="0.2">
      <c r="A106" s="1890"/>
      <c r="B106" s="1890"/>
      <c r="C106" s="1890"/>
      <c r="D106" s="1890"/>
      <c r="E106" s="1890"/>
      <c r="F106" s="1890"/>
      <c r="G106" s="1890"/>
      <c r="H106" s="1890"/>
      <c r="I106" s="1890"/>
      <c r="J106" s="1890"/>
      <c r="K106" s="1890"/>
      <c r="L106" s="1890"/>
      <c r="M106" s="1890"/>
      <c r="N106" s="1890"/>
      <c r="O106" s="1890"/>
      <c r="P106" s="1890"/>
      <c r="Q106" s="1890"/>
      <c r="R106" s="1890"/>
      <c r="S106" s="1890"/>
      <c r="T106" s="1890"/>
    </row>
    <row r="107" spans="1:20" x14ac:dyDescent="0.2">
      <c r="A107" s="1890"/>
      <c r="B107" s="1890"/>
      <c r="C107" s="1890"/>
      <c r="D107" s="1890"/>
      <c r="E107" s="1890"/>
      <c r="F107" s="1890"/>
      <c r="G107" s="1890"/>
      <c r="H107" s="1890"/>
      <c r="I107" s="1890"/>
      <c r="J107" s="1890"/>
      <c r="K107" s="1890"/>
      <c r="L107" s="1890"/>
      <c r="M107" s="1890"/>
      <c r="N107" s="1890"/>
      <c r="O107" s="1890"/>
      <c r="P107" s="1890"/>
      <c r="Q107" s="1890"/>
      <c r="R107" s="1890"/>
      <c r="S107" s="1890"/>
      <c r="T107" s="1890"/>
    </row>
    <row r="108" spans="1:20" x14ac:dyDescent="0.2">
      <c r="A108" s="1890"/>
      <c r="B108" s="1890"/>
      <c r="C108" s="1890"/>
      <c r="D108" s="1890"/>
      <c r="E108" s="1890"/>
      <c r="F108" s="1890"/>
      <c r="G108" s="1890"/>
      <c r="H108" s="1890"/>
      <c r="I108" s="1890"/>
      <c r="J108" s="1890"/>
      <c r="K108" s="1890"/>
      <c r="L108" s="1890"/>
      <c r="M108" s="1890"/>
      <c r="N108" s="1890"/>
      <c r="O108" s="1890"/>
      <c r="P108" s="1890"/>
      <c r="Q108" s="1890"/>
      <c r="R108" s="1890"/>
      <c r="S108" s="1890"/>
      <c r="T108" s="1890"/>
    </row>
    <row r="109" spans="1:20" x14ac:dyDescent="0.2">
      <c r="A109" s="1890"/>
      <c r="B109" s="1890"/>
      <c r="C109" s="1890"/>
      <c r="D109" s="1890"/>
      <c r="E109" s="1890"/>
      <c r="F109" s="1890"/>
      <c r="G109" s="1890"/>
      <c r="H109" s="1890"/>
      <c r="I109" s="1890"/>
      <c r="J109" s="1890"/>
      <c r="K109" s="1890"/>
      <c r="L109" s="1890"/>
      <c r="M109" s="1890"/>
      <c r="N109" s="1890"/>
      <c r="O109" s="1890"/>
      <c r="P109" s="1890"/>
      <c r="Q109" s="1890"/>
      <c r="R109" s="1890"/>
      <c r="S109" s="1890"/>
      <c r="T109" s="1890"/>
    </row>
    <row r="110" spans="1:20" x14ac:dyDescent="0.2">
      <c r="A110" s="1890"/>
      <c r="B110" s="1890"/>
      <c r="C110" s="1890"/>
      <c r="D110" s="1890"/>
      <c r="E110" s="1890"/>
      <c r="F110" s="1890"/>
      <c r="G110" s="1890"/>
      <c r="H110" s="1890"/>
      <c r="I110" s="1890"/>
      <c r="J110" s="1890"/>
      <c r="K110" s="1890"/>
      <c r="L110" s="1890"/>
      <c r="M110" s="1890"/>
      <c r="N110" s="1890"/>
      <c r="O110" s="1890"/>
      <c r="P110" s="1890"/>
      <c r="Q110" s="1890"/>
      <c r="R110" s="1890"/>
      <c r="S110" s="1890"/>
      <c r="T110" s="1890"/>
    </row>
    <row r="111" spans="1:20" x14ac:dyDescent="0.2">
      <c r="A111" s="1890"/>
      <c r="B111" s="1890"/>
      <c r="C111" s="1890"/>
      <c r="D111" s="1890"/>
      <c r="E111" s="1890"/>
      <c r="F111" s="1890"/>
      <c r="G111" s="1890"/>
      <c r="H111" s="1890"/>
      <c r="I111" s="1890"/>
      <c r="J111" s="1890"/>
      <c r="K111" s="1890"/>
      <c r="L111" s="1890"/>
      <c r="M111" s="1890"/>
      <c r="N111" s="1890"/>
      <c r="O111" s="1890"/>
      <c r="P111" s="1890"/>
      <c r="Q111" s="1890"/>
      <c r="R111" s="1890"/>
      <c r="S111" s="1890"/>
      <c r="T111" s="1890"/>
    </row>
    <row r="112" spans="1:20" x14ac:dyDescent="0.2">
      <c r="A112" s="1890"/>
      <c r="B112" s="1890"/>
      <c r="C112" s="1890"/>
      <c r="D112" s="1890"/>
      <c r="E112" s="1890"/>
      <c r="F112" s="1890"/>
      <c r="G112" s="1890"/>
      <c r="H112" s="1890"/>
      <c r="I112" s="1890"/>
      <c r="J112" s="1890"/>
      <c r="K112" s="1890"/>
      <c r="L112" s="1890"/>
      <c r="M112" s="1890"/>
      <c r="N112" s="1890"/>
      <c r="O112" s="1890"/>
      <c r="P112" s="1890"/>
      <c r="Q112" s="1890"/>
      <c r="R112" s="1890"/>
      <c r="S112" s="1890"/>
      <c r="T112" s="1890"/>
    </row>
    <row r="113" spans="1:20" x14ac:dyDescent="0.2">
      <c r="A113" s="1890"/>
      <c r="B113" s="1890"/>
      <c r="C113" s="1890"/>
      <c r="D113" s="1890"/>
      <c r="E113" s="1890"/>
      <c r="F113" s="1890"/>
      <c r="G113" s="1890"/>
      <c r="H113" s="1890"/>
      <c r="I113" s="1890"/>
      <c r="J113" s="1890"/>
      <c r="K113" s="1890"/>
      <c r="L113" s="1890"/>
      <c r="M113" s="1890"/>
      <c r="N113" s="1890"/>
      <c r="O113" s="1890"/>
      <c r="P113" s="1890"/>
      <c r="Q113" s="1890"/>
      <c r="R113" s="1890"/>
      <c r="S113" s="1890"/>
      <c r="T113" s="1890"/>
    </row>
    <row r="114" spans="1:20" x14ac:dyDescent="0.2">
      <c r="A114" s="1890"/>
      <c r="B114" s="1890"/>
      <c r="C114" s="1890"/>
      <c r="D114" s="1890"/>
      <c r="E114" s="1890"/>
      <c r="F114" s="1890"/>
      <c r="G114" s="1890"/>
      <c r="H114" s="1890"/>
      <c r="I114" s="1890"/>
      <c r="J114" s="1890"/>
      <c r="K114" s="1890"/>
      <c r="L114" s="1890"/>
      <c r="M114" s="1890"/>
      <c r="N114" s="1890"/>
      <c r="O114" s="1890"/>
      <c r="P114" s="1890"/>
      <c r="Q114" s="1890"/>
      <c r="R114" s="1890"/>
      <c r="S114" s="1890"/>
      <c r="T114" s="1890"/>
    </row>
    <row r="115" spans="1:20" x14ac:dyDescent="0.2">
      <c r="A115" s="1890"/>
      <c r="B115" s="1890"/>
      <c r="C115" s="1890"/>
      <c r="D115" s="1890"/>
      <c r="E115" s="1890"/>
      <c r="F115" s="1890"/>
      <c r="G115" s="1890"/>
      <c r="H115" s="1890"/>
      <c r="I115" s="1890"/>
      <c r="J115" s="1890"/>
      <c r="K115" s="1890"/>
      <c r="L115" s="1890"/>
      <c r="M115" s="1890"/>
      <c r="N115" s="1890"/>
      <c r="O115" s="1890"/>
      <c r="P115" s="1890"/>
      <c r="Q115" s="1890"/>
      <c r="R115" s="1890"/>
      <c r="S115" s="1890"/>
      <c r="T115" s="1890"/>
    </row>
    <row r="116" spans="1:20" x14ac:dyDescent="0.2">
      <c r="A116" s="1890"/>
      <c r="B116" s="1890"/>
      <c r="C116" s="1890"/>
      <c r="D116" s="1890"/>
      <c r="E116" s="1890"/>
      <c r="F116" s="1890"/>
      <c r="G116" s="1890"/>
      <c r="H116" s="1890"/>
      <c r="I116" s="1890"/>
      <c r="J116" s="1890"/>
      <c r="K116" s="1890"/>
      <c r="L116" s="1890"/>
      <c r="M116" s="1890"/>
      <c r="N116" s="1890"/>
      <c r="O116" s="1890"/>
      <c r="P116" s="1890"/>
      <c r="Q116" s="1890"/>
      <c r="R116" s="1890"/>
      <c r="S116" s="1890"/>
      <c r="T116" s="1890"/>
    </row>
    <row r="117" spans="1:20" x14ac:dyDescent="0.2">
      <c r="A117" s="1890"/>
      <c r="B117" s="1890"/>
      <c r="C117" s="1890"/>
      <c r="D117" s="1890"/>
      <c r="E117" s="1890"/>
      <c r="F117" s="1890"/>
      <c r="G117" s="1890"/>
      <c r="H117" s="1890"/>
      <c r="I117" s="1890"/>
      <c r="J117" s="1890"/>
      <c r="K117" s="1890"/>
      <c r="L117" s="1890"/>
      <c r="M117" s="1890"/>
      <c r="N117" s="1890"/>
      <c r="O117" s="1890"/>
      <c r="P117" s="1890"/>
      <c r="Q117" s="1890"/>
      <c r="R117" s="1890"/>
      <c r="S117" s="1890"/>
      <c r="T117" s="1890"/>
    </row>
    <row r="118" spans="1:20" x14ac:dyDescent="0.2">
      <c r="A118" s="1890"/>
      <c r="B118" s="1890"/>
      <c r="C118" s="1890"/>
      <c r="D118" s="1890"/>
      <c r="E118" s="1890"/>
      <c r="F118" s="1890"/>
      <c r="G118" s="1890"/>
      <c r="H118" s="1890"/>
      <c r="I118" s="1890"/>
      <c r="J118" s="1890"/>
      <c r="K118" s="1890"/>
      <c r="L118" s="1890"/>
      <c r="M118" s="1890"/>
      <c r="N118" s="1890"/>
      <c r="O118" s="1890"/>
      <c r="P118" s="1890"/>
      <c r="Q118" s="1890"/>
      <c r="R118" s="1890"/>
      <c r="S118" s="1890"/>
      <c r="T118" s="1890"/>
    </row>
    <row r="119" spans="1:20" x14ac:dyDescent="0.2">
      <c r="A119" s="1890"/>
      <c r="B119" s="1890"/>
      <c r="C119" s="1890"/>
      <c r="D119" s="1890"/>
      <c r="E119" s="1890"/>
      <c r="F119" s="1890"/>
      <c r="G119" s="1890"/>
      <c r="H119" s="1890"/>
      <c r="I119" s="1890"/>
      <c r="J119" s="1890"/>
      <c r="K119" s="1890"/>
      <c r="L119" s="1890"/>
      <c r="M119" s="1890"/>
      <c r="N119" s="1890"/>
      <c r="O119" s="1890"/>
      <c r="P119" s="1890"/>
      <c r="Q119" s="1890"/>
      <c r="R119" s="1890"/>
      <c r="S119" s="1890"/>
      <c r="T119" s="1890"/>
    </row>
    <row r="120" spans="1:20" x14ac:dyDescent="0.2">
      <c r="A120" s="1890"/>
      <c r="B120" s="1890"/>
      <c r="C120" s="1890"/>
      <c r="D120" s="1890"/>
      <c r="E120" s="1890"/>
      <c r="F120" s="1890"/>
      <c r="G120" s="1890"/>
      <c r="H120" s="1890"/>
      <c r="I120" s="1890"/>
      <c r="J120" s="1890"/>
      <c r="K120" s="1890"/>
      <c r="L120" s="1890"/>
      <c r="M120" s="1890"/>
      <c r="N120" s="1890"/>
      <c r="O120" s="1890"/>
      <c r="P120" s="1890"/>
      <c r="Q120" s="1890"/>
      <c r="R120" s="1890"/>
      <c r="S120" s="1890"/>
      <c r="T120" s="1890"/>
    </row>
    <row r="121" spans="1:20" x14ac:dyDescent="0.2">
      <c r="A121" s="1890"/>
      <c r="B121" s="1890"/>
      <c r="C121" s="1890"/>
      <c r="D121" s="1890"/>
      <c r="E121" s="1890"/>
      <c r="F121" s="1890"/>
      <c r="G121" s="1890"/>
      <c r="H121" s="1890"/>
      <c r="I121" s="1890"/>
      <c r="J121" s="1890"/>
      <c r="K121" s="1890"/>
      <c r="L121" s="1890"/>
      <c r="M121" s="1890"/>
      <c r="N121" s="1890"/>
      <c r="O121" s="1890"/>
      <c r="P121" s="1890"/>
      <c r="Q121" s="1890"/>
      <c r="R121" s="1890"/>
      <c r="S121" s="1890"/>
      <c r="T121" s="1890"/>
    </row>
    <row r="122" spans="1:20" x14ac:dyDescent="0.2">
      <c r="A122" s="1890"/>
      <c r="B122" s="1890"/>
      <c r="C122" s="1890"/>
      <c r="D122" s="1890"/>
      <c r="E122" s="1890"/>
      <c r="F122" s="1890"/>
      <c r="G122" s="1890"/>
      <c r="H122" s="1890"/>
      <c r="I122" s="1890"/>
      <c r="J122" s="1890"/>
      <c r="K122" s="1890"/>
      <c r="L122" s="1890"/>
      <c r="M122" s="1890"/>
      <c r="N122" s="1890"/>
      <c r="O122" s="1890"/>
      <c r="P122" s="1890"/>
      <c r="Q122" s="1890"/>
      <c r="R122" s="1890"/>
      <c r="S122" s="1890"/>
      <c r="T122" s="1890"/>
    </row>
    <row r="123" spans="1:20" x14ac:dyDescent="0.2">
      <c r="A123" s="1890"/>
      <c r="B123" s="1890"/>
      <c r="C123" s="1890"/>
      <c r="D123" s="1890"/>
      <c r="E123" s="1890"/>
      <c r="F123" s="1890"/>
      <c r="G123" s="1890"/>
      <c r="H123" s="1890"/>
      <c r="I123" s="1890"/>
      <c r="J123" s="1890"/>
      <c r="K123" s="1890"/>
      <c r="L123" s="1890"/>
      <c r="M123" s="1890"/>
      <c r="N123" s="1890"/>
      <c r="O123" s="1890"/>
      <c r="P123" s="1890"/>
      <c r="Q123" s="1890"/>
      <c r="R123" s="1890"/>
      <c r="S123" s="1890"/>
      <c r="T123" s="1890"/>
    </row>
    <row r="124" spans="1:20" x14ac:dyDescent="0.2">
      <c r="A124" s="1890"/>
      <c r="B124" s="1890"/>
      <c r="C124" s="1890"/>
      <c r="D124" s="1890"/>
      <c r="E124" s="1890"/>
      <c r="F124" s="1890"/>
      <c r="G124" s="1890"/>
      <c r="H124" s="1890"/>
      <c r="I124" s="1890"/>
      <c r="J124" s="1890"/>
      <c r="K124" s="1890"/>
      <c r="L124" s="1890"/>
      <c r="M124" s="1890"/>
      <c r="N124" s="1890"/>
      <c r="O124" s="1890"/>
      <c r="P124" s="1890"/>
      <c r="Q124" s="1890"/>
      <c r="R124" s="1890"/>
      <c r="S124" s="1890"/>
      <c r="T124" s="1890"/>
    </row>
    <row r="125" spans="1:20" x14ac:dyDescent="0.2">
      <c r="A125" s="1890"/>
      <c r="B125" s="1890"/>
      <c r="C125" s="1890"/>
      <c r="D125" s="1890"/>
      <c r="E125" s="1890"/>
      <c r="F125" s="1890"/>
      <c r="G125" s="1890"/>
      <c r="H125" s="1890"/>
      <c r="I125" s="1890"/>
      <c r="J125" s="1890"/>
      <c r="K125" s="1890"/>
      <c r="L125" s="1890"/>
      <c r="M125" s="1890"/>
      <c r="N125" s="1890"/>
      <c r="O125" s="1890"/>
      <c r="P125" s="1890"/>
      <c r="Q125" s="1890"/>
      <c r="R125" s="1890"/>
      <c r="S125" s="1890"/>
      <c r="T125" s="1890"/>
    </row>
    <row r="126" spans="1:20" x14ac:dyDescent="0.2">
      <c r="A126" s="1890"/>
      <c r="B126" s="1890"/>
      <c r="C126" s="1890"/>
      <c r="D126" s="1890"/>
      <c r="E126" s="1890"/>
      <c r="F126" s="1890"/>
      <c r="G126" s="1890"/>
      <c r="H126" s="1890"/>
      <c r="I126" s="1890"/>
      <c r="J126" s="1890"/>
      <c r="K126" s="1890"/>
      <c r="L126" s="1890"/>
      <c r="M126" s="1890"/>
      <c r="N126" s="1890"/>
      <c r="O126" s="1890"/>
      <c r="P126" s="1890"/>
      <c r="Q126" s="1890"/>
      <c r="R126" s="1890"/>
      <c r="S126" s="1890"/>
      <c r="T126" s="1890"/>
    </row>
    <row r="127" spans="1:20" x14ac:dyDescent="0.2">
      <c r="A127" s="1890"/>
      <c r="B127" s="1890"/>
      <c r="C127" s="1890"/>
      <c r="D127" s="1890"/>
      <c r="E127" s="1890"/>
      <c r="F127" s="1890"/>
      <c r="G127" s="1890"/>
      <c r="H127" s="1890"/>
      <c r="I127" s="1890"/>
      <c r="J127" s="1890"/>
      <c r="K127" s="1890"/>
      <c r="L127" s="1890"/>
      <c r="M127" s="1890"/>
      <c r="N127" s="1890"/>
      <c r="O127" s="1890"/>
      <c r="P127" s="1890"/>
      <c r="Q127" s="1890"/>
      <c r="R127" s="1890"/>
      <c r="S127" s="1890"/>
      <c r="T127" s="1890"/>
    </row>
    <row r="128" spans="1:20" x14ac:dyDescent="0.2">
      <c r="A128" s="1890"/>
      <c r="B128" s="1890"/>
      <c r="C128" s="1890"/>
      <c r="D128" s="1890"/>
      <c r="E128" s="1890"/>
      <c r="F128" s="1890"/>
      <c r="G128" s="1890"/>
      <c r="H128" s="1890"/>
      <c r="I128" s="1890"/>
      <c r="J128" s="1890"/>
      <c r="K128" s="1890"/>
      <c r="L128" s="1890"/>
      <c r="M128" s="1890"/>
      <c r="N128" s="1890"/>
      <c r="O128" s="1890"/>
      <c r="P128" s="1890"/>
      <c r="Q128" s="1890"/>
      <c r="R128" s="1890"/>
      <c r="S128" s="1890"/>
      <c r="T128" s="1890"/>
    </row>
    <row r="129" spans="1:20" x14ac:dyDescent="0.2">
      <c r="A129" s="1890"/>
      <c r="B129" s="1890"/>
      <c r="C129" s="1890"/>
      <c r="D129" s="1890"/>
      <c r="E129" s="1890"/>
      <c r="F129" s="1890"/>
      <c r="G129" s="1890"/>
      <c r="H129" s="1890"/>
      <c r="I129" s="1890"/>
      <c r="J129" s="1890"/>
      <c r="K129" s="1890"/>
      <c r="L129" s="1890"/>
      <c r="M129" s="1890"/>
      <c r="N129" s="1890"/>
      <c r="O129" s="1890"/>
      <c r="P129" s="1890"/>
      <c r="Q129" s="1890"/>
      <c r="R129" s="1890"/>
      <c r="S129" s="1890"/>
      <c r="T129" s="1890"/>
    </row>
    <row r="130" spans="1:20" x14ac:dyDescent="0.2">
      <c r="A130" s="1890"/>
      <c r="B130" s="1890"/>
      <c r="C130" s="1890"/>
      <c r="D130" s="1890"/>
      <c r="E130" s="1890"/>
      <c r="F130" s="1890"/>
      <c r="G130" s="1890"/>
      <c r="H130" s="1890"/>
      <c r="I130" s="1890"/>
      <c r="J130" s="1890"/>
      <c r="K130" s="1890"/>
      <c r="L130" s="1890"/>
      <c r="M130" s="1890"/>
      <c r="N130" s="1890"/>
      <c r="O130" s="1890"/>
      <c r="P130" s="1890"/>
      <c r="Q130" s="1890"/>
      <c r="R130" s="1890"/>
      <c r="S130" s="1890"/>
      <c r="T130" s="1890"/>
    </row>
    <row r="131" spans="1:20" x14ac:dyDescent="0.2">
      <c r="A131" s="1890"/>
      <c r="B131" s="1890"/>
      <c r="C131" s="1890"/>
      <c r="D131" s="1890"/>
      <c r="E131" s="1890"/>
      <c r="F131" s="1890"/>
      <c r="G131" s="1890"/>
      <c r="H131" s="1890"/>
      <c r="I131" s="1890"/>
      <c r="J131" s="1890"/>
      <c r="K131" s="1890"/>
      <c r="L131" s="1890"/>
      <c r="M131" s="1890"/>
      <c r="N131" s="1890"/>
      <c r="O131" s="1890"/>
      <c r="P131" s="1890"/>
      <c r="Q131" s="1890"/>
      <c r="R131" s="1890"/>
      <c r="S131" s="1890"/>
      <c r="T131" s="1890"/>
    </row>
    <row r="132" spans="1:20" x14ac:dyDescent="0.2">
      <c r="A132" s="1890"/>
      <c r="B132" s="1890"/>
      <c r="C132" s="1890"/>
      <c r="D132" s="1890"/>
      <c r="E132" s="1890"/>
      <c r="F132" s="1890"/>
      <c r="G132" s="1890"/>
      <c r="H132" s="1890"/>
      <c r="I132" s="1890"/>
      <c r="J132" s="1890"/>
      <c r="K132" s="1890"/>
      <c r="L132" s="1890"/>
      <c r="M132" s="1890"/>
      <c r="N132" s="1890"/>
      <c r="O132" s="1890"/>
      <c r="P132" s="1890"/>
      <c r="Q132" s="1890"/>
      <c r="R132" s="1890"/>
      <c r="S132" s="1890"/>
      <c r="T132" s="1890"/>
    </row>
  </sheetData>
  <sheetProtection selectLockedCells="1" selectUnlockedCells="1"/>
  <pageMargins left="0.78740157499999996" right="0.78740157499999996" top="0.984251969" bottom="0.984251969" header="0.4921259845" footer="0.4921259845"/>
  <pageSetup paperSize="9" orientation="portrait" r:id="rId1"/>
  <headerFooter alignWithMargins="0"/>
  <legacyDrawing r:id="rId2"/>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5F428C-4CF0-4ECB-B7B3-F19C0B905B65}">
  <dimension ref="A1:X144"/>
  <sheetViews>
    <sheetView zoomScale="90" zoomScaleNormal="90" workbookViewId="0">
      <selection activeCell="L13" sqref="L13"/>
    </sheetView>
  </sheetViews>
  <sheetFormatPr defaultColWidth="11.42578125" defaultRowHeight="12.75" x14ac:dyDescent="0.2"/>
  <cols>
    <col min="1" max="1" width="12.140625" style="1846" customWidth="1"/>
    <col min="2" max="2" width="30.42578125" style="1846" bestFit="1" customWidth="1"/>
    <col min="3" max="4" width="11.42578125" style="1846" customWidth="1"/>
    <col min="5" max="5" width="15.42578125" style="1846" customWidth="1"/>
    <col min="6" max="6" width="1.42578125" style="1846" customWidth="1"/>
    <col min="7" max="13" width="13.28515625" style="1846" customWidth="1"/>
    <col min="14" max="14" width="11.42578125" style="1846"/>
    <col min="15" max="15" width="16.42578125" style="1846" customWidth="1"/>
    <col min="16" max="16" width="22.5703125" style="1846" customWidth="1"/>
    <col min="17" max="17" width="21.42578125" style="1846" customWidth="1"/>
    <col min="18" max="18" width="16" style="1846" customWidth="1"/>
    <col min="19" max="19" width="16.42578125" style="1846" customWidth="1"/>
    <col min="20" max="20" width="15.140625" style="1846" customWidth="1"/>
    <col min="21" max="21" width="11.42578125" style="1846"/>
    <col min="22" max="22" width="16" style="1846" bestFit="1" customWidth="1"/>
    <col min="23" max="16384" width="11.42578125" style="1846"/>
  </cols>
  <sheetData>
    <row r="1" spans="1:24" ht="39" customHeight="1" x14ac:dyDescent="0.2">
      <c r="A1" s="2014" t="s">
        <v>1140</v>
      </c>
      <c r="B1" s="2015"/>
      <c r="C1" s="2015"/>
      <c r="D1" s="1890"/>
      <c r="E1" s="1890"/>
      <c r="F1" s="1890"/>
      <c r="G1" s="1890"/>
      <c r="H1" s="1890"/>
      <c r="I1" s="1890"/>
      <c r="J1" s="1984"/>
      <c r="K1" s="1890"/>
      <c r="L1" s="1890"/>
      <c r="M1" s="1890"/>
      <c r="N1" s="2016"/>
      <c r="O1" s="2016"/>
      <c r="P1" s="1890"/>
      <c r="Q1" s="1890"/>
      <c r="R1" s="1890"/>
      <c r="S1" s="1890"/>
      <c r="T1" s="1890"/>
      <c r="U1" s="1890"/>
      <c r="V1" s="1890"/>
      <c r="W1" s="1890"/>
      <c r="X1" s="1890"/>
    </row>
    <row r="2" spans="1:24" ht="18" customHeight="1" x14ac:dyDescent="0.25">
      <c r="A2" s="1904" t="s">
        <v>1141</v>
      </c>
      <c r="B2" s="1915"/>
      <c r="C2" s="1915"/>
      <c r="D2" s="1915"/>
      <c r="E2" s="1915"/>
      <c r="F2" s="1915"/>
      <c r="G2" s="1915"/>
      <c r="H2" s="1915"/>
      <c r="I2" s="1915"/>
      <c r="J2" s="2017"/>
      <c r="K2" s="1957"/>
      <c r="L2" s="1957"/>
      <c r="M2" s="1957"/>
      <c r="N2" s="1957"/>
      <c r="O2" s="1957"/>
      <c r="P2" s="1957"/>
      <c r="Q2" s="1890"/>
      <c r="R2" s="1890"/>
      <c r="S2" s="1890"/>
      <c r="T2" s="1890"/>
      <c r="U2" s="1890"/>
      <c r="V2" s="1890"/>
      <c r="W2" s="1890"/>
      <c r="X2" s="1890"/>
    </row>
    <row r="3" spans="1:24" ht="18" customHeight="1" x14ac:dyDescent="0.25">
      <c r="A3" s="1904" t="s">
        <v>1142</v>
      </c>
      <c r="B3" s="1915"/>
      <c r="C3" s="1915"/>
      <c r="D3" s="1915"/>
      <c r="E3" s="1915"/>
      <c r="F3" s="1915"/>
      <c r="G3" s="1915"/>
      <c r="H3" s="1915"/>
      <c r="I3" s="1915"/>
      <c r="J3" s="2017"/>
      <c r="K3" s="1957"/>
      <c r="L3" s="1957"/>
      <c r="M3" s="1957"/>
      <c r="N3" s="1957"/>
      <c r="O3" s="1957"/>
      <c r="P3" s="2018"/>
      <c r="Q3" s="1890"/>
      <c r="R3" s="1890"/>
      <c r="S3" s="1890"/>
      <c r="T3" s="1890"/>
      <c r="U3" s="1890"/>
      <c r="V3" s="1890"/>
      <c r="W3" s="1890"/>
      <c r="X3" s="1890"/>
    </row>
    <row r="4" spans="1:24" ht="18" customHeight="1" x14ac:dyDescent="0.25">
      <c r="A4" s="1987" t="s">
        <v>1143</v>
      </c>
      <c r="B4" s="1915"/>
      <c r="C4" s="1915"/>
      <c r="D4" s="1915"/>
      <c r="E4" s="1915"/>
      <c r="F4" s="1915"/>
      <c r="G4" s="1915"/>
      <c r="H4" s="1915"/>
      <c r="I4" s="1915"/>
      <c r="J4" s="1915"/>
      <c r="K4" s="1957"/>
      <c r="L4" s="1957"/>
      <c r="M4" s="1957"/>
      <c r="N4" s="1957"/>
      <c r="O4" s="1957"/>
      <c r="P4" s="1957"/>
      <c r="Q4" s="1890"/>
      <c r="R4" s="1890"/>
      <c r="S4" s="1890"/>
      <c r="T4" s="1890"/>
      <c r="U4" s="1890"/>
      <c r="V4" s="1890"/>
      <c r="W4" s="1890"/>
      <c r="X4" s="1890"/>
    </row>
    <row r="5" spans="1:24" ht="14.25" x14ac:dyDescent="0.25">
      <c r="A5" s="1957"/>
      <c r="B5" s="1957"/>
      <c r="C5" s="1957"/>
      <c r="D5" s="1957"/>
      <c r="E5" s="2019"/>
      <c r="F5" s="1957"/>
      <c r="G5" s="1957"/>
      <c r="H5" s="1957"/>
      <c r="I5" s="1957"/>
      <c r="J5" s="1957"/>
      <c r="K5" s="1957"/>
      <c r="L5" s="1957"/>
      <c r="M5" s="1957"/>
      <c r="N5" s="1957"/>
      <c r="O5" s="1957"/>
      <c r="P5" s="1957"/>
      <c r="Q5" s="1890"/>
      <c r="R5" s="1890"/>
      <c r="S5" s="1890"/>
      <c r="T5" s="1890"/>
      <c r="U5" s="1890"/>
      <c r="V5" s="1890"/>
      <c r="W5" s="1890"/>
      <c r="X5" s="1890"/>
    </row>
    <row r="6" spans="1:24" ht="18" customHeight="1" x14ac:dyDescent="0.2">
      <c r="A6" s="1890"/>
      <c r="B6" s="1890"/>
      <c r="C6" s="1890"/>
      <c r="D6" s="1890"/>
      <c r="E6" s="2020" t="s">
        <v>1144</v>
      </c>
      <c r="F6" s="2021"/>
      <c r="G6" s="2021"/>
      <c r="H6" s="2021"/>
      <c r="I6" s="2021"/>
      <c r="J6" s="2022"/>
      <c r="K6" s="2022"/>
      <c r="L6" s="2022"/>
      <c r="M6" s="2022"/>
      <c r="N6" s="1890"/>
      <c r="O6" s="1890"/>
      <c r="P6" s="1890"/>
      <c r="Q6" s="1890"/>
      <c r="R6" s="1890"/>
      <c r="S6" s="1890"/>
      <c r="T6" s="1890"/>
      <c r="U6" s="1890"/>
      <c r="V6" s="1890"/>
      <c r="W6" s="1890"/>
      <c r="X6" s="1890"/>
    </row>
    <row r="7" spans="1:24" ht="28.5" x14ac:dyDescent="0.25">
      <c r="A7" s="1890"/>
      <c r="B7" s="1890"/>
      <c r="C7" s="2023"/>
      <c r="D7" s="2023"/>
      <c r="E7" s="2024" t="s">
        <v>1145</v>
      </c>
      <c r="F7" s="2025"/>
      <c r="G7" s="2026" t="s">
        <v>1146</v>
      </c>
      <c r="H7" s="2026" t="s">
        <v>1493</v>
      </c>
      <c r="I7" s="2026" t="s">
        <v>1147</v>
      </c>
      <c r="J7" s="2026" t="s">
        <v>1148</v>
      </c>
      <c r="K7" s="2026" t="s">
        <v>1149</v>
      </c>
      <c r="L7" s="2026" t="s">
        <v>1150</v>
      </c>
      <c r="M7" s="2026" t="s">
        <v>1494</v>
      </c>
      <c r="N7" s="1890"/>
      <c r="O7" s="1890"/>
      <c r="P7" s="1890"/>
      <c r="Q7" s="1890"/>
      <c r="R7" s="1890"/>
      <c r="S7" s="1890"/>
      <c r="T7" s="1890"/>
      <c r="U7" s="1890"/>
      <c r="V7" s="1890"/>
      <c r="W7" s="1890"/>
      <c r="X7" s="1890"/>
    </row>
    <row r="8" spans="1:24" ht="35.1" customHeight="1" x14ac:dyDescent="0.25">
      <c r="A8" s="1890"/>
      <c r="B8" s="1890"/>
      <c r="C8" s="1890"/>
      <c r="D8" s="1890"/>
      <c r="E8" s="2027" t="s">
        <v>1145</v>
      </c>
      <c r="F8" s="2028"/>
      <c r="G8" s="2029" t="s">
        <v>1151</v>
      </c>
      <c r="H8" s="2029" t="s">
        <v>1495</v>
      </c>
      <c r="I8" s="2029" t="s">
        <v>1152</v>
      </c>
      <c r="J8" s="2029" t="s">
        <v>1153</v>
      </c>
      <c r="K8" s="2029" t="s">
        <v>1154</v>
      </c>
      <c r="L8" s="2029" t="s">
        <v>1496</v>
      </c>
      <c r="M8" s="2029" t="s">
        <v>1497</v>
      </c>
      <c r="N8" s="2030"/>
      <c r="O8" s="2031"/>
      <c r="P8" s="2030"/>
      <c r="Q8" s="2030"/>
      <c r="R8" s="2030"/>
      <c r="S8" s="2030"/>
      <c r="T8" s="2030"/>
      <c r="U8" s="2030"/>
      <c r="V8" s="2030"/>
      <c r="W8" s="1890"/>
      <c r="X8" s="1890"/>
    </row>
    <row r="9" spans="1:24" ht="26.1" customHeight="1" x14ac:dyDescent="0.2">
      <c r="A9" s="1912" t="s">
        <v>1155</v>
      </c>
      <c r="B9" s="2032"/>
      <c r="C9" s="1890"/>
      <c r="D9" s="1890"/>
      <c r="E9" s="2033"/>
      <c r="F9" s="2033"/>
      <c r="G9" s="2033"/>
      <c r="H9" s="2033"/>
      <c r="I9" s="2033"/>
      <c r="J9" s="2033"/>
      <c r="K9" s="2033"/>
      <c r="L9" s="2033"/>
      <c r="M9" s="2033"/>
      <c r="N9" s="2034"/>
      <c r="O9" s="2035"/>
      <c r="P9" s="2030"/>
      <c r="Q9" s="2030"/>
      <c r="R9" s="2030"/>
      <c r="S9" s="2030"/>
      <c r="T9" s="2030"/>
      <c r="U9" s="2030"/>
      <c r="V9" s="2030"/>
      <c r="W9" s="1890"/>
      <c r="X9" s="1890"/>
    </row>
    <row r="10" spans="1:24" x14ac:dyDescent="0.2">
      <c r="A10" s="2036" t="s">
        <v>1156</v>
      </c>
      <c r="B10" s="2037"/>
      <c r="C10" s="1890"/>
      <c r="D10" s="1890"/>
      <c r="E10" s="2033"/>
      <c r="F10" s="2033"/>
      <c r="G10" s="2033"/>
      <c r="H10" s="2033"/>
      <c r="I10" s="2033"/>
      <c r="J10" s="2033"/>
      <c r="K10" s="2033"/>
      <c r="L10" s="2033"/>
      <c r="M10" s="2033"/>
      <c r="N10" s="2034"/>
      <c r="O10" s="2030"/>
      <c r="P10" s="2030"/>
      <c r="Q10" s="2030"/>
      <c r="R10" s="2030"/>
      <c r="S10" s="2030"/>
      <c r="T10" s="2030"/>
      <c r="U10" s="2030"/>
      <c r="V10" s="2030"/>
      <c r="W10" s="1890"/>
      <c r="X10" s="1890"/>
    </row>
    <row r="11" spans="1:24" ht="15.75" x14ac:dyDescent="0.25">
      <c r="A11" s="2038"/>
      <c r="B11" s="2037"/>
      <c r="C11" s="1890"/>
      <c r="D11" s="1890"/>
      <c r="E11" s="2033"/>
      <c r="F11" s="2033"/>
      <c r="G11" s="2033"/>
      <c r="H11" s="2033"/>
      <c r="I11" s="2033"/>
      <c r="J11" s="2033"/>
      <c r="K11" s="2033"/>
      <c r="L11" s="2033"/>
      <c r="M11" s="2033"/>
      <c r="N11" s="2030"/>
      <c r="O11" s="2039"/>
      <c r="P11" s="2030"/>
      <c r="Q11" s="2030"/>
      <c r="R11" s="2030"/>
      <c r="S11" s="2030"/>
      <c r="T11" s="2030"/>
      <c r="U11" s="2030"/>
      <c r="V11" s="2030"/>
      <c r="W11" s="1890"/>
      <c r="X11" s="1890"/>
    </row>
    <row r="12" spans="1:24" ht="18" customHeight="1" x14ac:dyDescent="0.2">
      <c r="A12" s="2040" t="s">
        <v>1157</v>
      </c>
      <c r="B12" s="2041" t="s">
        <v>1158</v>
      </c>
      <c r="C12" s="2042" t="s">
        <v>1159</v>
      </c>
      <c r="D12" s="2043"/>
      <c r="E12" s="2044" t="s">
        <v>1160</v>
      </c>
      <c r="F12" s="2045"/>
      <c r="G12" s="2046" t="s">
        <v>1160</v>
      </c>
      <c r="H12" s="2046" t="s">
        <v>1160</v>
      </c>
      <c r="I12" s="2046" t="s">
        <v>1160</v>
      </c>
      <c r="J12" s="2046" t="s">
        <v>1160</v>
      </c>
      <c r="K12" s="2046" t="s">
        <v>1160</v>
      </c>
      <c r="L12" s="2046" t="s">
        <v>1160</v>
      </c>
      <c r="M12" s="2046" t="s">
        <v>1160</v>
      </c>
      <c r="N12" s="2047"/>
      <c r="O12" s="2957"/>
      <c r="P12" s="2957"/>
      <c r="Q12" s="2957"/>
      <c r="R12" s="2957"/>
      <c r="S12" s="2957"/>
      <c r="T12" s="2030"/>
      <c r="U12" s="2030"/>
      <c r="V12" s="2030"/>
      <c r="W12" s="1890"/>
      <c r="X12" s="1890"/>
    </row>
    <row r="13" spans="1:24" ht="18" customHeight="1" x14ac:dyDescent="0.2">
      <c r="A13" s="1890"/>
      <c r="B13" s="2048" t="s">
        <v>1108</v>
      </c>
      <c r="C13" s="2049"/>
      <c r="D13" s="2050"/>
      <c r="E13" s="2051">
        <v>0.1</v>
      </c>
      <c r="F13" s="2033"/>
      <c r="G13" s="2051">
        <v>0.33300000000000002</v>
      </c>
      <c r="H13" s="2051">
        <v>0.33300000000000002</v>
      </c>
      <c r="I13" s="2051">
        <v>0.33300000000000002</v>
      </c>
      <c r="J13" s="2051">
        <v>0.33300000000000002</v>
      </c>
      <c r="K13" s="2051">
        <v>0.33300000000000002</v>
      </c>
      <c r="L13" s="2051">
        <v>0.33300000000000002</v>
      </c>
      <c r="M13" s="2051">
        <v>0.33300000000000002</v>
      </c>
      <c r="N13" s="2030"/>
      <c r="O13" s="2957"/>
      <c r="P13" s="2957"/>
      <c r="Q13" s="2957"/>
      <c r="R13" s="2957"/>
      <c r="S13" s="2957"/>
      <c r="T13" s="2030"/>
      <c r="U13" s="2030"/>
      <c r="V13" s="2030"/>
      <c r="W13" s="1890"/>
      <c r="X13" s="1890"/>
    </row>
    <row r="14" spans="1:24" ht="18" customHeight="1" x14ac:dyDescent="0.2">
      <c r="A14" s="1890"/>
      <c r="B14" s="2048" t="s">
        <v>1109</v>
      </c>
      <c r="C14" s="2049"/>
      <c r="D14" s="2050"/>
      <c r="E14" s="2051">
        <v>0.1</v>
      </c>
      <c r="F14" s="2033"/>
      <c r="G14" s="2051">
        <v>0.22</v>
      </c>
      <c r="H14" s="2051">
        <v>0.22</v>
      </c>
      <c r="I14" s="2051">
        <v>0.22</v>
      </c>
      <c r="J14" s="2051">
        <v>0.22</v>
      </c>
      <c r="K14" s="2051">
        <v>0.22</v>
      </c>
      <c r="L14" s="2051">
        <v>0.22</v>
      </c>
      <c r="M14" s="2051">
        <v>0.22</v>
      </c>
      <c r="N14" s="2030"/>
      <c r="O14" s="2052"/>
      <c r="P14" s="2053"/>
      <c r="Q14" s="2052"/>
      <c r="R14" s="2052"/>
      <c r="S14" s="2052"/>
      <c r="T14" s="2030"/>
      <c r="U14" s="2030"/>
      <c r="V14" s="2030"/>
      <c r="W14" s="1890"/>
      <c r="X14" s="1890"/>
    </row>
    <row r="15" spans="1:24" ht="18" customHeight="1" x14ac:dyDescent="0.2">
      <c r="A15" s="1890"/>
      <c r="B15" s="2048" t="s">
        <v>50</v>
      </c>
      <c r="C15" s="2049"/>
      <c r="D15" s="2050"/>
      <c r="E15" s="2051">
        <v>0</v>
      </c>
      <c r="F15" s="2033"/>
      <c r="G15" s="2051">
        <v>0</v>
      </c>
      <c r="H15" s="2051">
        <v>0</v>
      </c>
      <c r="I15" s="2051">
        <v>0</v>
      </c>
      <c r="J15" s="2051">
        <v>0</v>
      </c>
      <c r="K15" s="2051">
        <v>0</v>
      </c>
      <c r="L15" s="2051">
        <v>0</v>
      </c>
      <c r="M15" s="2051">
        <v>0</v>
      </c>
      <c r="N15" s="2030"/>
      <c r="O15" s="1845"/>
      <c r="P15" s="2054"/>
      <c r="Q15" s="2054"/>
      <c r="R15" s="2053"/>
      <c r="S15" s="2030"/>
      <c r="T15" s="2030"/>
      <c r="U15" s="2030"/>
      <c r="V15" s="2030"/>
      <c r="W15" s="1890"/>
      <c r="X15" s="1890"/>
    </row>
    <row r="16" spans="1:24" ht="18" customHeight="1" x14ac:dyDescent="0.2">
      <c r="A16" s="1890"/>
      <c r="B16" s="2048" t="s">
        <v>1110</v>
      </c>
      <c r="C16" s="2049"/>
      <c r="D16" s="2050"/>
      <c r="E16" s="2051">
        <v>0.2</v>
      </c>
      <c r="F16" s="2033"/>
      <c r="G16" s="2051">
        <v>0.95</v>
      </c>
      <c r="H16" s="2051">
        <v>0.95</v>
      </c>
      <c r="I16" s="2051">
        <v>0.95</v>
      </c>
      <c r="J16" s="2051">
        <v>0.95</v>
      </c>
      <c r="K16" s="2051">
        <v>0.95</v>
      </c>
      <c r="L16" s="2051">
        <v>0.95</v>
      </c>
      <c r="M16" s="2051">
        <v>0.95</v>
      </c>
      <c r="N16" s="2030"/>
      <c r="O16" s="2055"/>
      <c r="P16" s="2056"/>
      <c r="Q16" s="2057"/>
      <c r="R16" s="2058"/>
      <c r="S16" s="2059"/>
      <c r="T16" s="2030"/>
      <c r="U16" s="2030"/>
      <c r="V16" s="2030"/>
      <c r="W16" s="1890"/>
      <c r="X16" s="1890"/>
    </row>
    <row r="17" spans="1:24" ht="18" customHeight="1" x14ac:dyDescent="0.2">
      <c r="A17" s="1890"/>
      <c r="B17" s="2048" t="s">
        <v>1111</v>
      </c>
      <c r="C17" s="2049"/>
      <c r="D17" s="2050"/>
      <c r="E17" s="2051">
        <v>0.2</v>
      </c>
      <c r="F17" s="2033"/>
      <c r="G17" s="2051">
        <v>0.95</v>
      </c>
      <c r="H17" s="2051">
        <v>0.95</v>
      </c>
      <c r="I17" s="2051">
        <v>0.95</v>
      </c>
      <c r="J17" s="2051">
        <v>0.95</v>
      </c>
      <c r="K17" s="2051">
        <v>0.95</v>
      </c>
      <c r="L17" s="2051">
        <v>0.95</v>
      </c>
      <c r="M17" s="2051">
        <v>0.95</v>
      </c>
      <c r="N17" s="2030"/>
      <c r="O17" s="2055"/>
      <c r="P17" s="2056"/>
      <c r="Q17" s="2057"/>
      <c r="R17" s="2058"/>
      <c r="S17" s="2060"/>
      <c r="T17" s="2030"/>
      <c r="U17" s="2030"/>
      <c r="V17" s="2030"/>
      <c r="W17" s="1890"/>
      <c r="X17" s="1890"/>
    </row>
    <row r="18" spans="1:24" x14ac:dyDescent="0.2">
      <c r="A18" s="1890"/>
      <c r="B18" s="1845"/>
      <c r="C18" s="2030"/>
      <c r="D18" s="2030"/>
      <c r="E18" s="2061"/>
      <c r="F18" s="2061"/>
      <c r="G18" s="2061"/>
      <c r="H18" s="2061"/>
      <c r="I18" s="2061"/>
      <c r="J18" s="2061"/>
      <c r="K18" s="2061"/>
      <c r="L18" s="2061"/>
      <c r="M18" s="2061"/>
      <c r="N18" s="2030"/>
      <c r="O18" s="2055"/>
      <c r="P18" s="2056"/>
      <c r="Q18" s="2057"/>
      <c r="R18" s="2058"/>
      <c r="S18" s="2062"/>
      <c r="T18" s="2030"/>
      <c r="U18" s="2030"/>
      <c r="V18" s="2030"/>
      <c r="W18" s="1890"/>
      <c r="X18" s="1890"/>
    </row>
    <row r="19" spans="1:24" x14ac:dyDescent="0.2">
      <c r="A19" s="1890"/>
      <c r="B19" s="1890"/>
      <c r="C19" s="1890"/>
      <c r="D19" s="1890"/>
      <c r="E19" s="1890"/>
      <c r="F19" s="1890"/>
      <c r="G19" s="1890"/>
      <c r="H19" s="1890"/>
      <c r="I19" s="1890"/>
      <c r="J19" s="1890"/>
      <c r="K19" s="1890"/>
      <c r="L19" s="1890"/>
      <c r="M19" s="1890"/>
      <c r="N19" s="2030"/>
      <c r="O19" s="2055"/>
      <c r="P19" s="2056"/>
      <c r="Q19" s="2057"/>
      <c r="R19" s="2058"/>
      <c r="S19" s="2062"/>
      <c r="T19" s="2030"/>
      <c r="U19" s="2030"/>
      <c r="V19" s="2030"/>
      <c r="W19" s="1890"/>
      <c r="X19" s="1890"/>
    </row>
    <row r="20" spans="1:24" ht="26.1" customHeight="1" x14ac:dyDescent="0.2">
      <c r="A20" s="1912" t="s">
        <v>1161</v>
      </c>
      <c r="B20" s="2063"/>
      <c r="C20" s="1890"/>
      <c r="D20" s="1890"/>
      <c r="E20" s="1890"/>
      <c r="F20" s="1890"/>
      <c r="G20" s="1890"/>
      <c r="H20" s="1890"/>
      <c r="I20" s="1890"/>
      <c r="J20" s="1890"/>
      <c r="K20" s="1890"/>
      <c r="L20" s="1890"/>
      <c r="M20" s="1890"/>
      <c r="N20" s="2030"/>
      <c r="O20" s="2055"/>
      <c r="P20" s="2056"/>
      <c r="Q20" s="2057"/>
      <c r="R20" s="2058"/>
      <c r="S20" s="2062"/>
      <c r="T20" s="2030"/>
      <c r="U20" s="2030"/>
      <c r="V20" s="2030"/>
      <c r="W20" s="1890"/>
      <c r="X20" s="1890"/>
    </row>
    <row r="21" spans="1:24" s="2072" customFormat="1" ht="18" customHeight="1" x14ac:dyDescent="0.25">
      <c r="A21" s="2064" t="s">
        <v>1162</v>
      </c>
      <c r="B21" s="2065"/>
      <c r="C21" s="2065"/>
      <c r="D21" s="2065"/>
      <c r="E21" s="2065"/>
      <c r="F21" s="2065"/>
      <c r="G21" s="2065"/>
      <c r="H21" s="2065"/>
      <c r="I21" s="2065"/>
      <c r="J21" s="2065"/>
      <c r="K21" s="2065"/>
      <c r="L21" s="2065"/>
      <c r="M21" s="2065"/>
      <c r="N21" s="2066"/>
      <c r="O21" s="2067"/>
      <c r="P21" s="2068"/>
      <c r="Q21" s="2069"/>
      <c r="R21" s="2070"/>
      <c r="S21" s="2071"/>
      <c r="T21" s="2066"/>
      <c r="U21" s="2066"/>
      <c r="V21" s="2066"/>
      <c r="W21" s="1957"/>
      <c r="X21" s="1957"/>
    </row>
    <row r="22" spans="1:24" s="2072" customFormat="1" ht="18" customHeight="1" x14ac:dyDescent="0.25">
      <c r="A22" s="2065" t="s">
        <v>1163</v>
      </c>
      <c r="B22" s="2065"/>
      <c r="C22" s="2065"/>
      <c r="D22" s="2065"/>
      <c r="E22" s="2065"/>
      <c r="F22" s="2065"/>
      <c r="G22" s="2065"/>
      <c r="H22" s="2065"/>
      <c r="I22" s="2065"/>
      <c r="J22" s="2065"/>
      <c r="K22" s="2065"/>
      <c r="L22" s="2065"/>
      <c r="M22" s="2065"/>
      <c r="N22" s="2066"/>
      <c r="O22" s="2067"/>
      <c r="P22" s="2068"/>
      <c r="Q22" s="2069"/>
      <c r="R22" s="2070"/>
      <c r="S22" s="2073"/>
      <c r="T22" s="2066"/>
      <c r="U22" s="2066"/>
      <c r="V22" s="2066"/>
      <c r="W22" s="1957"/>
      <c r="X22" s="1957"/>
    </row>
    <row r="23" spans="1:24" s="2072" customFormat="1" ht="18" customHeight="1" x14ac:dyDescent="0.25">
      <c r="A23" s="2074" t="s">
        <v>1157</v>
      </c>
      <c r="B23" s="1989" t="s">
        <v>1164</v>
      </c>
      <c r="C23" s="2075" t="s">
        <v>1159</v>
      </c>
      <c r="D23" s="2076"/>
      <c r="E23" s="2077" t="s">
        <v>1160</v>
      </c>
      <c r="F23" s="2078"/>
      <c r="G23" s="2079" t="s">
        <v>1160</v>
      </c>
      <c r="H23" s="2079" t="s">
        <v>1160</v>
      </c>
      <c r="I23" s="2079" t="s">
        <v>1160</v>
      </c>
      <c r="J23" s="2079" t="s">
        <v>1160</v>
      </c>
      <c r="K23" s="2079" t="s">
        <v>1160</v>
      </c>
      <c r="L23" s="2079" t="s">
        <v>1160</v>
      </c>
      <c r="M23" s="2079" t="s">
        <v>1160</v>
      </c>
      <c r="N23" s="2080"/>
      <c r="S23" s="1957"/>
      <c r="T23" s="1957"/>
      <c r="U23" s="1957"/>
      <c r="V23" s="1957"/>
      <c r="W23" s="1957"/>
      <c r="X23" s="1957"/>
    </row>
    <row r="24" spans="1:24" s="2072" customFormat="1" ht="18" customHeight="1" x14ac:dyDescent="0.25">
      <c r="A24" s="1915"/>
      <c r="B24" s="2081" t="s">
        <v>1106</v>
      </c>
      <c r="C24" s="1908"/>
      <c r="D24" s="1909"/>
      <c r="E24" s="2082">
        <v>0</v>
      </c>
      <c r="F24" s="2083"/>
      <c r="G24" s="1970">
        <v>0</v>
      </c>
      <c r="H24" s="1970">
        <v>0</v>
      </c>
      <c r="I24" s="1970">
        <v>0</v>
      </c>
      <c r="J24" s="1970">
        <v>0</v>
      </c>
      <c r="K24" s="1970">
        <v>0</v>
      </c>
      <c r="L24" s="1970">
        <v>0</v>
      </c>
      <c r="M24" s="1970">
        <v>0</v>
      </c>
      <c r="N24" s="1957"/>
      <c r="O24" s="1957"/>
      <c r="P24" s="1957"/>
      <c r="Q24" s="1957"/>
      <c r="R24" s="1957"/>
      <c r="S24" s="1957"/>
      <c r="T24" s="1957"/>
      <c r="U24" s="1957"/>
      <c r="V24" s="1957"/>
      <c r="W24" s="1957"/>
      <c r="X24" s="1957"/>
    </row>
    <row r="25" spans="1:24" s="2072" customFormat="1" ht="18" customHeight="1" x14ac:dyDescent="0.25">
      <c r="A25" s="1915"/>
      <c r="B25" s="2081" t="s">
        <v>1107</v>
      </c>
      <c r="C25" s="1908"/>
      <c r="D25" s="1909"/>
      <c r="E25" s="2082">
        <v>0</v>
      </c>
      <c r="F25" s="2083"/>
      <c r="G25" s="1970">
        <v>0</v>
      </c>
      <c r="H25" s="1970">
        <v>0</v>
      </c>
      <c r="I25" s="1970">
        <v>0</v>
      </c>
      <c r="J25" s="1970">
        <v>0</v>
      </c>
      <c r="K25" s="1970">
        <v>0</v>
      </c>
      <c r="L25" s="1970">
        <v>0</v>
      </c>
      <c r="M25" s="1970">
        <v>0</v>
      </c>
      <c r="N25" s="1957"/>
      <c r="O25" s="1957"/>
      <c r="Q25" s="1957"/>
      <c r="R25" s="1957"/>
      <c r="S25" s="1957"/>
      <c r="T25" s="1957"/>
      <c r="U25" s="1957"/>
      <c r="V25" s="1957"/>
      <c r="W25" s="1957"/>
      <c r="X25" s="1957"/>
    </row>
    <row r="26" spans="1:24" s="2072" customFormat="1" ht="26.1" customHeight="1" x14ac:dyDescent="0.25">
      <c r="A26" s="1915"/>
      <c r="B26" s="2084"/>
      <c r="C26" s="1915"/>
      <c r="D26" s="1915"/>
      <c r="E26" s="1915"/>
      <c r="F26" s="1915"/>
      <c r="G26" s="1915"/>
      <c r="H26" s="1915"/>
      <c r="I26" s="1915"/>
      <c r="J26" s="1915"/>
      <c r="K26" s="1915"/>
      <c r="L26" s="1915"/>
      <c r="M26" s="1915"/>
      <c r="N26" s="1957"/>
      <c r="O26" s="1957"/>
      <c r="P26" s="2958" t="s">
        <v>1165</v>
      </c>
      <c r="Q26" s="2959"/>
      <c r="R26" s="2959"/>
      <c r="S26" s="2959"/>
      <c r="T26" s="2959"/>
      <c r="U26" s="2959"/>
      <c r="V26" s="2960"/>
      <c r="W26" s="1957"/>
      <c r="X26" s="1957"/>
    </row>
    <row r="27" spans="1:24" s="2072" customFormat="1" ht="18" customHeight="1" x14ac:dyDescent="0.25">
      <c r="A27" s="1904" t="s">
        <v>1166</v>
      </c>
      <c r="B27" s="1915"/>
      <c r="C27" s="1915"/>
      <c r="D27" s="1915"/>
      <c r="E27" s="1915"/>
      <c r="F27" s="1915"/>
      <c r="G27" s="1915"/>
      <c r="H27" s="1915"/>
      <c r="I27" s="1915"/>
      <c r="J27" s="1915"/>
      <c r="K27" s="1915"/>
      <c r="L27" s="1915"/>
      <c r="M27" s="1915"/>
      <c r="N27" s="1957"/>
      <c r="O27" s="1957"/>
      <c r="P27" s="2085" t="s">
        <v>740</v>
      </c>
      <c r="Q27" s="2086" t="s">
        <v>1167</v>
      </c>
      <c r="R27" s="2086" t="s">
        <v>1167</v>
      </c>
      <c r="S27" s="2086" t="s">
        <v>1168</v>
      </c>
      <c r="T27" s="2087" t="s">
        <v>1169</v>
      </c>
      <c r="U27" s="2087" t="s">
        <v>1170</v>
      </c>
      <c r="V27" s="2088" t="s">
        <v>217</v>
      </c>
      <c r="W27" s="1957"/>
      <c r="X27" s="1957"/>
    </row>
    <row r="28" spans="1:24" s="2072" customFormat="1" ht="18" customHeight="1" x14ac:dyDescent="0.25">
      <c r="A28" s="1915"/>
      <c r="B28" s="1915"/>
      <c r="C28" s="1915"/>
      <c r="D28" s="1915"/>
      <c r="E28" s="1915"/>
      <c r="F28" s="1915"/>
      <c r="G28" s="1915"/>
      <c r="H28" s="1915"/>
      <c r="I28" s="1915"/>
      <c r="J28" s="1915"/>
      <c r="K28" s="1915"/>
      <c r="L28" s="1915"/>
      <c r="M28" s="1915"/>
      <c r="N28" s="1957"/>
      <c r="O28" s="1957"/>
      <c r="P28" s="2089" t="s">
        <v>1171</v>
      </c>
      <c r="Q28" s="2090" t="s">
        <v>1172</v>
      </c>
      <c r="R28" s="2090" t="s">
        <v>1173</v>
      </c>
      <c r="S28" s="2090" t="s">
        <v>1174</v>
      </c>
      <c r="T28" s="2090" t="s">
        <v>1175</v>
      </c>
      <c r="U28" s="2090" t="s">
        <v>1160</v>
      </c>
      <c r="V28" s="2088"/>
      <c r="W28" s="1957"/>
      <c r="X28" s="1957"/>
    </row>
    <row r="29" spans="1:24" s="2072" customFormat="1" ht="18" customHeight="1" x14ac:dyDescent="0.25">
      <c r="A29" s="2074" t="s">
        <v>1157</v>
      </c>
      <c r="B29" s="2091" t="s">
        <v>1176</v>
      </c>
      <c r="C29" s="2092"/>
      <c r="D29" s="2092"/>
      <c r="E29" s="2093" t="s">
        <v>1160</v>
      </c>
      <c r="F29" s="2078"/>
      <c r="G29" s="2079" t="s">
        <v>1160</v>
      </c>
      <c r="H29" s="2079" t="s">
        <v>1160</v>
      </c>
      <c r="I29" s="2079" t="s">
        <v>1160</v>
      </c>
      <c r="J29" s="2079" t="s">
        <v>1160</v>
      </c>
      <c r="K29" s="2079" t="s">
        <v>1160</v>
      </c>
      <c r="L29" s="2079" t="s">
        <v>1160</v>
      </c>
      <c r="M29" s="2079" t="s">
        <v>1160</v>
      </c>
      <c r="N29" s="2080"/>
      <c r="O29" s="1957"/>
      <c r="P29" s="2094" t="s">
        <v>1177</v>
      </c>
      <c r="Q29" s="2095">
        <v>0</v>
      </c>
      <c r="R29" s="2096">
        <v>12000</v>
      </c>
      <c r="S29" s="2097">
        <f>Q29+R29</f>
        <v>12000</v>
      </c>
      <c r="T29" s="2098">
        <f>'CO2 - Início'!$J$24*'CO2 - Início'!E35</f>
        <v>11144.390399999998</v>
      </c>
      <c r="U29" s="2099">
        <f>S29/('CO2 - Início'!$J$24*'CO2 - Início'!E35)</f>
        <v>1.0767749126950903</v>
      </c>
      <c r="V29" s="2100" t="s">
        <v>1178</v>
      </c>
      <c r="W29" s="1957"/>
      <c r="X29" s="1957"/>
    </row>
    <row r="30" spans="1:24" s="2072" customFormat="1" ht="18" customHeight="1" x14ac:dyDescent="0.25">
      <c r="A30" s="1915"/>
      <c r="B30" s="1907" t="s">
        <v>131</v>
      </c>
      <c r="C30" s="1908"/>
      <c r="D30" s="1909"/>
      <c r="E30" s="2082">
        <v>0</v>
      </c>
      <c r="F30" s="2101">
        <v>0</v>
      </c>
      <c r="G30" s="2082">
        <v>0</v>
      </c>
      <c r="H30" s="2082">
        <v>0</v>
      </c>
      <c r="I30" s="2082">
        <v>0</v>
      </c>
      <c r="J30" s="2082">
        <v>1</v>
      </c>
      <c r="K30" s="2082">
        <v>0</v>
      </c>
      <c r="L30" s="2082">
        <v>0</v>
      </c>
      <c r="M30" s="2082">
        <v>0</v>
      </c>
      <c r="N30" s="1957"/>
      <c r="O30" s="2102"/>
      <c r="P30" s="2094" t="s">
        <v>1179</v>
      </c>
      <c r="Q30" s="2095">
        <v>0</v>
      </c>
      <c r="R30" s="2103">
        <v>600</v>
      </c>
      <c r="S30" s="2097">
        <f t="shared" ref="S30:S35" si="0">Q30+R30</f>
        <v>600</v>
      </c>
      <c r="T30" s="2098">
        <f>'CO2 - Início'!$J$24*'CO2 - Início'!E36</f>
        <v>690.76799999999992</v>
      </c>
      <c r="U30" s="2099">
        <f>S30/('CO2 - Início'!$J$24*'CO2 - Início'!E36)</f>
        <v>0.86859842957403943</v>
      </c>
      <c r="V30" s="2104">
        <f>(S29+S30)/(T29+T30)</f>
        <v>1.0646245343028109</v>
      </c>
      <c r="W30" s="1957"/>
      <c r="X30" s="1957"/>
    </row>
    <row r="31" spans="1:24" s="2072" customFormat="1" ht="18" customHeight="1" x14ac:dyDescent="0.25">
      <c r="A31" s="1915"/>
      <c r="B31" s="1907" t="s">
        <v>1180</v>
      </c>
      <c r="C31" s="1908"/>
      <c r="D31" s="1909"/>
      <c r="E31" s="2082">
        <v>0</v>
      </c>
      <c r="F31" s="2083"/>
      <c r="G31" s="2082">
        <v>1</v>
      </c>
      <c r="H31" s="2082">
        <v>1</v>
      </c>
      <c r="I31" s="2082">
        <v>1</v>
      </c>
      <c r="J31" s="2082">
        <v>0</v>
      </c>
      <c r="K31" s="2082">
        <v>0</v>
      </c>
      <c r="L31" s="2082">
        <v>0</v>
      </c>
      <c r="M31" s="2082">
        <v>0</v>
      </c>
      <c r="N31" s="1957"/>
      <c r="O31" s="1957"/>
      <c r="P31" s="2094" t="s">
        <v>1108</v>
      </c>
      <c r="Q31" s="2095">
        <v>500</v>
      </c>
      <c r="R31" s="2103">
        <v>3000</v>
      </c>
      <c r="S31" s="2097">
        <f t="shared" si="0"/>
        <v>3500</v>
      </c>
      <c r="T31" s="2098">
        <f>'CO2 - Início'!$J$24*'CO2 - Início'!E37</f>
        <v>3016.3535999999999</v>
      </c>
      <c r="U31" s="2099">
        <f>S31/('CO2 - Início'!$J$24*'CO2 - Início'!E37)</f>
        <v>1.160341413553106</v>
      </c>
      <c r="V31" s="2105"/>
      <c r="W31" s="1957"/>
      <c r="X31" s="1957"/>
    </row>
    <row r="32" spans="1:24" s="2072" customFormat="1" ht="18" customHeight="1" x14ac:dyDescent="0.25">
      <c r="A32" s="1915"/>
      <c r="B32" s="2106" t="s">
        <v>42</v>
      </c>
      <c r="C32" s="1990"/>
      <c r="D32" s="1990"/>
      <c r="E32" s="2107">
        <f>+E30+E31</f>
        <v>0</v>
      </c>
      <c r="F32" s="2083"/>
      <c r="G32" s="2107">
        <f t="shared" ref="G32:M32" si="1">+G30+G31</f>
        <v>1</v>
      </c>
      <c r="H32" s="2107">
        <f t="shared" si="1"/>
        <v>1</v>
      </c>
      <c r="I32" s="2107">
        <f t="shared" si="1"/>
        <v>1</v>
      </c>
      <c r="J32" s="2107">
        <f t="shared" si="1"/>
        <v>1</v>
      </c>
      <c r="K32" s="2107">
        <f t="shared" si="1"/>
        <v>0</v>
      </c>
      <c r="L32" s="2107">
        <f t="shared" si="1"/>
        <v>0</v>
      </c>
      <c r="M32" s="2107">
        <f t="shared" si="1"/>
        <v>0</v>
      </c>
      <c r="N32" s="2102"/>
      <c r="O32" s="2108"/>
      <c r="P32" s="2094" t="s">
        <v>1109</v>
      </c>
      <c r="Q32" s="2095">
        <v>300</v>
      </c>
      <c r="R32" s="2096">
        <v>1200</v>
      </c>
      <c r="S32" s="2097">
        <f t="shared" si="0"/>
        <v>1500</v>
      </c>
      <c r="T32" s="2098">
        <f>'CO2 - Início'!$J$24*'CO2 - Início'!E38</f>
        <v>3108.4560000000001</v>
      </c>
      <c r="U32" s="2099">
        <f>S32/('CO2 - Início'!$J$24*'CO2 - Início'!E38)</f>
        <v>0.48255468309668847</v>
      </c>
      <c r="V32" s="2109"/>
      <c r="W32" s="1957"/>
      <c r="X32" s="1957"/>
    </row>
    <row r="33" spans="1:24" s="2072" customFormat="1" ht="18" customHeight="1" x14ac:dyDescent="0.25">
      <c r="A33" s="1915"/>
      <c r="B33" s="2110"/>
      <c r="C33" s="1915"/>
      <c r="D33" s="1915"/>
      <c r="E33" s="2111" t="s">
        <v>1160</v>
      </c>
      <c r="F33" s="2112"/>
      <c r="G33" s="2111" t="s">
        <v>1160</v>
      </c>
      <c r="H33" s="2111" t="s">
        <v>1160</v>
      </c>
      <c r="I33" s="2111" t="s">
        <v>1160</v>
      </c>
      <c r="J33" s="2111" t="s">
        <v>1160</v>
      </c>
      <c r="K33" s="2111" t="s">
        <v>1160</v>
      </c>
      <c r="L33" s="2111" t="s">
        <v>1160</v>
      </c>
      <c r="M33" s="2111" t="s">
        <v>1160</v>
      </c>
      <c r="N33" s="2102"/>
      <c r="O33" s="2113"/>
      <c r="P33" s="2094" t="s">
        <v>50</v>
      </c>
      <c r="Q33" s="2095">
        <v>0</v>
      </c>
      <c r="R33" s="2096">
        <v>70</v>
      </c>
      <c r="S33" s="2097">
        <f t="shared" si="0"/>
        <v>70</v>
      </c>
      <c r="T33" s="2098">
        <f>'CO2 - Início'!$J$24*'CO2 - Início'!E39</f>
        <v>552.61439999999993</v>
      </c>
      <c r="U33" s="2099">
        <f>S33/('CO2 - Início'!$J$24*'CO2 - Início'!E39)</f>
        <v>0.12667060431288074</v>
      </c>
      <c r="V33" s="2109"/>
      <c r="W33" s="1957"/>
      <c r="X33" s="1957"/>
    </row>
    <row r="34" spans="1:24" s="2072" customFormat="1" ht="18" customHeight="1" x14ac:dyDescent="0.25">
      <c r="A34" s="1915"/>
      <c r="B34" s="2961" t="s">
        <v>1181</v>
      </c>
      <c r="C34" s="2962"/>
      <c r="D34" s="2963"/>
      <c r="E34" s="2082">
        <v>0</v>
      </c>
      <c r="F34" s="2101"/>
      <c r="G34" s="2082">
        <v>1</v>
      </c>
      <c r="H34" s="2082">
        <v>0</v>
      </c>
      <c r="I34" s="2082">
        <v>0</v>
      </c>
      <c r="J34" s="2082">
        <v>0</v>
      </c>
      <c r="K34" s="2082">
        <v>0</v>
      </c>
      <c r="L34" s="2082">
        <v>0</v>
      </c>
      <c r="M34" s="2082">
        <v>0</v>
      </c>
      <c r="N34" s="2102"/>
      <c r="O34" s="1957"/>
      <c r="P34" s="2094" t="s">
        <v>1110</v>
      </c>
      <c r="Q34" s="2095">
        <v>50</v>
      </c>
      <c r="R34" s="2096">
        <v>700</v>
      </c>
      <c r="S34" s="2097">
        <f t="shared" si="0"/>
        <v>750</v>
      </c>
      <c r="T34" s="2098">
        <f>'CO2 - Início'!$J$24*'CO2 - Início'!E40</f>
        <v>529.58879999999999</v>
      </c>
      <c r="U34" s="2099">
        <f>S34/('CO2 - Início'!$J$24*'CO2 - Início'!E40)</f>
        <v>1.4161930916968033</v>
      </c>
      <c r="V34" s="2114" t="s">
        <v>865</v>
      </c>
      <c r="W34" s="1957"/>
      <c r="X34" s="1957"/>
    </row>
    <row r="35" spans="1:24" s="2072" customFormat="1" ht="18" customHeight="1" x14ac:dyDescent="0.25">
      <c r="A35" s="1915"/>
      <c r="B35" s="2961" t="s">
        <v>1182</v>
      </c>
      <c r="C35" s="2962"/>
      <c r="D35" s="2963"/>
      <c r="E35" s="2082">
        <v>0</v>
      </c>
      <c r="F35" s="2083"/>
      <c r="G35" s="2082">
        <v>0</v>
      </c>
      <c r="H35" s="2082">
        <v>1</v>
      </c>
      <c r="I35" s="2082">
        <v>1</v>
      </c>
      <c r="J35" s="2082">
        <v>0</v>
      </c>
      <c r="K35" s="2082">
        <v>0</v>
      </c>
      <c r="L35" s="2082">
        <v>0</v>
      </c>
      <c r="M35" s="2082">
        <v>0</v>
      </c>
      <c r="N35" s="2102"/>
      <c r="O35" s="1957"/>
      <c r="P35" s="2115" t="s">
        <v>1111</v>
      </c>
      <c r="Q35" s="2116">
        <v>50</v>
      </c>
      <c r="R35" s="2117">
        <v>200</v>
      </c>
      <c r="S35" s="2118">
        <f t="shared" si="0"/>
        <v>250</v>
      </c>
      <c r="T35" s="2119">
        <f>'CO2 - Início'!$J$24*'CO2 - Início'!E41</f>
        <v>138.15359999999998</v>
      </c>
      <c r="U35" s="2120">
        <f>S35/('CO2 - Início'!$J$24*'CO2 - Início'!E41)</f>
        <v>1.8095800616125821</v>
      </c>
      <c r="V35" s="2104">
        <f>SUM(S31:S35)/SUM(T31:T35)</f>
        <v>0.82639380368564552</v>
      </c>
      <c r="W35" s="1957"/>
      <c r="X35" s="1957"/>
    </row>
    <row r="36" spans="1:24" s="2072" customFormat="1" ht="18" customHeight="1" x14ac:dyDescent="0.25">
      <c r="A36" s="1957"/>
      <c r="B36" s="1957"/>
      <c r="C36" s="1957"/>
      <c r="D36" s="1957"/>
      <c r="E36" s="1957"/>
      <c r="F36" s="1957"/>
      <c r="G36" s="1957"/>
      <c r="H36" s="1957"/>
      <c r="I36" s="1957"/>
      <c r="J36" s="1957"/>
      <c r="K36" s="1957"/>
      <c r="L36" s="1957"/>
      <c r="M36" s="1957"/>
      <c r="N36" s="1957"/>
      <c r="O36" s="1957"/>
      <c r="P36" s="1957"/>
      <c r="Q36" s="1957"/>
      <c r="R36" s="1957"/>
      <c r="S36" s="1957"/>
      <c r="T36" s="1957"/>
      <c r="U36" s="1957"/>
      <c r="V36" s="1957"/>
      <c r="W36" s="1957"/>
      <c r="X36" s="1957"/>
    </row>
    <row r="37" spans="1:24" s="2072" customFormat="1" ht="18" customHeight="1" x14ac:dyDescent="0.25">
      <c r="A37" s="1957"/>
      <c r="B37" s="2121" t="s">
        <v>1095</v>
      </c>
      <c r="C37" s="2122"/>
      <c r="D37" s="2122"/>
      <c r="E37" s="2122"/>
      <c r="F37" s="2122"/>
      <c r="G37" s="2122"/>
      <c r="H37" s="2122"/>
      <c r="I37" s="2122"/>
      <c r="J37" s="2122"/>
      <c r="K37" s="2122"/>
      <c r="L37" s="2122"/>
      <c r="M37" s="2122"/>
      <c r="N37" s="2123"/>
      <c r="O37" s="1957"/>
      <c r="P37" s="1957"/>
      <c r="Q37" s="1957"/>
      <c r="R37" s="1957"/>
      <c r="S37" s="1957"/>
      <c r="T37" s="1957"/>
      <c r="U37" s="1957"/>
      <c r="V37" s="1957"/>
      <c r="W37" s="1957"/>
      <c r="X37" s="1957"/>
    </row>
    <row r="38" spans="1:24" s="2072" customFormat="1" ht="18" customHeight="1" x14ac:dyDescent="0.25">
      <c r="A38" s="1957"/>
      <c r="B38" s="1935" t="s">
        <v>1183</v>
      </c>
      <c r="C38" s="1936"/>
      <c r="D38" s="1936"/>
      <c r="E38" s="1936"/>
      <c r="F38" s="1936"/>
      <c r="G38" s="1936"/>
      <c r="H38" s="1936"/>
      <c r="I38" s="1936"/>
      <c r="J38" s="1936"/>
      <c r="K38" s="1936"/>
      <c r="L38" s="1936"/>
      <c r="M38" s="1936"/>
      <c r="N38" s="2124"/>
      <c r="O38" s="1957"/>
      <c r="P38" s="1957"/>
      <c r="Q38" s="1957"/>
      <c r="R38" s="1957"/>
      <c r="S38" s="1957"/>
      <c r="T38" s="1957"/>
      <c r="U38" s="1957"/>
      <c r="V38" s="1957"/>
      <c r="W38" s="1957"/>
      <c r="X38" s="1957"/>
    </row>
    <row r="39" spans="1:24" s="2072" customFormat="1" ht="18" customHeight="1" x14ac:dyDescent="0.25">
      <c r="A39" s="1957"/>
      <c r="B39" s="1935" t="s">
        <v>1184</v>
      </c>
      <c r="C39" s="1936"/>
      <c r="D39" s="1936"/>
      <c r="E39" s="1936"/>
      <c r="F39" s="1936"/>
      <c r="G39" s="1936"/>
      <c r="H39" s="1936"/>
      <c r="I39" s="1936"/>
      <c r="J39" s="1936"/>
      <c r="K39" s="1936"/>
      <c r="L39" s="1936"/>
      <c r="M39" s="1936"/>
      <c r="N39" s="2124"/>
      <c r="O39" s="1957"/>
      <c r="P39" s="1957"/>
      <c r="Q39" s="1957"/>
      <c r="R39" s="1957"/>
      <c r="S39" s="1957"/>
      <c r="T39" s="1957"/>
      <c r="U39" s="1957"/>
      <c r="V39" s="1957"/>
      <c r="W39" s="1957"/>
      <c r="X39" s="1957"/>
    </row>
    <row r="40" spans="1:24" s="2072" customFormat="1" ht="18" customHeight="1" x14ac:dyDescent="0.25">
      <c r="A40" s="1957"/>
      <c r="B40" s="1939"/>
      <c r="C40" s="1936"/>
      <c r="D40" s="1936"/>
      <c r="E40" s="1936"/>
      <c r="F40" s="1936"/>
      <c r="G40" s="1936"/>
      <c r="H40" s="1936"/>
      <c r="I40" s="1936"/>
      <c r="J40" s="1936"/>
      <c r="K40" s="1936"/>
      <c r="L40" s="1936"/>
      <c r="M40" s="1936"/>
      <c r="N40" s="2124"/>
      <c r="O40" s="1957"/>
      <c r="P40" s="1957"/>
      <c r="Q40" s="1957"/>
      <c r="R40" s="1957"/>
      <c r="S40" s="1957"/>
      <c r="T40" s="1957"/>
      <c r="U40" s="1957"/>
      <c r="V40" s="1957"/>
      <c r="W40" s="1957"/>
      <c r="X40" s="1957"/>
    </row>
    <row r="41" spans="1:24" s="2072" customFormat="1" ht="35.1" customHeight="1" x14ac:dyDescent="0.25">
      <c r="A41" s="1957"/>
      <c r="B41" s="2125" t="s">
        <v>1185</v>
      </c>
      <c r="C41" s="2126"/>
      <c r="D41" s="2126"/>
      <c r="E41" s="2127" t="str">
        <f>+E8</f>
        <v>Cenário-Base</v>
      </c>
      <c r="F41" s="1936"/>
      <c r="G41" s="2127" t="str">
        <f t="shared" ref="G41:M41" si="2">+G8</f>
        <v>Biodigestão RT1A + CDR TM</v>
      </c>
      <c r="H41" s="2127" t="str">
        <f t="shared" si="2"/>
        <v>Biodigestão RT1B + CDR TM</v>
      </c>
      <c r="I41" s="2127" t="str">
        <f t="shared" si="2"/>
        <v>Biodigestão RT1C + CDR TM</v>
      </c>
      <c r="J41" s="2127" t="str">
        <f t="shared" si="2"/>
        <v>Compostagem + CDR TM</v>
      </c>
      <c r="K41" s="2127" t="str">
        <f t="shared" si="2"/>
        <v xml:space="preserve">Biosecagem + CDR TMB </v>
      </c>
      <c r="L41" s="2127" t="str">
        <f t="shared" si="2"/>
        <v>Incineração Mass Burning</v>
      </c>
      <c r="M41" s="2127" t="str">
        <f t="shared" si="2"/>
        <v>Incineração Mass Burn. Descentralizada</v>
      </c>
      <c r="N41" s="2124"/>
      <c r="O41" s="1957"/>
      <c r="P41" s="1957"/>
      <c r="Q41" s="1957"/>
      <c r="R41" s="1957"/>
      <c r="S41" s="1957"/>
      <c r="T41" s="1957"/>
      <c r="U41" s="1957"/>
      <c r="V41" s="1957"/>
      <c r="W41" s="1957"/>
      <c r="X41" s="1957"/>
    </row>
    <row r="42" spans="1:24" s="2072" customFormat="1" ht="18" customHeight="1" x14ac:dyDescent="0.25">
      <c r="A42" s="1957"/>
      <c r="B42" s="1935" t="s">
        <v>1130</v>
      </c>
      <c r="C42" s="2128" t="s">
        <v>1131</v>
      </c>
      <c r="D42" s="1936"/>
      <c r="E42" s="2129">
        <f>IF(('CO2 - Início'!$E$55+'CO2 - Início'!$E$56)=1,'CO2 - Cálculos'!D124+'CO2 - Cálculos'!D125,"wrong")</f>
        <v>8.291091360066142</v>
      </c>
      <c r="F42" s="2130"/>
      <c r="G42" s="2129">
        <f>IF(('CO2 - Início'!$E$55+'CO2 - Início'!$E$56)=1,'CO2 - Cálculos'!E124+'CO2 - Cálculos'!E125,"wrong")</f>
        <v>7.9645539506654801</v>
      </c>
      <c r="H42" s="2129">
        <f>IF(('CO2 - Início'!$E$55+'CO2 - Início'!$E$56)=1,'CO2 - Cálculos'!G124+'CO2 - Cálculos'!G125,"wrong")</f>
        <v>7.9645539506654801</v>
      </c>
      <c r="I42" s="2129">
        <f>IF(('CO2 - Início'!$E$55+'CO2 - Início'!$E$56)=1,'CO2 - Cálculos'!H124+'CO2 - Cálculos'!H125,"wrong")</f>
        <v>7.9645539506654801</v>
      </c>
      <c r="J42" s="2129">
        <f>IF(('CO2 - Início'!$E$55+'CO2 - Início'!$E$56)=1,'CO2 - Cálculos'!H124+'CO2 - Cálculos'!H125,"wrong")</f>
        <v>7.9645539506654801</v>
      </c>
      <c r="K42" s="2129">
        <f>IF(('CO2 - Início'!$E$55+'CO2 - Início'!$E$56)=1,'CO2 - Cálculos'!I124+'CO2 - Cálculos'!I125,"wrong")</f>
        <v>7.9645539506654801</v>
      </c>
      <c r="L42" s="2129">
        <f>IF(('CO2 - Início'!$E$55+'CO2 - Início'!$E$56)=1,'CO2 - Cálculos'!I124+'CO2 - Cálculos'!I125,"wrong")</f>
        <v>7.9645539506654801</v>
      </c>
      <c r="M42" s="2129">
        <f>IF(('CO2 - Início'!$E$55+'CO2 - Início'!$E$56)=1,'CO2 - Cálculos'!J124+'CO2 - Cálculos'!J125,"wrong")</f>
        <v>7.9645539506654801</v>
      </c>
      <c r="N42" s="2124"/>
      <c r="O42" s="1957"/>
      <c r="P42" s="1957"/>
      <c r="Q42" s="1957"/>
      <c r="R42" s="1957"/>
      <c r="S42" s="1957"/>
      <c r="T42" s="1957"/>
      <c r="U42" s="1957"/>
      <c r="V42" s="1957"/>
      <c r="W42" s="1957"/>
      <c r="X42" s="1957"/>
    </row>
    <row r="43" spans="1:24" s="2072" customFormat="1" ht="18" customHeight="1" x14ac:dyDescent="0.25">
      <c r="A43" s="1957"/>
      <c r="B43" s="1935" t="s">
        <v>1132</v>
      </c>
      <c r="C43" s="2128" t="s">
        <v>1186</v>
      </c>
      <c r="D43" s="1936"/>
      <c r="E43" s="2131">
        <f>+'CO2 - Cálculos'!D119</f>
        <v>0.2673233774286895</v>
      </c>
      <c r="F43" s="2132"/>
      <c r="G43" s="2131">
        <f>+'CO2 - Cálculos'!E119</f>
        <v>0.26011406397538944</v>
      </c>
      <c r="H43" s="2131">
        <f>+'CO2 - Cálculos'!G119</f>
        <v>0.26011406397538944</v>
      </c>
      <c r="I43" s="2131">
        <f>+'CO2 - Cálculos'!H119</f>
        <v>0.26011406397538944</v>
      </c>
      <c r="J43" s="2131">
        <f>+'CO2 - Cálculos'!H119</f>
        <v>0.26011406397538944</v>
      </c>
      <c r="K43" s="2131">
        <f>+'CO2 - Cálculos'!I119</f>
        <v>0.26011406397538944</v>
      </c>
      <c r="L43" s="2131">
        <f>+'CO2 - Cálculos'!I119</f>
        <v>0.26011406397538944</v>
      </c>
      <c r="M43" s="2131">
        <f>+'CO2 - Cálculos'!J119</f>
        <v>0.26011406397538944</v>
      </c>
      <c r="N43" s="2124"/>
      <c r="O43" s="1957"/>
      <c r="P43" s="1957"/>
      <c r="Q43" s="1957"/>
      <c r="R43" s="1957"/>
      <c r="S43" s="1957"/>
      <c r="T43" s="1957"/>
      <c r="U43" s="1957"/>
      <c r="V43" s="1957"/>
      <c r="W43" s="1957"/>
      <c r="X43" s="1957"/>
    </row>
    <row r="44" spans="1:24" s="2072" customFormat="1" ht="18" customHeight="1" x14ac:dyDescent="0.25">
      <c r="A44" s="1957"/>
      <c r="B44" s="1935" t="s">
        <v>1133</v>
      </c>
      <c r="C44" s="2128" t="s">
        <v>1186</v>
      </c>
      <c r="D44" s="1936"/>
      <c r="E44" s="2131">
        <f>+'CO2 - Cálculos'!D120</f>
        <v>0.10246513642000825</v>
      </c>
      <c r="F44" s="2132"/>
      <c r="G44" s="2131">
        <f>+'CO2 - Cálculos'!E120</f>
        <v>9.661471714229472E-2</v>
      </c>
      <c r="H44" s="2131">
        <f>+'CO2 - Cálculos'!G120</f>
        <v>9.661471714229472E-2</v>
      </c>
      <c r="I44" s="2131">
        <f>+'CO2 - Cálculos'!H120</f>
        <v>9.661471714229472E-2</v>
      </c>
      <c r="J44" s="2131">
        <f>+'CO2 - Cálculos'!H120</f>
        <v>9.661471714229472E-2</v>
      </c>
      <c r="K44" s="2131">
        <f>+'CO2 - Cálculos'!I120</f>
        <v>9.661471714229472E-2</v>
      </c>
      <c r="L44" s="2131">
        <f>+'CO2 - Cálculos'!I120</f>
        <v>9.661471714229472E-2</v>
      </c>
      <c r="M44" s="2131">
        <f>+'CO2 - Cálculos'!J120</f>
        <v>9.661471714229472E-2</v>
      </c>
      <c r="N44" s="2124"/>
      <c r="O44" s="1957"/>
      <c r="P44" s="1957"/>
      <c r="Q44" s="1957"/>
      <c r="R44" s="1957"/>
      <c r="S44" s="1957"/>
      <c r="T44" s="1957"/>
      <c r="U44" s="1957"/>
      <c r="V44" s="1957"/>
      <c r="W44" s="1957"/>
      <c r="X44" s="1957"/>
    </row>
    <row r="45" spans="1:24" s="2072" customFormat="1" ht="18" customHeight="1" x14ac:dyDescent="0.25">
      <c r="A45" s="1957"/>
      <c r="B45" s="1935" t="s">
        <v>1134</v>
      </c>
      <c r="C45" s="2128" t="s">
        <v>1186</v>
      </c>
      <c r="D45" s="1936"/>
      <c r="E45" s="2131">
        <f>+'CO2 - Cálculos'!D121</f>
        <v>0.16485824100868124</v>
      </c>
      <c r="F45" s="2132"/>
      <c r="G45" s="2131">
        <f>+'CO2 - Cálculos'!E121</f>
        <v>0.16349934683309472</v>
      </c>
      <c r="H45" s="2131">
        <f>+'CO2 - Cálculos'!G121</f>
        <v>0.16349934683309472</v>
      </c>
      <c r="I45" s="2131">
        <f>+'CO2 - Cálculos'!H121</f>
        <v>0.16349934683309472</v>
      </c>
      <c r="J45" s="2131">
        <f>+'CO2 - Cálculos'!H121</f>
        <v>0.16349934683309472</v>
      </c>
      <c r="K45" s="2131">
        <f>+'CO2 - Cálculos'!I121</f>
        <v>0.16349934683309472</v>
      </c>
      <c r="L45" s="2131">
        <f>+'CO2 - Cálculos'!I121</f>
        <v>0.16349934683309472</v>
      </c>
      <c r="M45" s="2131">
        <f>+'CO2 - Cálculos'!J121</f>
        <v>0.16349934683309472</v>
      </c>
      <c r="N45" s="2124"/>
      <c r="O45" s="1957"/>
      <c r="P45" s="1957"/>
      <c r="Q45" s="1957"/>
      <c r="R45" s="1957"/>
      <c r="S45" s="1957"/>
      <c r="T45" s="1957"/>
      <c r="U45" s="1957"/>
      <c r="V45" s="1957"/>
      <c r="W45" s="1957"/>
      <c r="X45" s="1957"/>
    </row>
    <row r="46" spans="1:24" s="2072" customFormat="1" ht="18" customHeight="1" x14ac:dyDescent="0.25">
      <c r="A46" s="1957"/>
      <c r="B46" s="1951"/>
      <c r="C46" s="1952"/>
      <c r="D46" s="1952"/>
      <c r="E46" s="1952"/>
      <c r="F46" s="1952"/>
      <c r="G46" s="1952"/>
      <c r="H46" s="1952"/>
      <c r="I46" s="1952"/>
      <c r="J46" s="1952"/>
      <c r="K46" s="1952"/>
      <c r="L46" s="1952"/>
      <c r="M46" s="1952"/>
      <c r="N46" s="2133"/>
      <c r="O46" s="1957"/>
      <c r="P46" s="1957"/>
      <c r="Q46" s="1957"/>
      <c r="R46" s="1957"/>
      <c r="S46" s="1957"/>
      <c r="T46" s="1957"/>
      <c r="U46" s="1957"/>
      <c r="V46" s="1957"/>
      <c r="W46" s="1957"/>
      <c r="X46" s="1957"/>
    </row>
    <row r="47" spans="1:24" x14ac:dyDescent="0.2">
      <c r="A47" s="1890"/>
      <c r="B47" s="1890"/>
      <c r="C47" s="1890"/>
      <c r="D47" s="1890"/>
      <c r="E47" s="1890"/>
      <c r="F47" s="1890"/>
      <c r="G47" s="1890"/>
      <c r="H47" s="1890"/>
      <c r="I47" s="1890"/>
      <c r="J47" s="1890"/>
      <c r="K47" s="1890"/>
      <c r="L47" s="1890"/>
      <c r="M47" s="1890"/>
      <c r="N47" s="1890"/>
      <c r="O47" s="1890"/>
      <c r="P47" s="1890"/>
      <c r="Q47" s="1890"/>
      <c r="R47" s="1890"/>
      <c r="S47" s="1890"/>
      <c r="T47" s="1890"/>
      <c r="U47" s="1890"/>
      <c r="V47" s="1890"/>
      <c r="W47" s="1890"/>
      <c r="X47" s="1890"/>
    </row>
    <row r="48" spans="1:24" x14ac:dyDescent="0.2">
      <c r="A48" s="1890"/>
      <c r="B48" s="1890"/>
      <c r="C48" s="1890"/>
      <c r="D48" s="1890"/>
      <c r="E48" s="1890"/>
      <c r="F48" s="1890"/>
      <c r="G48" s="1890"/>
      <c r="H48" s="1890"/>
      <c r="I48" s="1890"/>
      <c r="J48" s="1890"/>
      <c r="K48" s="1890"/>
      <c r="L48" s="1890"/>
      <c r="M48" s="1890"/>
      <c r="N48" s="1890"/>
      <c r="O48" s="1890"/>
      <c r="P48" s="1890"/>
      <c r="Q48" s="1890"/>
      <c r="R48" s="1890"/>
      <c r="S48" s="1890"/>
      <c r="T48" s="1890"/>
      <c r="U48" s="1890"/>
      <c r="V48" s="1890"/>
      <c r="W48" s="1890"/>
      <c r="X48" s="1890"/>
    </row>
    <row r="49" spans="1:24" x14ac:dyDescent="0.2">
      <c r="A49" s="1890"/>
      <c r="B49" s="1890"/>
      <c r="C49" s="1890"/>
      <c r="D49" s="1890"/>
      <c r="E49" s="1890"/>
      <c r="F49" s="1890"/>
      <c r="G49" s="1890"/>
      <c r="H49" s="1890"/>
      <c r="I49" s="1890"/>
      <c r="J49" s="1890"/>
      <c r="K49" s="1890"/>
      <c r="L49" s="1890"/>
      <c r="M49" s="1890"/>
      <c r="N49" s="1890"/>
      <c r="O49" s="1890"/>
      <c r="P49" s="1890"/>
      <c r="Q49" s="1890"/>
      <c r="R49" s="1890"/>
      <c r="S49" s="1890"/>
      <c r="T49" s="1890"/>
      <c r="U49" s="1890"/>
      <c r="V49" s="1890"/>
      <c r="W49" s="1890"/>
      <c r="X49" s="1890"/>
    </row>
    <row r="50" spans="1:24" x14ac:dyDescent="0.2">
      <c r="A50" s="1890"/>
      <c r="B50" s="1890"/>
      <c r="C50" s="1890"/>
      <c r="D50" s="1890"/>
      <c r="E50" s="1890"/>
      <c r="F50" s="1890"/>
      <c r="G50" s="1890"/>
      <c r="H50" s="1890"/>
      <c r="I50" s="1890"/>
      <c r="J50" s="1890"/>
      <c r="K50" s="1890"/>
      <c r="L50" s="1890"/>
      <c r="M50" s="1890"/>
      <c r="N50" s="1890"/>
      <c r="O50" s="1890"/>
      <c r="P50" s="1890"/>
      <c r="Q50" s="1890"/>
      <c r="R50" s="1890"/>
      <c r="S50" s="1890"/>
      <c r="T50" s="1890"/>
      <c r="U50" s="1890"/>
      <c r="V50" s="1890"/>
      <c r="W50" s="1890"/>
      <c r="X50" s="1890"/>
    </row>
    <row r="51" spans="1:24" x14ac:dyDescent="0.2">
      <c r="A51" s="1890"/>
      <c r="B51" s="1890"/>
      <c r="C51" s="1890"/>
      <c r="D51" s="1890"/>
      <c r="E51" s="1890"/>
      <c r="F51" s="1890"/>
      <c r="G51" s="1890"/>
      <c r="H51" s="1890"/>
      <c r="I51" s="1890"/>
      <c r="J51" s="1890"/>
      <c r="K51" s="1890"/>
      <c r="L51" s="1890"/>
      <c r="M51" s="1890"/>
      <c r="N51" s="1890"/>
      <c r="O51" s="1890"/>
      <c r="P51" s="1890"/>
      <c r="Q51" s="1890"/>
      <c r="R51" s="1890"/>
      <c r="S51" s="1890"/>
      <c r="T51" s="1890"/>
      <c r="U51" s="1890"/>
      <c r="V51" s="1890"/>
      <c r="W51" s="1890"/>
      <c r="X51" s="1890"/>
    </row>
    <row r="52" spans="1:24" x14ac:dyDescent="0.2">
      <c r="A52" s="1890"/>
      <c r="B52" s="1890"/>
      <c r="C52" s="1890"/>
      <c r="D52" s="1890"/>
      <c r="E52" s="1890"/>
      <c r="F52" s="1890"/>
      <c r="G52" s="1890"/>
      <c r="H52" s="1890"/>
      <c r="I52" s="1890"/>
      <c r="J52" s="1890"/>
      <c r="K52" s="1890"/>
      <c r="L52" s="1890"/>
      <c r="M52" s="1890"/>
      <c r="N52" s="1890"/>
      <c r="O52" s="1890"/>
      <c r="P52" s="1890"/>
      <c r="Q52" s="1890"/>
      <c r="R52" s="1890"/>
      <c r="S52" s="1890"/>
      <c r="T52" s="1890"/>
      <c r="U52" s="1890"/>
      <c r="V52" s="1890"/>
      <c r="W52" s="1890"/>
      <c r="X52" s="1890"/>
    </row>
    <row r="53" spans="1:24" x14ac:dyDescent="0.2">
      <c r="A53" s="1890"/>
      <c r="B53" s="1890"/>
      <c r="C53" s="1890"/>
      <c r="D53" s="1890"/>
      <c r="E53" s="1890"/>
      <c r="F53" s="1890"/>
      <c r="G53" s="1890"/>
      <c r="H53" s="1890"/>
      <c r="I53" s="1890"/>
      <c r="J53" s="1890"/>
      <c r="K53" s="1890"/>
      <c r="L53" s="1890"/>
      <c r="M53" s="1890"/>
      <c r="N53" s="1890"/>
      <c r="O53" s="1890"/>
      <c r="P53" s="1890"/>
      <c r="Q53" s="1890"/>
      <c r="R53" s="1890"/>
      <c r="S53" s="1890"/>
      <c r="T53" s="1890"/>
      <c r="U53" s="1890"/>
      <c r="V53" s="1890"/>
      <c r="W53" s="1890"/>
      <c r="X53" s="1890"/>
    </row>
    <row r="54" spans="1:24" x14ac:dyDescent="0.2">
      <c r="A54" s="1890"/>
      <c r="B54" s="1890"/>
      <c r="C54" s="1890"/>
      <c r="D54" s="1890"/>
      <c r="E54" s="1890"/>
      <c r="F54" s="1890"/>
      <c r="G54" s="1890"/>
      <c r="H54" s="1890"/>
      <c r="I54" s="1890"/>
      <c r="J54" s="1890"/>
      <c r="K54" s="1890"/>
      <c r="L54" s="1890"/>
      <c r="M54" s="1890"/>
      <c r="N54" s="1890"/>
      <c r="O54" s="1890"/>
      <c r="P54" s="1890"/>
      <c r="Q54" s="1890"/>
      <c r="R54" s="1890"/>
      <c r="S54" s="1890"/>
      <c r="T54" s="1890"/>
      <c r="U54" s="1890"/>
      <c r="V54" s="1890"/>
      <c r="W54" s="1890"/>
      <c r="X54" s="1890"/>
    </row>
    <row r="55" spans="1:24" x14ac:dyDescent="0.2">
      <c r="A55" s="1890"/>
      <c r="B55" s="1890"/>
      <c r="C55" s="1890"/>
      <c r="D55" s="1890"/>
      <c r="E55" s="1890"/>
      <c r="F55" s="1890"/>
      <c r="G55" s="1890"/>
      <c r="H55" s="1890"/>
      <c r="I55" s="1890"/>
      <c r="J55" s="1890"/>
      <c r="K55" s="1890"/>
      <c r="L55" s="1890"/>
      <c r="M55" s="1890"/>
      <c r="N55" s="1890"/>
      <c r="O55" s="1890"/>
      <c r="P55" s="1890"/>
      <c r="Q55" s="1890"/>
      <c r="R55" s="1890"/>
      <c r="S55" s="1890"/>
      <c r="T55" s="1890"/>
      <c r="U55" s="1890"/>
      <c r="V55" s="1890"/>
      <c r="W55" s="1890"/>
      <c r="X55" s="1890"/>
    </row>
    <row r="56" spans="1:24" x14ac:dyDescent="0.2">
      <c r="A56" s="1890"/>
      <c r="B56" s="1890"/>
      <c r="C56" s="1890"/>
      <c r="D56" s="1890"/>
      <c r="E56" s="1890"/>
      <c r="F56" s="1890"/>
      <c r="G56" s="1890"/>
      <c r="H56" s="1890"/>
      <c r="I56" s="1890"/>
      <c r="J56" s="1890"/>
      <c r="K56" s="1890"/>
      <c r="L56" s="1890"/>
      <c r="M56" s="1890"/>
      <c r="N56" s="1890"/>
      <c r="O56" s="1890"/>
      <c r="P56" s="1890"/>
      <c r="Q56" s="1890"/>
      <c r="R56" s="1890"/>
      <c r="S56" s="1890"/>
      <c r="T56" s="1890"/>
      <c r="U56" s="1890"/>
      <c r="V56" s="1890"/>
      <c r="W56" s="1890"/>
      <c r="X56" s="1890"/>
    </row>
    <row r="57" spans="1:24" x14ac:dyDescent="0.2">
      <c r="A57" s="1890"/>
      <c r="B57" s="1890"/>
      <c r="C57" s="1890"/>
      <c r="D57" s="1890"/>
      <c r="E57" s="1890"/>
      <c r="F57" s="1890"/>
      <c r="G57" s="1890"/>
      <c r="H57" s="1890"/>
      <c r="I57" s="1890"/>
      <c r="J57" s="1890"/>
      <c r="K57" s="1890"/>
      <c r="L57" s="1890"/>
      <c r="M57" s="1890"/>
      <c r="N57" s="1890"/>
      <c r="O57" s="1890"/>
      <c r="P57" s="1890"/>
      <c r="Q57" s="1890"/>
      <c r="R57" s="1890"/>
      <c r="S57" s="1890"/>
      <c r="T57" s="1890"/>
      <c r="U57" s="1890"/>
      <c r="V57" s="1890"/>
      <c r="W57" s="1890"/>
      <c r="X57" s="1890"/>
    </row>
    <row r="58" spans="1:24" x14ac:dyDescent="0.2">
      <c r="A58" s="1890"/>
      <c r="B58" s="1890"/>
      <c r="C58" s="1890"/>
      <c r="D58" s="1890"/>
      <c r="E58" s="1890"/>
      <c r="F58" s="1890"/>
      <c r="G58" s="1890"/>
      <c r="H58" s="1890"/>
      <c r="I58" s="1890"/>
      <c r="J58" s="1890"/>
      <c r="K58" s="1890"/>
      <c r="L58" s="1890"/>
      <c r="M58" s="1890"/>
      <c r="N58" s="1890"/>
      <c r="O58" s="1890"/>
      <c r="P58" s="1890"/>
      <c r="Q58" s="1890"/>
      <c r="R58" s="1890"/>
      <c r="S58" s="1890"/>
      <c r="T58" s="1890"/>
      <c r="U58" s="1890"/>
      <c r="V58" s="1890"/>
      <c r="W58" s="1890"/>
      <c r="X58" s="1890"/>
    </row>
    <row r="59" spans="1:24" x14ac:dyDescent="0.2">
      <c r="A59" s="1890"/>
      <c r="B59" s="1890"/>
      <c r="C59" s="1890"/>
      <c r="D59" s="1890"/>
      <c r="E59" s="1890"/>
      <c r="F59" s="1890"/>
      <c r="G59" s="1890"/>
      <c r="H59" s="1890"/>
      <c r="I59" s="1890"/>
      <c r="J59" s="1890"/>
      <c r="K59" s="1890"/>
      <c r="L59" s="1890"/>
      <c r="M59" s="1890"/>
      <c r="N59" s="1890"/>
      <c r="O59" s="1890"/>
      <c r="P59" s="1890"/>
      <c r="Q59" s="1890"/>
      <c r="R59" s="1890"/>
      <c r="S59" s="1890"/>
      <c r="T59" s="1890"/>
      <c r="U59" s="1890"/>
      <c r="V59" s="1890"/>
      <c r="W59" s="1890"/>
      <c r="X59" s="1890"/>
    </row>
    <row r="60" spans="1:24" x14ac:dyDescent="0.2">
      <c r="A60" s="1890"/>
      <c r="B60" s="1890"/>
      <c r="C60" s="1890"/>
      <c r="D60" s="1890"/>
      <c r="E60" s="1890"/>
      <c r="F60" s="1890"/>
      <c r="G60" s="1890"/>
      <c r="H60" s="1890"/>
      <c r="I60" s="1890"/>
      <c r="J60" s="1890"/>
      <c r="K60" s="1890"/>
      <c r="L60" s="1890"/>
      <c r="M60" s="1890"/>
      <c r="N60" s="1890"/>
      <c r="O60" s="1890"/>
      <c r="P60" s="1890"/>
      <c r="Q60" s="1890"/>
      <c r="R60" s="1890"/>
      <c r="S60" s="1890"/>
      <c r="T60" s="1890"/>
      <c r="U60" s="1890"/>
      <c r="V60" s="1890"/>
      <c r="W60" s="1890"/>
      <c r="X60" s="1890"/>
    </row>
    <row r="61" spans="1:24" x14ac:dyDescent="0.2">
      <c r="A61" s="1890"/>
      <c r="B61" s="1890"/>
      <c r="C61" s="1890"/>
      <c r="D61" s="1890"/>
      <c r="E61" s="1890"/>
      <c r="F61" s="1890"/>
      <c r="G61" s="1890"/>
      <c r="H61" s="1890"/>
      <c r="I61" s="1890"/>
      <c r="J61" s="1890"/>
      <c r="K61" s="1890"/>
      <c r="L61" s="1890"/>
      <c r="M61" s="1890"/>
      <c r="N61" s="1890"/>
      <c r="O61" s="1890"/>
      <c r="P61" s="1890"/>
      <c r="Q61" s="1890"/>
      <c r="R61" s="1890"/>
      <c r="S61" s="1890"/>
      <c r="T61" s="1890"/>
      <c r="U61" s="1890"/>
      <c r="V61" s="1890"/>
      <c r="W61" s="1890"/>
      <c r="X61" s="1890"/>
    </row>
    <row r="62" spans="1:24" x14ac:dyDescent="0.2">
      <c r="A62" s="1890"/>
      <c r="B62" s="1890"/>
      <c r="C62" s="1890"/>
      <c r="D62" s="1890"/>
      <c r="E62" s="1890"/>
      <c r="F62" s="1890"/>
      <c r="G62" s="1890"/>
      <c r="H62" s="1890"/>
      <c r="I62" s="1890"/>
      <c r="J62" s="1890"/>
      <c r="K62" s="1890"/>
      <c r="L62" s="1890"/>
      <c r="M62" s="1890"/>
      <c r="N62" s="1890"/>
      <c r="O62" s="1890"/>
      <c r="P62" s="1890"/>
      <c r="Q62" s="1890"/>
      <c r="R62" s="1890"/>
      <c r="S62" s="1890"/>
      <c r="T62" s="1890"/>
      <c r="U62" s="1890"/>
      <c r="V62" s="1890"/>
      <c r="W62" s="1890"/>
      <c r="X62" s="1890"/>
    </row>
    <row r="63" spans="1:24" x14ac:dyDescent="0.2">
      <c r="A63" s="1890"/>
      <c r="B63" s="1890"/>
      <c r="C63" s="1890"/>
      <c r="D63" s="1890"/>
      <c r="E63" s="1890"/>
      <c r="F63" s="1890"/>
      <c r="G63" s="1890"/>
      <c r="H63" s="1890"/>
      <c r="I63" s="1890"/>
      <c r="J63" s="1890"/>
      <c r="K63" s="1890"/>
      <c r="L63" s="1890"/>
      <c r="M63" s="1890"/>
      <c r="N63" s="1890"/>
      <c r="O63" s="1890"/>
      <c r="P63" s="1890"/>
      <c r="Q63" s="1890"/>
      <c r="R63" s="1890"/>
      <c r="S63" s="1890"/>
      <c r="T63" s="1890"/>
      <c r="U63" s="1890"/>
      <c r="V63" s="1890"/>
      <c r="W63" s="1890"/>
      <c r="X63" s="1890"/>
    </row>
    <row r="64" spans="1:24" x14ac:dyDescent="0.2">
      <c r="A64" s="1890"/>
      <c r="B64" s="1890"/>
      <c r="C64" s="1890"/>
      <c r="D64" s="1890"/>
      <c r="E64" s="1890"/>
      <c r="F64" s="1890"/>
      <c r="G64" s="1890"/>
      <c r="H64" s="1890"/>
      <c r="I64" s="1890"/>
      <c r="J64" s="1890"/>
      <c r="K64" s="1890"/>
      <c r="L64" s="1890"/>
      <c r="M64" s="1890"/>
      <c r="N64" s="1890"/>
      <c r="O64" s="1890"/>
      <c r="P64" s="1890"/>
      <c r="Q64" s="1890"/>
      <c r="R64" s="1890"/>
      <c r="S64" s="1890"/>
      <c r="T64" s="1890"/>
      <c r="U64" s="1890"/>
      <c r="V64" s="1890"/>
      <c r="W64" s="1890"/>
      <c r="X64" s="1890"/>
    </row>
    <row r="65" spans="1:24" x14ac:dyDescent="0.2">
      <c r="A65" s="1890"/>
      <c r="B65" s="1890"/>
      <c r="C65" s="1890"/>
      <c r="D65" s="1890"/>
      <c r="E65" s="1890"/>
      <c r="F65" s="1890"/>
      <c r="G65" s="1890"/>
      <c r="H65" s="1890"/>
      <c r="I65" s="1890"/>
      <c r="J65" s="1890"/>
      <c r="K65" s="1890"/>
      <c r="L65" s="1890"/>
      <c r="M65" s="1890"/>
      <c r="N65" s="1890"/>
      <c r="O65" s="1890"/>
      <c r="P65" s="1890"/>
      <c r="Q65" s="1890"/>
      <c r="R65" s="1890"/>
      <c r="S65" s="1890"/>
      <c r="T65" s="1890"/>
      <c r="U65" s="1890"/>
      <c r="V65" s="1890"/>
      <c r="W65" s="1890"/>
      <c r="X65" s="1890"/>
    </row>
    <row r="66" spans="1:24" x14ac:dyDescent="0.2">
      <c r="A66" s="1890"/>
      <c r="B66" s="1890"/>
      <c r="C66" s="1890"/>
      <c r="D66" s="1890"/>
      <c r="E66" s="1890"/>
      <c r="F66" s="1890"/>
      <c r="G66" s="1890"/>
      <c r="H66" s="1890"/>
      <c r="I66" s="1890"/>
      <c r="J66" s="1890"/>
      <c r="K66" s="1890"/>
      <c r="L66" s="1890"/>
      <c r="M66" s="1890"/>
      <c r="N66" s="1890"/>
      <c r="O66" s="1890"/>
      <c r="P66" s="1890"/>
      <c r="Q66" s="1890"/>
      <c r="R66" s="1890"/>
      <c r="S66" s="1890"/>
      <c r="T66" s="1890"/>
      <c r="U66" s="1890"/>
      <c r="V66" s="1890"/>
      <c r="W66" s="1890"/>
      <c r="X66" s="1890"/>
    </row>
    <row r="67" spans="1:24" x14ac:dyDescent="0.2">
      <c r="A67" s="1890"/>
      <c r="B67" s="1890"/>
      <c r="C67" s="1890"/>
      <c r="D67" s="1890"/>
      <c r="E67" s="1890"/>
      <c r="F67" s="1890"/>
      <c r="G67" s="1890"/>
      <c r="H67" s="1890"/>
      <c r="I67" s="1890"/>
      <c r="J67" s="1890"/>
      <c r="K67" s="1890"/>
      <c r="L67" s="1890"/>
      <c r="M67" s="1890"/>
      <c r="N67" s="1890"/>
      <c r="O67" s="1890"/>
      <c r="P67" s="1890"/>
      <c r="Q67" s="1890"/>
      <c r="R67" s="1890"/>
      <c r="S67" s="1890"/>
      <c r="T67" s="1890"/>
      <c r="U67" s="1890"/>
      <c r="V67" s="1890"/>
      <c r="W67" s="1890"/>
      <c r="X67" s="1890"/>
    </row>
    <row r="68" spans="1:24" x14ac:dyDescent="0.2">
      <c r="A68" s="1890"/>
      <c r="B68" s="1890"/>
      <c r="C68" s="1890"/>
      <c r="D68" s="1890"/>
      <c r="E68" s="1890"/>
      <c r="F68" s="1890"/>
      <c r="G68" s="1890"/>
      <c r="H68" s="1890"/>
      <c r="I68" s="1890"/>
      <c r="J68" s="1890"/>
      <c r="K68" s="1890"/>
      <c r="L68" s="1890"/>
      <c r="M68" s="1890"/>
      <c r="N68" s="1890"/>
      <c r="O68" s="1890"/>
      <c r="P68" s="1890"/>
      <c r="Q68" s="1890"/>
      <c r="R68" s="1890"/>
      <c r="S68" s="1890"/>
      <c r="T68" s="1890"/>
      <c r="U68" s="1890"/>
      <c r="V68" s="1890"/>
      <c r="W68" s="1890"/>
      <c r="X68" s="1890"/>
    </row>
    <row r="69" spans="1:24" x14ac:dyDescent="0.2">
      <c r="A69" s="1890"/>
      <c r="B69" s="1890"/>
      <c r="C69" s="1890"/>
      <c r="D69" s="1890"/>
      <c r="E69" s="1890"/>
      <c r="F69" s="1890"/>
      <c r="G69" s="1890"/>
      <c r="H69" s="1890"/>
      <c r="I69" s="1890"/>
      <c r="J69" s="1890"/>
      <c r="K69" s="1890"/>
      <c r="L69" s="1890"/>
      <c r="M69" s="1890"/>
      <c r="N69" s="1890"/>
      <c r="O69" s="1890"/>
      <c r="P69" s="1890"/>
      <c r="Q69" s="1890"/>
      <c r="R69" s="1890"/>
      <c r="S69" s="1890"/>
      <c r="T69" s="1890"/>
      <c r="U69" s="1890"/>
      <c r="V69" s="1890"/>
      <c r="W69" s="1890"/>
      <c r="X69" s="1890"/>
    </row>
    <row r="70" spans="1:24" x14ac:dyDescent="0.2">
      <c r="A70" s="1890"/>
      <c r="B70" s="1890"/>
      <c r="C70" s="1890"/>
      <c r="D70" s="1890"/>
      <c r="E70" s="1890"/>
      <c r="F70" s="1890"/>
      <c r="G70" s="1890"/>
      <c r="H70" s="1890"/>
      <c r="I70" s="1890"/>
      <c r="J70" s="1890"/>
      <c r="K70" s="1890"/>
      <c r="L70" s="1890"/>
      <c r="M70" s="1890"/>
      <c r="N70" s="1890"/>
      <c r="O70" s="1890"/>
      <c r="P70" s="1890"/>
      <c r="Q70" s="1890"/>
      <c r="R70" s="1890"/>
      <c r="S70" s="1890"/>
      <c r="T70" s="1890"/>
      <c r="U70" s="1890"/>
      <c r="V70" s="1890"/>
      <c r="W70" s="1890"/>
      <c r="X70" s="1890"/>
    </row>
    <row r="71" spans="1:24" x14ac:dyDescent="0.2">
      <c r="A71" s="1890"/>
      <c r="B71" s="1890"/>
      <c r="C71" s="1890"/>
      <c r="D71" s="1890"/>
      <c r="E71" s="1890"/>
      <c r="F71" s="1890"/>
      <c r="G71" s="1890"/>
      <c r="H71" s="1890"/>
      <c r="I71" s="1890"/>
      <c r="J71" s="1890"/>
      <c r="K71" s="1890"/>
      <c r="L71" s="1890"/>
      <c r="M71" s="1890"/>
      <c r="N71" s="1890"/>
      <c r="O71" s="1890"/>
      <c r="P71" s="1890"/>
      <c r="Q71" s="1890"/>
      <c r="R71" s="1890"/>
      <c r="S71" s="1890"/>
      <c r="T71" s="1890"/>
      <c r="U71" s="1890"/>
      <c r="V71" s="1890"/>
      <c r="W71" s="1890"/>
      <c r="X71" s="1890"/>
    </row>
    <row r="72" spans="1:24" x14ac:dyDescent="0.2">
      <c r="A72" s="1890"/>
      <c r="B72" s="1890"/>
      <c r="C72" s="1890"/>
      <c r="D72" s="1890"/>
      <c r="E72" s="1890"/>
      <c r="F72" s="1890"/>
      <c r="G72" s="1890"/>
      <c r="H72" s="1890"/>
      <c r="I72" s="1890"/>
      <c r="J72" s="1890"/>
      <c r="K72" s="1890"/>
      <c r="L72" s="1890"/>
      <c r="M72" s="1890"/>
      <c r="N72" s="1890"/>
      <c r="O72" s="1890"/>
      <c r="P72" s="1890"/>
      <c r="Q72" s="1890"/>
      <c r="R72" s="1890"/>
      <c r="S72" s="1890"/>
      <c r="T72" s="1890"/>
      <c r="U72" s="1890"/>
      <c r="V72" s="1890"/>
      <c r="W72" s="1890"/>
      <c r="X72" s="1890"/>
    </row>
    <row r="73" spans="1:24" x14ac:dyDescent="0.2">
      <c r="A73" s="1890"/>
      <c r="B73" s="1890"/>
      <c r="C73" s="1890"/>
      <c r="D73" s="1890"/>
      <c r="E73" s="1890"/>
      <c r="F73" s="1890"/>
      <c r="G73" s="1890"/>
      <c r="H73" s="1890"/>
      <c r="I73" s="1890"/>
      <c r="J73" s="1890"/>
      <c r="K73" s="1890"/>
      <c r="L73" s="1890"/>
      <c r="M73" s="1890"/>
      <c r="N73" s="1890"/>
      <c r="O73" s="1890"/>
      <c r="P73" s="1890"/>
      <c r="Q73" s="1890"/>
      <c r="R73" s="1890"/>
      <c r="S73" s="1890"/>
      <c r="T73" s="1890"/>
      <c r="U73" s="1890"/>
      <c r="V73" s="1890"/>
      <c r="W73" s="1890"/>
      <c r="X73" s="1890"/>
    </row>
    <row r="74" spans="1:24" x14ac:dyDescent="0.2">
      <c r="A74" s="1890"/>
      <c r="B74" s="1890"/>
      <c r="C74" s="1890"/>
      <c r="D74" s="1890"/>
      <c r="E74" s="1890"/>
      <c r="F74" s="1890"/>
      <c r="G74" s="1890"/>
      <c r="H74" s="1890"/>
      <c r="I74" s="1890"/>
      <c r="J74" s="1890"/>
      <c r="K74" s="1890"/>
      <c r="L74" s="1890"/>
      <c r="M74" s="1890"/>
      <c r="N74" s="1890"/>
      <c r="O74" s="1890"/>
      <c r="P74" s="1890"/>
      <c r="Q74" s="1890"/>
      <c r="R74" s="1890"/>
      <c r="S74" s="1890"/>
      <c r="T74" s="1890"/>
      <c r="U74" s="1890"/>
      <c r="V74" s="1890"/>
      <c r="W74" s="1890"/>
      <c r="X74" s="1890"/>
    </row>
    <row r="75" spans="1:24" x14ac:dyDescent="0.2">
      <c r="A75" s="1890"/>
      <c r="B75" s="1890"/>
      <c r="C75" s="1890"/>
      <c r="D75" s="1890"/>
      <c r="E75" s="1890"/>
      <c r="F75" s="1890"/>
      <c r="G75" s="1890"/>
      <c r="H75" s="1890"/>
      <c r="I75" s="1890"/>
      <c r="J75" s="1890"/>
      <c r="K75" s="1890"/>
      <c r="L75" s="1890"/>
      <c r="M75" s="1890"/>
      <c r="N75" s="1890"/>
      <c r="O75" s="1890"/>
      <c r="P75" s="1890"/>
      <c r="Q75" s="1890"/>
      <c r="R75" s="1890"/>
      <c r="S75" s="1890"/>
      <c r="T75" s="1890"/>
      <c r="U75" s="1890"/>
      <c r="V75" s="1890"/>
      <c r="W75" s="1890"/>
      <c r="X75" s="1890"/>
    </row>
    <row r="76" spans="1:24" x14ac:dyDescent="0.2">
      <c r="A76" s="1890"/>
      <c r="B76" s="1890"/>
      <c r="C76" s="1890"/>
      <c r="D76" s="1890"/>
      <c r="E76" s="1890"/>
      <c r="F76" s="1890"/>
      <c r="G76" s="1890"/>
      <c r="H76" s="1890"/>
      <c r="I76" s="1890"/>
      <c r="J76" s="1890"/>
      <c r="K76" s="1890"/>
      <c r="L76" s="1890"/>
      <c r="M76" s="1890"/>
      <c r="N76" s="1890"/>
      <c r="O76" s="1890"/>
      <c r="P76" s="1890"/>
      <c r="Q76" s="1890"/>
      <c r="R76" s="1890"/>
      <c r="S76" s="1890"/>
      <c r="T76" s="1890"/>
      <c r="U76" s="1890"/>
      <c r="V76" s="1890"/>
      <c r="W76" s="1890"/>
      <c r="X76" s="1890"/>
    </row>
    <row r="77" spans="1:24" x14ac:dyDescent="0.2">
      <c r="A77" s="1890"/>
      <c r="B77" s="1890"/>
      <c r="C77" s="1890"/>
      <c r="D77" s="1890"/>
      <c r="E77" s="1890"/>
      <c r="F77" s="1890"/>
      <c r="G77" s="1890"/>
      <c r="H77" s="1890"/>
      <c r="I77" s="1890"/>
      <c r="J77" s="1890"/>
      <c r="K77" s="1890"/>
      <c r="L77" s="1890"/>
      <c r="M77" s="1890"/>
      <c r="N77" s="1890"/>
      <c r="O77" s="1890"/>
      <c r="P77" s="1890"/>
      <c r="Q77" s="1890"/>
      <c r="R77" s="1890"/>
      <c r="S77" s="1890"/>
      <c r="T77" s="1890"/>
      <c r="U77" s="1890"/>
      <c r="V77" s="1890"/>
      <c r="W77" s="1890"/>
      <c r="X77" s="1890"/>
    </row>
    <row r="78" spans="1:24" x14ac:dyDescent="0.2">
      <c r="A78" s="1890"/>
      <c r="B78" s="1890"/>
      <c r="C78" s="1890"/>
      <c r="D78" s="1890"/>
      <c r="E78" s="1890"/>
      <c r="F78" s="1890"/>
      <c r="G78" s="1890"/>
      <c r="H78" s="1890"/>
      <c r="I78" s="1890"/>
      <c r="J78" s="1890"/>
      <c r="K78" s="1890"/>
      <c r="L78" s="1890"/>
      <c r="M78" s="1890"/>
      <c r="N78" s="1890"/>
      <c r="O78" s="1890"/>
      <c r="P78" s="1890"/>
      <c r="Q78" s="1890"/>
      <c r="R78" s="1890"/>
      <c r="S78" s="1890"/>
      <c r="T78" s="1890"/>
      <c r="U78" s="1890"/>
      <c r="V78" s="1890"/>
      <c r="W78" s="1890"/>
      <c r="X78" s="1890"/>
    </row>
    <row r="79" spans="1:24" x14ac:dyDescent="0.2">
      <c r="A79" s="1890"/>
      <c r="B79" s="1890"/>
      <c r="C79" s="1890"/>
      <c r="D79" s="1890"/>
      <c r="E79" s="1890"/>
      <c r="F79" s="1890"/>
      <c r="G79" s="1890"/>
      <c r="H79" s="1890"/>
      <c r="I79" s="1890"/>
      <c r="J79" s="1890"/>
      <c r="K79" s="1890"/>
      <c r="L79" s="1890"/>
      <c r="M79" s="1890"/>
      <c r="N79" s="1890"/>
      <c r="O79" s="1890"/>
      <c r="P79" s="1890"/>
      <c r="Q79" s="1890"/>
      <c r="R79" s="1890"/>
      <c r="S79" s="1890"/>
      <c r="T79" s="1890"/>
      <c r="U79" s="1890"/>
      <c r="V79" s="1890"/>
      <c r="W79" s="1890"/>
      <c r="X79" s="1890"/>
    </row>
    <row r="80" spans="1:24" x14ac:dyDescent="0.2">
      <c r="A80" s="1890"/>
      <c r="B80" s="1890"/>
      <c r="C80" s="1890"/>
      <c r="D80" s="1890"/>
      <c r="E80" s="1890"/>
      <c r="F80" s="1890"/>
      <c r="G80" s="1890"/>
      <c r="H80" s="1890"/>
      <c r="I80" s="1890"/>
      <c r="J80" s="1890"/>
      <c r="K80" s="1890"/>
      <c r="L80" s="1890"/>
      <c r="M80" s="1890"/>
      <c r="N80" s="1890"/>
      <c r="O80" s="1890"/>
      <c r="P80" s="1890"/>
      <c r="Q80" s="1890"/>
      <c r="R80" s="1890"/>
      <c r="S80" s="1890"/>
      <c r="T80" s="1890"/>
      <c r="U80" s="1890"/>
      <c r="V80" s="1890"/>
      <c r="W80" s="1890"/>
      <c r="X80" s="1890"/>
    </row>
    <row r="81" spans="1:24" x14ac:dyDescent="0.2">
      <c r="A81" s="1890"/>
      <c r="B81" s="1890"/>
      <c r="C81" s="1890"/>
      <c r="D81" s="1890"/>
      <c r="E81" s="1890"/>
      <c r="F81" s="1890"/>
      <c r="G81" s="1890"/>
      <c r="H81" s="1890"/>
      <c r="I81" s="1890"/>
      <c r="J81" s="1890"/>
      <c r="K81" s="1890"/>
      <c r="L81" s="1890"/>
      <c r="M81" s="1890"/>
      <c r="N81" s="1890"/>
      <c r="O81" s="1890"/>
      <c r="P81" s="1890"/>
      <c r="Q81" s="1890"/>
      <c r="R81" s="1890"/>
      <c r="S81" s="1890"/>
      <c r="T81" s="1890"/>
      <c r="U81" s="1890"/>
      <c r="V81" s="1890"/>
      <c r="W81" s="1890"/>
      <c r="X81" s="1890"/>
    </row>
    <row r="82" spans="1:24" x14ac:dyDescent="0.2">
      <c r="A82" s="1890"/>
      <c r="B82" s="1890"/>
      <c r="C82" s="1890"/>
      <c r="D82" s="1890"/>
      <c r="E82" s="1890"/>
      <c r="F82" s="1890"/>
      <c r="G82" s="1890"/>
      <c r="H82" s="1890"/>
      <c r="I82" s="1890"/>
      <c r="J82" s="1890"/>
      <c r="K82" s="1890"/>
      <c r="L82" s="1890"/>
      <c r="M82" s="1890"/>
      <c r="N82" s="1890"/>
      <c r="O82" s="1890"/>
      <c r="P82" s="1890"/>
      <c r="Q82" s="1890"/>
      <c r="R82" s="1890"/>
      <c r="S82" s="1890"/>
      <c r="T82" s="1890"/>
      <c r="U82" s="1890"/>
      <c r="V82" s="1890"/>
      <c r="W82" s="1890"/>
      <c r="X82" s="1890"/>
    </row>
    <row r="83" spans="1:24" x14ac:dyDescent="0.2">
      <c r="A83" s="1890"/>
      <c r="B83" s="1890"/>
      <c r="C83" s="1890"/>
      <c r="D83" s="1890"/>
      <c r="E83" s="1890"/>
      <c r="F83" s="1890"/>
      <c r="G83" s="1890"/>
      <c r="H83" s="1890"/>
      <c r="I83" s="1890"/>
      <c r="J83" s="1890"/>
      <c r="K83" s="1890"/>
      <c r="L83" s="1890"/>
      <c r="M83" s="1890"/>
      <c r="N83" s="1890"/>
      <c r="O83" s="1890"/>
      <c r="P83" s="1890"/>
      <c r="Q83" s="1890"/>
      <c r="R83" s="1890"/>
      <c r="S83" s="1890"/>
      <c r="T83" s="1890"/>
      <c r="U83" s="1890"/>
      <c r="V83" s="1890"/>
      <c r="W83" s="1890"/>
      <c r="X83" s="1890"/>
    </row>
    <row r="84" spans="1:24" x14ac:dyDescent="0.2">
      <c r="A84" s="1890"/>
      <c r="B84" s="1890"/>
      <c r="C84" s="1890"/>
      <c r="D84" s="1890"/>
      <c r="E84" s="1890"/>
      <c r="F84" s="1890"/>
      <c r="G84" s="1890"/>
      <c r="H84" s="1890"/>
      <c r="I84" s="1890"/>
      <c r="J84" s="1890"/>
      <c r="K84" s="1890"/>
      <c r="L84" s="1890"/>
      <c r="M84" s="1890"/>
      <c r="N84" s="1890"/>
      <c r="O84" s="1890"/>
      <c r="P84" s="1890"/>
      <c r="Q84" s="1890"/>
      <c r="R84" s="1890"/>
      <c r="S84" s="1890"/>
      <c r="T84" s="1890"/>
      <c r="U84" s="1890"/>
      <c r="V84" s="1890"/>
      <c r="W84" s="1890"/>
      <c r="X84" s="1890"/>
    </row>
    <row r="85" spans="1:24" x14ac:dyDescent="0.2">
      <c r="A85" s="1890"/>
      <c r="B85" s="1890"/>
      <c r="C85" s="1890"/>
      <c r="D85" s="1890"/>
      <c r="E85" s="1890"/>
      <c r="F85" s="1890"/>
      <c r="G85" s="1890"/>
      <c r="H85" s="1890"/>
      <c r="I85" s="1890"/>
      <c r="J85" s="1890"/>
      <c r="K85" s="1890"/>
      <c r="L85" s="1890"/>
      <c r="M85" s="1890"/>
      <c r="N85" s="1890"/>
      <c r="O85" s="1890"/>
      <c r="P85" s="1890"/>
      <c r="Q85" s="1890"/>
      <c r="R85" s="1890"/>
      <c r="S85" s="1890"/>
      <c r="T85" s="1890"/>
      <c r="U85" s="1890"/>
      <c r="V85" s="1890"/>
      <c r="W85" s="1890"/>
      <c r="X85" s="1890"/>
    </row>
    <row r="86" spans="1:24" x14ac:dyDescent="0.2">
      <c r="A86" s="1890"/>
      <c r="B86" s="1890"/>
      <c r="C86" s="1890"/>
      <c r="D86" s="1890"/>
      <c r="E86" s="1890"/>
      <c r="F86" s="1890"/>
      <c r="G86" s="1890"/>
      <c r="H86" s="1890"/>
      <c r="I86" s="1890"/>
      <c r="J86" s="1890"/>
      <c r="K86" s="1890"/>
      <c r="L86" s="1890"/>
      <c r="M86" s="1890"/>
      <c r="N86" s="1890"/>
      <c r="O86" s="1890"/>
      <c r="P86" s="1890"/>
      <c r="Q86" s="1890"/>
      <c r="R86" s="1890"/>
      <c r="S86" s="1890"/>
      <c r="T86" s="1890"/>
      <c r="U86" s="1890"/>
      <c r="V86" s="1890"/>
      <c r="W86" s="1890"/>
      <c r="X86" s="1890"/>
    </row>
    <row r="87" spans="1:24" x14ac:dyDescent="0.2">
      <c r="A87" s="1890"/>
      <c r="B87" s="1890"/>
      <c r="C87" s="1890"/>
      <c r="D87" s="1890"/>
      <c r="E87" s="1890"/>
      <c r="F87" s="1890"/>
      <c r="G87" s="1890"/>
      <c r="H87" s="1890"/>
      <c r="I87" s="1890"/>
      <c r="J87" s="1890"/>
      <c r="K87" s="1890"/>
      <c r="L87" s="1890"/>
      <c r="M87" s="1890"/>
      <c r="N87" s="1890"/>
      <c r="O87" s="1890"/>
      <c r="P87" s="1890"/>
      <c r="Q87" s="1890"/>
      <c r="R87" s="1890"/>
      <c r="S87" s="1890"/>
      <c r="T87" s="1890"/>
      <c r="U87" s="1890"/>
      <c r="V87" s="1890"/>
      <c r="W87" s="1890"/>
      <c r="X87" s="1890"/>
    </row>
    <row r="88" spans="1:24" x14ac:dyDescent="0.2">
      <c r="A88" s="1890"/>
      <c r="B88" s="1890"/>
      <c r="C88" s="1890"/>
      <c r="D88" s="1890"/>
      <c r="E88" s="1890"/>
      <c r="F88" s="1890"/>
      <c r="G88" s="1890"/>
      <c r="H88" s="1890"/>
      <c r="I88" s="1890"/>
      <c r="J88" s="1890"/>
      <c r="K88" s="1890"/>
      <c r="L88" s="1890"/>
      <c r="M88" s="1890"/>
      <c r="N88" s="1890"/>
      <c r="O88" s="1890"/>
      <c r="P88" s="1890"/>
      <c r="Q88" s="1890"/>
      <c r="R88" s="1890"/>
      <c r="S88" s="1890"/>
      <c r="T88" s="1890"/>
      <c r="U88" s="1890"/>
      <c r="V88" s="1890"/>
      <c r="W88" s="1890"/>
      <c r="X88" s="1890"/>
    </row>
    <row r="89" spans="1:24" x14ac:dyDescent="0.2">
      <c r="A89" s="1890"/>
      <c r="B89" s="1890"/>
      <c r="C89" s="1890"/>
      <c r="D89" s="1890"/>
      <c r="E89" s="1890"/>
      <c r="F89" s="1890"/>
      <c r="G89" s="1890"/>
      <c r="H89" s="1890"/>
      <c r="I89" s="1890"/>
      <c r="J89" s="1890"/>
      <c r="K89" s="1890"/>
      <c r="L89" s="1890"/>
      <c r="M89" s="1890"/>
      <c r="N89" s="1890"/>
      <c r="O89" s="1890"/>
      <c r="P89" s="1890"/>
      <c r="Q89" s="1890"/>
      <c r="R89" s="1890"/>
      <c r="S89" s="1890"/>
      <c r="T89" s="1890"/>
      <c r="U89" s="1890"/>
      <c r="V89" s="1890"/>
      <c r="W89" s="1890"/>
      <c r="X89" s="1890"/>
    </row>
    <row r="90" spans="1:24" x14ac:dyDescent="0.2">
      <c r="A90" s="1890"/>
      <c r="B90" s="1890"/>
      <c r="C90" s="1890"/>
      <c r="D90" s="1890"/>
      <c r="E90" s="1890"/>
      <c r="F90" s="1890"/>
      <c r="G90" s="1890"/>
      <c r="H90" s="1890"/>
      <c r="I90" s="1890"/>
      <c r="J90" s="1890"/>
      <c r="K90" s="1890"/>
      <c r="L90" s="1890"/>
      <c r="M90" s="1890"/>
      <c r="N90" s="1890"/>
      <c r="O90" s="1890"/>
      <c r="P90" s="1890"/>
      <c r="Q90" s="1890"/>
      <c r="R90" s="1890"/>
      <c r="S90" s="1890"/>
      <c r="T90" s="1890"/>
      <c r="U90" s="1890"/>
      <c r="V90" s="1890"/>
      <c r="W90" s="1890"/>
      <c r="X90" s="1890"/>
    </row>
    <row r="91" spans="1:24" x14ac:dyDescent="0.2">
      <c r="A91" s="1890"/>
      <c r="B91" s="1890"/>
      <c r="C91" s="1890"/>
      <c r="D91" s="1890"/>
      <c r="E91" s="1890"/>
      <c r="F91" s="1890"/>
      <c r="G91" s="1890"/>
      <c r="H91" s="1890"/>
      <c r="I91" s="1890"/>
      <c r="J91" s="1890"/>
      <c r="K91" s="1890"/>
      <c r="L91" s="1890"/>
      <c r="M91" s="1890"/>
      <c r="N91" s="1890"/>
      <c r="O91" s="1890"/>
      <c r="P91" s="1890"/>
      <c r="Q91" s="1890"/>
      <c r="R91" s="1890"/>
      <c r="S91" s="1890"/>
      <c r="T91" s="1890"/>
      <c r="U91" s="1890"/>
      <c r="V91" s="1890"/>
      <c r="W91" s="1890"/>
      <c r="X91" s="1890"/>
    </row>
    <row r="92" spans="1:24" x14ac:dyDescent="0.2">
      <c r="A92" s="1890"/>
      <c r="B92" s="1890"/>
      <c r="C92" s="1890"/>
      <c r="D92" s="1890"/>
      <c r="E92" s="1890"/>
      <c r="F92" s="1890"/>
      <c r="G92" s="1890"/>
      <c r="H92" s="1890"/>
      <c r="I92" s="1890"/>
      <c r="J92" s="1890"/>
      <c r="K92" s="1890"/>
      <c r="L92" s="1890"/>
      <c r="M92" s="1890"/>
      <c r="N92" s="1890"/>
      <c r="O92" s="1890"/>
      <c r="P92" s="1890"/>
      <c r="Q92" s="1890"/>
      <c r="R92" s="1890"/>
      <c r="S92" s="1890"/>
      <c r="T92" s="1890"/>
      <c r="U92" s="1890"/>
      <c r="V92" s="1890"/>
      <c r="W92" s="1890"/>
      <c r="X92" s="1890"/>
    </row>
    <row r="93" spans="1:24" x14ac:dyDescent="0.2">
      <c r="A93" s="1890"/>
      <c r="B93" s="1890"/>
      <c r="C93" s="1890"/>
      <c r="D93" s="1890"/>
      <c r="E93" s="1890"/>
      <c r="F93" s="1890"/>
      <c r="G93" s="1890"/>
      <c r="H93" s="1890"/>
      <c r="I93" s="1890"/>
      <c r="J93" s="1890"/>
      <c r="K93" s="1890"/>
      <c r="L93" s="1890"/>
      <c r="M93" s="1890"/>
      <c r="N93" s="1890"/>
      <c r="O93" s="1890"/>
      <c r="P93" s="1890"/>
      <c r="Q93" s="1890"/>
      <c r="R93" s="1890"/>
      <c r="S93" s="1890"/>
      <c r="T93" s="1890"/>
      <c r="U93" s="1890"/>
      <c r="V93" s="1890"/>
      <c r="W93" s="1890"/>
      <c r="X93" s="1890"/>
    </row>
    <row r="94" spans="1:24" x14ac:dyDescent="0.2">
      <c r="A94" s="1890"/>
      <c r="B94" s="1890"/>
      <c r="C94" s="1890"/>
      <c r="D94" s="1890"/>
      <c r="E94" s="1890"/>
      <c r="F94" s="1890"/>
      <c r="G94" s="1890"/>
      <c r="H94" s="1890"/>
      <c r="I94" s="1890"/>
      <c r="J94" s="1890"/>
      <c r="K94" s="1890"/>
      <c r="L94" s="1890"/>
      <c r="M94" s="1890"/>
      <c r="N94" s="1890"/>
      <c r="O94" s="1890"/>
      <c r="P94" s="1890"/>
      <c r="Q94" s="1890"/>
      <c r="R94" s="1890"/>
      <c r="S94" s="1890"/>
      <c r="T94" s="1890"/>
      <c r="U94" s="1890"/>
      <c r="V94" s="1890"/>
      <c r="W94" s="1890"/>
      <c r="X94" s="1890"/>
    </row>
    <row r="95" spans="1:24" x14ac:dyDescent="0.2">
      <c r="A95" s="1890"/>
      <c r="B95" s="1890"/>
      <c r="C95" s="1890"/>
      <c r="D95" s="1890"/>
      <c r="E95" s="1890"/>
      <c r="F95" s="1890"/>
      <c r="G95" s="1890"/>
      <c r="H95" s="1890"/>
      <c r="I95" s="1890"/>
      <c r="J95" s="1890"/>
      <c r="K95" s="1890"/>
      <c r="L95" s="1890"/>
      <c r="M95" s="1890"/>
      <c r="N95" s="1890"/>
      <c r="O95" s="1890"/>
      <c r="P95" s="1890"/>
      <c r="Q95" s="1890"/>
      <c r="R95" s="1890"/>
      <c r="S95" s="1890"/>
      <c r="T95" s="1890"/>
      <c r="U95" s="1890"/>
      <c r="V95" s="1890"/>
      <c r="W95" s="1890"/>
      <c r="X95" s="1890"/>
    </row>
    <row r="96" spans="1:24" x14ac:dyDescent="0.2">
      <c r="A96" s="1890"/>
      <c r="B96" s="1890"/>
      <c r="C96" s="1890"/>
      <c r="D96" s="1890"/>
      <c r="E96" s="1890"/>
      <c r="F96" s="1890"/>
      <c r="G96" s="1890"/>
      <c r="H96" s="1890"/>
      <c r="I96" s="1890"/>
      <c r="J96" s="1890"/>
      <c r="K96" s="1890"/>
      <c r="L96" s="1890"/>
      <c r="M96" s="1890"/>
      <c r="N96" s="1890"/>
      <c r="O96" s="1890"/>
      <c r="P96" s="1890"/>
      <c r="Q96" s="1890"/>
      <c r="R96" s="1890"/>
      <c r="S96" s="1890"/>
      <c r="T96" s="1890"/>
      <c r="U96" s="1890"/>
      <c r="V96" s="1890"/>
      <c r="W96" s="1890"/>
      <c r="X96" s="1890"/>
    </row>
    <row r="97" spans="1:24" x14ac:dyDescent="0.2">
      <c r="A97" s="1890"/>
      <c r="B97" s="1890"/>
      <c r="C97" s="1890"/>
      <c r="D97" s="1890"/>
      <c r="E97" s="1890"/>
      <c r="F97" s="1890"/>
      <c r="G97" s="1890"/>
      <c r="H97" s="1890"/>
      <c r="I97" s="1890"/>
      <c r="J97" s="1890"/>
      <c r="K97" s="1890"/>
      <c r="L97" s="1890"/>
      <c r="M97" s="1890"/>
      <c r="N97" s="1890"/>
      <c r="O97" s="1890"/>
      <c r="P97" s="1890"/>
      <c r="Q97" s="1890"/>
      <c r="R97" s="1890"/>
      <c r="S97" s="1890"/>
      <c r="T97" s="1890"/>
      <c r="U97" s="1890"/>
      <c r="V97" s="1890"/>
      <c r="W97" s="1890"/>
      <c r="X97" s="1890"/>
    </row>
    <row r="98" spans="1:24" x14ac:dyDescent="0.2">
      <c r="A98" s="1890"/>
      <c r="B98" s="1890"/>
      <c r="C98" s="1890"/>
      <c r="D98" s="1890"/>
      <c r="E98" s="1890"/>
      <c r="F98" s="1890"/>
      <c r="G98" s="1890"/>
      <c r="H98" s="1890"/>
      <c r="I98" s="1890"/>
      <c r="J98" s="1890"/>
      <c r="K98" s="1890"/>
      <c r="L98" s="1890"/>
      <c r="M98" s="1890"/>
      <c r="N98" s="1890"/>
      <c r="O98" s="1890"/>
      <c r="P98" s="1890"/>
      <c r="Q98" s="1890"/>
      <c r="R98" s="1890"/>
      <c r="S98" s="1890"/>
      <c r="T98" s="1890"/>
      <c r="U98" s="1890"/>
      <c r="V98" s="1890"/>
      <c r="W98" s="1890"/>
      <c r="X98" s="1890"/>
    </row>
    <row r="99" spans="1:24" x14ac:dyDescent="0.2">
      <c r="A99" s="1890"/>
      <c r="B99" s="1890"/>
      <c r="C99" s="1890"/>
      <c r="D99" s="1890"/>
      <c r="E99" s="1890"/>
      <c r="F99" s="1890"/>
      <c r="G99" s="1890"/>
      <c r="H99" s="1890"/>
      <c r="I99" s="1890"/>
      <c r="J99" s="1890"/>
      <c r="K99" s="1890"/>
      <c r="L99" s="1890"/>
      <c r="M99" s="1890"/>
      <c r="N99" s="1890"/>
      <c r="O99" s="1890"/>
      <c r="P99" s="1890"/>
      <c r="Q99" s="1890"/>
      <c r="R99" s="1890"/>
      <c r="S99" s="1890"/>
      <c r="T99" s="1890"/>
      <c r="U99" s="1890"/>
      <c r="V99" s="1890"/>
      <c r="W99" s="1890"/>
      <c r="X99" s="1890"/>
    </row>
    <row r="100" spans="1:24" x14ac:dyDescent="0.2">
      <c r="A100" s="1890"/>
      <c r="B100" s="1890"/>
      <c r="C100" s="1890"/>
      <c r="D100" s="1890"/>
      <c r="E100" s="1890"/>
      <c r="F100" s="1890"/>
      <c r="G100" s="1890"/>
      <c r="H100" s="1890"/>
      <c r="I100" s="1890"/>
      <c r="J100" s="1890"/>
      <c r="K100" s="1890"/>
      <c r="L100" s="1890"/>
      <c r="M100" s="1890"/>
      <c r="N100" s="1890"/>
      <c r="O100" s="1890"/>
      <c r="P100" s="1890"/>
      <c r="Q100" s="1890"/>
      <c r="R100" s="1890"/>
      <c r="S100" s="1890"/>
      <c r="T100" s="1890"/>
      <c r="U100" s="1890"/>
      <c r="V100" s="1890"/>
      <c r="W100" s="1890"/>
      <c r="X100" s="1890"/>
    </row>
    <row r="101" spans="1:24" x14ac:dyDescent="0.2">
      <c r="A101" s="1890"/>
      <c r="B101" s="1890"/>
      <c r="C101" s="1890"/>
      <c r="D101" s="1890"/>
      <c r="E101" s="1890"/>
      <c r="F101" s="1890"/>
      <c r="G101" s="1890"/>
      <c r="H101" s="1890"/>
      <c r="I101" s="1890"/>
      <c r="J101" s="1890"/>
      <c r="K101" s="1890"/>
      <c r="L101" s="1890"/>
      <c r="M101" s="1890"/>
      <c r="N101" s="1890"/>
      <c r="O101" s="1890"/>
      <c r="P101" s="1890"/>
      <c r="Q101" s="1890"/>
      <c r="R101" s="1890"/>
      <c r="S101" s="1890"/>
      <c r="T101" s="1890"/>
      <c r="U101" s="1890"/>
      <c r="V101" s="1890"/>
      <c r="W101" s="1890"/>
      <c r="X101" s="1890"/>
    </row>
    <row r="102" spans="1:24" x14ac:dyDescent="0.2">
      <c r="A102" s="1890"/>
      <c r="B102" s="1890"/>
      <c r="C102" s="1890"/>
      <c r="D102" s="1890"/>
      <c r="E102" s="1890"/>
      <c r="F102" s="1890"/>
      <c r="G102" s="1890"/>
      <c r="H102" s="1890"/>
      <c r="I102" s="1890"/>
      <c r="J102" s="1890"/>
      <c r="K102" s="1890"/>
      <c r="L102" s="1890"/>
      <c r="M102" s="1890"/>
      <c r="N102" s="1890"/>
      <c r="O102" s="1890"/>
      <c r="P102" s="1890"/>
      <c r="Q102" s="1890"/>
      <c r="R102" s="1890"/>
      <c r="S102" s="1890"/>
      <c r="T102" s="1890"/>
      <c r="U102" s="1890"/>
      <c r="V102" s="1890"/>
      <c r="W102" s="1890"/>
      <c r="X102" s="1890"/>
    </row>
    <row r="103" spans="1:24" x14ac:dyDescent="0.2">
      <c r="A103" s="1890"/>
      <c r="B103" s="1890"/>
      <c r="C103" s="1890"/>
      <c r="D103" s="1890"/>
      <c r="E103" s="1890"/>
      <c r="F103" s="1890"/>
      <c r="G103" s="1890"/>
      <c r="H103" s="1890"/>
      <c r="I103" s="1890"/>
      <c r="J103" s="1890"/>
      <c r="K103" s="1890"/>
      <c r="L103" s="1890"/>
      <c r="M103" s="1890"/>
      <c r="N103" s="1890"/>
      <c r="O103" s="1890"/>
      <c r="P103" s="1890"/>
      <c r="Q103" s="1890"/>
      <c r="R103" s="1890"/>
      <c r="S103" s="1890"/>
      <c r="T103" s="1890"/>
      <c r="U103" s="1890"/>
      <c r="V103" s="1890"/>
      <c r="W103" s="1890"/>
      <c r="X103" s="1890"/>
    </row>
    <row r="104" spans="1:24" x14ac:dyDescent="0.2">
      <c r="A104" s="1890"/>
      <c r="B104" s="1890"/>
      <c r="C104" s="1890"/>
      <c r="D104" s="1890"/>
      <c r="E104" s="1890"/>
      <c r="F104" s="1890"/>
      <c r="G104" s="1890"/>
      <c r="H104" s="1890"/>
      <c r="I104" s="1890"/>
      <c r="J104" s="1890"/>
      <c r="K104" s="1890"/>
      <c r="L104" s="1890"/>
      <c r="M104" s="1890"/>
      <c r="N104" s="1890"/>
      <c r="O104" s="1890"/>
      <c r="P104" s="1890"/>
      <c r="Q104" s="1890"/>
      <c r="R104" s="1890"/>
      <c r="S104" s="1890"/>
      <c r="T104" s="1890"/>
      <c r="U104" s="1890"/>
      <c r="V104" s="1890"/>
      <c r="W104" s="1890"/>
      <c r="X104" s="1890"/>
    </row>
    <row r="105" spans="1:24" x14ac:dyDescent="0.2">
      <c r="A105" s="1890"/>
      <c r="B105" s="1890"/>
      <c r="C105" s="1890"/>
      <c r="D105" s="1890"/>
      <c r="E105" s="1890"/>
      <c r="F105" s="1890"/>
      <c r="G105" s="1890"/>
      <c r="H105" s="1890"/>
      <c r="I105" s="1890"/>
      <c r="J105" s="1890"/>
      <c r="K105" s="1890"/>
      <c r="L105" s="1890"/>
      <c r="M105" s="1890"/>
      <c r="N105" s="1890"/>
      <c r="O105" s="1890"/>
      <c r="P105" s="1890"/>
      <c r="Q105" s="1890"/>
      <c r="R105" s="1890"/>
      <c r="S105" s="1890"/>
      <c r="T105" s="1890"/>
      <c r="U105" s="1890"/>
      <c r="V105" s="1890"/>
      <c r="W105" s="1890"/>
      <c r="X105" s="1890"/>
    </row>
    <row r="106" spans="1:24" x14ac:dyDescent="0.2">
      <c r="A106" s="1890"/>
      <c r="B106" s="1890"/>
      <c r="C106" s="1890"/>
      <c r="D106" s="1890"/>
      <c r="E106" s="1890"/>
      <c r="F106" s="1890"/>
      <c r="G106" s="1890"/>
      <c r="H106" s="1890"/>
      <c r="I106" s="1890"/>
      <c r="J106" s="1890"/>
      <c r="K106" s="1890"/>
      <c r="L106" s="1890"/>
      <c r="M106" s="1890"/>
      <c r="N106" s="1890"/>
      <c r="O106" s="1890"/>
      <c r="P106" s="1890"/>
      <c r="Q106" s="1890"/>
      <c r="R106" s="1890"/>
      <c r="S106" s="1890"/>
      <c r="T106" s="1890"/>
      <c r="U106" s="1890"/>
      <c r="V106" s="1890"/>
      <c r="W106" s="1890"/>
      <c r="X106" s="1890"/>
    </row>
    <row r="107" spans="1:24" x14ac:dyDescent="0.2">
      <c r="A107" s="1890"/>
      <c r="B107" s="1890"/>
      <c r="C107" s="1890"/>
      <c r="D107" s="1890"/>
      <c r="E107" s="1890"/>
      <c r="F107" s="1890"/>
      <c r="G107" s="1890"/>
      <c r="H107" s="1890"/>
      <c r="I107" s="1890"/>
      <c r="J107" s="1890"/>
      <c r="K107" s="1890"/>
      <c r="L107" s="1890"/>
      <c r="M107" s="1890"/>
      <c r="N107" s="1890"/>
      <c r="O107" s="1890"/>
      <c r="P107" s="1890"/>
      <c r="Q107" s="1890"/>
      <c r="R107" s="1890"/>
      <c r="S107" s="1890"/>
      <c r="T107" s="1890"/>
      <c r="U107" s="1890"/>
      <c r="V107" s="1890"/>
      <c r="W107" s="1890"/>
      <c r="X107" s="1890"/>
    </row>
    <row r="108" spans="1:24" x14ac:dyDescent="0.2">
      <c r="A108" s="1890"/>
      <c r="B108" s="1890"/>
      <c r="C108" s="1890"/>
      <c r="D108" s="1890"/>
      <c r="E108" s="1890"/>
      <c r="F108" s="1890"/>
      <c r="G108" s="1890"/>
      <c r="H108" s="1890"/>
      <c r="I108" s="1890"/>
      <c r="J108" s="1890"/>
      <c r="K108" s="1890"/>
      <c r="L108" s="1890"/>
      <c r="M108" s="1890"/>
      <c r="N108" s="1890"/>
      <c r="O108" s="1890"/>
      <c r="P108" s="1890"/>
      <c r="Q108" s="1890"/>
      <c r="R108" s="1890"/>
      <c r="S108" s="1890"/>
      <c r="T108" s="1890"/>
      <c r="U108" s="1890"/>
      <c r="V108" s="1890"/>
      <c r="W108" s="1890"/>
      <c r="X108" s="1890"/>
    </row>
    <row r="109" spans="1:24" x14ac:dyDescent="0.2">
      <c r="A109" s="1890"/>
      <c r="B109" s="1890"/>
      <c r="C109" s="1890"/>
      <c r="D109" s="1890"/>
      <c r="E109" s="1890"/>
      <c r="F109" s="1890"/>
      <c r="G109" s="1890"/>
      <c r="H109" s="1890"/>
      <c r="I109" s="1890"/>
      <c r="J109" s="1890"/>
      <c r="K109" s="1890"/>
      <c r="L109" s="1890"/>
      <c r="M109" s="1890"/>
      <c r="N109" s="1890"/>
      <c r="O109" s="1890"/>
      <c r="P109" s="1890"/>
      <c r="Q109" s="1890"/>
      <c r="R109" s="1890"/>
      <c r="S109" s="1890"/>
      <c r="T109" s="1890"/>
      <c r="U109" s="1890"/>
      <c r="V109" s="1890"/>
      <c r="W109" s="1890"/>
      <c r="X109" s="1890"/>
    </row>
    <row r="110" spans="1:24" x14ac:dyDescent="0.2">
      <c r="A110" s="1890"/>
      <c r="B110" s="1890"/>
      <c r="C110" s="1890"/>
      <c r="D110" s="1890"/>
      <c r="E110" s="1890"/>
      <c r="F110" s="1890"/>
      <c r="G110" s="1890"/>
      <c r="H110" s="1890"/>
      <c r="I110" s="1890"/>
      <c r="J110" s="1890"/>
      <c r="K110" s="1890"/>
      <c r="L110" s="1890"/>
      <c r="M110" s="1890"/>
      <c r="N110" s="1890"/>
      <c r="O110" s="1890"/>
      <c r="P110" s="1890"/>
      <c r="Q110" s="1890"/>
      <c r="R110" s="1890"/>
      <c r="S110" s="1890"/>
      <c r="T110" s="1890"/>
      <c r="U110" s="1890"/>
      <c r="V110" s="1890"/>
      <c r="W110" s="1890"/>
      <c r="X110" s="1890"/>
    </row>
    <row r="111" spans="1:24" x14ac:dyDescent="0.2">
      <c r="A111" s="1890"/>
      <c r="B111" s="1890"/>
      <c r="C111" s="1890"/>
      <c r="D111" s="1890"/>
      <c r="E111" s="1890"/>
      <c r="F111" s="1890"/>
      <c r="G111" s="1890"/>
      <c r="H111" s="1890"/>
      <c r="I111" s="1890"/>
      <c r="J111" s="1890"/>
      <c r="K111" s="1890"/>
      <c r="L111" s="1890"/>
      <c r="M111" s="1890"/>
      <c r="N111" s="1890"/>
      <c r="O111" s="1890"/>
      <c r="P111" s="1890"/>
      <c r="Q111" s="1890"/>
      <c r="R111" s="1890"/>
      <c r="S111" s="1890"/>
      <c r="T111" s="1890"/>
      <c r="U111" s="1890"/>
      <c r="V111" s="1890"/>
      <c r="W111" s="1890"/>
      <c r="X111" s="1890"/>
    </row>
    <row r="112" spans="1:24" x14ac:dyDescent="0.2">
      <c r="A112" s="1890"/>
      <c r="B112" s="1890"/>
      <c r="C112" s="1890"/>
      <c r="D112" s="1890"/>
      <c r="E112" s="1890"/>
      <c r="F112" s="1890"/>
      <c r="G112" s="1890"/>
      <c r="H112" s="1890"/>
      <c r="I112" s="1890"/>
      <c r="J112" s="1890"/>
      <c r="K112" s="1890"/>
      <c r="L112" s="1890"/>
      <c r="M112" s="1890"/>
      <c r="N112" s="1890"/>
      <c r="O112" s="1890"/>
      <c r="P112" s="1890"/>
      <c r="Q112" s="1890"/>
      <c r="R112" s="1890"/>
      <c r="S112" s="1890"/>
      <c r="T112" s="1890"/>
      <c r="U112" s="1890"/>
      <c r="V112" s="1890"/>
      <c r="W112" s="1890"/>
      <c r="X112" s="1890"/>
    </row>
    <row r="113" spans="1:24" x14ac:dyDescent="0.2">
      <c r="A113" s="1890"/>
      <c r="B113" s="1890"/>
      <c r="C113" s="1890"/>
      <c r="D113" s="1890"/>
      <c r="E113" s="1890"/>
      <c r="F113" s="1890"/>
      <c r="G113" s="1890"/>
      <c r="H113" s="1890"/>
      <c r="I113" s="1890"/>
      <c r="J113" s="1890"/>
      <c r="K113" s="1890"/>
      <c r="L113" s="1890"/>
      <c r="M113" s="1890"/>
      <c r="N113" s="1890"/>
      <c r="O113" s="1890"/>
      <c r="P113" s="1890"/>
      <c r="Q113" s="1890"/>
      <c r="R113" s="1890"/>
      <c r="S113" s="1890"/>
      <c r="T113" s="1890"/>
      <c r="U113" s="1890"/>
      <c r="V113" s="1890"/>
      <c r="W113" s="1890"/>
      <c r="X113" s="1890"/>
    </row>
    <row r="114" spans="1:24" x14ac:dyDescent="0.2">
      <c r="A114" s="1890"/>
      <c r="B114" s="1890"/>
      <c r="C114" s="1890"/>
      <c r="D114" s="1890"/>
      <c r="E114" s="1890"/>
      <c r="F114" s="1890"/>
      <c r="G114" s="1890"/>
      <c r="H114" s="1890"/>
      <c r="I114" s="1890"/>
      <c r="J114" s="1890"/>
      <c r="K114" s="1890"/>
      <c r="L114" s="1890"/>
      <c r="M114" s="1890"/>
      <c r="N114" s="1890"/>
      <c r="O114" s="1890"/>
      <c r="P114" s="1890"/>
      <c r="Q114" s="1890"/>
      <c r="R114" s="1890"/>
      <c r="S114" s="1890"/>
      <c r="T114" s="1890"/>
      <c r="U114" s="1890"/>
      <c r="V114" s="1890"/>
      <c r="W114" s="1890"/>
      <c r="X114" s="1890"/>
    </row>
    <row r="115" spans="1:24" x14ac:dyDescent="0.2">
      <c r="A115" s="1890"/>
      <c r="B115" s="1890"/>
      <c r="C115" s="1890"/>
      <c r="D115" s="1890"/>
      <c r="E115" s="1890"/>
      <c r="F115" s="1890"/>
      <c r="G115" s="1890"/>
      <c r="H115" s="1890"/>
      <c r="I115" s="1890"/>
      <c r="J115" s="1890"/>
      <c r="K115" s="1890"/>
      <c r="L115" s="1890"/>
      <c r="M115" s="1890"/>
      <c r="N115" s="1890"/>
      <c r="O115" s="1890"/>
      <c r="P115" s="1890"/>
      <c r="Q115" s="1890"/>
      <c r="R115" s="1890"/>
      <c r="S115" s="1890"/>
      <c r="T115" s="1890"/>
      <c r="U115" s="1890"/>
      <c r="V115" s="1890"/>
      <c r="W115" s="1890"/>
      <c r="X115" s="1890"/>
    </row>
    <row r="116" spans="1:24" x14ac:dyDescent="0.2">
      <c r="A116" s="1890"/>
      <c r="B116" s="1890"/>
      <c r="C116" s="1890"/>
      <c r="D116" s="1890"/>
      <c r="E116" s="1890"/>
      <c r="F116" s="1890"/>
      <c r="G116" s="1890"/>
      <c r="H116" s="1890"/>
      <c r="I116" s="1890"/>
      <c r="J116" s="1890"/>
      <c r="K116" s="1890"/>
      <c r="L116" s="1890"/>
      <c r="M116" s="1890"/>
      <c r="N116" s="1890"/>
      <c r="O116" s="1890"/>
      <c r="P116" s="1890"/>
      <c r="Q116" s="1890"/>
      <c r="R116" s="1890"/>
      <c r="S116" s="1890"/>
      <c r="T116" s="1890"/>
      <c r="U116" s="1890"/>
      <c r="V116" s="1890"/>
      <c r="W116" s="1890"/>
      <c r="X116" s="1890"/>
    </row>
    <row r="117" spans="1:24" x14ac:dyDescent="0.2">
      <c r="A117" s="1890"/>
      <c r="B117" s="1890"/>
      <c r="C117" s="1890"/>
      <c r="D117" s="1890"/>
      <c r="E117" s="1890"/>
      <c r="F117" s="1890"/>
      <c r="G117" s="1890"/>
      <c r="H117" s="1890"/>
      <c r="I117" s="1890"/>
      <c r="J117" s="1890"/>
      <c r="K117" s="1890"/>
      <c r="L117" s="1890"/>
      <c r="M117" s="1890"/>
      <c r="N117" s="1890"/>
      <c r="O117" s="1890"/>
      <c r="P117" s="1890"/>
      <c r="Q117" s="1890"/>
      <c r="R117" s="1890"/>
      <c r="S117" s="1890"/>
      <c r="T117" s="1890"/>
      <c r="U117" s="1890"/>
      <c r="V117" s="1890"/>
      <c r="W117" s="1890"/>
      <c r="X117" s="1890"/>
    </row>
    <row r="118" spans="1:24" x14ac:dyDescent="0.2">
      <c r="A118" s="1890"/>
      <c r="B118" s="1890"/>
      <c r="C118" s="1890"/>
      <c r="D118" s="1890"/>
      <c r="E118" s="1890"/>
      <c r="F118" s="1890"/>
      <c r="G118" s="1890"/>
      <c r="H118" s="1890"/>
      <c r="I118" s="1890"/>
      <c r="J118" s="1890"/>
      <c r="K118" s="1890"/>
      <c r="L118" s="1890"/>
      <c r="M118" s="1890"/>
      <c r="N118" s="1890"/>
      <c r="O118" s="1890"/>
      <c r="P118" s="1890"/>
      <c r="Q118" s="1890"/>
      <c r="R118" s="1890"/>
      <c r="S118" s="1890"/>
      <c r="T118" s="1890"/>
      <c r="U118" s="1890"/>
      <c r="V118" s="1890"/>
      <c r="W118" s="1890"/>
      <c r="X118" s="1890"/>
    </row>
    <row r="119" spans="1:24" x14ac:dyDescent="0.2">
      <c r="A119" s="1890"/>
      <c r="B119" s="1890"/>
      <c r="C119" s="1890"/>
      <c r="D119" s="1890"/>
      <c r="E119" s="1890"/>
      <c r="F119" s="1890"/>
      <c r="G119" s="1890"/>
      <c r="H119" s="1890"/>
      <c r="I119" s="1890"/>
      <c r="J119" s="1890"/>
      <c r="K119" s="1890"/>
      <c r="L119" s="1890"/>
      <c r="M119" s="1890"/>
      <c r="N119" s="1890"/>
      <c r="O119" s="1890"/>
      <c r="P119" s="1890"/>
      <c r="Q119" s="1890"/>
      <c r="R119" s="1890"/>
      <c r="S119" s="1890"/>
      <c r="T119" s="1890"/>
      <c r="U119" s="1890"/>
      <c r="V119" s="1890"/>
      <c r="W119" s="1890"/>
      <c r="X119" s="1890"/>
    </row>
    <row r="120" spans="1:24" x14ac:dyDescent="0.2">
      <c r="A120" s="1890"/>
      <c r="B120" s="1890"/>
      <c r="C120" s="1890"/>
      <c r="D120" s="1890"/>
      <c r="E120" s="1890"/>
      <c r="F120" s="1890"/>
      <c r="G120" s="1890"/>
      <c r="H120" s="1890"/>
      <c r="I120" s="1890"/>
      <c r="J120" s="1890"/>
      <c r="K120" s="1890"/>
      <c r="L120" s="1890"/>
      <c r="M120" s="1890"/>
      <c r="N120" s="1890"/>
      <c r="O120" s="1890"/>
      <c r="P120" s="1890"/>
      <c r="Q120" s="1890"/>
      <c r="R120" s="1890"/>
      <c r="S120" s="1890"/>
      <c r="T120" s="1890"/>
      <c r="U120" s="1890"/>
      <c r="V120" s="1890"/>
      <c r="W120" s="1890"/>
      <c r="X120" s="1890"/>
    </row>
    <row r="121" spans="1:24" x14ac:dyDescent="0.2">
      <c r="A121" s="1890"/>
      <c r="B121" s="1890"/>
      <c r="C121" s="1890"/>
      <c r="D121" s="1890"/>
      <c r="E121" s="1890"/>
      <c r="F121" s="1890"/>
      <c r="G121" s="1890"/>
      <c r="H121" s="1890"/>
      <c r="I121" s="1890"/>
      <c r="J121" s="1890"/>
      <c r="K121" s="1890"/>
      <c r="L121" s="1890"/>
      <c r="M121" s="1890"/>
      <c r="N121" s="1890"/>
      <c r="O121" s="1890"/>
      <c r="P121" s="1890"/>
      <c r="Q121" s="1890"/>
      <c r="R121" s="1890"/>
      <c r="S121" s="1890"/>
      <c r="T121" s="1890"/>
      <c r="U121" s="1890"/>
      <c r="V121" s="1890"/>
      <c r="W121" s="1890"/>
      <c r="X121" s="1890"/>
    </row>
    <row r="122" spans="1:24" x14ac:dyDescent="0.2">
      <c r="A122" s="1890"/>
      <c r="B122" s="1890"/>
      <c r="C122" s="1890"/>
      <c r="D122" s="1890"/>
      <c r="E122" s="1890"/>
      <c r="F122" s="1890"/>
      <c r="G122" s="1890"/>
      <c r="H122" s="1890"/>
      <c r="I122" s="1890"/>
      <c r="J122" s="1890"/>
      <c r="K122" s="1890"/>
      <c r="L122" s="1890"/>
      <c r="M122" s="1890"/>
      <c r="N122" s="1890"/>
      <c r="O122" s="1890"/>
      <c r="P122" s="1890"/>
      <c r="Q122" s="1890"/>
      <c r="R122" s="1890"/>
      <c r="S122" s="1890"/>
      <c r="T122" s="1890"/>
      <c r="U122" s="1890"/>
      <c r="V122" s="1890"/>
      <c r="W122" s="1890"/>
      <c r="X122" s="1890"/>
    </row>
    <row r="123" spans="1:24" x14ac:dyDescent="0.2">
      <c r="A123" s="1890"/>
      <c r="B123" s="1890"/>
      <c r="C123" s="1890"/>
      <c r="D123" s="1890"/>
      <c r="E123" s="1890"/>
      <c r="F123" s="1890"/>
      <c r="G123" s="1890"/>
      <c r="H123" s="1890"/>
      <c r="I123" s="1890"/>
      <c r="J123" s="1890"/>
      <c r="K123" s="1890"/>
      <c r="L123" s="1890"/>
      <c r="M123" s="1890"/>
      <c r="N123" s="1890"/>
      <c r="O123" s="1890"/>
      <c r="P123" s="1890"/>
      <c r="Q123" s="1890"/>
      <c r="R123" s="1890"/>
      <c r="S123" s="1890"/>
      <c r="T123" s="1890"/>
      <c r="U123" s="1890"/>
      <c r="V123" s="1890"/>
      <c r="W123" s="1890"/>
      <c r="X123" s="1890"/>
    </row>
    <row r="124" spans="1:24" x14ac:dyDescent="0.2">
      <c r="A124" s="1890"/>
      <c r="B124" s="1890"/>
      <c r="C124" s="1890"/>
      <c r="D124" s="1890"/>
      <c r="E124" s="1890"/>
      <c r="F124" s="1890"/>
      <c r="G124" s="1890"/>
      <c r="H124" s="1890"/>
      <c r="I124" s="1890"/>
      <c r="J124" s="1890"/>
      <c r="K124" s="1890"/>
      <c r="L124" s="1890"/>
      <c r="M124" s="1890"/>
      <c r="N124" s="1890"/>
      <c r="O124" s="1890"/>
      <c r="P124" s="1890"/>
      <c r="Q124" s="1890"/>
      <c r="R124" s="1890"/>
      <c r="S124" s="1890"/>
      <c r="T124" s="1890"/>
      <c r="U124" s="1890"/>
      <c r="V124" s="1890"/>
      <c r="W124" s="1890"/>
      <c r="X124" s="1890"/>
    </row>
    <row r="125" spans="1:24" x14ac:dyDescent="0.2">
      <c r="A125" s="1890"/>
      <c r="B125" s="1890"/>
      <c r="C125" s="1890"/>
      <c r="D125" s="1890"/>
      <c r="E125" s="1890"/>
      <c r="F125" s="1890"/>
      <c r="G125" s="1890"/>
      <c r="H125" s="1890"/>
      <c r="I125" s="1890"/>
      <c r="J125" s="1890"/>
      <c r="K125" s="1890"/>
      <c r="L125" s="1890"/>
      <c r="M125" s="1890"/>
      <c r="N125" s="1890"/>
      <c r="O125" s="1890"/>
      <c r="P125" s="1890"/>
      <c r="Q125" s="1890"/>
      <c r="R125" s="1890"/>
      <c r="S125" s="1890"/>
      <c r="T125" s="1890"/>
      <c r="U125" s="1890"/>
      <c r="V125" s="1890"/>
      <c r="W125" s="1890"/>
      <c r="X125" s="1890"/>
    </row>
    <row r="126" spans="1:24" x14ac:dyDescent="0.2">
      <c r="A126" s="1890"/>
      <c r="B126" s="1890"/>
      <c r="C126" s="1890"/>
      <c r="D126" s="1890"/>
      <c r="E126" s="1890"/>
      <c r="F126" s="1890"/>
      <c r="G126" s="1890"/>
      <c r="H126" s="1890"/>
      <c r="I126" s="1890"/>
      <c r="J126" s="1890"/>
      <c r="K126" s="1890"/>
      <c r="L126" s="1890"/>
      <c r="M126" s="1890"/>
      <c r="N126" s="1890"/>
      <c r="O126" s="1890"/>
      <c r="P126" s="1890"/>
      <c r="Q126" s="1890"/>
      <c r="R126" s="1890"/>
      <c r="S126" s="1890"/>
      <c r="T126" s="1890"/>
      <c r="U126" s="1890"/>
      <c r="V126" s="1890"/>
      <c r="W126" s="1890"/>
      <c r="X126" s="1890"/>
    </row>
    <row r="127" spans="1:24" x14ac:dyDescent="0.2">
      <c r="A127" s="1890"/>
      <c r="B127" s="1890"/>
      <c r="C127" s="1890"/>
      <c r="D127" s="1890"/>
      <c r="E127" s="1890"/>
      <c r="F127" s="1890"/>
      <c r="G127" s="1890"/>
      <c r="H127" s="1890"/>
      <c r="I127" s="1890"/>
      <c r="J127" s="1890"/>
      <c r="K127" s="1890"/>
      <c r="L127" s="1890"/>
      <c r="M127" s="1890"/>
      <c r="N127" s="1890"/>
      <c r="O127" s="1890"/>
      <c r="P127" s="1890"/>
      <c r="Q127" s="1890"/>
      <c r="R127" s="1890"/>
      <c r="S127" s="1890"/>
      <c r="T127" s="1890"/>
      <c r="U127" s="1890"/>
      <c r="V127" s="1890"/>
      <c r="W127" s="1890"/>
      <c r="X127" s="1890"/>
    </row>
    <row r="128" spans="1:24" x14ac:dyDescent="0.2">
      <c r="A128" s="1890"/>
      <c r="B128" s="1890"/>
      <c r="C128" s="1890"/>
      <c r="D128" s="1890"/>
      <c r="E128" s="1890"/>
      <c r="F128" s="1890"/>
      <c r="G128" s="1890"/>
      <c r="H128" s="1890"/>
      <c r="I128" s="1890"/>
      <c r="J128" s="1890"/>
      <c r="K128" s="1890"/>
      <c r="L128" s="1890"/>
      <c r="M128" s="1890"/>
      <c r="N128" s="1890"/>
      <c r="O128" s="1890"/>
      <c r="P128" s="1890"/>
      <c r="Q128" s="1890"/>
      <c r="R128" s="1890"/>
      <c r="S128" s="1890"/>
      <c r="T128" s="1890"/>
      <c r="U128" s="1890"/>
      <c r="V128" s="1890"/>
      <c r="W128" s="1890"/>
      <c r="X128" s="1890"/>
    </row>
    <row r="129" spans="1:24" x14ac:dyDescent="0.2">
      <c r="A129" s="1890"/>
      <c r="B129" s="1890"/>
      <c r="C129" s="1890"/>
      <c r="D129" s="1890"/>
      <c r="E129" s="1890"/>
      <c r="F129" s="1890"/>
      <c r="G129" s="1890"/>
      <c r="H129" s="1890"/>
      <c r="I129" s="1890"/>
      <c r="J129" s="1890"/>
      <c r="K129" s="1890"/>
      <c r="L129" s="1890"/>
      <c r="M129" s="1890"/>
      <c r="N129" s="1890"/>
      <c r="O129" s="1890"/>
      <c r="P129" s="1890"/>
      <c r="Q129" s="1890"/>
      <c r="R129" s="1890"/>
      <c r="S129" s="1890"/>
      <c r="T129" s="1890"/>
      <c r="U129" s="1890"/>
      <c r="V129" s="1890"/>
      <c r="W129" s="1890"/>
      <c r="X129" s="1890"/>
    </row>
    <row r="130" spans="1:24" x14ac:dyDescent="0.2">
      <c r="A130" s="1890"/>
      <c r="B130" s="1890"/>
      <c r="C130" s="1890"/>
      <c r="D130" s="1890"/>
      <c r="E130" s="1890"/>
      <c r="F130" s="1890"/>
      <c r="G130" s="1890"/>
      <c r="H130" s="1890"/>
      <c r="I130" s="1890"/>
      <c r="J130" s="1890"/>
      <c r="K130" s="1890"/>
      <c r="L130" s="1890"/>
      <c r="M130" s="1890"/>
      <c r="N130" s="1890"/>
      <c r="O130" s="1890"/>
      <c r="P130" s="1890"/>
      <c r="Q130" s="1890"/>
      <c r="R130" s="1890"/>
      <c r="S130" s="1890"/>
      <c r="T130" s="1890"/>
      <c r="U130" s="1890"/>
      <c r="V130" s="1890"/>
      <c r="W130" s="1890"/>
      <c r="X130" s="1890"/>
    </row>
    <row r="131" spans="1:24" x14ac:dyDescent="0.2">
      <c r="A131" s="1890"/>
      <c r="B131" s="1890"/>
      <c r="C131" s="1890"/>
      <c r="D131" s="1890"/>
      <c r="E131" s="1890"/>
      <c r="F131" s="1890"/>
      <c r="G131" s="1890"/>
      <c r="H131" s="1890"/>
      <c r="I131" s="1890"/>
      <c r="J131" s="1890"/>
      <c r="K131" s="1890"/>
      <c r="L131" s="1890"/>
      <c r="M131" s="1890"/>
      <c r="N131" s="1890"/>
      <c r="O131" s="1890"/>
      <c r="P131" s="1890"/>
      <c r="Q131" s="1890"/>
      <c r="R131" s="1890"/>
      <c r="S131" s="1890"/>
      <c r="T131" s="1890"/>
      <c r="U131" s="1890"/>
      <c r="V131" s="1890"/>
      <c r="W131" s="1890"/>
      <c r="X131" s="1890"/>
    </row>
    <row r="132" spans="1:24" x14ac:dyDescent="0.2">
      <c r="A132" s="1890"/>
      <c r="B132" s="1890"/>
      <c r="C132" s="1890"/>
      <c r="D132" s="1890"/>
      <c r="E132" s="1890"/>
      <c r="F132" s="1890"/>
      <c r="G132" s="1890"/>
      <c r="H132" s="1890"/>
      <c r="I132" s="1890"/>
      <c r="J132" s="1890"/>
      <c r="K132" s="1890"/>
      <c r="L132" s="1890"/>
      <c r="M132" s="1890"/>
      <c r="N132" s="1890"/>
      <c r="O132" s="1890"/>
      <c r="P132" s="1890"/>
      <c r="Q132" s="1890"/>
      <c r="R132" s="1890"/>
      <c r="S132" s="1890"/>
      <c r="T132" s="1890"/>
      <c r="U132" s="1890"/>
      <c r="V132" s="1890"/>
      <c r="W132" s="1890"/>
      <c r="X132" s="1890"/>
    </row>
    <row r="133" spans="1:24" x14ac:dyDescent="0.2">
      <c r="A133" s="1890"/>
      <c r="B133" s="1890"/>
      <c r="C133" s="1890"/>
      <c r="D133" s="1890"/>
      <c r="E133" s="1890"/>
      <c r="F133" s="1890"/>
      <c r="G133" s="1890"/>
      <c r="H133" s="1890"/>
      <c r="I133" s="1890"/>
      <c r="J133" s="1890"/>
      <c r="K133" s="1890"/>
      <c r="L133" s="1890"/>
      <c r="M133" s="1890"/>
      <c r="N133" s="1890"/>
      <c r="T133" s="1890"/>
      <c r="U133" s="1890"/>
      <c r="V133" s="1890"/>
      <c r="W133" s="1890"/>
      <c r="X133" s="1890"/>
    </row>
    <row r="134" spans="1:24" x14ac:dyDescent="0.2">
      <c r="A134" s="1890"/>
      <c r="B134" s="1890"/>
      <c r="C134" s="1890"/>
      <c r="D134" s="1890"/>
      <c r="E134" s="1890"/>
      <c r="F134" s="1890"/>
      <c r="G134" s="1890"/>
      <c r="H134" s="1890"/>
      <c r="I134" s="1890"/>
      <c r="J134" s="1890"/>
      <c r="K134" s="1890"/>
      <c r="L134" s="1890"/>
      <c r="M134" s="1890"/>
      <c r="N134" s="1890"/>
      <c r="T134" s="1890"/>
      <c r="U134" s="1890"/>
      <c r="V134" s="1890"/>
      <c r="W134" s="1890"/>
      <c r="X134" s="1890"/>
    </row>
    <row r="135" spans="1:24" x14ac:dyDescent="0.2">
      <c r="A135" s="1890"/>
      <c r="B135" s="1890"/>
      <c r="C135" s="1890"/>
      <c r="D135" s="1890"/>
      <c r="E135" s="1890"/>
      <c r="F135" s="1890"/>
      <c r="G135" s="1890"/>
      <c r="H135" s="1890"/>
      <c r="I135" s="1890"/>
      <c r="J135" s="1890"/>
      <c r="K135" s="1890"/>
      <c r="L135" s="1890"/>
      <c r="M135" s="1890"/>
      <c r="N135" s="1890"/>
      <c r="T135" s="1890"/>
      <c r="U135" s="1890"/>
      <c r="V135" s="1890"/>
      <c r="W135" s="1890"/>
      <c r="X135" s="1890"/>
    </row>
    <row r="136" spans="1:24" x14ac:dyDescent="0.2">
      <c r="A136" s="1890"/>
      <c r="B136" s="1890"/>
      <c r="C136" s="1890"/>
      <c r="D136" s="1890"/>
      <c r="E136" s="1890"/>
      <c r="F136" s="1890"/>
      <c r="G136" s="1890"/>
      <c r="H136" s="1890"/>
      <c r="I136" s="1890"/>
      <c r="J136" s="1890"/>
      <c r="K136" s="1890"/>
      <c r="L136" s="1890"/>
      <c r="M136" s="1890"/>
      <c r="N136" s="1890"/>
      <c r="T136" s="1890"/>
      <c r="U136" s="1890"/>
      <c r="V136" s="1890"/>
      <c r="W136" s="1890"/>
      <c r="X136" s="1890"/>
    </row>
    <row r="137" spans="1:24" x14ac:dyDescent="0.2">
      <c r="A137" s="1890"/>
      <c r="B137" s="1890"/>
      <c r="C137" s="1890"/>
      <c r="D137" s="1890"/>
      <c r="E137" s="1890"/>
      <c r="F137" s="1890"/>
      <c r="G137" s="1890"/>
      <c r="H137" s="1890"/>
      <c r="I137" s="1890"/>
      <c r="J137" s="1890"/>
      <c r="K137" s="1890"/>
      <c r="L137" s="1890"/>
      <c r="M137" s="1890"/>
      <c r="N137" s="1890"/>
      <c r="T137" s="1890"/>
      <c r="U137" s="1890"/>
      <c r="V137" s="1890"/>
      <c r="W137" s="1890"/>
      <c r="X137" s="1890"/>
    </row>
    <row r="138" spans="1:24" x14ac:dyDescent="0.2">
      <c r="A138" s="1890"/>
      <c r="B138" s="1890"/>
      <c r="C138" s="1890"/>
      <c r="D138" s="1890"/>
      <c r="E138" s="1890"/>
      <c r="F138" s="1890"/>
      <c r="G138" s="1890"/>
      <c r="H138" s="1890"/>
      <c r="I138" s="1890"/>
      <c r="J138" s="1890"/>
      <c r="K138" s="1890"/>
      <c r="L138" s="1890"/>
      <c r="M138" s="1890"/>
      <c r="N138" s="1890"/>
      <c r="T138" s="1890"/>
      <c r="U138" s="1890"/>
      <c r="V138" s="1890"/>
      <c r="W138" s="1890"/>
      <c r="X138" s="1890"/>
    </row>
    <row r="139" spans="1:24" x14ac:dyDescent="0.2">
      <c r="A139" s="1890"/>
      <c r="B139" s="1890"/>
      <c r="C139" s="1890"/>
      <c r="D139" s="1890"/>
      <c r="E139" s="1890"/>
      <c r="F139" s="1890"/>
      <c r="G139" s="1890"/>
      <c r="H139" s="1890"/>
      <c r="I139" s="1890"/>
      <c r="J139" s="1890"/>
      <c r="K139" s="1890"/>
      <c r="L139" s="1890"/>
      <c r="M139" s="1890"/>
      <c r="N139" s="1890"/>
      <c r="T139" s="1890"/>
      <c r="U139" s="1890"/>
      <c r="V139" s="1890"/>
      <c r="W139" s="1890"/>
      <c r="X139" s="1890"/>
    </row>
    <row r="140" spans="1:24" x14ac:dyDescent="0.2">
      <c r="A140" s="1890"/>
      <c r="B140" s="1890"/>
      <c r="C140" s="1890"/>
      <c r="D140" s="1890"/>
      <c r="E140" s="1890"/>
      <c r="F140" s="1890"/>
      <c r="G140" s="1890"/>
      <c r="H140" s="1890"/>
      <c r="I140" s="1890"/>
      <c r="J140" s="1890"/>
      <c r="K140" s="1890"/>
      <c r="L140" s="1890"/>
      <c r="M140" s="1890"/>
      <c r="N140" s="1890"/>
      <c r="T140" s="1890"/>
      <c r="U140" s="1890"/>
      <c r="V140" s="1890"/>
      <c r="W140" s="1890"/>
      <c r="X140" s="1890"/>
    </row>
    <row r="141" spans="1:24" x14ac:dyDescent="0.2">
      <c r="A141" s="1890"/>
      <c r="B141" s="1890"/>
      <c r="C141" s="1890"/>
      <c r="D141" s="1890"/>
      <c r="E141" s="1890"/>
      <c r="F141" s="1890"/>
      <c r="G141" s="1890"/>
      <c r="H141" s="1890"/>
      <c r="I141" s="1890"/>
      <c r="J141" s="1890"/>
      <c r="K141" s="1890"/>
      <c r="L141" s="1890"/>
      <c r="M141" s="1890"/>
      <c r="N141" s="1890"/>
      <c r="T141" s="1890"/>
      <c r="U141" s="1890"/>
      <c r="V141" s="1890"/>
      <c r="W141" s="1890"/>
      <c r="X141" s="1890"/>
    </row>
    <row r="142" spans="1:24" x14ac:dyDescent="0.2">
      <c r="A142" s="1890"/>
      <c r="B142" s="1890"/>
      <c r="C142" s="1890"/>
      <c r="D142" s="1890"/>
      <c r="E142" s="1890"/>
      <c r="F142" s="1890"/>
      <c r="G142" s="1890"/>
      <c r="H142" s="1890"/>
      <c r="I142" s="1890"/>
      <c r="J142" s="1890"/>
      <c r="K142" s="1890"/>
      <c r="L142" s="1890"/>
      <c r="M142" s="1890"/>
      <c r="N142" s="1890"/>
      <c r="T142" s="1890"/>
      <c r="U142" s="1890"/>
      <c r="V142" s="1890"/>
      <c r="W142" s="1890"/>
      <c r="X142" s="1890"/>
    </row>
    <row r="143" spans="1:24" x14ac:dyDescent="0.2">
      <c r="A143" s="1890"/>
      <c r="B143" s="1890"/>
      <c r="C143" s="1890"/>
      <c r="D143" s="1890"/>
      <c r="E143" s="1890"/>
      <c r="F143" s="1890"/>
      <c r="G143" s="1890"/>
      <c r="H143" s="1890"/>
      <c r="I143" s="1890"/>
      <c r="J143" s="1890"/>
      <c r="K143" s="1890"/>
      <c r="L143" s="1890"/>
      <c r="M143" s="1890"/>
      <c r="N143" s="1890"/>
      <c r="T143" s="1890"/>
      <c r="U143" s="1890"/>
      <c r="V143" s="1890"/>
      <c r="W143" s="1890"/>
      <c r="X143" s="1890"/>
    </row>
    <row r="144" spans="1:24" x14ac:dyDescent="0.2">
      <c r="A144" s="1890"/>
      <c r="B144" s="1890"/>
      <c r="C144" s="1890"/>
      <c r="D144" s="1890"/>
      <c r="E144" s="1890"/>
      <c r="F144" s="1890"/>
      <c r="G144" s="1890"/>
      <c r="H144" s="1890"/>
      <c r="I144" s="1890"/>
      <c r="J144" s="1890"/>
      <c r="K144" s="1890"/>
      <c r="L144" s="1890"/>
      <c r="M144" s="1890"/>
      <c r="N144" s="1890"/>
      <c r="T144" s="1890"/>
      <c r="U144" s="1890"/>
      <c r="V144" s="1890"/>
      <c r="W144" s="1890"/>
      <c r="X144" s="1890"/>
    </row>
  </sheetData>
  <sheetProtection selectLockedCells="1" selectUnlockedCells="1"/>
  <mergeCells count="4">
    <mergeCell ref="O12:S13"/>
    <mergeCell ref="P26:V26"/>
    <mergeCell ref="B34:D34"/>
    <mergeCell ref="B35:D35"/>
  </mergeCells>
  <pageMargins left="0.78740157499999996" right="0.78740157499999996" top="0.984251969" bottom="0.984251969" header="0.4921259845" footer="0.4921259845"/>
  <pageSetup paperSize="9" orientation="portrait" r:id="rId1"/>
  <headerFooter alignWithMargins="0"/>
  <drawing r:id="rId2"/>
  <legacyDrawing r:id="rId3"/>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A6E14A-637C-499D-A0BA-BEBB8901650E}">
  <dimension ref="A1:X162"/>
  <sheetViews>
    <sheetView showGridLines="0" zoomScale="90" zoomScaleNormal="90" workbookViewId="0">
      <selection activeCell="L13" sqref="L13"/>
    </sheetView>
  </sheetViews>
  <sheetFormatPr defaultColWidth="11.42578125" defaultRowHeight="12.75" x14ac:dyDescent="0.2"/>
  <cols>
    <col min="1" max="1" width="13.42578125" style="1846" customWidth="1"/>
    <col min="2" max="2" width="45.85546875" style="1846" customWidth="1"/>
    <col min="3" max="3" width="11.42578125" style="1846" customWidth="1"/>
    <col min="4" max="4" width="12.140625" style="1846" customWidth="1"/>
    <col min="5" max="5" width="15.85546875" style="1846" customWidth="1"/>
    <col min="6" max="6" width="1.42578125" style="2227" customWidth="1"/>
    <col min="7" max="13" width="14" style="1846" customWidth="1"/>
    <col min="14" max="16384" width="11.42578125" style="1846"/>
  </cols>
  <sheetData>
    <row r="1" spans="1:24" ht="39.950000000000003" customHeight="1" x14ac:dyDescent="0.25">
      <c r="A1" s="2014" t="s">
        <v>1187</v>
      </c>
      <c r="B1" s="2134"/>
      <c r="C1" s="2134"/>
      <c r="D1" s="1890"/>
      <c r="E1" s="1890"/>
      <c r="F1" s="2135"/>
      <c r="G1" s="2016"/>
      <c r="H1" s="2016"/>
      <c r="I1" s="2016"/>
      <c r="J1" s="1890"/>
      <c r="K1" s="1890"/>
      <c r="L1" s="1890"/>
      <c r="M1" s="1890"/>
      <c r="N1" s="1890"/>
      <c r="O1" s="2136"/>
      <c r="P1" s="1890"/>
      <c r="Q1" s="1890"/>
      <c r="R1" s="1890"/>
      <c r="S1" s="1890"/>
      <c r="T1" s="1890"/>
      <c r="U1" s="1890"/>
      <c r="V1" s="1890"/>
      <c r="W1" s="1890"/>
      <c r="X1" s="1890"/>
    </row>
    <row r="2" spans="1:24" ht="18" x14ac:dyDescent="0.25">
      <c r="A2" s="2137"/>
      <c r="B2" s="1890"/>
      <c r="C2" s="1890"/>
      <c r="D2" s="1890"/>
      <c r="E2" s="1890"/>
      <c r="F2" s="2135"/>
      <c r="G2" s="2016"/>
      <c r="H2" s="2016"/>
      <c r="I2" s="2016"/>
      <c r="J2" s="1890"/>
      <c r="K2" s="1890"/>
      <c r="L2" s="1890"/>
      <c r="M2" s="1890"/>
      <c r="N2" s="1890"/>
      <c r="O2" s="2136"/>
      <c r="P2" s="1890"/>
      <c r="Q2" s="1890"/>
      <c r="R2" s="1890"/>
      <c r="S2" s="1890"/>
      <c r="T2" s="1890"/>
      <c r="U2" s="1890"/>
      <c r="V2" s="1890"/>
      <c r="W2" s="1890"/>
      <c r="X2" s="1890"/>
    </row>
    <row r="3" spans="1:24" ht="14.25" x14ac:dyDescent="0.25">
      <c r="A3" s="1897" t="s">
        <v>1188</v>
      </c>
      <c r="B3" s="1898"/>
      <c r="C3" s="1898"/>
      <c r="D3" s="1898"/>
      <c r="E3" s="2138"/>
      <c r="F3" s="2138"/>
      <c r="G3" s="1898"/>
      <c r="H3" s="1898"/>
      <c r="I3" s="1898"/>
      <c r="J3" s="1898"/>
      <c r="K3" s="1898"/>
      <c r="L3" s="1898"/>
      <c r="M3" s="1898"/>
      <c r="N3" s="1890"/>
      <c r="O3" s="1890"/>
      <c r="P3" s="1890"/>
      <c r="Q3" s="1890"/>
      <c r="R3" s="1890"/>
      <c r="S3" s="1890"/>
      <c r="T3" s="1890"/>
      <c r="U3" s="1890"/>
      <c r="V3" s="1890"/>
      <c r="W3" s="1890"/>
      <c r="X3" s="1890"/>
    </row>
    <row r="4" spans="1:24" ht="14.25" x14ac:dyDescent="0.2">
      <c r="A4" s="1904" t="s">
        <v>1189</v>
      </c>
      <c r="B4" s="1915"/>
      <c r="C4" s="1915"/>
      <c r="D4" s="1915"/>
      <c r="E4" s="1915"/>
      <c r="F4" s="1915"/>
      <c r="G4" s="1915"/>
      <c r="H4" s="1915"/>
      <c r="I4" s="1915"/>
      <c r="J4" s="2139"/>
      <c r="K4" s="1915"/>
      <c r="L4" s="1915"/>
      <c r="M4" s="1915"/>
      <c r="N4" s="2140"/>
      <c r="O4" s="1890"/>
      <c r="P4" s="1890"/>
      <c r="Q4" s="1890"/>
      <c r="R4" s="1890"/>
      <c r="S4" s="1890"/>
      <c r="T4" s="1890"/>
      <c r="U4" s="1890"/>
      <c r="V4" s="1890"/>
      <c r="W4" s="1890"/>
      <c r="X4" s="1890"/>
    </row>
    <row r="5" spans="1:24" ht="39" customHeight="1" x14ac:dyDescent="0.2">
      <c r="A5" s="2139"/>
      <c r="B5" s="1915"/>
      <c r="C5" s="1915"/>
      <c r="D5" s="1915"/>
      <c r="E5" s="2079" t="str">
        <f>+'CO2 - Reciclagem'!E8</f>
        <v>Cenário-Base</v>
      </c>
      <c r="F5" s="2139"/>
      <c r="G5" s="2141" t="str">
        <f>+'CO2 - Reciclagem'!G8</f>
        <v>Biodigestão RT1A + CDR TM</v>
      </c>
      <c r="H5" s="2141" t="str">
        <f>+'CO2 - Reciclagem'!H8</f>
        <v>Biodigestão RT1B + CDR TM</v>
      </c>
      <c r="I5" s="2141" t="str">
        <f>+'CO2 - Reciclagem'!I8</f>
        <v>Biodigestão RT1C + CDR TM</v>
      </c>
      <c r="J5" s="2141" t="str">
        <f>+'CO2 - Reciclagem'!J8</f>
        <v>Compostagem + CDR TM</v>
      </c>
      <c r="K5" s="2141" t="str">
        <f>+'CO2 - Reciclagem'!K8</f>
        <v xml:space="preserve">Biosecagem + CDR TMB </v>
      </c>
      <c r="L5" s="2141" t="str">
        <f>+'CO2 - Reciclagem'!L8</f>
        <v>Incineração Mass Burning</v>
      </c>
      <c r="M5" s="2141" t="str">
        <f>+'CO2 - Reciclagem'!M8</f>
        <v>Incineração Mass Burn. Descentralizada</v>
      </c>
      <c r="N5" s="2140"/>
      <c r="O5" s="2142"/>
      <c r="P5" s="1890"/>
      <c r="Q5" s="1890"/>
      <c r="R5" s="1890"/>
      <c r="S5" s="1890"/>
      <c r="T5" s="1890"/>
      <c r="U5" s="1890"/>
      <c r="V5" s="1890"/>
      <c r="W5" s="1890"/>
      <c r="X5" s="1890"/>
    </row>
    <row r="6" spans="1:24" ht="18" customHeight="1" x14ac:dyDescent="0.2">
      <c r="A6" s="2143"/>
      <c r="B6" s="1961" t="s">
        <v>1190</v>
      </c>
      <c r="C6" s="1917"/>
      <c r="D6" s="1917"/>
      <c r="E6" s="2144" t="s">
        <v>1160</v>
      </c>
      <c r="F6" s="2078"/>
      <c r="G6" s="2144" t="s">
        <v>1160</v>
      </c>
      <c r="H6" s="2144" t="s">
        <v>1160</v>
      </c>
      <c r="I6" s="2144" t="s">
        <v>1160</v>
      </c>
      <c r="J6" s="2144" t="s">
        <v>1160</v>
      </c>
      <c r="K6" s="2144" t="s">
        <v>1160</v>
      </c>
      <c r="L6" s="2144" t="s">
        <v>1160</v>
      </c>
      <c r="M6" s="2144" t="s">
        <v>1160</v>
      </c>
      <c r="N6" s="2145"/>
      <c r="O6" s="2146"/>
      <c r="P6" s="1890"/>
      <c r="Q6" s="1890"/>
      <c r="R6" s="1890"/>
      <c r="S6" s="1890"/>
      <c r="T6" s="1890"/>
      <c r="U6" s="1890"/>
      <c r="V6" s="1890"/>
      <c r="W6" s="1890"/>
      <c r="X6" s="1890"/>
    </row>
    <row r="7" spans="1:24" ht="18" customHeight="1" x14ac:dyDescent="0.2">
      <c r="A7" s="2964" t="s">
        <v>1191</v>
      </c>
      <c r="B7" s="2147" t="s">
        <v>1192</v>
      </c>
      <c r="C7" s="1908"/>
      <c r="D7" s="1909"/>
      <c r="E7" s="1970"/>
      <c r="F7" s="2148"/>
      <c r="G7" s="1970"/>
      <c r="H7" s="1970"/>
      <c r="I7" s="1970"/>
      <c r="J7" s="1970"/>
      <c r="K7" s="1970"/>
      <c r="L7" s="1970"/>
      <c r="M7" s="1970"/>
      <c r="N7" s="1984"/>
      <c r="O7" s="1890"/>
      <c r="P7" s="1890"/>
      <c r="Q7" s="1890"/>
      <c r="R7" s="1890"/>
      <c r="S7" s="1890"/>
      <c r="T7" s="1890"/>
      <c r="U7" s="1890"/>
      <c r="V7" s="1890"/>
      <c r="W7" s="1890"/>
      <c r="X7" s="1890"/>
    </row>
    <row r="8" spans="1:24" ht="18" customHeight="1" x14ac:dyDescent="0.2">
      <c r="A8" s="2965"/>
      <c r="B8" s="2149" t="s">
        <v>1193</v>
      </c>
      <c r="C8" s="2150"/>
      <c r="D8" s="2151"/>
      <c r="E8" s="2152"/>
      <c r="F8" s="2148"/>
      <c r="G8" s="2152"/>
      <c r="H8" s="2152"/>
      <c r="I8" s="2152"/>
      <c r="J8" s="2152"/>
      <c r="K8" s="2152"/>
      <c r="L8" s="2152"/>
      <c r="M8" s="2152"/>
      <c r="N8" s="1890"/>
      <c r="O8" s="1890"/>
      <c r="P8" s="1890"/>
      <c r="Q8" s="1890"/>
      <c r="R8" s="1890"/>
      <c r="S8" s="1890"/>
      <c r="T8" s="1890"/>
      <c r="U8" s="1890"/>
      <c r="V8" s="1890"/>
      <c r="W8" s="1890"/>
      <c r="X8" s="1890"/>
    </row>
    <row r="9" spans="1:24" ht="18" customHeight="1" x14ac:dyDescent="0.2">
      <c r="A9" s="2153"/>
      <c r="B9" s="1904"/>
      <c r="C9" s="2154"/>
      <c r="D9" s="1915"/>
      <c r="E9" s="2155"/>
      <c r="F9" s="2148"/>
      <c r="G9" s="2155"/>
      <c r="H9" s="2155"/>
      <c r="I9" s="2155"/>
      <c r="J9" s="2155"/>
      <c r="K9" s="2155"/>
      <c r="L9" s="2155"/>
      <c r="M9" s="2155"/>
      <c r="N9" s="1890"/>
      <c r="O9" s="1890"/>
      <c r="P9" s="1890"/>
      <c r="Q9" s="1890"/>
      <c r="R9" s="1890"/>
      <c r="S9" s="1890"/>
      <c r="T9" s="1890"/>
      <c r="U9" s="1890"/>
      <c r="V9" s="1890"/>
      <c r="W9" s="1890"/>
      <c r="X9" s="1890"/>
    </row>
    <row r="10" spans="1:24" ht="18" customHeight="1" x14ac:dyDescent="0.2">
      <c r="A10" s="2966" t="s">
        <v>1194</v>
      </c>
      <c r="B10" s="2081" t="s">
        <v>1195</v>
      </c>
      <c r="C10" s="1908"/>
      <c r="D10" s="1909"/>
      <c r="E10" s="2152">
        <v>0</v>
      </c>
      <c r="F10" s="2148"/>
      <c r="G10" s="2152"/>
      <c r="H10" s="2152"/>
      <c r="I10" s="2152"/>
      <c r="J10" s="2152"/>
      <c r="K10" s="2152"/>
      <c r="L10" s="2152"/>
      <c r="M10" s="2152"/>
      <c r="N10" s="1984"/>
      <c r="O10" s="2156"/>
      <c r="P10" s="1890"/>
      <c r="Q10" s="1890"/>
      <c r="R10" s="1890"/>
      <c r="S10" s="1890"/>
      <c r="T10" s="1890"/>
      <c r="U10" s="1890"/>
      <c r="V10" s="1890"/>
      <c r="W10" s="1890"/>
      <c r="X10" s="1890"/>
    </row>
    <row r="11" spans="1:24" ht="18" customHeight="1" x14ac:dyDescent="0.2">
      <c r="A11" s="2966"/>
      <c r="B11" s="2081" t="s">
        <v>1196</v>
      </c>
      <c r="C11" s="2157"/>
      <c r="D11" s="1909"/>
      <c r="E11" s="2152">
        <v>0</v>
      </c>
      <c r="F11" s="2148"/>
      <c r="G11" s="2152">
        <v>0</v>
      </c>
      <c r="H11" s="2152">
        <v>0</v>
      </c>
      <c r="I11" s="2152">
        <v>0</v>
      </c>
      <c r="J11" s="2152">
        <v>0</v>
      </c>
      <c r="K11" s="2152">
        <v>0.3</v>
      </c>
      <c r="L11" s="2152">
        <v>0.15</v>
      </c>
      <c r="M11" s="2152">
        <v>0.15</v>
      </c>
      <c r="N11" s="1890"/>
      <c r="O11" s="1890"/>
      <c r="P11" s="1890"/>
      <c r="Q11" s="1890"/>
      <c r="R11" s="1890"/>
      <c r="S11" s="1890"/>
      <c r="T11" s="1890"/>
      <c r="U11" s="1890"/>
      <c r="V11" s="1890"/>
      <c r="W11" s="1890"/>
      <c r="X11" s="1890"/>
    </row>
    <row r="12" spans="1:24" ht="18" customHeight="1" x14ac:dyDescent="0.2">
      <c r="A12" s="2967"/>
      <c r="B12" s="2081" t="s">
        <v>1197</v>
      </c>
      <c r="C12" s="1908"/>
      <c r="D12" s="1909"/>
      <c r="E12" s="2152">
        <v>1</v>
      </c>
      <c r="F12" s="2148"/>
      <c r="G12" s="1970">
        <v>0.35</v>
      </c>
      <c r="H12" s="1970">
        <v>0.35</v>
      </c>
      <c r="I12" s="1970">
        <v>0.35</v>
      </c>
      <c r="J12" s="1970">
        <v>0.375</v>
      </c>
      <c r="K12" s="1970"/>
      <c r="L12" s="1970"/>
      <c r="M12" s="1970"/>
      <c r="N12" s="1890"/>
      <c r="O12" s="1890"/>
      <c r="P12" s="1890"/>
      <c r="Q12" s="1890"/>
      <c r="R12" s="1890"/>
      <c r="S12" s="1890"/>
      <c r="T12" s="1890"/>
      <c r="U12" s="1890"/>
      <c r="V12" s="1890"/>
      <c r="W12" s="1890"/>
      <c r="X12" s="1890"/>
    </row>
    <row r="13" spans="1:24" ht="18" customHeight="1" x14ac:dyDescent="0.2">
      <c r="A13" s="2968" t="s">
        <v>1198</v>
      </c>
      <c r="B13" s="2158"/>
      <c r="C13" s="2159"/>
      <c r="D13" s="2160" t="s">
        <v>1199</v>
      </c>
      <c r="E13" s="2155"/>
      <c r="F13" s="2148"/>
      <c r="G13" s="2155"/>
      <c r="H13" s="2155"/>
      <c r="I13" s="2155"/>
      <c r="J13" s="2155"/>
      <c r="K13" s="2155"/>
      <c r="L13" s="2155"/>
      <c r="M13" s="2155"/>
      <c r="N13" s="1890"/>
      <c r="O13" s="2161"/>
      <c r="P13" s="1890"/>
      <c r="Q13" s="1890"/>
      <c r="R13" s="1890"/>
      <c r="S13" s="1890"/>
      <c r="T13" s="1890"/>
      <c r="U13" s="1890"/>
      <c r="V13" s="1890"/>
      <c r="W13" s="1890"/>
      <c r="X13" s="1890"/>
    </row>
    <row r="14" spans="1:24" ht="18" customHeight="1" x14ac:dyDescent="0.2">
      <c r="A14" s="2966"/>
      <c r="B14" s="2162" t="s">
        <v>1200</v>
      </c>
      <c r="C14" s="2163"/>
      <c r="D14" s="2164" t="s">
        <v>1201</v>
      </c>
      <c r="E14" s="2152"/>
      <c r="F14" s="2148"/>
      <c r="G14" s="2152"/>
      <c r="H14" s="2152"/>
      <c r="I14" s="2152"/>
      <c r="J14" s="2152">
        <v>0.625</v>
      </c>
      <c r="K14" s="2152"/>
      <c r="L14" s="2152"/>
      <c r="M14" s="2152"/>
      <c r="N14" s="1984"/>
      <c r="O14" s="2165"/>
      <c r="P14" s="2165"/>
      <c r="Q14" s="1890"/>
      <c r="R14" s="1890"/>
      <c r="S14" s="1890"/>
      <c r="T14" s="1890"/>
      <c r="U14" s="1890"/>
      <c r="V14" s="1890"/>
      <c r="W14" s="1890"/>
      <c r="X14" s="1890"/>
    </row>
    <row r="15" spans="1:24" ht="18" customHeight="1" x14ac:dyDescent="0.2">
      <c r="A15" s="2966"/>
      <c r="B15" s="2081" t="s">
        <v>1202</v>
      </c>
      <c r="C15" s="2166"/>
      <c r="D15" s="2167"/>
      <c r="E15" s="2152"/>
      <c r="F15" s="2148"/>
      <c r="G15" s="2152">
        <v>0.125</v>
      </c>
      <c r="H15" s="2152">
        <v>0.125</v>
      </c>
      <c r="I15" s="2152">
        <v>0.125</v>
      </c>
      <c r="J15" s="2152"/>
      <c r="K15" s="2152"/>
      <c r="L15" s="2152"/>
      <c r="M15" s="2152"/>
      <c r="N15" s="1890"/>
      <c r="O15" s="2165"/>
      <c r="P15" s="2165"/>
      <c r="Q15" s="1890"/>
      <c r="R15" s="1890"/>
      <c r="S15" s="1890"/>
      <c r="T15" s="1890"/>
      <c r="U15" s="1890"/>
      <c r="V15" s="1890"/>
      <c r="W15" s="1890"/>
      <c r="X15" s="1890"/>
    </row>
    <row r="16" spans="1:24" ht="18" customHeight="1" x14ac:dyDescent="0.2">
      <c r="A16" s="2966"/>
      <c r="B16" s="2162" t="s">
        <v>1203</v>
      </c>
      <c r="C16" s="2163"/>
      <c r="D16" s="2164" t="s">
        <v>1204</v>
      </c>
      <c r="E16" s="2152"/>
      <c r="F16" s="2148"/>
      <c r="G16" s="2152">
        <v>0.52500000000000002</v>
      </c>
      <c r="H16" s="2152">
        <v>0.52500000000000002</v>
      </c>
      <c r="I16" s="2152">
        <v>0.52500000000000002</v>
      </c>
      <c r="J16" s="2152"/>
      <c r="K16" s="2152"/>
      <c r="L16" s="2152"/>
      <c r="M16" s="2152"/>
      <c r="N16" s="1984"/>
      <c r="O16" s="2165"/>
      <c r="P16" s="2165"/>
      <c r="Q16" s="1890"/>
      <c r="R16" s="1890"/>
      <c r="S16" s="1890"/>
      <c r="T16" s="1890"/>
      <c r="U16" s="1890"/>
      <c r="V16" s="1890"/>
      <c r="W16" s="1890"/>
      <c r="X16" s="1890"/>
    </row>
    <row r="17" spans="1:24" ht="18" customHeight="1" x14ac:dyDescent="0.2">
      <c r="A17" s="2966"/>
      <c r="B17" s="2081" t="s">
        <v>1205</v>
      </c>
      <c r="C17" s="2166"/>
      <c r="D17" s="2167"/>
      <c r="E17" s="2152"/>
      <c r="F17" s="2148"/>
      <c r="G17" s="2152"/>
      <c r="H17" s="2152"/>
      <c r="I17" s="2152"/>
      <c r="J17" s="2152"/>
      <c r="K17" s="2152">
        <v>0.7</v>
      </c>
      <c r="L17" s="2152"/>
      <c r="M17" s="2152"/>
      <c r="N17" s="1984"/>
      <c r="O17" s="2165"/>
      <c r="P17" s="2165"/>
      <c r="Q17" s="1890"/>
      <c r="R17" s="1890"/>
      <c r="S17" s="1890"/>
      <c r="T17" s="1890"/>
      <c r="U17" s="1890"/>
      <c r="V17" s="1890"/>
      <c r="W17" s="1890"/>
      <c r="X17" s="1890"/>
    </row>
    <row r="18" spans="1:24" ht="18" customHeight="1" x14ac:dyDescent="0.2">
      <c r="A18" s="2966"/>
      <c r="B18" s="1904"/>
      <c r="C18" s="1915"/>
      <c r="D18" s="1915"/>
      <c r="E18" s="2155"/>
      <c r="F18" s="2148"/>
      <c r="G18" s="2155"/>
      <c r="H18" s="2155"/>
      <c r="I18" s="2155"/>
      <c r="J18" s="2155"/>
      <c r="K18" s="2155"/>
      <c r="L18" s="2155"/>
      <c r="M18" s="2155"/>
      <c r="N18" s="1984"/>
      <c r="O18" s="2168"/>
      <c r="P18" s="2168"/>
      <c r="Q18" s="1890"/>
      <c r="R18" s="1890"/>
      <c r="S18" s="1890"/>
      <c r="T18" s="1890"/>
      <c r="U18" s="1890"/>
      <c r="V18" s="1890"/>
      <c r="W18" s="1890"/>
      <c r="X18" s="1890"/>
    </row>
    <row r="19" spans="1:24" ht="18" customHeight="1" x14ac:dyDescent="0.2">
      <c r="A19" s="2967"/>
      <c r="B19" s="2169" t="s">
        <v>1206</v>
      </c>
      <c r="C19" s="2170"/>
      <c r="D19" s="2171"/>
      <c r="E19" s="2172"/>
      <c r="F19" s="2148"/>
      <c r="G19" s="2172"/>
      <c r="H19" s="2172"/>
      <c r="I19" s="2172"/>
      <c r="J19" s="2172"/>
      <c r="K19" s="2172"/>
      <c r="L19" s="2172">
        <v>0.85</v>
      </c>
      <c r="M19" s="2172">
        <v>0.85</v>
      </c>
      <c r="N19" s="1890"/>
      <c r="O19" s="1984"/>
      <c r="P19" s="1890"/>
      <c r="Q19" s="1890"/>
      <c r="R19" s="1890"/>
      <c r="S19" s="1890"/>
      <c r="T19" s="1890"/>
      <c r="U19" s="1890"/>
      <c r="V19" s="1890"/>
      <c r="W19" s="1890"/>
      <c r="X19" s="1890"/>
    </row>
    <row r="20" spans="1:24" ht="14.25" x14ac:dyDescent="0.25">
      <c r="A20" s="1898"/>
      <c r="B20" s="2173" t="s">
        <v>42</v>
      </c>
      <c r="C20" s="2174"/>
      <c r="D20" s="2175"/>
      <c r="E20" s="2176">
        <f>SUM(E7:E19)</f>
        <v>1</v>
      </c>
      <c r="F20" s="2177"/>
      <c r="G20" s="2176">
        <f t="shared" ref="G20:M20" si="0">SUM(G7:G19)</f>
        <v>1</v>
      </c>
      <c r="H20" s="2176">
        <f t="shared" si="0"/>
        <v>1</v>
      </c>
      <c r="I20" s="2176">
        <f t="shared" si="0"/>
        <v>1</v>
      </c>
      <c r="J20" s="2176">
        <f t="shared" si="0"/>
        <v>1</v>
      </c>
      <c r="K20" s="2176">
        <f t="shared" si="0"/>
        <v>1</v>
      </c>
      <c r="L20" s="2176">
        <f t="shared" si="0"/>
        <v>1</v>
      </c>
      <c r="M20" s="2176">
        <f t="shared" si="0"/>
        <v>1</v>
      </c>
      <c r="N20" s="2178"/>
      <c r="O20" s="1890"/>
      <c r="P20" s="1890"/>
      <c r="Q20" s="1890"/>
      <c r="R20" s="1890"/>
      <c r="S20" s="1890"/>
      <c r="T20" s="1890"/>
      <c r="U20" s="1890"/>
      <c r="V20" s="1890"/>
      <c r="W20" s="1890"/>
      <c r="X20" s="1890"/>
    </row>
    <row r="21" spans="1:24" x14ac:dyDescent="0.2">
      <c r="A21" s="1890"/>
      <c r="B21" s="1890"/>
      <c r="C21" s="1890"/>
      <c r="D21" s="1890"/>
      <c r="E21" s="1890"/>
      <c r="F21" s="2135"/>
      <c r="G21" s="1890"/>
      <c r="H21" s="1890"/>
      <c r="I21" s="1890"/>
      <c r="J21" s="1890"/>
      <c r="K21" s="1890"/>
      <c r="L21" s="1890"/>
      <c r="M21" s="1890"/>
      <c r="N21" s="1890"/>
      <c r="O21" s="2156"/>
      <c r="P21" s="1890"/>
      <c r="Q21" s="1890"/>
      <c r="R21" s="1890"/>
      <c r="S21" s="1890"/>
      <c r="T21" s="1890"/>
      <c r="U21" s="1890"/>
      <c r="V21" s="1890"/>
      <c r="W21" s="1890"/>
      <c r="X21" s="1890"/>
    </row>
    <row r="22" spans="1:24" ht="26.1" customHeight="1" x14ac:dyDescent="0.25">
      <c r="A22" s="2179" t="s">
        <v>1207</v>
      </c>
      <c r="B22" s="2180"/>
      <c r="C22" s="2180"/>
      <c r="D22" s="1898"/>
      <c r="E22" s="1898"/>
      <c r="F22" s="1898"/>
      <c r="G22" s="1898"/>
      <c r="H22" s="1898"/>
      <c r="I22" s="1898"/>
      <c r="J22" s="1898"/>
      <c r="K22" s="1898"/>
      <c r="L22" s="1898"/>
      <c r="M22" s="1898"/>
      <c r="N22" s="1898"/>
      <c r="O22" s="1890"/>
      <c r="P22" s="1890"/>
      <c r="Q22" s="1890"/>
      <c r="R22" s="1890"/>
      <c r="S22" s="1890"/>
      <c r="T22" s="1890"/>
      <c r="U22" s="1890"/>
      <c r="V22" s="1890"/>
      <c r="W22" s="1890"/>
      <c r="X22" s="1890"/>
    </row>
    <row r="23" spans="1:24" ht="18" customHeight="1" x14ac:dyDescent="0.25">
      <c r="A23" s="1897" t="s">
        <v>1208</v>
      </c>
      <c r="B23" s="2181"/>
      <c r="C23" s="1898"/>
      <c r="D23" s="1898"/>
      <c r="E23" s="1898"/>
      <c r="F23" s="1898"/>
      <c r="G23" s="1898"/>
      <c r="H23" s="1898"/>
      <c r="I23" s="1898"/>
      <c r="J23" s="1898"/>
      <c r="K23" s="1898"/>
      <c r="L23" s="1898"/>
      <c r="M23" s="1898"/>
      <c r="N23" s="1898"/>
      <c r="O23" s="1890"/>
      <c r="P23" s="1890"/>
      <c r="Q23" s="1890"/>
      <c r="R23" s="1890"/>
      <c r="S23" s="1890"/>
      <c r="T23" s="1890"/>
      <c r="U23" s="1890"/>
      <c r="V23" s="1890"/>
      <c r="W23" s="1890"/>
      <c r="X23" s="1890"/>
    </row>
    <row r="24" spans="1:24" ht="18" customHeight="1" x14ac:dyDescent="0.25">
      <c r="A24" s="1897" t="s">
        <v>1209</v>
      </c>
      <c r="B24" s="1943"/>
      <c r="C24" s="1898"/>
      <c r="D24" s="1898"/>
      <c r="E24" s="1898"/>
      <c r="F24" s="1898"/>
      <c r="G24" s="1898"/>
      <c r="H24" s="1898"/>
      <c r="I24" s="1898"/>
      <c r="J24" s="1898"/>
      <c r="K24" s="1898"/>
      <c r="L24" s="1898"/>
      <c r="M24" s="1898"/>
      <c r="N24" s="1898"/>
      <c r="O24" s="1890"/>
      <c r="P24" s="1890"/>
      <c r="Q24" s="1890"/>
      <c r="R24" s="1890"/>
      <c r="S24" s="1890"/>
      <c r="T24" s="1890"/>
      <c r="U24" s="1890"/>
      <c r="V24" s="1890"/>
      <c r="W24" s="1890"/>
      <c r="X24" s="1890"/>
    </row>
    <row r="25" spans="1:24" ht="18" customHeight="1" x14ac:dyDescent="0.25">
      <c r="A25" s="1901"/>
      <c r="B25" s="1943"/>
      <c r="C25" s="1898"/>
      <c r="D25" s="1898"/>
      <c r="E25" s="1898"/>
      <c r="F25" s="1898"/>
      <c r="G25" s="1898"/>
      <c r="H25" s="1898"/>
      <c r="I25" s="1898"/>
      <c r="J25" s="1898"/>
      <c r="K25" s="1898"/>
      <c r="L25" s="1898"/>
      <c r="M25" s="1898"/>
      <c r="N25" s="1898"/>
      <c r="O25" s="1890"/>
      <c r="P25" s="1890"/>
      <c r="Q25" s="1890"/>
      <c r="R25" s="1890"/>
      <c r="S25" s="1890"/>
      <c r="T25" s="1890"/>
      <c r="U25" s="1890"/>
      <c r="V25" s="1890"/>
      <c r="W25" s="1890"/>
      <c r="X25" s="1890"/>
    </row>
    <row r="26" spans="1:24" ht="23.1" customHeight="1" x14ac:dyDescent="0.25">
      <c r="A26" s="2182" t="s">
        <v>1210</v>
      </c>
      <c r="B26" s="1943"/>
      <c r="C26" s="1898"/>
      <c r="D26" s="1898"/>
      <c r="E26" s="1898"/>
      <c r="F26" s="1898"/>
      <c r="G26" s="1898"/>
      <c r="H26" s="1898"/>
      <c r="I26" s="1898"/>
      <c r="J26" s="1898"/>
      <c r="K26" s="1898"/>
      <c r="L26" s="1898"/>
      <c r="M26" s="1898"/>
      <c r="N26" s="1898"/>
      <c r="O26" s="1890"/>
      <c r="P26" s="1890"/>
      <c r="Q26" s="1890"/>
      <c r="R26" s="1890"/>
      <c r="S26" s="1890"/>
      <c r="T26" s="1890"/>
      <c r="U26" s="1890"/>
      <c r="V26" s="1890"/>
      <c r="W26" s="1890"/>
      <c r="X26" s="1890"/>
    </row>
    <row r="27" spans="1:24" ht="18" customHeight="1" x14ac:dyDescent="0.25">
      <c r="A27" s="1898"/>
      <c r="B27" s="2183"/>
      <c r="C27" s="2074" t="s">
        <v>1211</v>
      </c>
      <c r="D27" s="2074" t="s">
        <v>1212</v>
      </c>
      <c r="E27" s="2184"/>
      <c r="F27" s="1898"/>
      <c r="G27" s="1898"/>
      <c r="H27" s="1898"/>
      <c r="I27" s="1898"/>
      <c r="J27" s="1898"/>
      <c r="K27" s="1898"/>
      <c r="L27" s="1898"/>
      <c r="M27" s="1898"/>
      <c r="N27" s="1898"/>
      <c r="O27" s="1890"/>
      <c r="P27" s="1890"/>
      <c r="Q27" s="1890"/>
      <c r="R27" s="1890"/>
      <c r="S27" s="1890"/>
      <c r="T27" s="1890"/>
      <c r="U27" s="1890"/>
      <c r="V27" s="1890"/>
      <c r="W27" s="1890"/>
      <c r="X27" s="1890"/>
    </row>
    <row r="28" spans="1:24" ht="18" customHeight="1" x14ac:dyDescent="0.25">
      <c r="A28" s="1898"/>
      <c r="B28" s="1967" t="s">
        <v>1213</v>
      </c>
      <c r="C28" s="2185">
        <v>0.1</v>
      </c>
      <c r="D28" s="2185">
        <v>0.5</v>
      </c>
      <c r="E28" s="2082">
        <v>0.22500000000000001</v>
      </c>
      <c r="F28" s="2186"/>
      <c r="G28" s="2187">
        <v>0.22500000000000001</v>
      </c>
      <c r="H28" s="2187">
        <v>0.22500000000000001</v>
      </c>
      <c r="I28" s="2187">
        <v>0.22500000000000001</v>
      </c>
      <c r="J28" s="2187">
        <v>0.22500000000000001</v>
      </c>
      <c r="K28" s="2187">
        <v>0.22500000000000001</v>
      </c>
      <c r="L28" s="2187">
        <v>0.22500000000000001</v>
      </c>
      <c r="M28" s="2187">
        <v>0.22500000000000001</v>
      </c>
      <c r="N28" s="1898"/>
      <c r="O28" s="2156"/>
      <c r="P28" s="1890"/>
      <c r="Q28" s="1890"/>
      <c r="R28" s="1890"/>
      <c r="S28" s="1890"/>
      <c r="T28" s="1890"/>
      <c r="U28" s="1890"/>
      <c r="V28" s="1890"/>
      <c r="W28" s="1890"/>
      <c r="X28" s="1890"/>
    </row>
    <row r="29" spans="1:24" ht="18" customHeight="1" x14ac:dyDescent="0.25">
      <c r="A29" s="1898"/>
      <c r="B29" s="1898"/>
      <c r="C29" s="2188"/>
      <c r="D29" s="2188"/>
      <c r="E29" s="2186"/>
      <c r="F29" s="2186"/>
      <c r="G29" s="1898"/>
      <c r="H29" s="1898"/>
      <c r="I29" s="1898"/>
      <c r="J29" s="1898"/>
      <c r="K29" s="1898"/>
      <c r="L29" s="1898"/>
      <c r="M29" s="1898"/>
      <c r="N29" s="1898"/>
      <c r="O29" s="2189"/>
      <c r="P29" s="1890"/>
      <c r="Q29" s="1890"/>
      <c r="R29" s="1890"/>
      <c r="S29" s="1890"/>
      <c r="T29" s="1890"/>
      <c r="U29" s="1890"/>
      <c r="V29" s="1890"/>
      <c r="W29" s="1890"/>
      <c r="X29" s="1890"/>
    </row>
    <row r="30" spans="1:24" ht="23.1" customHeight="1" x14ac:dyDescent="0.25">
      <c r="A30" s="2182" t="s">
        <v>1214</v>
      </c>
      <c r="B30" s="1898"/>
      <c r="C30" s="2188"/>
      <c r="D30" s="2188"/>
      <c r="E30" s="2186"/>
      <c r="F30" s="2186"/>
      <c r="G30" s="1898"/>
      <c r="H30" s="1898"/>
      <c r="I30" s="1898"/>
      <c r="J30" s="1898"/>
      <c r="K30" s="1898"/>
      <c r="L30" s="1898"/>
      <c r="M30" s="1898"/>
      <c r="N30" s="1898"/>
      <c r="O30" s="2190"/>
      <c r="P30" s="1890"/>
      <c r="Q30" s="1890"/>
      <c r="R30" s="1890"/>
      <c r="S30" s="1890"/>
      <c r="T30" s="1890"/>
      <c r="U30" s="1890"/>
      <c r="V30" s="1890"/>
      <c r="W30" s="1890"/>
      <c r="X30" s="1890"/>
    </row>
    <row r="31" spans="1:24" ht="18" customHeight="1" x14ac:dyDescent="0.25">
      <c r="A31" s="1898"/>
      <c r="B31" s="1989" t="s">
        <v>1215</v>
      </c>
      <c r="C31" s="2191"/>
      <c r="D31" s="2191"/>
      <c r="E31" s="2192"/>
      <c r="F31" s="2186"/>
      <c r="G31" s="2193"/>
      <c r="H31" s="2193"/>
      <c r="I31" s="2193"/>
      <c r="J31" s="2193"/>
      <c r="K31" s="2193"/>
      <c r="L31" s="2193"/>
      <c r="M31" s="2193"/>
      <c r="N31" s="1898"/>
      <c r="O31" s="1890"/>
      <c r="P31" s="1890"/>
      <c r="Q31" s="1890"/>
      <c r="R31" s="1890"/>
      <c r="S31" s="1890"/>
      <c r="T31" s="1890"/>
      <c r="U31" s="1890"/>
      <c r="V31" s="1890"/>
      <c r="W31" s="1890"/>
      <c r="X31" s="1890"/>
    </row>
    <row r="32" spans="1:24" ht="18" customHeight="1" x14ac:dyDescent="0.25">
      <c r="A32" s="1898"/>
      <c r="B32" s="2194" t="s">
        <v>1216</v>
      </c>
      <c r="C32" s="2195"/>
      <c r="D32" s="2196"/>
      <c r="E32" s="2082"/>
      <c r="F32" s="2083"/>
      <c r="G32" s="2082"/>
      <c r="H32" s="2082"/>
      <c r="I32" s="2082"/>
      <c r="J32" s="2082"/>
      <c r="K32" s="2082"/>
      <c r="L32" s="2082"/>
      <c r="M32" s="2082"/>
      <c r="N32" s="1897" t="s">
        <v>1160</v>
      </c>
      <c r="O32" s="1890"/>
      <c r="P32" s="1890"/>
      <c r="Q32" s="1890"/>
      <c r="R32" s="1890"/>
      <c r="S32" s="1890"/>
      <c r="T32" s="1890"/>
      <c r="U32" s="1890"/>
      <c r="V32" s="1890"/>
      <c r="W32" s="1890"/>
      <c r="X32" s="1890"/>
    </row>
    <row r="33" spans="1:24" ht="18" customHeight="1" x14ac:dyDescent="0.25">
      <c r="A33" s="1898"/>
      <c r="B33" s="2197" t="s">
        <v>1217</v>
      </c>
      <c r="C33" s="1908"/>
      <c r="D33" s="1909"/>
      <c r="E33" s="2198">
        <v>1</v>
      </c>
      <c r="F33" s="2083"/>
      <c r="G33" s="2198">
        <v>1</v>
      </c>
      <c r="H33" s="2198">
        <v>1</v>
      </c>
      <c r="I33" s="2198">
        <v>1</v>
      </c>
      <c r="J33" s="2198">
        <v>1</v>
      </c>
      <c r="K33" s="2198">
        <v>1</v>
      </c>
      <c r="L33" s="2198">
        <v>1</v>
      </c>
      <c r="M33" s="2198">
        <v>1</v>
      </c>
      <c r="N33" s="1897" t="s">
        <v>1160</v>
      </c>
      <c r="O33" s="1890"/>
      <c r="P33" s="1890"/>
      <c r="Q33" s="1890"/>
      <c r="R33" s="1890"/>
      <c r="S33" s="1890"/>
      <c r="T33" s="1890"/>
      <c r="U33" s="1890"/>
      <c r="V33" s="1890"/>
      <c r="W33" s="1890"/>
      <c r="X33" s="1890"/>
    </row>
    <row r="34" spans="1:24" ht="18" customHeight="1" x14ac:dyDescent="0.25">
      <c r="A34" s="1898"/>
      <c r="B34" s="2197" t="s">
        <v>1218</v>
      </c>
      <c r="C34" s="1908"/>
      <c r="D34" s="1909"/>
      <c r="E34" s="2082"/>
      <c r="F34" s="2083"/>
      <c r="G34" s="2082"/>
      <c r="H34" s="2082"/>
      <c r="I34" s="2082"/>
      <c r="J34" s="2082"/>
      <c r="K34" s="2082"/>
      <c r="L34" s="2082"/>
      <c r="M34" s="2082"/>
      <c r="N34" s="1897" t="s">
        <v>1160</v>
      </c>
      <c r="O34" s="1890"/>
      <c r="P34" s="1890"/>
      <c r="Q34" s="1890"/>
      <c r="R34" s="1890"/>
      <c r="S34" s="1890"/>
      <c r="T34" s="1890"/>
      <c r="U34" s="1890"/>
      <c r="V34" s="1890"/>
      <c r="W34" s="1890"/>
      <c r="X34" s="1890"/>
    </row>
    <row r="35" spans="1:24" ht="18" customHeight="1" x14ac:dyDescent="0.25">
      <c r="A35" s="1898"/>
      <c r="B35" s="2194" t="s">
        <v>1219</v>
      </c>
      <c r="C35" s="1908"/>
      <c r="D35" s="1909"/>
      <c r="E35" s="2082"/>
      <c r="F35" s="2083"/>
      <c r="G35" s="2082"/>
      <c r="H35" s="2082"/>
      <c r="I35" s="2082"/>
      <c r="J35" s="2082"/>
      <c r="K35" s="2082"/>
      <c r="L35" s="2082"/>
      <c r="M35" s="2082"/>
      <c r="N35" s="1897" t="s">
        <v>1160</v>
      </c>
      <c r="O35" s="1890"/>
      <c r="P35" s="1890"/>
      <c r="Q35" s="1890"/>
      <c r="R35" s="1890"/>
      <c r="S35" s="1890"/>
      <c r="T35" s="1890"/>
      <c r="U35" s="1890"/>
      <c r="V35" s="1890"/>
      <c r="W35" s="1890"/>
      <c r="X35" s="1890"/>
    </row>
    <row r="36" spans="1:24" ht="18" customHeight="1" x14ac:dyDescent="0.25">
      <c r="A36" s="1898"/>
      <c r="B36" s="2106" t="s">
        <v>42</v>
      </c>
      <c r="C36" s="1990"/>
      <c r="D36" s="2199"/>
      <c r="E36" s="2107">
        <f>SUM(E32:E35)</f>
        <v>1</v>
      </c>
      <c r="F36" s="2200"/>
      <c r="G36" s="2107">
        <f t="shared" ref="G36:M36" si="1">SUM(G32:G35)</f>
        <v>1</v>
      </c>
      <c r="H36" s="2107">
        <f t="shared" si="1"/>
        <v>1</v>
      </c>
      <c r="I36" s="2107">
        <f t="shared" si="1"/>
        <v>1</v>
      </c>
      <c r="J36" s="2107">
        <f t="shared" si="1"/>
        <v>1</v>
      </c>
      <c r="K36" s="2107">
        <f t="shared" si="1"/>
        <v>1</v>
      </c>
      <c r="L36" s="2107">
        <f t="shared" si="1"/>
        <v>1</v>
      </c>
      <c r="M36" s="2107">
        <f t="shared" si="1"/>
        <v>1</v>
      </c>
      <c r="N36" s="1898"/>
      <c r="O36" s="1890"/>
      <c r="P36" s="1890"/>
      <c r="Q36" s="1890"/>
      <c r="R36" s="1890"/>
      <c r="S36" s="1890"/>
      <c r="T36" s="1890"/>
      <c r="U36" s="1890"/>
      <c r="V36" s="1890"/>
      <c r="W36" s="1890"/>
      <c r="X36" s="1890"/>
    </row>
    <row r="37" spans="1:24" ht="18" customHeight="1" x14ac:dyDescent="0.25">
      <c r="A37" s="1898"/>
      <c r="B37" s="2201"/>
      <c r="C37" s="1898"/>
      <c r="D37" s="1898"/>
      <c r="E37" s="2202"/>
      <c r="F37" s="2203"/>
      <c r="G37" s="2202"/>
      <c r="H37" s="2202"/>
      <c r="I37" s="2202"/>
      <c r="J37" s="2202"/>
      <c r="K37" s="2202"/>
      <c r="L37" s="2202"/>
      <c r="M37" s="2202"/>
      <c r="N37" s="1898"/>
      <c r="O37" s="1890"/>
      <c r="P37" s="1890"/>
      <c r="Q37" s="1890"/>
      <c r="R37" s="1890"/>
      <c r="S37" s="1890"/>
      <c r="T37" s="1890"/>
      <c r="U37" s="1890"/>
      <c r="V37" s="1890"/>
      <c r="W37" s="1890"/>
      <c r="X37" s="1890"/>
    </row>
    <row r="38" spans="1:24" s="2208" customFormat="1" ht="23.1" customHeight="1" x14ac:dyDescent="0.25">
      <c r="A38" s="2204" t="s">
        <v>1220</v>
      </c>
      <c r="B38" s="2205"/>
      <c r="C38" s="2205"/>
      <c r="D38" s="2205"/>
      <c r="E38" s="2206"/>
      <c r="F38" s="2206"/>
      <c r="G38" s="2206"/>
      <c r="H38" s="2206"/>
      <c r="I38" s="2206"/>
      <c r="J38" s="2206"/>
      <c r="K38" s="2206"/>
      <c r="L38" s="2206"/>
      <c r="M38" s="2206"/>
      <c r="N38" s="2206"/>
      <c r="O38" s="2207"/>
      <c r="P38" s="2207"/>
      <c r="Q38" s="2207"/>
      <c r="R38" s="2207"/>
      <c r="S38" s="2207"/>
      <c r="T38" s="2207"/>
      <c r="U38" s="2207"/>
      <c r="V38" s="2207"/>
      <c r="W38" s="2207"/>
      <c r="X38" s="2207"/>
    </row>
    <row r="39" spans="1:24" ht="18" customHeight="1" x14ac:dyDescent="0.25">
      <c r="A39" s="1943"/>
      <c r="B39" s="2194" t="s">
        <v>1221</v>
      </c>
      <c r="C39" s="2209"/>
      <c r="D39" s="2210" t="s">
        <v>1222</v>
      </c>
      <c r="E39" s="2171"/>
      <c r="F39" s="1915"/>
      <c r="G39" s="1915"/>
      <c r="H39" s="1915"/>
      <c r="I39" s="1915"/>
      <c r="J39" s="1915"/>
      <c r="K39" s="1915"/>
      <c r="L39" s="1915"/>
      <c r="M39" s="1915"/>
      <c r="N39" s="1898"/>
      <c r="O39" s="1890"/>
      <c r="P39" s="1890"/>
      <c r="Q39" s="1890"/>
      <c r="R39" s="1890"/>
      <c r="S39" s="1890"/>
      <c r="T39" s="1890"/>
      <c r="U39" s="1890"/>
      <c r="V39" s="1890"/>
      <c r="W39" s="1890"/>
      <c r="X39" s="1890"/>
    </row>
    <row r="40" spans="1:24" ht="18" customHeight="1" x14ac:dyDescent="0.25">
      <c r="A40" s="1943"/>
      <c r="B40" s="2211" t="s">
        <v>1223</v>
      </c>
      <c r="C40" s="2212"/>
      <c r="D40" s="2212"/>
      <c r="E40" s="2213">
        <v>0.1</v>
      </c>
      <c r="F40" s="2214"/>
      <c r="G40" s="2213">
        <v>0.1</v>
      </c>
      <c r="H40" s="2213">
        <v>0.1</v>
      </c>
      <c r="I40" s="2213">
        <v>0.1</v>
      </c>
      <c r="J40" s="2213">
        <v>0.1</v>
      </c>
      <c r="K40" s="2213">
        <v>0.1</v>
      </c>
      <c r="L40" s="2213">
        <v>0.1</v>
      </c>
      <c r="M40" s="2213">
        <v>0.1</v>
      </c>
      <c r="N40" s="1897" t="s">
        <v>1160</v>
      </c>
      <c r="O40" s="1890"/>
      <c r="P40" s="1890"/>
      <c r="Q40" s="1890"/>
      <c r="R40" s="1890"/>
      <c r="S40" s="1890"/>
      <c r="T40" s="1890"/>
      <c r="U40" s="1890"/>
      <c r="V40" s="1890"/>
      <c r="W40" s="1890"/>
      <c r="X40" s="1890"/>
    </row>
    <row r="41" spans="1:24" ht="18" customHeight="1" x14ac:dyDescent="0.25">
      <c r="A41" s="1943"/>
      <c r="B41" s="2215"/>
      <c r="C41" s="1943"/>
      <c r="D41" s="1943"/>
      <c r="E41" s="2202"/>
      <c r="F41" s="2203"/>
      <c r="G41" s="2202"/>
      <c r="H41" s="2202"/>
      <c r="I41" s="2202"/>
      <c r="J41" s="2202"/>
      <c r="K41" s="2202"/>
      <c r="L41" s="2202"/>
      <c r="M41" s="2202"/>
      <c r="N41" s="1898"/>
      <c r="O41" s="1890"/>
      <c r="P41" s="1890"/>
      <c r="Q41" s="1890"/>
      <c r="R41" s="1890"/>
      <c r="S41" s="1890"/>
      <c r="T41" s="1890"/>
      <c r="U41" s="1890"/>
      <c r="V41" s="1890"/>
      <c r="W41" s="1890"/>
      <c r="X41" s="1890"/>
    </row>
    <row r="42" spans="1:24" ht="26.1" customHeight="1" x14ac:dyDescent="0.25">
      <c r="A42" s="2179" t="s">
        <v>1224</v>
      </c>
      <c r="B42" s="2216"/>
      <c r="C42" s="2217"/>
      <c r="D42" s="1943"/>
      <c r="E42" s="2202"/>
      <c r="F42" s="2203"/>
      <c r="G42" s="2202"/>
      <c r="H42" s="2202"/>
      <c r="I42" s="2202"/>
      <c r="J42" s="2202"/>
      <c r="K42" s="2202"/>
      <c r="L42" s="2202"/>
      <c r="M42" s="2202"/>
      <c r="N42" s="1898"/>
      <c r="O42" s="1890"/>
      <c r="P42" s="1890"/>
      <c r="Q42" s="1890"/>
      <c r="R42" s="1890"/>
      <c r="S42" s="1890"/>
      <c r="T42" s="1890"/>
      <c r="U42" s="1890"/>
      <c r="V42" s="1890"/>
      <c r="W42" s="1890"/>
      <c r="X42" s="1890"/>
    </row>
    <row r="43" spans="1:24" ht="18" customHeight="1" x14ac:dyDescent="0.25">
      <c r="A43" s="1943" t="s">
        <v>1225</v>
      </c>
      <c r="B43" s="2218"/>
      <c r="C43" s="1943"/>
      <c r="D43" s="1943"/>
      <c r="E43" s="1897"/>
      <c r="F43" s="2203"/>
      <c r="G43" s="2202"/>
      <c r="H43" s="2202"/>
      <c r="I43" s="2202"/>
      <c r="J43" s="2202"/>
      <c r="K43" s="2202"/>
      <c r="L43" s="2202"/>
      <c r="M43" s="2202"/>
      <c r="N43" s="1898"/>
      <c r="O43" s="1890"/>
      <c r="P43" s="1890"/>
      <c r="Q43" s="1890"/>
      <c r="R43" s="1890"/>
      <c r="S43" s="1890"/>
      <c r="T43" s="1890"/>
      <c r="U43" s="1890"/>
      <c r="V43" s="1890"/>
      <c r="W43" s="1890"/>
      <c r="X43" s="1890"/>
    </row>
    <row r="44" spans="1:24" ht="18" customHeight="1" x14ac:dyDescent="0.25">
      <c r="A44" s="1943"/>
      <c r="B44" s="2215"/>
      <c r="C44" s="1943"/>
      <c r="D44" s="1943"/>
      <c r="E44" s="2202"/>
      <c r="F44" s="2203"/>
      <c r="G44" s="2202"/>
      <c r="H44" s="2202"/>
      <c r="I44" s="2202"/>
      <c r="J44" s="2202"/>
      <c r="K44" s="2202"/>
      <c r="L44" s="2202"/>
      <c r="M44" s="2202"/>
      <c r="N44" s="1898"/>
      <c r="O44" s="1890"/>
      <c r="P44" s="1890"/>
      <c r="Q44" s="1890"/>
      <c r="R44" s="1890"/>
      <c r="S44" s="1890"/>
      <c r="T44" s="1890"/>
      <c r="U44" s="1890"/>
      <c r="V44" s="1890"/>
      <c r="W44" s="1890"/>
      <c r="X44" s="1890"/>
    </row>
    <row r="45" spans="1:24" ht="18" customHeight="1" x14ac:dyDescent="0.25">
      <c r="A45" s="1943"/>
      <c r="B45" s="1989" t="s">
        <v>1200</v>
      </c>
      <c r="C45" s="2219"/>
      <c r="D45" s="2219"/>
      <c r="E45" s="2220"/>
      <c r="F45" s="2083"/>
      <c r="G45" s="1915"/>
      <c r="H45" s="1915"/>
      <c r="I45" s="1915"/>
      <c r="J45" s="1915"/>
      <c r="K45" s="1915"/>
      <c r="L45" s="1915"/>
      <c r="M45" s="1915"/>
      <c r="N45" s="1898"/>
      <c r="O45" s="1890"/>
      <c r="P45" s="1890"/>
      <c r="Q45" s="1890"/>
      <c r="R45" s="1890"/>
      <c r="S45" s="1890"/>
      <c r="T45" s="1890"/>
      <c r="U45" s="1890"/>
      <c r="V45" s="1890"/>
      <c r="W45" s="1890"/>
      <c r="X45" s="1890"/>
    </row>
    <row r="46" spans="1:24" ht="18" customHeight="1" x14ac:dyDescent="0.25">
      <c r="A46" s="1943"/>
      <c r="B46" s="2221" t="s">
        <v>1226</v>
      </c>
      <c r="C46" s="2222"/>
      <c r="D46" s="2223"/>
      <c r="E46" s="2082"/>
      <c r="F46" s="2083"/>
      <c r="G46" s="2082"/>
      <c r="H46" s="2082"/>
      <c r="I46" s="2082"/>
      <c r="J46" s="2082"/>
      <c r="K46" s="2082"/>
      <c r="L46" s="2082"/>
      <c r="M46" s="2082"/>
      <c r="N46" s="1897" t="s">
        <v>1160</v>
      </c>
      <c r="O46" s="1890"/>
      <c r="P46" s="1890"/>
      <c r="Q46" s="1890"/>
      <c r="R46" s="1890"/>
      <c r="S46" s="1890"/>
      <c r="T46" s="1890"/>
      <c r="U46" s="1890"/>
      <c r="V46" s="1890"/>
      <c r="W46" s="1890"/>
      <c r="X46" s="1890"/>
    </row>
    <row r="47" spans="1:24" ht="18" customHeight="1" x14ac:dyDescent="0.25">
      <c r="A47" s="1943"/>
      <c r="B47" s="2194" t="s">
        <v>1227</v>
      </c>
      <c r="C47" s="2166"/>
      <c r="D47" s="2167"/>
      <c r="E47" s="2082"/>
      <c r="F47" s="2083"/>
      <c r="G47" s="2198"/>
      <c r="H47" s="2198"/>
      <c r="I47" s="2198"/>
      <c r="J47" s="2198"/>
      <c r="K47" s="2198"/>
      <c r="L47" s="2198"/>
      <c r="M47" s="2198"/>
      <c r="N47" s="1897" t="s">
        <v>1160</v>
      </c>
      <c r="O47" s="1890"/>
      <c r="P47" s="1890"/>
      <c r="Q47" s="1890"/>
      <c r="R47" s="1890"/>
      <c r="S47" s="1890"/>
      <c r="T47" s="1890"/>
      <c r="U47" s="1890"/>
      <c r="V47" s="1890"/>
      <c r="W47" s="1890"/>
      <c r="X47" s="1890"/>
    </row>
    <row r="48" spans="1:24" ht="18" customHeight="1" x14ac:dyDescent="0.25">
      <c r="A48" s="1943"/>
      <c r="B48" s="2106" t="s">
        <v>1228</v>
      </c>
      <c r="C48" s="1990"/>
      <c r="D48" s="1990"/>
      <c r="E48" s="2107">
        <f>SUM(E46:E47)</f>
        <v>0</v>
      </c>
      <c r="F48" s="2214"/>
      <c r="G48" s="2107">
        <f t="shared" ref="G48:M48" si="2">SUM(G46:G47)</f>
        <v>0</v>
      </c>
      <c r="H48" s="2107">
        <f t="shared" si="2"/>
        <v>0</v>
      </c>
      <c r="I48" s="2107">
        <f t="shared" si="2"/>
        <v>0</v>
      </c>
      <c r="J48" s="2107">
        <f t="shared" si="2"/>
        <v>0</v>
      </c>
      <c r="K48" s="2107">
        <f t="shared" si="2"/>
        <v>0</v>
      </c>
      <c r="L48" s="2107">
        <f t="shared" si="2"/>
        <v>0</v>
      </c>
      <c r="M48" s="2107">
        <f t="shared" si="2"/>
        <v>0</v>
      </c>
      <c r="N48" s="1897"/>
      <c r="O48" s="1890"/>
      <c r="P48" s="1890"/>
      <c r="Q48" s="1890"/>
      <c r="R48" s="1890"/>
      <c r="S48" s="1890"/>
      <c r="T48" s="1890"/>
      <c r="U48" s="1890"/>
      <c r="V48" s="1890"/>
      <c r="W48" s="1890"/>
      <c r="X48" s="1890"/>
    </row>
    <row r="49" spans="1:24" ht="18" customHeight="1" x14ac:dyDescent="0.25">
      <c r="A49" s="1943"/>
      <c r="B49" s="2215"/>
      <c r="C49" s="1943"/>
      <c r="D49" s="1943"/>
      <c r="E49" s="1897"/>
      <c r="F49" s="2224"/>
      <c r="G49" s="2224"/>
      <c r="H49" s="2224"/>
      <c r="I49" s="2224"/>
      <c r="J49" s="2224"/>
      <c r="K49" s="2224"/>
      <c r="L49" s="2224"/>
      <c r="M49" s="2224"/>
      <c r="N49" s="1897"/>
      <c r="O49" s="1890"/>
      <c r="P49" s="1890"/>
      <c r="Q49" s="1890"/>
      <c r="R49" s="1890"/>
      <c r="S49" s="1890"/>
      <c r="T49" s="1890"/>
      <c r="U49" s="1890"/>
      <c r="V49" s="1890"/>
      <c r="W49" s="1890"/>
      <c r="X49" s="1890"/>
    </row>
    <row r="50" spans="1:24" ht="18" customHeight="1" x14ac:dyDescent="0.25">
      <c r="A50" s="1943"/>
      <c r="B50" s="1989" t="s">
        <v>1229</v>
      </c>
      <c r="C50" s="2219"/>
      <c r="D50" s="2219"/>
      <c r="E50" s="2220"/>
      <c r="F50" s="2083"/>
      <c r="G50" s="1915"/>
      <c r="H50" s="1915"/>
      <c r="I50" s="1915"/>
      <c r="J50" s="1915"/>
      <c r="K50" s="1915"/>
      <c r="L50" s="1915"/>
      <c r="M50" s="1915"/>
      <c r="N50" s="1898"/>
      <c r="O50" s="1890"/>
      <c r="P50" s="1890"/>
      <c r="Q50" s="1890"/>
      <c r="R50" s="1890"/>
      <c r="S50" s="1890"/>
      <c r="T50" s="1890"/>
      <c r="U50" s="1890"/>
      <c r="V50" s="1890"/>
      <c r="W50" s="1890"/>
      <c r="X50" s="1890"/>
    </row>
    <row r="51" spans="1:24" ht="18" customHeight="1" x14ac:dyDescent="0.25">
      <c r="A51" s="1943"/>
      <c r="B51" s="2221" t="s">
        <v>1226</v>
      </c>
      <c r="C51" s="2222"/>
      <c r="D51" s="2223"/>
      <c r="E51" s="2082"/>
      <c r="F51" s="2083"/>
      <c r="G51" s="2082">
        <v>1</v>
      </c>
      <c r="H51" s="2082"/>
      <c r="I51" s="2082"/>
      <c r="J51" s="2082"/>
      <c r="K51" s="2082"/>
      <c r="L51" s="2082"/>
      <c r="M51" s="2082"/>
      <c r="N51" s="1897" t="s">
        <v>1160</v>
      </c>
      <c r="O51" s="1890"/>
      <c r="P51" s="1890"/>
      <c r="Q51" s="1890"/>
      <c r="R51" s="1890"/>
      <c r="S51" s="1890"/>
      <c r="T51" s="1890"/>
      <c r="U51" s="1890"/>
      <c r="V51" s="1890"/>
      <c r="W51" s="1890"/>
      <c r="X51" s="1890"/>
    </row>
    <row r="52" spans="1:24" ht="18" customHeight="1" x14ac:dyDescent="0.25">
      <c r="A52" s="1943"/>
      <c r="B52" s="2194" t="s">
        <v>1227</v>
      </c>
      <c r="C52" s="2166"/>
      <c r="D52" s="2167"/>
      <c r="E52" s="2198"/>
      <c r="F52" s="2083"/>
      <c r="G52" s="2198"/>
      <c r="H52" s="2198">
        <v>1</v>
      </c>
      <c r="I52" s="2198">
        <v>1</v>
      </c>
      <c r="J52" s="2198"/>
      <c r="K52" s="2198"/>
      <c r="L52" s="2198"/>
      <c r="M52" s="2198"/>
      <c r="N52" s="1897" t="s">
        <v>1160</v>
      </c>
      <c r="O52" s="1890"/>
      <c r="P52" s="1890"/>
      <c r="Q52" s="1890"/>
      <c r="R52" s="1890"/>
      <c r="S52" s="1890"/>
      <c r="T52" s="1890"/>
      <c r="U52" s="1890"/>
      <c r="V52" s="1890"/>
      <c r="W52" s="1890"/>
      <c r="X52" s="1890"/>
    </row>
    <row r="53" spans="1:24" ht="18" customHeight="1" x14ac:dyDescent="0.25">
      <c r="A53" s="1943"/>
      <c r="B53" s="2106" t="s">
        <v>1228</v>
      </c>
      <c r="C53" s="1990"/>
      <c r="D53" s="1990"/>
      <c r="E53" s="2107">
        <f>SUM(E51:E52)</f>
        <v>0</v>
      </c>
      <c r="F53" s="2214"/>
      <c r="G53" s="2107">
        <f t="shared" ref="G53:M53" si="3">SUM(G51:G52)</f>
        <v>1</v>
      </c>
      <c r="H53" s="2107">
        <f t="shared" si="3"/>
        <v>1</v>
      </c>
      <c r="I53" s="2107">
        <f t="shared" si="3"/>
        <v>1</v>
      </c>
      <c r="J53" s="2107">
        <f t="shared" si="3"/>
        <v>0</v>
      </c>
      <c r="K53" s="2107">
        <f t="shared" si="3"/>
        <v>0</v>
      </c>
      <c r="L53" s="2107">
        <f t="shared" si="3"/>
        <v>0</v>
      </c>
      <c r="M53" s="2107">
        <f t="shared" si="3"/>
        <v>0</v>
      </c>
      <c r="N53" s="1898"/>
      <c r="O53" s="1890"/>
      <c r="P53" s="1890"/>
      <c r="Q53" s="1890"/>
      <c r="R53" s="1890"/>
      <c r="S53" s="1890"/>
      <c r="T53" s="1890"/>
      <c r="U53" s="1890"/>
      <c r="V53" s="1890"/>
      <c r="W53" s="1890"/>
      <c r="X53" s="1890"/>
    </row>
    <row r="54" spans="1:24" ht="18" customHeight="1" x14ac:dyDescent="0.25">
      <c r="A54" s="1898"/>
      <c r="B54" s="1898"/>
      <c r="C54" s="1898"/>
      <c r="D54" s="1898"/>
      <c r="E54" s="1898"/>
      <c r="F54" s="1898"/>
      <c r="G54" s="1898"/>
      <c r="H54" s="1898"/>
      <c r="I54" s="1898"/>
      <c r="J54" s="1898"/>
      <c r="K54" s="1898"/>
      <c r="L54" s="1898"/>
      <c r="M54" s="1898"/>
      <c r="N54" s="1898"/>
      <c r="O54" s="1890"/>
      <c r="P54" s="1890"/>
      <c r="Q54" s="1890"/>
      <c r="R54" s="1890"/>
      <c r="S54" s="1890"/>
      <c r="T54" s="1890"/>
      <c r="U54" s="1890"/>
      <c r="V54" s="1890"/>
      <c r="W54" s="1890"/>
      <c r="X54" s="1890"/>
    </row>
    <row r="55" spans="1:24" ht="26.1" customHeight="1" x14ac:dyDescent="0.25">
      <c r="A55" s="2179" t="s">
        <v>1230</v>
      </c>
      <c r="B55" s="2216"/>
      <c r="C55" s="2217"/>
      <c r="D55" s="1943"/>
      <c r="E55" s="2202"/>
      <c r="F55" s="2203"/>
      <c r="G55" s="2202"/>
      <c r="H55" s="2202"/>
      <c r="I55" s="2202"/>
      <c r="J55" s="2202"/>
      <c r="K55" s="2202"/>
      <c r="L55" s="2202"/>
      <c r="M55" s="2202"/>
      <c r="N55" s="1898"/>
      <c r="O55" s="1890"/>
      <c r="P55" s="1890"/>
      <c r="Q55" s="1890"/>
      <c r="R55" s="1890"/>
      <c r="S55" s="1890"/>
      <c r="T55" s="1890"/>
      <c r="U55" s="1890"/>
      <c r="V55" s="1890"/>
      <c r="W55" s="1890"/>
      <c r="X55" s="1890"/>
    </row>
    <row r="56" spans="1:24" s="2225" customFormat="1" ht="23.45" customHeight="1" x14ac:dyDescent="0.25">
      <c r="A56" s="1904" t="s">
        <v>1231</v>
      </c>
      <c r="B56" s="1915"/>
      <c r="C56" s="1915"/>
      <c r="D56" s="1915"/>
      <c r="E56" s="1915"/>
      <c r="F56" s="1915"/>
      <c r="G56" s="1915"/>
      <c r="H56" s="1915"/>
      <c r="I56" s="1915"/>
      <c r="J56" s="1915"/>
      <c r="K56" s="1915"/>
      <c r="L56" s="1915"/>
      <c r="M56" s="1915"/>
      <c r="N56" s="1915"/>
      <c r="O56" s="2140"/>
      <c r="P56" s="2140"/>
      <c r="Q56" s="2140"/>
      <c r="R56" s="2140"/>
      <c r="S56" s="2140"/>
      <c r="T56" s="2140"/>
      <c r="U56" s="2140"/>
      <c r="V56" s="2140"/>
      <c r="W56" s="2140"/>
      <c r="X56" s="2140"/>
    </row>
    <row r="57" spans="1:24" ht="18" customHeight="1" x14ac:dyDescent="0.25">
      <c r="A57" s="1898"/>
      <c r="B57" s="1898"/>
      <c r="C57" s="2079" t="s">
        <v>1232</v>
      </c>
      <c r="D57" s="2188"/>
      <c r="E57" s="2186"/>
      <c r="F57" s="2186"/>
      <c r="G57" s="1898"/>
      <c r="H57" s="1898"/>
      <c r="I57" s="1898"/>
      <c r="J57" s="1898"/>
      <c r="K57" s="1898"/>
      <c r="L57" s="1898"/>
      <c r="M57" s="1898"/>
      <c r="N57" s="1898"/>
      <c r="O57" s="1890"/>
      <c r="P57" s="1890"/>
      <c r="Q57" s="1890"/>
      <c r="R57" s="1890"/>
      <c r="S57" s="1890"/>
      <c r="T57" s="1890"/>
      <c r="U57" s="1890"/>
      <c r="V57" s="1890"/>
      <c r="W57" s="1890"/>
      <c r="X57" s="1890"/>
    </row>
    <row r="58" spans="1:24" ht="18" customHeight="1" x14ac:dyDescent="0.25">
      <c r="A58" s="1898"/>
      <c r="B58" s="2226" t="s">
        <v>1233</v>
      </c>
      <c r="C58" s="2185">
        <v>0.15</v>
      </c>
      <c r="D58" s="2188"/>
      <c r="E58" s="1970">
        <v>0.15</v>
      </c>
      <c r="F58" s="2148"/>
      <c r="G58" s="1970">
        <v>0.15</v>
      </c>
      <c r="H58" s="1970">
        <v>0.15</v>
      </c>
      <c r="I58" s="1970">
        <v>0.15</v>
      </c>
      <c r="J58" s="1970">
        <v>0.15</v>
      </c>
      <c r="K58" s="1970">
        <v>0.15</v>
      </c>
      <c r="L58" s="1970">
        <v>0.15</v>
      </c>
      <c r="M58" s="1970">
        <v>0.15</v>
      </c>
      <c r="N58" s="1897" t="s">
        <v>1160</v>
      </c>
      <c r="O58" s="2156"/>
      <c r="P58" s="1890"/>
      <c r="Q58" s="1890"/>
      <c r="R58" s="1890"/>
      <c r="S58" s="1890"/>
      <c r="T58" s="1890"/>
      <c r="U58" s="1890"/>
      <c r="V58" s="1890"/>
      <c r="W58" s="1890"/>
      <c r="X58" s="1890"/>
    </row>
    <row r="59" spans="1:24" ht="18" customHeight="1" x14ac:dyDescent="0.25">
      <c r="A59" s="1898"/>
      <c r="B59" s="2226" t="s">
        <v>1234</v>
      </c>
      <c r="C59" s="2185">
        <v>0</v>
      </c>
      <c r="D59" s="1898"/>
      <c r="E59" s="2152">
        <v>0</v>
      </c>
      <c r="F59" s="2148"/>
      <c r="G59" s="2152">
        <v>0</v>
      </c>
      <c r="H59" s="2152">
        <v>0</v>
      </c>
      <c r="I59" s="2152">
        <v>0</v>
      </c>
      <c r="J59" s="2152">
        <v>0</v>
      </c>
      <c r="K59" s="2152">
        <v>0</v>
      </c>
      <c r="L59" s="2152">
        <v>0</v>
      </c>
      <c r="M59" s="2152">
        <v>0</v>
      </c>
      <c r="N59" s="1897" t="s">
        <v>1160</v>
      </c>
      <c r="O59" s="2190"/>
      <c r="P59" s="1890"/>
      <c r="Q59" s="1890"/>
      <c r="R59" s="1890"/>
      <c r="S59" s="1890"/>
      <c r="T59" s="1890"/>
      <c r="U59" s="1890"/>
      <c r="V59" s="1890"/>
      <c r="W59" s="1890"/>
      <c r="X59" s="1890"/>
    </row>
    <row r="60" spans="1:24" ht="18" customHeight="1" x14ac:dyDescent="0.2">
      <c r="A60" s="1890"/>
      <c r="B60" s="1890"/>
      <c r="C60" s="1890"/>
      <c r="D60" s="1890"/>
      <c r="E60" s="1890"/>
      <c r="F60" s="2135"/>
      <c r="G60" s="1890"/>
      <c r="H60" s="1890"/>
      <c r="I60" s="1890"/>
      <c r="J60" s="1890"/>
      <c r="K60" s="1890"/>
      <c r="L60" s="1890"/>
      <c r="M60" s="1890"/>
      <c r="N60" s="1890"/>
      <c r="O60" s="1890"/>
      <c r="P60" s="1890"/>
      <c r="Q60" s="1890"/>
      <c r="R60" s="1890"/>
      <c r="S60" s="1890"/>
      <c r="T60" s="1890"/>
      <c r="U60" s="1890"/>
      <c r="V60" s="1890"/>
      <c r="W60" s="1890"/>
      <c r="X60" s="1890"/>
    </row>
    <row r="61" spans="1:24" x14ac:dyDescent="0.2">
      <c r="A61" s="1890"/>
      <c r="B61" s="1890"/>
      <c r="C61" s="1890"/>
      <c r="D61" s="1890"/>
      <c r="E61" s="1890"/>
      <c r="F61" s="2135"/>
      <c r="G61" s="1890"/>
      <c r="H61" s="1890"/>
      <c r="I61" s="1890"/>
      <c r="J61" s="1890"/>
      <c r="K61" s="1890"/>
      <c r="L61" s="1890"/>
      <c r="M61" s="1890"/>
      <c r="N61" s="1890"/>
      <c r="O61" s="1890"/>
      <c r="P61" s="1890"/>
      <c r="Q61" s="1890"/>
      <c r="R61" s="1890"/>
      <c r="S61" s="1890"/>
      <c r="T61" s="1890"/>
      <c r="U61" s="1890"/>
      <c r="V61" s="1890"/>
      <c r="W61" s="1890"/>
      <c r="X61" s="1890"/>
    </row>
    <row r="62" spans="1:24" x14ac:dyDescent="0.2">
      <c r="A62" s="1890"/>
      <c r="B62" s="1890"/>
      <c r="C62" s="1890"/>
      <c r="D62" s="1890"/>
      <c r="E62" s="1890"/>
      <c r="F62" s="2135"/>
      <c r="G62" s="1890"/>
      <c r="H62" s="1890"/>
      <c r="I62" s="1890"/>
      <c r="J62" s="1890"/>
      <c r="K62" s="1890"/>
      <c r="L62" s="1890"/>
      <c r="M62" s="1890"/>
      <c r="N62" s="1890"/>
      <c r="O62" s="1890"/>
      <c r="P62" s="1890"/>
      <c r="Q62" s="1890"/>
      <c r="R62" s="1890"/>
      <c r="S62" s="1890"/>
      <c r="T62" s="1890"/>
      <c r="U62" s="1890"/>
      <c r="V62" s="1890"/>
      <c r="W62" s="1890"/>
      <c r="X62" s="1890"/>
    </row>
    <row r="63" spans="1:24" x14ac:dyDescent="0.2">
      <c r="A63" s="1890"/>
      <c r="B63" s="1890"/>
      <c r="C63" s="1890"/>
      <c r="D63" s="1890"/>
      <c r="E63" s="1890"/>
      <c r="F63" s="2135"/>
      <c r="G63" s="1890"/>
      <c r="H63" s="1890"/>
      <c r="I63" s="1890"/>
      <c r="J63" s="1890"/>
      <c r="K63" s="1890"/>
      <c r="L63" s="1890"/>
      <c r="M63" s="1890"/>
      <c r="N63" s="1890"/>
      <c r="O63" s="1890"/>
      <c r="P63" s="1890"/>
      <c r="Q63" s="1890"/>
      <c r="R63" s="1890"/>
      <c r="S63" s="1890"/>
      <c r="T63" s="1890"/>
      <c r="U63" s="1890"/>
      <c r="V63" s="1890"/>
      <c r="W63" s="1890"/>
      <c r="X63" s="1890"/>
    </row>
    <row r="64" spans="1:24" x14ac:dyDescent="0.2">
      <c r="A64" s="1890"/>
      <c r="B64" s="1890"/>
      <c r="C64" s="1890"/>
      <c r="D64" s="1890"/>
      <c r="E64" s="1890"/>
      <c r="F64" s="2135"/>
      <c r="G64" s="1890"/>
      <c r="H64" s="1890"/>
      <c r="I64" s="1890"/>
      <c r="J64" s="1890"/>
      <c r="K64" s="1890"/>
      <c r="L64" s="1890"/>
      <c r="M64" s="1890"/>
      <c r="N64" s="1890"/>
      <c r="O64" s="1890"/>
      <c r="P64" s="1890"/>
      <c r="Q64" s="1890"/>
      <c r="R64" s="1890"/>
      <c r="S64" s="1890"/>
      <c r="T64" s="1890"/>
      <c r="U64" s="1890"/>
      <c r="V64" s="1890"/>
      <c r="W64" s="1890"/>
      <c r="X64" s="1890"/>
    </row>
    <row r="65" spans="1:24" x14ac:dyDescent="0.2">
      <c r="A65" s="1890"/>
      <c r="B65" s="1890"/>
      <c r="C65" s="1890"/>
      <c r="D65" s="1890"/>
      <c r="E65" s="1890"/>
      <c r="F65" s="2135"/>
      <c r="G65" s="1890"/>
      <c r="H65" s="1890"/>
      <c r="I65" s="1890"/>
      <c r="J65" s="1890"/>
      <c r="K65" s="1890"/>
      <c r="L65" s="1890"/>
      <c r="M65" s="1890"/>
      <c r="N65" s="1890"/>
      <c r="O65" s="1890"/>
      <c r="P65" s="1890"/>
      <c r="Q65" s="1890"/>
      <c r="R65" s="1890"/>
      <c r="S65" s="1890"/>
      <c r="T65" s="1890"/>
      <c r="U65" s="1890"/>
      <c r="V65" s="1890"/>
      <c r="W65" s="1890"/>
      <c r="X65" s="1890"/>
    </row>
    <row r="66" spans="1:24" x14ac:dyDescent="0.2">
      <c r="A66" s="1890"/>
      <c r="B66" s="1890"/>
      <c r="C66" s="1890"/>
      <c r="D66" s="1890"/>
      <c r="E66" s="1890"/>
      <c r="F66" s="2135"/>
      <c r="G66" s="1890"/>
      <c r="H66" s="1890"/>
      <c r="I66" s="1890"/>
      <c r="J66" s="1890"/>
      <c r="K66" s="1890"/>
      <c r="L66" s="1890"/>
      <c r="M66" s="1890"/>
      <c r="N66" s="1890"/>
      <c r="O66" s="1890"/>
      <c r="P66" s="1890"/>
      <c r="Q66" s="1890"/>
      <c r="R66" s="1890"/>
      <c r="S66" s="1890"/>
      <c r="T66" s="1890"/>
      <c r="U66" s="1890"/>
      <c r="V66" s="1890"/>
      <c r="W66" s="1890"/>
      <c r="X66" s="1890"/>
    </row>
    <row r="67" spans="1:24" x14ac:dyDescent="0.2">
      <c r="A67" s="1890"/>
      <c r="B67" s="1890"/>
      <c r="C67" s="1890"/>
      <c r="D67" s="1890"/>
      <c r="E67" s="1890"/>
      <c r="F67" s="2135"/>
      <c r="G67" s="1890"/>
      <c r="H67" s="1890"/>
      <c r="I67" s="1890"/>
      <c r="J67" s="1890"/>
      <c r="K67" s="1890"/>
      <c r="L67" s="1890"/>
      <c r="M67" s="1890"/>
      <c r="N67" s="1890"/>
      <c r="O67" s="1890"/>
      <c r="P67" s="1890"/>
      <c r="Q67" s="1890"/>
      <c r="R67" s="1890"/>
      <c r="S67" s="1890"/>
      <c r="T67" s="1890"/>
      <c r="U67" s="1890"/>
      <c r="V67" s="1890"/>
      <c r="W67" s="1890"/>
      <c r="X67" s="1890"/>
    </row>
    <row r="68" spans="1:24" x14ac:dyDescent="0.2">
      <c r="A68" s="1890"/>
      <c r="B68" s="1890"/>
      <c r="C68" s="1890"/>
      <c r="D68" s="1890"/>
      <c r="E68" s="1890"/>
      <c r="F68" s="2135"/>
      <c r="G68" s="1890"/>
      <c r="H68" s="1890"/>
      <c r="I68" s="1890"/>
      <c r="J68" s="1890"/>
      <c r="K68" s="1890"/>
      <c r="L68" s="1890"/>
      <c r="M68" s="1890"/>
      <c r="N68" s="1890"/>
      <c r="O68" s="1890"/>
      <c r="P68" s="1890"/>
      <c r="Q68" s="1890"/>
      <c r="R68" s="1890"/>
      <c r="S68" s="1890"/>
      <c r="T68" s="1890"/>
      <c r="U68" s="1890"/>
      <c r="V68" s="1890"/>
      <c r="W68" s="1890"/>
      <c r="X68" s="1890"/>
    </row>
    <row r="69" spans="1:24" x14ac:dyDescent="0.2">
      <c r="A69" s="1890"/>
      <c r="B69" s="1890"/>
      <c r="C69" s="1890"/>
      <c r="D69" s="1890"/>
      <c r="E69" s="1890"/>
      <c r="F69" s="2135"/>
      <c r="G69" s="1890"/>
      <c r="H69" s="1890"/>
      <c r="I69" s="1890"/>
      <c r="J69" s="1890"/>
      <c r="K69" s="1890"/>
      <c r="L69" s="1890"/>
      <c r="M69" s="1890"/>
      <c r="N69" s="1890"/>
      <c r="O69" s="1890"/>
      <c r="P69" s="1890"/>
      <c r="Q69" s="1890"/>
      <c r="R69" s="1890"/>
      <c r="S69" s="1890"/>
      <c r="T69" s="1890"/>
      <c r="U69" s="1890"/>
      <c r="V69" s="1890"/>
      <c r="W69" s="1890"/>
      <c r="X69" s="1890"/>
    </row>
    <row r="70" spans="1:24" x14ac:dyDescent="0.2">
      <c r="A70" s="1890"/>
      <c r="B70" s="1890"/>
      <c r="C70" s="1890"/>
      <c r="D70" s="1890"/>
      <c r="E70" s="1890"/>
      <c r="F70" s="2135"/>
      <c r="G70" s="1890"/>
      <c r="H70" s="1890"/>
      <c r="I70" s="1890"/>
      <c r="J70" s="1890"/>
      <c r="K70" s="1890"/>
      <c r="L70" s="1890"/>
      <c r="M70" s="1890"/>
      <c r="N70" s="1890"/>
      <c r="O70" s="1890"/>
      <c r="P70" s="1890"/>
      <c r="Q70" s="1890"/>
      <c r="R70" s="1890"/>
      <c r="S70" s="1890"/>
      <c r="T70" s="1890"/>
      <c r="U70" s="1890"/>
      <c r="V70" s="1890"/>
      <c r="W70" s="1890"/>
      <c r="X70" s="1890"/>
    </row>
    <row r="71" spans="1:24" x14ac:dyDescent="0.2">
      <c r="A71" s="1890"/>
      <c r="B71" s="1890"/>
      <c r="C71" s="1890"/>
      <c r="D71" s="1890"/>
      <c r="E71" s="1890"/>
      <c r="F71" s="2135"/>
      <c r="G71" s="1890"/>
      <c r="H71" s="1890"/>
      <c r="I71" s="1890"/>
      <c r="J71" s="1890"/>
      <c r="K71" s="1890"/>
      <c r="L71" s="1890"/>
      <c r="M71" s="1890"/>
      <c r="N71" s="1890"/>
      <c r="O71" s="1890"/>
      <c r="P71" s="1890"/>
      <c r="Q71" s="1890"/>
      <c r="R71" s="1890"/>
      <c r="S71" s="1890"/>
      <c r="T71" s="1890"/>
      <c r="U71" s="1890"/>
      <c r="V71" s="1890"/>
      <c r="W71" s="1890"/>
      <c r="X71" s="1890"/>
    </row>
    <row r="72" spans="1:24" x14ac:dyDescent="0.2">
      <c r="A72" s="1890"/>
      <c r="B72" s="1890"/>
      <c r="C72" s="1890"/>
      <c r="D72" s="1890"/>
      <c r="E72" s="1890"/>
      <c r="F72" s="2135"/>
      <c r="G72" s="1890"/>
      <c r="H72" s="1890"/>
      <c r="I72" s="1890"/>
      <c r="J72" s="1890"/>
      <c r="K72" s="1890"/>
      <c r="L72" s="1890"/>
      <c r="M72" s="1890"/>
      <c r="N72" s="1890"/>
      <c r="O72" s="1890"/>
      <c r="P72" s="1890"/>
      <c r="Q72" s="1890"/>
      <c r="R72" s="1890"/>
      <c r="S72" s="1890"/>
      <c r="T72" s="1890"/>
      <c r="U72" s="1890"/>
      <c r="V72" s="1890"/>
      <c r="W72" s="1890"/>
      <c r="X72" s="1890"/>
    </row>
    <row r="73" spans="1:24" x14ac:dyDescent="0.2">
      <c r="A73" s="1890"/>
      <c r="B73" s="1890"/>
      <c r="C73" s="1890"/>
      <c r="D73" s="1890"/>
      <c r="E73" s="1890"/>
      <c r="F73" s="2135"/>
      <c r="G73" s="1890"/>
      <c r="H73" s="1890"/>
      <c r="I73" s="1890"/>
      <c r="J73" s="1890"/>
      <c r="K73" s="1890"/>
      <c r="L73" s="1890"/>
      <c r="M73" s="1890"/>
      <c r="N73" s="1890"/>
      <c r="O73" s="1890"/>
      <c r="P73" s="1890"/>
      <c r="Q73" s="1890"/>
      <c r="R73" s="1890"/>
      <c r="S73" s="1890"/>
      <c r="T73" s="1890"/>
      <c r="U73" s="1890"/>
      <c r="V73" s="1890"/>
      <c r="W73" s="1890"/>
      <c r="X73" s="1890"/>
    </row>
    <row r="74" spans="1:24" x14ac:dyDescent="0.2">
      <c r="A74" s="1890"/>
      <c r="B74" s="1890"/>
      <c r="C74" s="1890"/>
      <c r="D74" s="1890"/>
      <c r="E74" s="1890"/>
      <c r="F74" s="2135"/>
      <c r="G74" s="1890"/>
      <c r="H74" s="1890"/>
      <c r="I74" s="1890"/>
      <c r="J74" s="1890"/>
      <c r="K74" s="1890"/>
      <c r="L74" s="1890"/>
      <c r="M74" s="1890"/>
      <c r="N74" s="1890"/>
      <c r="O74" s="1890"/>
      <c r="P74" s="1890"/>
      <c r="Q74" s="1890"/>
      <c r="R74" s="1890"/>
      <c r="S74" s="1890"/>
      <c r="T74" s="1890"/>
      <c r="U74" s="1890"/>
      <c r="V74" s="1890"/>
      <c r="W74" s="1890"/>
      <c r="X74" s="1890"/>
    </row>
    <row r="75" spans="1:24" x14ac:dyDescent="0.2">
      <c r="A75" s="1890"/>
      <c r="B75" s="1890"/>
      <c r="C75" s="1890"/>
      <c r="D75" s="1890"/>
      <c r="E75" s="1890"/>
      <c r="F75" s="2135"/>
      <c r="G75" s="1890"/>
      <c r="H75" s="1890"/>
      <c r="I75" s="1890"/>
      <c r="J75" s="1890"/>
      <c r="K75" s="1890"/>
      <c r="L75" s="1890"/>
      <c r="M75" s="1890"/>
      <c r="N75" s="1890"/>
      <c r="O75" s="1890"/>
      <c r="P75" s="1890"/>
      <c r="Q75" s="1890"/>
      <c r="R75" s="1890"/>
      <c r="S75" s="1890"/>
      <c r="T75" s="1890"/>
      <c r="U75" s="1890"/>
      <c r="V75" s="1890"/>
      <c r="W75" s="1890"/>
      <c r="X75" s="1890"/>
    </row>
    <row r="76" spans="1:24" x14ac:dyDescent="0.2">
      <c r="A76" s="1890"/>
      <c r="B76" s="1890"/>
      <c r="C76" s="1890"/>
      <c r="D76" s="1890"/>
      <c r="E76" s="1890"/>
      <c r="F76" s="2135"/>
      <c r="G76" s="1890"/>
      <c r="H76" s="1890"/>
      <c r="I76" s="1890"/>
      <c r="J76" s="1890"/>
      <c r="K76" s="1890"/>
      <c r="L76" s="1890"/>
      <c r="M76" s="1890"/>
      <c r="N76" s="1890"/>
      <c r="O76" s="1890"/>
      <c r="P76" s="1890"/>
      <c r="Q76" s="1890"/>
      <c r="R76" s="1890"/>
      <c r="S76" s="1890"/>
      <c r="T76" s="1890"/>
      <c r="U76" s="1890"/>
      <c r="V76" s="1890"/>
      <c r="W76" s="1890"/>
      <c r="X76" s="1890"/>
    </row>
    <row r="77" spans="1:24" x14ac:dyDescent="0.2">
      <c r="A77" s="1890"/>
      <c r="B77" s="1890"/>
      <c r="C77" s="1890"/>
      <c r="D77" s="1890"/>
      <c r="E77" s="1890"/>
      <c r="F77" s="2135"/>
      <c r="G77" s="1890"/>
      <c r="H77" s="1890"/>
      <c r="I77" s="1890"/>
      <c r="J77" s="1890"/>
      <c r="K77" s="1890"/>
      <c r="L77" s="1890"/>
      <c r="M77" s="1890"/>
      <c r="N77" s="1890"/>
      <c r="O77" s="1890"/>
      <c r="P77" s="1890"/>
      <c r="Q77" s="1890"/>
      <c r="R77" s="1890"/>
      <c r="S77" s="1890"/>
      <c r="T77" s="1890"/>
      <c r="U77" s="1890"/>
      <c r="V77" s="1890"/>
      <c r="W77" s="1890"/>
      <c r="X77" s="1890"/>
    </row>
    <row r="78" spans="1:24" x14ac:dyDescent="0.2">
      <c r="A78" s="1890"/>
      <c r="B78" s="1890"/>
      <c r="C78" s="1890"/>
      <c r="D78" s="1890"/>
      <c r="E78" s="1890"/>
      <c r="F78" s="2135"/>
      <c r="G78" s="1890"/>
      <c r="H78" s="1890"/>
      <c r="I78" s="1890"/>
      <c r="J78" s="1890"/>
      <c r="K78" s="1890"/>
      <c r="L78" s="1890"/>
      <c r="M78" s="1890"/>
      <c r="N78" s="1890"/>
      <c r="O78" s="1890"/>
      <c r="P78" s="1890"/>
      <c r="Q78" s="1890"/>
      <c r="R78" s="1890"/>
      <c r="S78" s="1890"/>
      <c r="T78" s="1890"/>
      <c r="U78" s="1890"/>
      <c r="V78" s="1890"/>
      <c r="W78" s="1890"/>
      <c r="X78" s="1890"/>
    </row>
    <row r="79" spans="1:24" x14ac:dyDescent="0.2">
      <c r="A79" s="1890"/>
      <c r="B79" s="1890"/>
      <c r="C79" s="1890"/>
      <c r="D79" s="1890"/>
      <c r="E79" s="1890"/>
      <c r="F79" s="2135"/>
      <c r="G79" s="1890"/>
      <c r="H79" s="1890"/>
      <c r="I79" s="1890"/>
      <c r="J79" s="1890"/>
      <c r="K79" s="1890"/>
      <c r="L79" s="1890"/>
      <c r="M79" s="1890"/>
      <c r="N79" s="1890"/>
      <c r="O79" s="1890"/>
      <c r="P79" s="1890"/>
      <c r="Q79" s="1890"/>
      <c r="R79" s="1890"/>
      <c r="S79" s="1890"/>
      <c r="T79" s="1890"/>
      <c r="U79" s="1890"/>
      <c r="V79" s="1890"/>
      <c r="W79" s="1890"/>
      <c r="X79" s="1890"/>
    </row>
    <row r="80" spans="1:24" x14ac:dyDescent="0.2">
      <c r="A80" s="1890"/>
      <c r="B80" s="1890"/>
      <c r="C80" s="1890"/>
      <c r="D80" s="1890"/>
      <c r="E80" s="1890"/>
      <c r="F80" s="2135"/>
      <c r="G80" s="1890"/>
      <c r="H80" s="1890"/>
      <c r="I80" s="1890"/>
      <c r="J80" s="1890"/>
      <c r="K80" s="1890"/>
      <c r="L80" s="1890"/>
      <c r="M80" s="1890"/>
      <c r="N80" s="1890"/>
      <c r="O80" s="1890"/>
      <c r="P80" s="1890"/>
      <c r="Q80" s="1890"/>
      <c r="R80" s="1890"/>
      <c r="S80" s="1890"/>
      <c r="T80" s="1890"/>
      <c r="U80" s="1890"/>
      <c r="V80" s="1890"/>
      <c r="W80" s="1890"/>
      <c r="X80" s="1890"/>
    </row>
    <row r="81" spans="1:24" x14ac:dyDescent="0.2">
      <c r="A81" s="1890"/>
      <c r="B81" s="1890"/>
      <c r="C81" s="1890"/>
      <c r="D81" s="1890"/>
      <c r="E81" s="1890"/>
      <c r="F81" s="2135"/>
      <c r="G81" s="1890"/>
      <c r="H81" s="1890"/>
      <c r="I81" s="1890"/>
      <c r="J81" s="1890"/>
      <c r="K81" s="1890"/>
      <c r="L81" s="1890"/>
      <c r="M81" s="1890"/>
      <c r="N81" s="1890"/>
      <c r="O81" s="1890"/>
      <c r="P81" s="1890"/>
      <c r="Q81" s="1890"/>
      <c r="R81" s="1890"/>
      <c r="S81" s="1890"/>
      <c r="T81" s="1890"/>
      <c r="U81" s="1890"/>
      <c r="V81" s="1890"/>
      <c r="W81" s="1890"/>
      <c r="X81" s="1890"/>
    </row>
    <row r="82" spans="1:24" x14ac:dyDescent="0.2">
      <c r="A82" s="1890"/>
      <c r="B82" s="1890"/>
      <c r="C82" s="1890"/>
      <c r="D82" s="1890"/>
      <c r="E82" s="1890"/>
      <c r="F82" s="2135"/>
      <c r="G82" s="1890"/>
      <c r="H82" s="1890"/>
      <c r="I82" s="1890"/>
      <c r="J82" s="1890"/>
      <c r="K82" s="1890"/>
      <c r="L82" s="1890"/>
      <c r="M82" s="1890"/>
      <c r="N82" s="1890"/>
      <c r="O82" s="1890"/>
      <c r="P82" s="1890"/>
      <c r="Q82" s="1890"/>
      <c r="R82" s="1890"/>
      <c r="S82" s="1890"/>
      <c r="T82" s="1890"/>
      <c r="U82" s="1890"/>
      <c r="V82" s="1890"/>
      <c r="W82" s="1890"/>
      <c r="X82" s="1890"/>
    </row>
    <row r="83" spans="1:24" x14ac:dyDescent="0.2">
      <c r="A83" s="1890"/>
      <c r="B83" s="1890"/>
      <c r="C83" s="1890"/>
      <c r="D83" s="1890"/>
      <c r="E83" s="1890"/>
      <c r="F83" s="2135"/>
      <c r="G83" s="1890"/>
      <c r="H83" s="1890"/>
      <c r="I83" s="1890"/>
      <c r="J83" s="1890"/>
      <c r="K83" s="1890"/>
      <c r="L83" s="1890"/>
      <c r="M83" s="1890"/>
      <c r="N83" s="1890"/>
      <c r="O83" s="1890"/>
      <c r="P83" s="1890"/>
      <c r="Q83" s="1890"/>
      <c r="R83" s="1890"/>
      <c r="S83" s="1890"/>
      <c r="T83" s="1890"/>
      <c r="U83" s="1890"/>
      <c r="V83" s="1890"/>
      <c r="W83" s="1890"/>
      <c r="X83" s="1890"/>
    </row>
    <row r="84" spans="1:24" x14ac:dyDescent="0.2">
      <c r="A84" s="1890"/>
      <c r="B84" s="1890"/>
      <c r="C84" s="1890"/>
      <c r="D84" s="1890"/>
      <c r="E84" s="1890"/>
      <c r="F84" s="2135"/>
      <c r="G84" s="1890"/>
      <c r="H84" s="1890"/>
      <c r="I84" s="1890"/>
      <c r="J84" s="1890"/>
      <c r="K84" s="1890"/>
      <c r="L84" s="1890"/>
      <c r="M84" s="1890"/>
      <c r="N84" s="1890"/>
      <c r="O84" s="1890"/>
      <c r="P84" s="1890"/>
      <c r="Q84" s="1890"/>
      <c r="R84" s="1890"/>
      <c r="S84" s="1890"/>
      <c r="T84" s="1890"/>
      <c r="U84" s="1890"/>
      <c r="V84" s="1890"/>
      <c r="W84" s="1890"/>
      <c r="X84" s="1890"/>
    </row>
    <row r="85" spans="1:24" x14ac:dyDescent="0.2">
      <c r="A85" s="1890"/>
      <c r="B85" s="1890"/>
      <c r="C85" s="1890"/>
      <c r="D85" s="1890"/>
      <c r="E85" s="1890"/>
      <c r="F85" s="2135"/>
      <c r="G85" s="1890"/>
      <c r="H85" s="1890"/>
      <c r="I85" s="1890"/>
      <c r="J85" s="1890"/>
      <c r="K85" s="1890"/>
      <c r="L85" s="1890"/>
      <c r="M85" s="1890"/>
      <c r="N85" s="1890"/>
      <c r="O85" s="1890"/>
      <c r="P85" s="1890"/>
      <c r="Q85" s="1890"/>
      <c r="R85" s="1890"/>
      <c r="S85" s="1890"/>
      <c r="T85" s="1890"/>
      <c r="U85" s="1890"/>
      <c r="V85" s="1890"/>
      <c r="W85" s="1890"/>
      <c r="X85" s="1890"/>
    </row>
    <row r="86" spans="1:24" x14ac:dyDescent="0.2">
      <c r="A86" s="1890"/>
      <c r="B86" s="1890"/>
      <c r="C86" s="1890"/>
      <c r="D86" s="1890"/>
      <c r="E86" s="1890"/>
      <c r="F86" s="2135"/>
      <c r="G86" s="1890"/>
      <c r="H86" s="1890"/>
      <c r="I86" s="1890"/>
      <c r="J86" s="1890"/>
      <c r="K86" s="1890"/>
      <c r="L86" s="1890"/>
      <c r="M86" s="1890"/>
      <c r="N86" s="1890"/>
      <c r="O86" s="1890"/>
      <c r="P86" s="1890"/>
      <c r="Q86" s="1890"/>
      <c r="R86" s="1890"/>
      <c r="S86" s="1890"/>
      <c r="T86" s="1890"/>
      <c r="U86" s="1890"/>
      <c r="V86" s="1890"/>
      <c r="W86" s="1890"/>
      <c r="X86" s="1890"/>
    </row>
    <row r="87" spans="1:24" x14ac:dyDescent="0.2">
      <c r="A87" s="1890"/>
      <c r="B87" s="1890"/>
      <c r="C87" s="1890"/>
      <c r="D87" s="1890"/>
      <c r="E87" s="1890"/>
      <c r="F87" s="2135"/>
      <c r="G87" s="1890"/>
      <c r="H87" s="1890"/>
      <c r="I87" s="1890"/>
      <c r="J87" s="1890"/>
      <c r="K87" s="1890"/>
      <c r="L87" s="1890"/>
      <c r="M87" s="1890"/>
      <c r="N87" s="1890"/>
      <c r="O87" s="1890"/>
      <c r="P87" s="1890"/>
      <c r="Q87" s="1890"/>
      <c r="R87" s="1890"/>
      <c r="S87" s="1890"/>
      <c r="T87" s="1890"/>
      <c r="U87" s="1890"/>
      <c r="V87" s="1890"/>
      <c r="W87" s="1890"/>
      <c r="X87" s="1890"/>
    </row>
    <row r="88" spans="1:24" x14ac:dyDescent="0.2">
      <c r="A88" s="1890"/>
      <c r="B88" s="1890"/>
      <c r="C88" s="1890"/>
      <c r="D88" s="1890"/>
      <c r="E88" s="1890"/>
      <c r="F88" s="2135"/>
      <c r="G88" s="1890"/>
      <c r="H88" s="1890"/>
      <c r="I88" s="1890"/>
      <c r="J88" s="1890"/>
      <c r="K88" s="1890"/>
      <c r="L88" s="1890"/>
      <c r="M88" s="1890"/>
      <c r="N88" s="1890"/>
      <c r="O88" s="1890"/>
      <c r="P88" s="1890"/>
      <c r="Q88" s="1890"/>
      <c r="R88" s="1890"/>
      <c r="S88" s="1890"/>
      <c r="T88" s="1890"/>
      <c r="U88" s="1890"/>
      <c r="V88" s="1890"/>
      <c r="W88" s="1890"/>
      <c r="X88" s="1890"/>
    </row>
    <row r="89" spans="1:24" x14ac:dyDescent="0.2">
      <c r="A89" s="1890"/>
      <c r="B89" s="1890"/>
      <c r="C89" s="1890"/>
      <c r="D89" s="1890"/>
      <c r="E89" s="1890"/>
      <c r="F89" s="2135"/>
      <c r="G89" s="1890"/>
      <c r="H89" s="1890"/>
      <c r="I89" s="1890"/>
      <c r="J89" s="1890"/>
      <c r="K89" s="1890"/>
      <c r="L89" s="1890"/>
      <c r="M89" s="1890"/>
      <c r="N89" s="1890"/>
      <c r="O89" s="1890"/>
      <c r="P89" s="1890"/>
      <c r="Q89" s="1890"/>
      <c r="R89" s="1890"/>
      <c r="S89" s="1890"/>
      <c r="T89" s="1890"/>
      <c r="U89" s="1890"/>
      <c r="V89" s="1890"/>
      <c r="W89" s="1890"/>
      <c r="X89" s="1890"/>
    </row>
    <row r="90" spans="1:24" x14ac:dyDescent="0.2">
      <c r="A90" s="1890"/>
      <c r="B90" s="1890"/>
      <c r="C90" s="1890"/>
      <c r="D90" s="1890"/>
      <c r="E90" s="1890"/>
      <c r="F90" s="2135"/>
      <c r="G90" s="1890"/>
      <c r="H90" s="1890"/>
      <c r="I90" s="1890"/>
      <c r="J90" s="1890"/>
      <c r="K90" s="1890"/>
      <c r="L90" s="1890"/>
      <c r="M90" s="1890"/>
      <c r="N90" s="1890"/>
      <c r="O90" s="1890"/>
      <c r="P90" s="1890"/>
      <c r="Q90" s="1890"/>
      <c r="R90" s="1890"/>
      <c r="S90" s="1890"/>
      <c r="T90" s="1890"/>
      <c r="U90" s="1890"/>
      <c r="V90" s="1890"/>
      <c r="W90" s="1890"/>
      <c r="X90" s="1890"/>
    </row>
    <row r="91" spans="1:24" x14ac:dyDescent="0.2">
      <c r="A91" s="1890"/>
      <c r="B91" s="1890"/>
      <c r="C91" s="1890"/>
      <c r="D91" s="1890"/>
      <c r="E91" s="1890"/>
      <c r="F91" s="2135"/>
      <c r="G91" s="1890"/>
      <c r="H91" s="1890"/>
      <c r="I91" s="1890"/>
      <c r="J91" s="1890"/>
      <c r="K91" s="1890"/>
      <c r="L91" s="1890"/>
      <c r="M91" s="1890"/>
      <c r="N91" s="1890"/>
      <c r="O91" s="1890"/>
      <c r="P91" s="1890"/>
      <c r="Q91" s="1890"/>
      <c r="R91" s="1890"/>
      <c r="S91" s="1890"/>
      <c r="T91" s="1890"/>
      <c r="U91" s="1890"/>
      <c r="V91" s="1890"/>
      <c r="W91" s="1890"/>
      <c r="X91" s="1890"/>
    </row>
    <row r="92" spans="1:24" x14ac:dyDescent="0.2">
      <c r="A92" s="1890"/>
      <c r="B92" s="1890"/>
      <c r="C92" s="1890"/>
      <c r="D92" s="1890"/>
      <c r="E92" s="1890"/>
      <c r="F92" s="2135"/>
      <c r="G92" s="1890"/>
      <c r="H92" s="1890"/>
      <c r="I92" s="1890"/>
      <c r="J92" s="1890"/>
      <c r="K92" s="1890"/>
      <c r="L92" s="1890"/>
      <c r="M92" s="1890"/>
      <c r="N92" s="1890"/>
      <c r="O92" s="1890"/>
      <c r="P92" s="1890"/>
      <c r="Q92" s="1890"/>
      <c r="R92" s="1890"/>
      <c r="S92" s="1890"/>
      <c r="T92" s="1890"/>
      <c r="U92" s="1890"/>
      <c r="V92" s="1890"/>
      <c r="W92" s="1890"/>
      <c r="X92" s="1890"/>
    </row>
    <row r="93" spans="1:24" x14ac:dyDescent="0.2">
      <c r="A93" s="1890"/>
      <c r="B93" s="1890"/>
      <c r="C93" s="1890"/>
      <c r="D93" s="1890"/>
      <c r="E93" s="1890"/>
      <c r="F93" s="2135"/>
      <c r="G93" s="1890"/>
      <c r="H93" s="1890"/>
      <c r="I93" s="1890"/>
      <c r="J93" s="1890"/>
      <c r="K93" s="1890"/>
      <c r="L93" s="1890"/>
      <c r="M93" s="1890"/>
      <c r="N93" s="1890"/>
      <c r="O93" s="1890"/>
      <c r="P93" s="1890"/>
      <c r="Q93" s="1890"/>
      <c r="R93" s="1890"/>
      <c r="S93" s="1890"/>
      <c r="T93" s="1890"/>
      <c r="U93" s="1890"/>
      <c r="V93" s="1890"/>
      <c r="W93" s="1890"/>
      <c r="X93" s="1890"/>
    </row>
    <row r="94" spans="1:24" x14ac:dyDescent="0.2">
      <c r="A94" s="1890"/>
      <c r="B94" s="1890"/>
      <c r="C94" s="1890"/>
      <c r="D94" s="1890"/>
      <c r="E94" s="1890"/>
      <c r="F94" s="2135"/>
      <c r="G94" s="1890"/>
      <c r="H94" s="1890"/>
      <c r="I94" s="1890"/>
      <c r="J94" s="1890"/>
      <c r="K94" s="1890"/>
      <c r="L94" s="1890"/>
      <c r="M94" s="1890"/>
      <c r="N94" s="1890"/>
      <c r="O94" s="1890"/>
      <c r="P94" s="1890"/>
      <c r="Q94" s="1890"/>
      <c r="R94" s="1890"/>
      <c r="S94" s="1890"/>
      <c r="T94" s="1890"/>
      <c r="U94" s="1890"/>
      <c r="V94" s="1890"/>
      <c r="W94" s="1890"/>
      <c r="X94" s="1890"/>
    </row>
    <row r="95" spans="1:24" x14ac:dyDescent="0.2">
      <c r="A95" s="1890"/>
      <c r="B95" s="1890"/>
      <c r="C95" s="1890"/>
      <c r="D95" s="1890"/>
      <c r="E95" s="1890"/>
      <c r="F95" s="2135"/>
      <c r="G95" s="1890"/>
      <c r="H95" s="1890"/>
      <c r="I95" s="1890"/>
      <c r="J95" s="1890"/>
      <c r="K95" s="1890"/>
      <c r="L95" s="1890"/>
      <c r="M95" s="1890"/>
      <c r="N95" s="1890"/>
      <c r="O95" s="1890"/>
      <c r="P95" s="1890"/>
      <c r="Q95" s="1890"/>
      <c r="R95" s="1890"/>
      <c r="S95" s="1890"/>
      <c r="T95" s="1890"/>
      <c r="U95" s="1890"/>
      <c r="V95" s="1890"/>
      <c r="W95" s="1890"/>
      <c r="X95" s="1890"/>
    </row>
    <row r="96" spans="1:24" x14ac:dyDescent="0.2">
      <c r="A96" s="1890"/>
      <c r="B96" s="1890"/>
      <c r="C96" s="1890"/>
      <c r="D96" s="1890"/>
      <c r="E96" s="1890"/>
      <c r="F96" s="2135"/>
      <c r="G96" s="1890"/>
      <c r="H96" s="1890"/>
      <c r="I96" s="1890"/>
      <c r="J96" s="1890"/>
      <c r="K96" s="1890"/>
      <c r="L96" s="1890"/>
      <c r="M96" s="1890"/>
      <c r="N96" s="1890"/>
      <c r="O96" s="1890"/>
      <c r="P96" s="1890"/>
      <c r="Q96" s="1890"/>
      <c r="R96" s="1890"/>
      <c r="S96" s="1890"/>
      <c r="T96" s="1890"/>
      <c r="U96" s="1890"/>
      <c r="V96" s="1890"/>
      <c r="W96" s="1890"/>
      <c r="X96" s="1890"/>
    </row>
    <row r="97" spans="1:24" x14ac:dyDescent="0.2">
      <c r="A97" s="1890"/>
      <c r="B97" s="1890"/>
      <c r="C97" s="1890"/>
      <c r="D97" s="1890"/>
      <c r="E97" s="1890"/>
      <c r="F97" s="2135"/>
      <c r="G97" s="1890"/>
      <c r="H97" s="1890"/>
      <c r="I97" s="1890"/>
      <c r="J97" s="1890"/>
      <c r="K97" s="1890"/>
      <c r="L97" s="1890"/>
      <c r="M97" s="1890"/>
      <c r="N97" s="1890"/>
      <c r="O97" s="1890"/>
      <c r="P97" s="1890"/>
      <c r="Q97" s="1890"/>
      <c r="R97" s="1890"/>
      <c r="S97" s="1890"/>
      <c r="T97" s="1890"/>
      <c r="U97" s="1890"/>
      <c r="V97" s="1890"/>
      <c r="W97" s="1890"/>
      <c r="X97" s="1890"/>
    </row>
    <row r="98" spans="1:24" x14ac:dyDescent="0.2">
      <c r="A98" s="1890"/>
      <c r="B98" s="1890"/>
      <c r="C98" s="1890"/>
      <c r="D98" s="1890"/>
      <c r="E98" s="1890"/>
      <c r="F98" s="2135"/>
      <c r="G98" s="1890"/>
      <c r="H98" s="1890"/>
      <c r="I98" s="1890"/>
      <c r="J98" s="1890"/>
      <c r="K98" s="1890"/>
      <c r="L98" s="1890"/>
      <c r="M98" s="1890"/>
      <c r="N98" s="1890"/>
      <c r="O98" s="1890"/>
      <c r="P98" s="1890"/>
      <c r="Q98" s="1890"/>
      <c r="R98" s="1890"/>
      <c r="S98" s="1890"/>
      <c r="T98" s="1890"/>
      <c r="U98" s="1890"/>
      <c r="V98" s="1890"/>
      <c r="W98" s="1890"/>
      <c r="X98" s="1890"/>
    </row>
    <row r="99" spans="1:24" x14ac:dyDescent="0.2">
      <c r="A99" s="1890"/>
      <c r="B99" s="1890"/>
      <c r="C99" s="1890"/>
      <c r="D99" s="1890"/>
      <c r="E99" s="1890"/>
      <c r="F99" s="2135"/>
      <c r="G99" s="1890"/>
      <c r="H99" s="1890"/>
      <c r="I99" s="1890"/>
      <c r="J99" s="1890"/>
      <c r="K99" s="1890"/>
      <c r="L99" s="1890"/>
      <c r="M99" s="1890"/>
      <c r="N99" s="1890"/>
      <c r="O99" s="1890"/>
      <c r="P99" s="1890"/>
      <c r="Q99" s="1890"/>
      <c r="R99" s="1890"/>
      <c r="S99" s="1890"/>
      <c r="T99" s="1890"/>
      <c r="U99" s="1890"/>
      <c r="V99" s="1890"/>
      <c r="W99" s="1890"/>
      <c r="X99" s="1890"/>
    </row>
    <row r="100" spans="1:24" x14ac:dyDescent="0.2">
      <c r="A100" s="1890"/>
      <c r="B100" s="1890"/>
      <c r="C100" s="1890"/>
      <c r="D100" s="1890"/>
      <c r="E100" s="1890"/>
      <c r="F100" s="2135"/>
      <c r="G100" s="1890"/>
      <c r="H100" s="1890"/>
      <c r="I100" s="1890"/>
      <c r="J100" s="1890"/>
      <c r="K100" s="1890"/>
      <c r="L100" s="1890"/>
      <c r="M100" s="1890"/>
      <c r="N100" s="1890"/>
      <c r="O100" s="1890"/>
      <c r="P100" s="1890"/>
      <c r="Q100" s="1890"/>
      <c r="R100" s="1890"/>
      <c r="S100" s="1890"/>
      <c r="T100" s="1890"/>
      <c r="U100" s="1890"/>
      <c r="V100" s="1890"/>
      <c r="W100" s="1890"/>
      <c r="X100" s="1890"/>
    </row>
    <row r="101" spans="1:24" x14ac:dyDescent="0.2">
      <c r="A101" s="1890"/>
      <c r="B101" s="1890"/>
      <c r="C101" s="1890"/>
      <c r="D101" s="1890"/>
      <c r="E101" s="1890"/>
      <c r="F101" s="2135"/>
      <c r="G101" s="1890"/>
      <c r="H101" s="1890"/>
      <c r="I101" s="1890"/>
      <c r="J101" s="1890"/>
      <c r="K101" s="1890"/>
      <c r="L101" s="1890"/>
      <c r="M101" s="1890"/>
      <c r="N101" s="1890"/>
      <c r="O101" s="1890"/>
      <c r="P101" s="1890"/>
      <c r="Q101" s="1890"/>
      <c r="R101" s="1890"/>
      <c r="S101" s="1890"/>
      <c r="T101" s="1890"/>
      <c r="U101" s="1890"/>
      <c r="V101" s="1890"/>
      <c r="W101" s="1890"/>
      <c r="X101" s="1890"/>
    </row>
    <row r="102" spans="1:24" x14ac:dyDescent="0.2">
      <c r="A102" s="1890"/>
      <c r="B102" s="1890"/>
      <c r="C102" s="1890"/>
      <c r="D102" s="1890"/>
      <c r="E102" s="1890"/>
      <c r="F102" s="2135"/>
      <c r="G102" s="1890"/>
      <c r="H102" s="1890"/>
      <c r="I102" s="1890"/>
      <c r="J102" s="1890"/>
      <c r="K102" s="1890"/>
      <c r="L102" s="1890"/>
      <c r="M102" s="1890"/>
      <c r="N102" s="1890"/>
      <c r="O102" s="1890"/>
      <c r="P102" s="1890"/>
      <c r="Q102" s="1890"/>
      <c r="R102" s="1890"/>
      <c r="S102" s="1890"/>
      <c r="T102" s="1890"/>
      <c r="U102" s="1890"/>
      <c r="V102" s="1890"/>
      <c r="W102" s="1890"/>
      <c r="X102" s="1890"/>
    </row>
    <row r="103" spans="1:24" x14ac:dyDescent="0.2">
      <c r="A103" s="1890"/>
      <c r="B103" s="1890"/>
      <c r="C103" s="1890"/>
      <c r="D103" s="1890"/>
      <c r="E103" s="1890"/>
      <c r="F103" s="2135"/>
      <c r="G103" s="1890"/>
      <c r="H103" s="1890"/>
      <c r="I103" s="1890"/>
      <c r="J103" s="1890"/>
      <c r="K103" s="1890"/>
      <c r="L103" s="1890"/>
      <c r="M103" s="1890"/>
      <c r="N103" s="1890"/>
      <c r="O103" s="1890"/>
      <c r="P103" s="1890"/>
      <c r="Q103" s="1890"/>
      <c r="R103" s="1890"/>
      <c r="S103" s="1890"/>
      <c r="T103" s="1890"/>
      <c r="U103" s="1890"/>
      <c r="V103" s="1890"/>
      <c r="W103" s="1890"/>
      <c r="X103" s="1890"/>
    </row>
    <row r="104" spans="1:24" x14ac:dyDescent="0.2">
      <c r="A104" s="1890"/>
      <c r="B104" s="1890"/>
      <c r="C104" s="1890"/>
      <c r="D104" s="1890"/>
      <c r="E104" s="1890"/>
      <c r="F104" s="2135"/>
      <c r="G104" s="1890"/>
      <c r="H104" s="1890"/>
      <c r="I104" s="1890"/>
      <c r="J104" s="1890"/>
      <c r="K104" s="1890"/>
      <c r="L104" s="1890"/>
      <c r="M104" s="1890"/>
      <c r="N104" s="1890"/>
      <c r="O104" s="1890"/>
      <c r="P104" s="1890"/>
      <c r="Q104" s="1890"/>
      <c r="R104" s="1890"/>
      <c r="S104" s="1890"/>
      <c r="T104" s="1890"/>
      <c r="U104" s="1890"/>
      <c r="V104" s="1890"/>
      <c r="W104" s="1890"/>
      <c r="X104" s="1890"/>
    </row>
    <row r="105" spans="1:24" x14ac:dyDescent="0.2">
      <c r="A105" s="1890"/>
      <c r="B105" s="1890"/>
      <c r="C105" s="1890"/>
      <c r="D105" s="1890"/>
      <c r="E105" s="1890"/>
      <c r="F105" s="2135"/>
      <c r="G105" s="1890"/>
      <c r="H105" s="1890"/>
      <c r="I105" s="1890"/>
      <c r="J105" s="1890"/>
      <c r="K105" s="1890"/>
      <c r="L105" s="1890"/>
      <c r="M105" s="1890"/>
      <c r="N105" s="1890"/>
      <c r="O105" s="1890"/>
      <c r="P105" s="1890"/>
      <c r="Q105" s="1890"/>
      <c r="R105" s="1890"/>
      <c r="S105" s="1890"/>
      <c r="T105" s="1890"/>
      <c r="U105" s="1890"/>
      <c r="V105" s="1890"/>
      <c r="W105" s="1890"/>
      <c r="X105" s="1890"/>
    </row>
    <row r="106" spans="1:24" x14ac:dyDescent="0.2">
      <c r="A106" s="1890"/>
      <c r="B106" s="1890"/>
      <c r="C106" s="1890"/>
      <c r="D106" s="1890"/>
      <c r="E106" s="1890"/>
      <c r="F106" s="2135"/>
      <c r="G106" s="1890"/>
      <c r="H106" s="1890"/>
      <c r="I106" s="1890"/>
      <c r="J106" s="1890"/>
      <c r="K106" s="1890"/>
      <c r="L106" s="1890"/>
      <c r="M106" s="1890"/>
      <c r="N106" s="1890"/>
      <c r="O106" s="1890"/>
      <c r="P106" s="1890"/>
      <c r="Q106" s="1890"/>
      <c r="R106" s="1890"/>
      <c r="S106" s="1890"/>
      <c r="T106" s="1890"/>
      <c r="U106" s="1890"/>
      <c r="V106" s="1890"/>
      <c r="W106" s="1890"/>
      <c r="X106" s="1890"/>
    </row>
    <row r="107" spans="1:24" x14ac:dyDescent="0.2">
      <c r="A107" s="1890"/>
      <c r="B107" s="1890"/>
      <c r="C107" s="1890"/>
      <c r="D107" s="1890"/>
      <c r="E107" s="1890"/>
      <c r="F107" s="2135"/>
      <c r="G107" s="1890"/>
      <c r="H107" s="1890"/>
      <c r="I107" s="1890"/>
      <c r="J107" s="1890"/>
      <c r="K107" s="1890"/>
      <c r="L107" s="1890"/>
      <c r="M107" s="1890"/>
      <c r="N107" s="1890"/>
      <c r="O107" s="1890"/>
      <c r="P107" s="1890"/>
      <c r="Q107" s="1890"/>
      <c r="R107" s="1890"/>
      <c r="S107" s="1890"/>
      <c r="T107" s="1890"/>
      <c r="U107" s="1890"/>
      <c r="V107" s="1890"/>
      <c r="W107" s="1890"/>
      <c r="X107" s="1890"/>
    </row>
    <row r="108" spans="1:24" x14ac:dyDescent="0.2">
      <c r="A108" s="1890"/>
      <c r="B108" s="1890"/>
      <c r="C108" s="1890"/>
      <c r="D108" s="1890"/>
      <c r="E108" s="1890"/>
      <c r="F108" s="2135"/>
      <c r="G108" s="1890"/>
      <c r="H108" s="1890"/>
      <c r="I108" s="1890"/>
      <c r="J108" s="1890"/>
      <c r="K108" s="1890"/>
      <c r="L108" s="1890"/>
      <c r="M108" s="1890"/>
      <c r="N108" s="1890"/>
      <c r="O108" s="1890"/>
      <c r="P108" s="1890"/>
      <c r="Q108" s="1890"/>
      <c r="R108" s="1890"/>
      <c r="S108" s="1890"/>
      <c r="T108" s="1890"/>
      <c r="U108" s="1890"/>
      <c r="V108" s="1890"/>
      <c r="W108" s="1890"/>
      <c r="X108" s="1890"/>
    </row>
    <row r="109" spans="1:24" x14ac:dyDescent="0.2">
      <c r="A109" s="1890"/>
      <c r="B109" s="1890"/>
      <c r="C109" s="1890"/>
      <c r="D109" s="1890"/>
      <c r="E109" s="1890"/>
      <c r="F109" s="2135"/>
      <c r="G109" s="1890"/>
      <c r="H109" s="1890"/>
      <c r="I109" s="1890"/>
      <c r="J109" s="1890"/>
      <c r="K109" s="1890"/>
      <c r="L109" s="1890"/>
      <c r="M109" s="1890"/>
      <c r="N109" s="1890"/>
      <c r="O109" s="1890"/>
      <c r="P109" s="1890"/>
      <c r="Q109" s="1890"/>
      <c r="R109" s="1890"/>
      <c r="S109" s="1890"/>
      <c r="T109" s="1890"/>
      <c r="U109" s="1890"/>
      <c r="V109" s="1890"/>
      <c r="W109" s="1890"/>
      <c r="X109" s="1890"/>
    </row>
    <row r="110" spans="1:24" x14ac:dyDescent="0.2">
      <c r="A110" s="1890"/>
      <c r="B110" s="1890"/>
      <c r="C110" s="1890"/>
      <c r="D110" s="1890"/>
      <c r="E110" s="1890"/>
      <c r="F110" s="2135"/>
      <c r="G110" s="1890"/>
      <c r="H110" s="1890"/>
      <c r="I110" s="1890"/>
      <c r="J110" s="1890"/>
      <c r="K110" s="1890"/>
      <c r="L110" s="1890"/>
      <c r="M110" s="1890"/>
      <c r="N110" s="1890"/>
      <c r="O110" s="1890"/>
      <c r="P110" s="1890"/>
      <c r="Q110" s="1890"/>
      <c r="R110" s="1890"/>
      <c r="S110" s="1890"/>
      <c r="T110" s="1890"/>
      <c r="U110" s="1890"/>
      <c r="V110" s="1890"/>
      <c r="W110" s="1890"/>
      <c r="X110" s="1890"/>
    </row>
    <row r="111" spans="1:24" x14ac:dyDescent="0.2">
      <c r="A111" s="1890"/>
      <c r="B111" s="1890"/>
      <c r="C111" s="1890"/>
      <c r="D111" s="1890"/>
      <c r="E111" s="1890"/>
      <c r="F111" s="2135"/>
      <c r="G111" s="1890"/>
      <c r="H111" s="1890"/>
      <c r="I111" s="1890"/>
      <c r="J111" s="1890"/>
      <c r="K111" s="1890"/>
      <c r="L111" s="1890"/>
      <c r="M111" s="1890"/>
      <c r="N111" s="1890"/>
      <c r="O111" s="1890"/>
      <c r="P111" s="1890"/>
      <c r="Q111" s="1890"/>
      <c r="R111" s="1890"/>
      <c r="S111" s="1890"/>
      <c r="T111" s="1890"/>
      <c r="U111" s="1890"/>
      <c r="V111" s="1890"/>
      <c r="W111" s="1890"/>
      <c r="X111" s="1890"/>
    </row>
    <row r="112" spans="1:24" x14ac:dyDescent="0.2">
      <c r="A112" s="1890"/>
      <c r="B112" s="1890"/>
      <c r="C112" s="1890"/>
      <c r="D112" s="1890"/>
      <c r="E112" s="1890"/>
      <c r="F112" s="2135"/>
      <c r="G112" s="1890"/>
      <c r="H112" s="1890"/>
      <c r="I112" s="1890"/>
      <c r="J112" s="1890"/>
      <c r="K112" s="1890"/>
      <c r="L112" s="1890"/>
      <c r="M112" s="1890"/>
      <c r="N112" s="1890"/>
      <c r="O112" s="1890"/>
      <c r="P112" s="1890"/>
      <c r="Q112" s="1890"/>
      <c r="R112" s="1890"/>
      <c r="S112" s="1890"/>
      <c r="T112" s="1890"/>
      <c r="U112" s="1890"/>
      <c r="V112" s="1890"/>
      <c r="W112" s="1890"/>
      <c r="X112" s="1890"/>
    </row>
    <row r="113" spans="1:24" x14ac:dyDescent="0.2">
      <c r="A113" s="1890"/>
      <c r="B113" s="1890"/>
      <c r="C113" s="1890"/>
      <c r="D113" s="1890"/>
      <c r="E113" s="1890"/>
      <c r="F113" s="2135"/>
      <c r="G113" s="1890"/>
      <c r="H113" s="1890"/>
      <c r="I113" s="1890"/>
      <c r="J113" s="1890"/>
      <c r="K113" s="1890"/>
      <c r="L113" s="1890"/>
      <c r="M113" s="1890"/>
      <c r="N113" s="1890"/>
      <c r="O113" s="1890"/>
      <c r="P113" s="1890"/>
      <c r="Q113" s="1890"/>
      <c r="R113" s="1890"/>
      <c r="S113" s="1890"/>
      <c r="T113" s="1890"/>
      <c r="U113" s="1890"/>
      <c r="V113" s="1890"/>
      <c r="W113" s="1890"/>
      <c r="X113" s="1890"/>
    </row>
    <row r="114" spans="1:24" x14ac:dyDescent="0.2">
      <c r="A114" s="1890"/>
      <c r="B114" s="1890"/>
      <c r="C114" s="1890"/>
      <c r="D114" s="1890"/>
      <c r="E114" s="1890"/>
      <c r="F114" s="2135"/>
      <c r="G114" s="1890"/>
      <c r="H114" s="1890"/>
      <c r="I114" s="1890"/>
      <c r="J114" s="1890"/>
      <c r="K114" s="1890"/>
      <c r="L114" s="1890"/>
      <c r="M114" s="1890"/>
      <c r="N114" s="1890"/>
      <c r="O114" s="1890"/>
      <c r="P114" s="1890"/>
      <c r="Q114" s="1890"/>
      <c r="R114" s="1890"/>
      <c r="S114" s="1890"/>
      <c r="T114" s="1890"/>
      <c r="U114" s="1890"/>
      <c r="V114" s="1890"/>
      <c r="W114" s="1890"/>
      <c r="X114" s="1890"/>
    </row>
    <row r="115" spans="1:24" x14ac:dyDescent="0.2">
      <c r="A115" s="1890"/>
      <c r="B115" s="1890"/>
      <c r="C115" s="1890"/>
      <c r="D115" s="1890"/>
      <c r="E115" s="1890"/>
      <c r="F115" s="2135"/>
      <c r="G115" s="1890"/>
      <c r="H115" s="1890"/>
      <c r="I115" s="1890"/>
      <c r="J115" s="1890"/>
      <c r="K115" s="1890"/>
      <c r="L115" s="1890"/>
      <c r="M115" s="1890"/>
      <c r="N115" s="1890"/>
      <c r="O115" s="1890"/>
      <c r="P115" s="1890"/>
      <c r="Q115" s="1890"/>
      <c r="R115" s="1890"/>
      <c r="S115" s="1890"/>
      <c r="T115" s="1890"/>
      <c r="U115" s="1890"/>
      <c r="V115" s="1890"/>
      <c r="W115" s="1890"/>
      <c r="X115" s="1890"/>
    </row>
    <row r="116" spans="1:24" x14ac:dyDescent="0.2">
      <c r="A116" s="1890"/>
      <c r="B116" s="1890"/>
      <c r="C116" s="1890"/>
      <c r="D116" s="1890"/>
      <c r="E116" s="1890"/>
      <c r="F116" s="2135"/>
      <c r="G116" s="1890"/>
      <c r="H116" s="1890"/>
      <c r="I116" s="1890"/>
      <c r="J116" s="1890"/>
      <c r="K116" s="1890"/>
      <c r="L116" s="1890"/>
      <c r="M116" s="1890"/>
      <c r="N116" s="1890"/>
      <c r="O116" s="1890"/>
      <c r="P116" s="1890"/>
      <c r="Q116" s="1890"/>
      <c r="R116" s="1890"/>
      <c r="S116" s="1890"/>
      <c r="T116" s="1890"/>
      <c r="U116" s="1890"/>
      <c r="V116" s="1890"/>
      <c r="W116" s="1890"/>
      <c r="X116" s="1890"/>
    </row>
    <row r="117" spans="1:24" x14ac:dyDescent="0.2">
      <c r="A117" s="1890"/>
      <c r="B117" s="1890"/>
      <c r="C117" s="1890"/>
      <c r="D117" s="1890"/>
      <c r="E117" s="1890"/>
      <c r="F117" s="2135"/>
      <c r="G117" s="1890"/>
      <c r="H117" s="1890"/>
      <c r="I117" s="1890"/>
      <c r="J117" s="1890"/>
      <c r="K117" s="1890"/>
      <c r="L117" s="1890"/>
      <c r="M117" s="1890"/>
      <c r="N117" s="1890"/>
      <c r="O117" s="1890"/>
      <c r="P117" s="1890"/>
      <c r="Q117" s="1890"/>
      <c r="R117" s="1890"/>
      <c r="S117" s="1890"/>
      <c r="T117" s="1890"/>
      <c r="U117" s="1890"/>
      <c r="V117" s="1890"/>
      <c r="W117" s="1890"/>
      <c r="X117" s="1890"/>
    </row>
    <row r="118" spans="1:24" x14ac:dyDescent="0.2">
      <c r="A118" s="1890"/>
      <c r="B118" s="1890"/>
      <c r="C118" s="1890"/>
      <c r="D118" s="1890"/>
      <c r="E118" s="1890"/>
      <c r="F118" s="2135"/>
      <c r="G118" s="1890"/>
      <c r="H118" s="1890"/>
      <c r="I118" s="1890"/>
      <c r="J118" s="1890"/>
      <c r="K118" s="1890"/>
      <c r="L118" s="1890"/>
      <c r="M118" s="1890"/>
      <c r="N118" s="1890"/>
      <c r="O118" s="1890"/>
      <c r="P118" s="1890"/>
      <c r="Q118" s="1890"/>
      <c r="R118" s="1890"/>
      <c r="S118" s="1890"/>
      <c r="T118" s="1890"/>
      <c r="U118" s="1890"/>
      <c r="V118" s="1890"/>
      <c r="W118" s="1890"/>
      <c r="X118" s="1890"/>
    </row>
    <row r="119" spans="1:24" x14ac:dyDescent="0.2">
      <c r="A119" s="1890"/>
      <c r="B119" s="1890"/>
      <c r="C119" s="1890"/>
      <c r="D119" s="1890"/>
      <c r="E119" s="1890"/>
      <c r="F119" s="2135"/>
      <c r="G119" s="1890"/>
      <c r="H119" s="1890"/>
      <c r="I119" s="1890"/>
      <c r="J119" s="1890"/>
      <c r="K119" s="1890"/>
      <c r="L119" s="1890"/>
      <c r="M119" s="1890"/>
      <c r="N119" s="1890"/>
      <c r="O119" s="1890"/>
      <c r="P119" s="1890"/>
      <c r="Q119" s="1890"/>
      <c r="R119" s="1890"/>
      <c r="S119" s="1890"/>
      <c r="T119" s="1890"/>
      <c r="U119" s="1890"/>
      <c r="V119" s="1890"/>
      <c r="W119" s="1890"/>
      <c r="X119" s="1890"/>
    </row>
    <row r="120" spans="1:24" x14ac:dyDescent="0.2">
      <c r="A120" s="1890"/>
      <c r="B120" s="1890"/>
      <c r="C120" s="1890"/>
      <c r="D120" s="1890"/>
      <c r="E120" s="1890"/>
      <c r="F120" s="2135"/>
      <c r="G120" s="1890"/>
      <c r="H120" s="1890"/>
      <c r="I120" s="1890"/>
      <c r="J120" s="1890"/>
      <c r="K120" s="1890"/>
      <c r="L120" s="1890"/>
      <c r="M120" s="1890"/>
      <c r="N120" s="1890"/>
      <c r="O120" s="1890"/>
      <c r="P120" s="1890"/>
      <c r="Q120" s="1890"/>
      <c r="R120" s="1890"/>
      <c r="S120" s="1890"/>
      <c r="T120" s="1890"/>
      <c r="U120" s="1890"/>
      <c r="V120" s="1890"/>
      <c r="W120" s="1890"/>
      <c r="X120" s="1890"/>
    </row>
    <row r="121" spans="1:24" x14ac:dyDescent="0.2">
      <c r="A121" s="1890"/>
      <c r="B121" s="1890"/>
      <c r="C121" s="1890"/>
      <c r="D121" s="1890"/>
      <c r="E121" s="1890"/>
      <c r="F121" s="2135"/>
      <c r="G121" s="1890"/>
      <c r="H121" s="1890"/>
      <c r="I121" s="1890"/>
      <c r="J121" s="1890"/>
      <c r="K121" s="1890"/>
      <c r="L121" s="1890"/>
      <c r="M121" s="1890"/>
      <c r="N121" s="1890"/>
      <c r="O121" s="1890"/>
      <c r="P121" s="1890"/>
      <c r="Q121" s="1890"/>
      <c r="R121" s="1890"/>
      <c r="S121" s="1890"/>
      <c r="T121" s="1890"/>
      <c r="U121" s="1890"/>
      <c r="V121" s="1890"/>
      <c r="W121" s="1890"/>
      <c r="X121" s="1890"/>
    </row>
    <row r="122" spans="1:24" x14ac:dyDescent="0.2">
      <c r="A122" s="1890"/>
      <c r="B122" s="1890"/>
      <c r="C122" s="1890"/>
      <c r="D122" s="1890"/>
      <c r="E122" s="1890"/>
      <c r="F122" s="2135"/>
      <c r="G122" s="1890"/>
      <c r="H122" s="1890"/>
      <c r="I122" s="1890"/>
      <c r="J122" s="1890"/>
      <c r="K122" s="1890"/>
      <c r="L122" s="1890"/>
      <c r="M122" s="1890"/>
      <c r="N122" s="1890"/>
      <c r="O122" s="1890"/>
      <c r="P122" s="1890"/>
      <c r="Q122" s="1890"/>
      <c r="R122" s="1890"/>
      <c r="S122" s="1890"/>
      <c r="T122" s="1890"/>
      <c r="U122" s="1890"/>
      <c r="V122" s="1890"/>
      <c r="W122" s="1890"/>
      <c r="X122" s="1890"/>
    </row>
    <row r="123" spans="1:24" x14ac:dyDescent="0.2">
      <c r="A123" s="1890"/>
      <c r="B123" s="1890"/>
      <c r="C123" s="1890"/>
      <c r="D123" s="1890"/>
      <c r="E123" s="1890"/>
      <c r="F123" s="2135"/>
      <c r="G123" s="1890"/>
      <c r="H123" s="1890"/>
      <c r="I123" s="1890"/>
      <c r="J123" s="1890"/>
      <c r="K123" s="1890"/>
      <c r="L123" s="1890"/>
      <c r="M123" s="1890"/>
      <c r="N123" s="1890"/>
      <c r="O123" s="1890"/>
      <c r="P123" s="1890"/>
      <c r="Q123" s="1890"/>
      <c r="R123" s="1890"/>
      <c r="S123" s="1890"/>
      <c r="T123" s="1890"/>
      <c r="U123" s="1890"/>
      <c r="V123" s="1890"/>
      <c r="W123" s="1890"/>
      <c r="X123" s="1890"/>
    </row>
    <row r="124" spans="1:24" x14ac:dyDescent="0.2">
      <c r="A124" s="1890"/>
      <c r="B124" s="1890"/>
      <c r="C124" s="1890"/>
      <c r="D124" s="1890"/>
      <c r="E124" s="1890"/>
      <c r="F124" s="2135"/>
      <c r="G124" s="1890"/>
      <c r="H124" s="1890"/>
      <c r="I124" s="1890"/>
      <c r="J124" s="1890"/>
      <c r="K124" s="1890"/>
      <c r="L124" s="1890"/>
      <c r="M124" s="1890"/>
      <c r="N124" s="1890"/>
      <c r="O124" s="1890"/>
      <c r="P124" s="1890"/>
      <c r="Q124" s="1890"/>
      <c r="R124" s="1890"/>
      <c r="S124" s="1890"/>
      <c r="T124" s="1890"/>
      <c r="U124" s="1890"/>
      <c r="V124" s="1890"/>
      <c r="W124" s="1890"/>
      <c r="X124" s="1890"/>
    </row>
    <row r="125" spans="1:24" x14ac:dyDescent="0.2">
      <c r="A125" s="1890"/>
      <c r="B125" s="1890"/>
      <c r="C125" s="1890"/>
      <c r="D125" s="1890"/>
      <c r="E125" s="1890"/>
      <c r="F125" s="2135"/>
      <c r="G125" s="1890"/>
      <c r="H125" s="1890"/>
      <c r="I125" s="1890"/>
      <c r="J125" s="1890"/>
      <c r="K125" s="1890"/>
      <c r="L125" s="1890"/>
      <c r="M125" s="1890"/>
      <c r="N125" s="1890"/>
      <c r="O125" s="1890"/>
      <c r="P125" s="1890"/>
      <c r="Q125" s="1890"/>
      <c r="R125" s="1890"/>
      <c r="S125" s="1890"/>
      <c r="T125" s="1890"/>
      <c r="U125" s="1890"/>
      <c r="V125" s="1890"/>
      <c r="W125" s="1890"/>
      <c r="X125" s="1890"/>
    </row>
    <row r="126" spans="1:24" x14ac:dyDescent="0.2">
      <c r="A126" s="1890"/>
      <c r="B126" s="1890"/>
      <c r="C126" s="1890"/>
      <c r="D126" s="1890"/>
      <c r="E126" s="1890"/>
      <c r="F126" s="2135"/>
      <c r="G126" s="1890"/>
      <c r="H126" s="1890"/>
      <c r="I126" s="1890"/>
      <c r="J126" s="1890"/>
      <c r="K126" s="1890"/>
      <c r="L126" s="1890"/>
      <c r="M126" s="1890"/>
      <c r="N126" s="1890"/>
      <c r="O126" s="1890"/>
      <c r="P126" s="1890"/>
      <c r="Q126" s="1890"/>
      <c r="R126" s="1890"/>
      <c r="S126" s="1890"/>
      <c r="T126" s="1890"/>
      <c r="U126" s="1890"/>
      <c r="V126" s="1890"/>
      <c r="W126" s="1890"/>
      <c r="X126" s="1890"/>
    </row>
    <row r="127" spans="1:24" x14ac:dyDescent="0.2">
      <c r="A127" s="1890"/>
      <c r="B127" s="1890"/>
      <c r="C127" s="1890"/>
      <c r="D127" s="1890"/>
      <c r="E127" s="1890"/>
      <c r="F127" s="2135"/>
      <c r="G127" s="1890"/>
      <c r="H127" s="1890"/>
      <c r="I127" s="1890"/>
      <c r="J127" s="1890"/>
      <c r="K127" s="1890"/>
      <c r="L127" s="1890"/>
      <c r="M127" s="1890"/>
      <c r="N127" s="1890"/>
      <c r="O127" s="1890"/>
      <c r="P127" s="1890"/>
      <c r="Q127" s="1890"/>
      <c r="R127" s="1890"/>
      <c r="S127" s="1890"/>
      <c r="T127" s="1890"/>
      <c r="U127" s="1890"/>
      <c r="V127" s="1890"/>
      <c r="W127" s="1890"/>
      <c r="X127" s="1890"/>
    </row>
    <row r="128" spans="1:24" x14ac:dyDescent="0.2">
      <c r="A128" s="1890"/>
      <c r="B128" s="1890"/>
      <c r="C128" s="1890"/>
      <c r="D128" s="1890"/>
      <c r="E128" s="1890"/>
      <c r="F128" s="2135"/>
      <c r="G128" s="1890"/>
      <c r="H128" s="1890"/>
      <c r="I128" s="1890"/>
      <c r="J128" s="1890"/>
      <c r="K128" s="1890"/>
      <c r="L128" s="1890"/>
      <c r="M128" s="1890"/>
      <c r="N128" s="1890"/>
      <c r="O128" s="1890"/>
      <c r="P128" s="1890"/>
      <c r="Q128" s="1890"/>
      <c r="R128" s="1890"/>
      <c r="S128" s="1890"/>
      <c r="T128" s="1890"/>
      <c r="U128" s="1890"/>
      <c r="V128" s="1890"/>
      <c r="W128" s="1890"/>
      <c r="X128" s="1890"/>
    </row>
    <row r="129" spans="1:24" x14ac:dyDescent="0.2">
      <c r="A129" s="1890"/>
      <c r="B129" s="1890"/>
      <c r="C129" s="1890"/>
      <c r="D129" s="1890"/>
      <c r="E129" s="1890"/>
      <c r="F129" s="2135"/>
      <c r="G129" s="1890"/>
      <c r="H129" s="1890"/>
      <c r="I129" s="1890"/>
      <c r="J129" s="1890"/>
      <c r="K129" s="1890"/>
      <c r="L129" s="1890"/>
      <c r="M129" s="1890"/>
      <c r="N129" s="1890"/>
      <c r="O129" s="1890"/>
      <c r="P129" s="1890"/>
      <c r="Q129" s="1890"/>
      <c r="R129" s="1890"/>
      <c r="S129" s="1890"/>
      <c r="T129" s="1890"/>
      <c r="U129" s="1890"/>
      <c r="V129" s="1890"/>
      <c r="W129" s="1890"/>
      <c r="X129" s="1890"/>
    </row>
    <row r="130" spans="1:24" x14ac:dyDescent="0.2">
      <c r="A130" s="1890"/>
      <c r="B130" s="1890"/>
      <c r="C130" s="1890"/>
      <c r="D130" s="1890"/>
      <c r="E130" s="1890"/>
      <c r="F130" s="2135"/>
      <c r="G130" s="1890"/>
      <c r="H130" s="1890"/>
      <c r="I130" s="1890"/>
      <c r="J130" s="1890"/>
      <c r="K130" s="1890"/>
      <c r="L130" s="1890"/>
      <c r="M130" s="1890"/>
      <c r="N130" s="1890"/>
      <c r="O130" s="1890"/>
      <c r="P130" s="1890"/>
      <c r="Q130" s="1890"/>
      <c r="R130" s="1890"/>
      <c r="S130" s="1890"/>
      <c r="T130" s="1890"/>
      <c r="U130" s="1890"/>
      <c r="V130" s="1890"/>
      <c r="W130" s="1890"/>
      <c r="X130" s="1890"/>
    </row>
    <row r="131" spans="1:24" x14ac:dyDescent="0.2">
      <c r="A131" s="1890"/>
      <c r="B131" s="1890"/>
      <c r="C131" s="1890"/>
      <c r="D131" s="1890"/>
      <c r="E131" s="1890"/>
      <c r="F131" s="2135"/>
      <c r="G131" s="1890"/>
      <c r="H131" s="1890"/>
      <c r="I131" s="1890"/>
      <c r="J131" s="1890"/>
      <c r="K131" s="1890"/>
      <c r="L131" s="1890"/>
      <c r="M131" s="1890"/>
      <c r="N131" s="1890"/>
      <c r="O131" s="1890"/>
      <c r="P131" s="1890"/>
      <c r="Q131" s="1890"/>
      <c r="R131" s="1890"/>
      <c r="S131" s="1890"/>
      <c r="T131" s="1890"/>
      <c r="U131" s="1890"/>
      <c r="V131" s="1890"/>
      <c r="W131" s="1890"/>
      <c r="X131" s="1890"/>
    </row>
    <row r="132" spans="1:24" x14ac:dyDescent="0.2">
      <c r="A132" s="1890"/>
      <c r="B132" s="1890"/>
      <c r="C132" s="1890"/>
      <c r="D132" s="1890"/>
      <c r="E132" s="1890"/>
      <c r="F132" s="2135"/>
      <c r="G132" s="1890"/>
      <c r="H132" s="1890"/>
      <c r="I132" s="1890"/>
      <c r="J132" s="1890"/>
      <c r="K132" s="1890"/>
      <c r="L132" s="1890"/>
      <c r="M132" s="1890"/>
      <c r="N132" s="1890"/>
      <c r="O132" s="1890"/>
      <c r="P132" s="1890"/>
      <c r="Q132" s="1890"/>
      <c r="R132" s="1890"/>
      <c r="S132" s="1890"/>
      <c r="T132" s="1890"/>
      <c r="U132" s="1890"/>
      <c r="V132" s="1890"/>
      <c r="W132" s="1890"/>
      <c r="X132" s="1890"/>
    </row>
    <row r="133" spans="1:24" x14ac:dyDescent="0.2">
      <c r="A133" s="1890"/>
      <c r="B133" s="1890"/>
      <c r="C133" s="1890"/>
      <c r="D133" s="1890"/>
      <c r="E133" s="1890"/>
      <c r="F133" s="2135"/>
      <c r="G133" s="1890"/>
      <c r="H133" s="1890"/>
      <c r="I133" s="1890"/>
      <c r="J133" s="1890"/>
      <c r="K133" s="1890"/>
      <c r="L133" s="1890"/>
      <c r="M133" s="1890"/>
      <c r="N133" s="1890"/>
      <c r="O133" s="1890"/>
      <c r="P133" s="1890"/>
      <c r="Q133" s="1890"/>
      <c r="R133" s="1890"/>
      <c r="S133" s="1890"/>
      <c r="T133" s="1890"/>
      <c r="U133" s="1890"/>
      <c r="V133" s="1890"/>
      <c r="W133" s="1890"/>
      <c r="X133" s="1890"/>
    </row>
    <row r="134" spans="1:24" x14ac:dyDescent="0.2">
      <c r="A134" s="1890"/>
      <c r="B134" s="1890"/>
      <c r="C134" s="1890"/>
      <c r="D134" s="1890"/>
      <c r="E134" s="1890"/>
      <c r="F134" s="2135"/>
      <c r="G134" s="1890"/>
      <c r="H134" s="1890"/>
      <c r="I134" s="1890"/>
      <c r="J134" s="1890"/>
      <c r="K134" s="1890"/>
      <c r="L134" s="1890"/>
      <c r="M134" s="1890"/>
      <c r="N134" s="1890"/>
      <c r="O134" s="1890"/>
      <c r="P134" s="1890"/>
      <c r="Q134" s="1890"/>
      <c r="R134" s="1890"/>
      <c r="S134" s="1890"/>
      <c r="T134" s="1890"/>
      <c r="U134" s="1890"/>
      <c r="V134" s="1890"/>
      <c r="W134" s="1890"/>
      <c r="X134" s="1890"/>
    </row>
    <row r="135" spans="1:24" x14ac:dyDescent="0.2">
      <c r="A135" s="1890"/>
      <c r="B135" s="1890"/>
      <c r="C135" s="1890"/>
      <c r="D135" s="1890"/>
      <c r="E135" s="1890"/>
      <c r="F135" s="2135"/>
      <c r="G135" s="1890"/>
      <c r="H135" s="1890"/>
      <c r="I135" s="1890"/>
      <c r="J135" s="1890"/>
      <c r="K135" s="1890"/>
      <c r="L135" s="1890"/>
      <c r="M135" s="1890"/>
      <c r="N135" s="1890"/>
      <c r="O135" s="1890"/>
      <c r="P135" s="1890"/>
      <c r="Q135" s="1890"/>
      <c r="R135" s="1890"/>
      <c r="S135" s="1890"/>
      <c r="T135" s="1890"/>
      <c r="U135" s="1890"/>
      <c r="V135" s="1890"/>
      <c r="W135" s="1890"/>
      <c r="X135" s="1890"/>
    </row>
    <row r="136" spans="1:24" x14ac:dyDescent="0.2">
      <c r="A136" s="1890"/>
      <c r="B136" s="1890"/>
      <c r="C136" s="1890"/>
      <c r="D136" s="1890"/>
      <c r="E136" s="1890"/>
      <c r="F136" s="2135"/>
      <c r="G136" s="1890"/>
      <c r="H136" s="1890"/>
      <c r="I136" s="1890"/>
      <c r="J136" s="1890"/>
      <c r="K136" s="1890"/>
      <c r="L136" s="1890"/>
      <c r="M136" s="1890"/>
      <c r="N136" s="1890"/>
      <c r="O136" s="1890"/>
      <c r="P136" s="1890"/>
      <c r="Q136" s="1890"/>
      <c r="R136" s="1890"/>
      <c r="S136" s="1890"/>
      <c r="T136" s="1890"/>
      <c r="U136" s="1890"/>
      <c r="V136" s="1890"/>
      <c r="W136" s="1890"/>
      <c r="X136" s="1890"/>
    </row>
    <row r="137" spans="1:24" x14ac:dyDescent="0.2">
      <c r="A137" s="1890"/>
      <c r="B137" s="1890"/>
      <c r="C137" s="1890"/>
      <c r="D137" s="1890"/>
      <c r="E137" s="1890"/>
      <c r="F137" s="2135"/>
      <c r="G137" s="1890"/>
      <c r="H137" s="1890"/>
      <c r="I137" s="1890"/>
      <c r="J137" s="1890"/>
      <c r="K137" s="1890"/>
      <c r="L137" s="1890"/>
      <c r="M137" s="1890"/>
      <c r="N137" s="1890"/>
      <c r="O137" s="1890"/>
      <c r="P137" s="1890"/>
      <c r="Q137" s="1890"/>
      <c r="R137" s="1890"/>
      <c r="S137" s="1890"/>
      <c r="T137" s="1890"/>
      <c r="U137" s="1890"/>
      <c r="V137" s="1890"/>
      <c r="W137" s="1890"/>
      <c r="X137" s="1890"/>
    </row>
    <row r="138" spans="1:24" x14ac:dyDescent="0.2">
      <c r="A138" s="1890"/>
      <c r="B138" s="1890"/>
      <c r="C138" s="1890"/>
      <c r="D138" s="1890"/>
      <c r="E138" s="1890"/>
      <c r="F138" s="2135"/>
      <c r="G138" s="1890"/>
      <c r="H138" s="1890"/>
      <c r="I138" s="1890"/>
      <c r="J138" s="1890"/>
      <c r="K138" s="1890"/>
      <c r="L138" s="1890"/>
      <c r="M138" s="1890"/>
      <c r="N138" s="1890"/>
      <c r="O138" s="1890"/>
      <c r="P138" s="1890"/>
      <c r="Q138" s="1890"/>
      <c r="R138" s="1890"/>
      <c r="S138" s="1890"/>
      <c r="T138" s="1890"/>
      <c r="U138" s="1890"/>
      <c r="V138" s="1890"/>
      <c r="W138" s="1890"/>
      <c r="X138" s="1890"/>
    </row>
    <row r="139" spans="1:24" x14ac:dyDescent="0.2">
      <c r="A139" s="1890"/>
      <c r="B139" s="1890"/>
      <c r="C139" s="1890"/>
      <c r="D139" s="1890"/>
      <c r="E139" s="1890"/>
      <c r="F139" s="2135"/>
      <c r="G139" s="1890"/>
      <c r="H139" s="1890"/>
      <c r="I139" s="1890"/>
      <c r="J139" s="1890"/>
      <c r="K139" s="1890"/>
      <c r="L139" s="1890"/>
      <c r="M139" s="1890"/>
      <c r="N139" s="1890"/>
      <c r="O139" s="1890"/>
      <c r="P139" s="1890"/>
      <c r="Q139" s="1890"/>
      <c r="R139" s="1890"/>
      <c r="S139" s="1890"/>
      <c r="T139" s="1890"/>
      <c r="U139" s="1890"/>
      <c r="V139" s="1890"/>
      <c r="W139" s="1890"/>
      <c r="X139" s="1890"/>
    </row>
    <row r="140" spans="1:24" x14ac:dyDescent="0.2">
      <c r="A140" s="1890"/>
      <c r="B140" s="1890"/>
      <c r="C140" s="1890"/>
      <c r="D140" s="1890"/>
      <c r="E140" s="1890"/>
      <c r="F140" s="2135"/>
      <c r="G140" s="1890"/>
      <c r="H140" s="1890"/>
      <c r="I140" s="1890"/>
      <c r="J140" s="1890"/>
      <c r="K140" s="1890"/>
      <c r="L140" s="1890"/>
      <c r="M140" s="1890"/>
      <c r="N140" s="1890"/>
      <c r="O140" s="1890"/>
      <c r="P140" s="1890"/>
      <c r="Q140" s="1890"/>
      <c r="R140" s="1890"/>
      <c r="S140" s="1890"/>
      <c r="T140" s="1890"/>
      <c r="U140" s="1890"/>
      <c r="V140" s="1890"/>
      <c r="W140" s="1890"/>
      <c r="X140" s="1890"/>
    </row>
    <row r="141" spans="1:24" x14ac:dyDescent="0.2">
      <c r="A141" s="1890"/>
      <c r="B141" s="1890"/>
      <c r="C141" s="1890"/>
      <c r="D141" s="1890"/>
      <c r="E141" s="1890"/>
      <c r="F141" s="2135"/>
      <c r="G141" s="1890"/>
      <c r="H141" s="1890"/>
      <c r="I141" s="1890"/>
      <c r="J141" s="1890"/>
      <c r="K141" s="1890"/>
      <c r="L141" s="1890"/>
      <c r="M141" s="1890"/>
      <c r="N141" s="1890"/>
      <c r="O141" s="1890"/>
      <c r="P141" s="1890"/>
      <c r="Q141" s="1890"/>
      <c r="R141" s="1890"/>
      <c r="S141" s="1890"/>
      <c r="T141" s="1890"/>
      <c r="U141" s="1890"/>
      <c r="V141" s="1890"/>
      <c r="W141" s="1890"/>
      <c r="X141" s="1890"/>
    </row>
    <row r="142" spans="1:24" x14ac:dyDescent="0.2">
      <c r="A142" s="1890"/>
      <c r="B142" s="1890"/>
      <c r="C142" s="1890"/>
      <c r="D142" s="1890"/>
      <c r="E142" s="1890"/>
      <c r="F142" s="2135"/>
      <c r="G142" s="1890"/>
      <c r="H142" s="1890"/>
      <c r="I142" s="1890"/>
      <c r="J142" s="1890"/>
      <c r="K142" s="1890"/>
      <c r="L142" s="1890"/>
      <c r="M142" s="1890"/>
      <c r="N142" s="1890"/>
      <c r="O142" s="1890"/>
      <c r="P142" s="1890"/>
      <c r="Q142" s="1890"/>
      <c r="R142" s="1890"/>
      <c r="S142" s="1890"/>
      <c r="T142" s="1890"/>
      <c r="U142" s="1890"/>
      <c r="V142" s="1890"/>
      <c r="W142" s="1890"/>
      <c r="X142" s="1890"/>
    </row>
    <row r="143" spans="1:24" x14ac:dyDescent="0.2">
      <c r="A143" s="1890"/>
      <c r="B143" s="1890"/>
      <c r="C143" s="1890"/>
      <c r="D143" s="1890"/>
      <c r="E143" s="1890"/>
      <c r="F143" s="2135"/>
      <c r="G143" s="1890"/>
      <c r="H143" s="1890"/>
      <c r="I143" s="1890"/>
      <c r="J143" s="1890"/>
      <c r="K143" s="1890"/>
      <c r="L143" s="1890"/>
      <c r="M143" s="1890"/>
      <c r="N143" s="1890"/>
      <c r="O143" s="1890"/>
      <c r="P143" s="1890"/>
      <c r="Q143" s="1890"/>
      <c r="R143" s="1890"/>
      <c r="S143" s="1890"/>
      <c r="T143" s="1890"/>
      <c r="U143" s="1890"/>
      <c r="V143" s="1890"/>
      <c r="W143" s="1890"/>
      <c r="X143" s="1890"/>
    </row>
    <row r="144" spans="1:24" x14ac:dyDescent="0.2">
      <c r="A144" s="1890"/>
      <c r="B144" s="1890"/>
      <c r="C144" s="1890"/>
      <c r="D144" s="1890"/>
      <c r="E144" s="1890"/>
      <c r="F144" s="2135"/>
      <c r="G144" s="1890"/>
      <c r="H144" s="1890"/>
      <c r="I144" s="1890"/>
      <c r="J144" s="1890"/>
      <c r="K144" s="1890"/>
      <c r="L144" s="1890"/>
      <c r="M144" s="1890"/>
      <c r="N144" s="1890"/>
      <c r="O144" s="1890"/>
      <c r="P144" s="1890"/>
      <c r="Q144" s="1890"/>
      <c r="R144" s="1890"/>
      <c r="S144" s="1890"/>
      <c r="T144" s="1890"/>
      <c r="U144" s="1890"/>
      <c r="V144" s="1890"/>
      <c r="W144" s="1890"/>
      <c r="X144" s="1890"/>
    </row>
    <row r="145" spans="1:24" x14ac:dyDescent="0.2">
      <c r="A145" s="1890"/>
      <c r="B145" s="1890"/>
      <c r="C145" s="1890"/>
      <c r="D145" s="1890"/>
      <c r="E145" s="1890"/>
      <c r="F145" s="2135"/>
      <c r="G145" s="1890"/>
      <c r="H145" s="1890"/>
      <c r="I145" s="1890"/>
      <c r="J145" s="1890"/>
      <c r="K145" s="1890"/>
      <c r="L145" s="1890"/>
      <c r="M145" s="1890"/>
      <c r="N145" s="1890"/>
      <c r="O145" s="1890"/>
      <c r="P145" s="1890"/>
      <c r="Q145" s="1890"/>
      <c r="R145" s="1890"/>
      <c r="S145" s="1890"/>
      <c r="T145" s="1890"/>
      <c r="U145" s="1890"/>
      <c r="V145" s="1890"/>
      <c r="W145" s="1890"/>
      <c r="X145" s="1890"/>
    </row>
    <row r="146" spans="1:24" x14ac:dyDescent="0.2">
      <c r="A146" s="1890"/>
      <c r="B146" s="1890"/>
      <c r="C146" s="1890"/>
      <c r="D146" s="1890"/>
      <c r="E146" s="1890"/>
      <c r="F146" s="2135"/>
      <c r="G146" s="1890"/>
      <c r="H146" s="1890"/>
      <c r="I146" s="1890"/>
      <c r="J146" s="1890"/>
      <c r="K146" s="1890"/>
      <c r="L146" s="1890"/>
      <c r="M146" s="1890"/>
      <c r="N146" s="1890"/>
      <c r="O146" s="1890"/>
      <c r="P146" s="1890"/>
      <c r="Q146" s="1890"/>
      <c r="R146" s="1890"/>
      <c r="S146" s="1890"/>
      <c r="T146" s="1890"/>
      <c r="U146" s="1890"/>
      <c r="V146" s="1890"/>
      <c r="W146" s="1890"/>
      <c r="X146" s="1890"/>
    </row>
    <row r="147" spans="1:24" x14ac:dyDescent="0.2">
      <c r="A147" s="1890"/>
      <c r="B147" s="1890"/>
      <c r="C147" s="1890"/>
      <c r="D147" s="1890"/>
      <c r="E147" s="1890"/>
      <c r="F147" s="2135"/>
      <c r="G147" s="1890"/>
      <c r="H147" s="1890"/>
      <c r="I147" s="1890"/>
      <c r="J147" s="1890"/>
      <c r="K147" s="1890"/>
      <c r="L147" s="1890"/>
      <c r="M147" s="1890"/>
      <c r="N147" s="1890"/>
      <c r="O147" s="1890"/>
      <c r="P147" s="1890"/>
      <c r="Q147" s="1890"/>
      <c r="R147" s="1890"/>
      <c r="S147" s="1890"/>
      <c r="T147" s="1890"/>
      <c r="U147" s="1890"/>
      <c r="V147" s="1890"/>
      <c r="W147" s="1890"/>
      <c r="X147" s="1890"/>
    </row>
    <row r="148" spans="1:24" x14ac:dyDescent="0.2">
      <c r="A148" s="1890"/>
      <c r="B148" s="1890"/>
      <c r="C148" s="1890"/>
      <c r="D148" s="1890"/>
      <c r="E148" s="1890"/>
      <c r="F148" s="2135"/>
      <c r="G148" s="1890"/>
      <c r="H148" s="1890"/>
      <c r="I148" s="1890"/>
      <c r="J148" s="1890"/>
      <c r="K148" s="1890"/>
      <c r="L148" s="1890"/>
      <c r="M148" s="1890"/>
      <c r="N148" s="1890"/>
      <c r="O148" s="1890"/>
      <c r="P148" s="1890"/>
      <c r="Q148" s="1890"/>
      <c r="R148" s="1890"/>
      <c r="S148" s="1890"/>
      <c r="T148" s="1890"/>
      <c r="U148" s="1890"/>
      <c r="V148" s="1890"/>
      <c r="W148" s="1890"/>
      <c r="X148" s="1890"/>
    </row>
    <row r="149" spans="1:24" x14ac:dyDescent="0.2">
      <c r="A149" s="1890"/>
      <c r="B149" s="1890"/>
      <c r="C149" s="1890"/>
      <c r="D149" s="1890"/>
      <c r="E149" s="1890"/>
      <c r="F149" s="2135"/>
      <c r="G149" s="1890"/>
      <c r="H149" s="1890"/>
      <c r="I149" s="1890"/>
      <c r="J149" s="1890"/>
      <c r="K149" s="1890"/>
      <c r="L149" s="1890"/>
      <c r="M149" s="1890"/>
      <c r="N149" s="1890"/>
      <c r="O149" s="1890"/>
      <c r="P149" s="1890"/>
      <c r="Q149" s="1890"/>
      <c r="R149" s="1890"/>
      <c r="S149" s="1890"/>
      <c r="T149" s="1890"/>
      <c r="U149" s="1890"/>
      <c r="V149" s="1890"/>
      <c r="W149" s="1890"/>
      <c r="X149" s="1890"/>
    </row>
    <row r="150" spans="1:24" x14ac:dyDescent="0.2">
      <c r="A150" s="1890"/>
      <c r="B150" s="1890"/>
      <c r="C150" s="1890"/>
      <c r="D150" s="1890"/>
      <c r="E150" s="1890"/>
      <c r="F150" s="2135"/>
      <c r="G150" s="1890"/>
      <c r="H150" s="1890"/>
      <c r="I150" s="1890"/>
      <c r="J150" s="1890"/>
      <c r="K150" s="1890"/>
      <c r="L150" s="1890"/>
      <c r="M150" s="1890"/>
      <c r="N150" s="1890"/>
      <c r="O150" s="1890"/>
      <c r="P150" s="1890"/>
      <c r="Q150" s="1890"/>
      <c r="R150" s="1890"/>
      <c r="S150" s="1890"/>
      <c r="T150" s="1890"/>
      <c r="U150" s="1890"/>
      <c r="V150" s="1890"/>
      <c r="W150" s="1890"/>
      <c r="X150" s="1890"/>
    </row>
    <row r="151" spans="1:24" x14ac:dyDescent="0.2">
      <c r="A151" s="1890"/>
      <c r="B151" s="1890"/>
      <c r="C151" s="1890"/>
      <c r="D151" s="1890"/>
      <c r="E151" s="1890"/>
      <c r="F151" s="2135"/>
      <c r="G151" s="1890"/>
      <c r="H151" s="1890"/>
      <c r="I151" s="1890"/>
      <c r="J151" s="1890"/>
      <c r="K151" s="1890"/>
      <c r="L151" s="1890"/>
      <c r="M151" s="1890"/>
      <c r="N151" s="1890"/>
      <c r="O151" s="1890"/>
      <c r="P151" s="1890"/>
      <c r="Q151" s="1890"/>
      <c r="R151" s="1890"/>
      <c r="S151" s="1890"/>
      <c r="T151" s="1890"/>
      <c r="U151" s="1890"/>
      <c r="V151" s="1890"/>
      <c r="W151" s="1890"/>
      <c r="X151" s="1890"/>
    </row>
    <row r="152" spans="1:24" x14ac:dyDescent="0.2">
      <c r="A152" s="1890"/>
      <c r="B152" s="1890"/>
      <c r="C152" s="1890"/>
      <c r="D152" s="1890"/>
      <c r="E152" s="1890"/>
      <c r="F152" s="2135"/>
      <c r="G152" s="1890"/>
      <c r="H152" s="1890"/>
      <c r="I152" s="1890"/>
      <c r="J152" s="1890"/>
      <c r="K152" s="1890"/>
      <c r="L152" s="1890"/>
      <c r="M152" s="1890"/>
      <c r="N152" s="1890"/>
      <c r="O152" s="1890"/>
      <c r="P152" s="1890"/>
      <c r="Q152" s="1890"/>
      <c r="R152" s="1890"/>
      <c r="S152" s="1890"/>
      <c r="T152" s="1890"/>
      <c r="U152" s="1890"/>
      <c r="V152" s="1890"/>
      <c r="W152" s="1890"/>
      <c r="X152" s="1890"/>
    </row>
    <row r="153" spans="1:24" x14ac:dyDescent="0.2">
      <c r="A153" s="1890"/>
      <c r="B153" s="1890"/>
      <c r="C153" s="1890"/>
      <c r="D153" s="1890"/>
      <c r="E153" s="1890"/>
      <c r="F153" s="2135"/>
      <c r="G153" s="1890"/>
      <c r="H153" s="1890"/>
      <c r="I153" s="1890"/>
      <c r="J153" s="1890"/>
      <c r="K153" s="1890"/>
      <c r="L153" s="1890"/>
      <c r="M153" s="1890"/>
      <c r="N153" s="1890"/>
      <c r="O153" s="1890"/>
      <c r="P153" s="1890"/>
      <c r="Q153" s="1890"/>
      <c r="R153" s="1890"/>
      <c r="S153" s="1890"/>
      <c r="T153" s="1890"/>
      <c r="U153" s="1890"/>
      <c r="V153" s="1890"/>
      <c r="W153" s="1890"/>
      <c r="X153" s="1890"/>
    </row>
    <row r="154" spans="1:24" x14ac:dyDescent="0.2">
      <c r="A154" s="1890"/>
      <c r="B154" s="1890"/>
      <c r="C154" s="1890"/>
      <c r="D154" s="1890"/>
      <c r="E154" s="1890"/>
      <c r="F154" s="2135"/>
      <c r="G154" s="1890"/>
      <c r="H154" s="1890"/>
      <c r="I154" s="1890"/>
      <c r="J154" s="1890"/>
      <c r="K154" s="1890"/>
      <c r="L154" s="1890"/>
      <c r="M154" s="1890"/>
      <c r="N154" s="1890"/>
      <c r="O154" s="1890"/>
      <c r="P154" s="1890"/>
      <c r="Q154" s="1890"/>
      <c r="R154" s="1890"/>
      <c r="S154" s="1890"/>
      <c r="T154" s="1890"/>
      <c r="U154" s="1890"/>
      <c r="V154" s="1890"/>
      <c r="W154" s="1890"/>
      <c r="X154" s="1890"/>
    </row>
    <row r="155" spans="1:24" x14ac:dyDescent="0.2">
      <c r="A155" s="1890"/>
      <c r="B155" s="1890"/>
      <c r="C155" s="1890"/>
      <c r="D155" s="1890"/>
      <c r="E155" s="1890"/>
      <c r="F155" s="2135"/>
      <c r="G155" s="1890"/>
      <c r="H155" s="1890"/>
      <c r="I155" s="1890"/>
      <c r="J155" s="1890"/>
      <c r="K155" s="1890"/>
      <c r="L155" s="1890"/>
      <c r="M155" s="1890"/>
      <c r="N155" s="1890"/>
      <c r="O155" s="1890"/>
      <c r="P155" s="1890"/>
      <c r="Q155" s="1890"/>
      <c r="R155" s="1890"/>
      <c r="S155" s="1890"/>
      <c r="T155" s="1890"/>
      <c r="U155" s="1890"/>
      <c r="V155" s="1890"/>
      <c r="W155" s="1890"/>
      <c r="X155" s="1890"/>
    </row>
    <row r="156" spans="1:24" x14ac:dyDescent="0.2">
      <c r="A156" s="1890"/>
      <c r="B156" s="1890"/>
      <c r="C156" s="1890"/>
      <c r="D156" s="1890"/>
      <c r="E156" s="1890"/>
      <c r="F156" s="2135"/>
      <c r="G156" s="1890"/>
      <c r="H156" s="1890"/>
      <c r="I156" s="1890"/>
      <c r="J156" s="1890"/>
      <c r="K156" s="1890"/>
      <c r="L156" s="1890"/>
      <c r="M156" s="1890"/>
      <c r="N156" s="1890"/>
      <c r="O156" s="1890"/>
      <c r="P156" s="1890"/>
      <c r="Q156" s="1890"/>
      <c r="R156" s="1890"/>
      <c r="S156" s="1890"/>
      <c r="T156" s="1890"/>
      <c r="U156" s="1890"/>
      <c r="V156" s="1890"/>
      <c r="W156" s="1890"/>
      <c r="X156" s="1890"/>
    </row>
    <row r="157" spans="1:24" x14ac:dyDescent="0.2">
      <c r="A157" s="1890"/>
      <c r="B157" s="1890"/>
      <c r="C157" s="1890"/>
      <c r="D157" s="1890"/>
      <c r="E157" s="1890"/>
      <c r="F157" s="2135"/>
      <c r="G157" s="1890"/>
      <c r="H157" s="1890"/>
      <c r="I157" s="1890"/>
      <c r="J157" s="1890"/>
      <c r="K157" s="1890"/>
      <c r="L157" s="1890"/>
      <c r="M157" s="1890"/>
      <c r="N157" s="1890"/>
      <c r="O157" s="1890"/>
      <c r="P157" s="1890"/>
      <c r="Q157" s="1890"/>
      <c r="R157" s="1890"/>
      <c r="S157" s="1890"/>
      <c r="T157" s="1890"/>
      <c r="U157" s="1890"/>
      <c r="V157" s="1890"/>
      <c r="W157" s="1890"/>
      <c r="X157" s="1890"/>
    </row>
    <row r="158" spans="1:24" x14ac:dyDescent="0.2">
      <c r="A158" s="1890"/>
      <c r="B158" s="1890"/>
      <c r="C158" s="1890"/>
      <c r="D158" s="1890"/>
      <c r="E158" s="1890"/>
      <c r="F158" s="2135"/>
      <c r="G158" s="1890"/>
      <c r="H158" s="1890"/>
      <c r="I158" s="1890"/>
      <c r="J158" s="1890"/>
      <c r="K158" s="1890"/>
      <c r="L158" s="1890"/>
      <c r="M158" s="1890"/>
      <c r="N158" s="1890"/>
      <c r="O158" s="1890"/>
      <c r="P158" s="1890"/>
      <c r="Q158" s="1890"/>
      <c r="R158" s="1890"/>
      <c r="S158" s="1890"/>
      <c r="T158" s="1890"/>
      <c r="U158" s="1890"/>
      <c r="V158" s="1890"/>
      <c r="W158" s="1890"/>
      <c r="X158" s="1890"/>
    </row>
    <row r="159" spans="1:24" x14ac:dyDescent="0.2">
      <c r="A159" s="1890"/>
      <c r="B159" s="1890"/>
      <c r="C159" s="1890"/>
      <c r="D159" s="1890"/>
      <c r="E159" s="1890"/>
      <c r="F159" s="2135"/>
      <c r="G159" s="1890"/>
      <c r="H159" s="1890"/>
      <c r="I159" s="1890"/>
      <c r="J159" s="1890"/>
      <c r="K159" s="1890"/>
      <c r="L159" s="1890"/>
      <c r="M159" s="1890"/>
      <c r="N159" s="1890"/>
      <c r="O159" s="1890"/>
      <c r="P159" s="1890"/>
      <c r="Q159" s="1890"/>
      <c r="R159" s="1890"/>
      <c r="S159" s="1890"/>
      <c r="T159" s="1890"/>
      <c r="U159" s="1890"/>
      <c r="V159" s="1890"/>
      <c r="W159" s="1890"/>
      <c r="X159" s="1890"/>
    </row>
    <row r="160" spans="1:24" x14ac:dyDescent="0.2">
      <c r="A160" s="1890"/>
      <c r="B160" s="1890"/>
      <c r="C160" s="1890"/>
      <c r="D160" s="1890"/>
      <c r="E160" s="1890"/>
      <c r="F160" s="2135"/>
      <c r="G160" s="1890"/>
      <c r="H160" s="1890"/>
      <c r="I160" s="1890"/>
      <c r="J160" s="1890"/>
      <c r="K160" s="1890"/>
      <c r="L160" s="1890"/>
      <c r="M160" s="1890"/>
      <c r="N160" s="1890"/>
      <c r="O160" s="1890"/>
      <c r="P160" s="1890"/>
      <c r="Q160" s="1890"/>
      <c r="R160" s="1890"/>
      <c r="S160" s="1890"/>
      <c r="T160" s="1890"/>
      <c r="U160" s="1890"/>
      <c r="V160" s="1890"/>
      <c r="W160" s="1890"/>
      <c r="X160" s="1890"/>
    </row>
    <row r="161" spans="1:24" x14ac:dyDescent="0.2">
      <c r="A161" s="1890"/>
      <c r="B161" s="1890"/>
      <c r="C161" s="1890"/>
      <c r="D161" s="1890"/>
      <c r="E161" s="1890"/>
      <c r="F161" s="2135"/>
      <c r="G161" s="1890"/>
      <c r="H161" s="1890"/>
      <c r="I161" s="1890"/>
      <c r="J161" s="1890"/>
      <c r="K161" s="1890"/>
      <c r="L161" s="1890"/>
      <c r="M161" s="1890"/>
      <c r="N161" s="1890"/>
      <c r="O161" s="1890"/>
      <c r="P161" s="1890"/>
      <c r="Q161" s="1890"/>
      <c r="R161" s="1890"/>
      <c r="S161" s="1890"/>
      <c r="T161" s="1890"/>
      <c r="U161" s="1890"/>
      <c r="V161" s="1890"/>
      <c r="W161" s="1890"/>
      <c r="X161" s="1890"/>
    </row>
    <row r="162" spans="1:24" x14ac:dyDescent="0.2">
      <c r="A162" s="1890"/>
      <c r="B162" s="1890"/>
      <c r="C162" s="1890"/>
      <c r="D162" s="1890"/>
      <c r="E162" s="1890"/>
      <c r="F162" s="2135"/>
      <c r="G162" s="1890"/>
      <c r="H162" s="1890"/>
      <c r="I162" s="1890"/>
      <c r="J162" s="1890"/>
      <c r="K162" s="1890"/>
      <c r="L162" s="1890"/>
      <c r="M162" s="1890"/>
      <c r="N162" s="1890"/>
      <c r="O162" s="1890"/>
      <c r="P162" s="1890"/>
      <c r="Q162" s="1890"/>
      <c r="R162" s="1890"/>
      <c r="S162" s="1890"/>
      <c r="T162" s="1890"/>
      <c r="U162" s="1890"/>
      <c r="V162" s="1890"/>
      <c r="W162" s="1890"/>
      <c r="X162" s="1890"/>
    </row>
  </sheetData>
  <sheetProtection selectLockedCells="1" selectUnlockedCells="1"/>
  <mergeCells count="3">
    <mergeCell ref="A7:A8"/>
    <mergeCell ref="A10:A12"/>
    <mergeCell ref="A13:A19"/>
  </mergeCells>
  <pageMargins left="0.78740157499999996" right="0.78740157499999996" top="0.984251969" bottom="0.984251969" header="0.4921259845" footer="0.4921259845"/>
  <pageSetup paperSize="9" orientation="portrait" r:id="rId1"/>
  <headerFooter alignWithMargins="0"/>
  <legacy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807841-A871-4FFA-B873-824841508554}">
  <dimension ref="A1:DA120"/>
  <sheetViews>
    <sheetView zoomScale="90" zoomScaleNormal="90" workbookViewId="0">
      <selection activeCell="L13" sqref="L13"/>
    </sheetView>
  </sheetViews>
  <sheetFormatPr defaultColWidth="11.42578125" defaultRowHeight="12.75" x14ac:dyDescent="0.2"/>
  <cols>
    <col min="1" max="1" width="8.42578125" style="1846" customWidth="1"/>
    <col min="2" max="2" width="37.42578125" style="1846" customWidth="1"/>
    <col min="3" max="3" width="15.85546875" style="1846" customWidth="1"/>
    <col min="4" max="4" width="15.140625" style="1846" customWidth="1"/>
    <col min="5" max="5" width="16.140625" style="1846" customWidth="1"/>
    <col min="6" max="6" width="11.42578125" style="1846" customWidth="1"/>
    <col min="7" max="7" width="11.42578125" style="1846"/>
    <col min="8" max="8" width="11.42578125" style="1846" customWidth="1"/>
    <col min="9" max="9" width="17" style="1846" customWidth="1"/>
    <col min="10" max="10" width="11.42578125" style="1846"/>
    <col min="11" max="11" width="38.42578125" style="1846" customWidth="1"/>
    <col min="12" max="12" width="20.42578125" style="1846" customWidth="1"/>
    <col min="13" max="13" width="11" style="1846" customWidth="1"/>
    <col min="14" max="14" width="11.85546875" style="1846" customWidth="1"/>
    <col min="15" max="16" width="11.42578125" style="1846"/>
    <col min="17" max="17" width="17.42578125" style="1846" customWidth="1"/>
    <col min="18" max="18" width="11.42578125" style="1846"/>
    <col min="19" max="19" width="27" style="1846" customWidth="1"/>
    <col min="20" max="16384" width="11.42578125" style="1846"/>
  </cols>
  <sheetData>
    <row r="1" spans="1:20" s="2229" customFormat="1" ht="26.1" customHeight="1" x14ac:dyDescent="0.25">
      <c r="A1" s="1912" t="s">
        <v>1235</v>
      </c>
      <c r="B1" s="1940"/>
      <c r="C1" s="1940"/>
      <c r="D1" s="1940"/>
      <c r="E1" s="1940"/>
      <c r="F1" s="2030"/>
      <c r="G1" s="2030"/>
      <c r="H1" s="2030"/>
      <c r="I1" s="2030"/>
      <c r="J1" s="2030"/>
      <c r="K1" s="2030"/>
      <c r="L1" s="2030"/>
      <c r="M1" s="2030"/>
      <c r="N1" s="2030"/>
      <c r="O1" s="2030"/>
      <c r="P1" s="2030"/>
      <c r="Q1" s="2030"/>
      <c r="R1" s="2030"/>
      <c r="S1" s="2030"/>
      <c r="T1" s="2228"/>
    </row>
    <row r="2" spans="1:20" ht="14.25" customHeight="1" x14ac:dyDescent="0.25">
      <c r="A2" s="2230"/>
      <c r="B2" s="2231"/>
      <c r="C2" s="2030"/>
      <c r="D2" s="2030"/>
      <c r="E2" s="2030"/>
      <c r="F2" s="1890"/>
      <c r="G2" s="1890"/>
      <c r="H2" s="1890"/>
      <c r="I2" s="1890"/>
      <c r="J2" s="1890"/>
      <c r="K2" s="1890"/>
      <c r="L2" s="1890"/>
      <c r="M2" s="1890"/>
      <c r="N2" s="1890"/>
      <c r="O2" s="1890"/>
      <c r="P2" s="1890"/>
      <c r="Q2" s="1890"/>
      <c r="R2" s="1890"/>
      <c r="S2" s="1890"/>
      <c r="T2" s="1890"/>
    </row>
    <row r="3" spans="1:20" ht="14.25" x14ac:dyDescent="0.25">
      <c r="A3" s="1890"/>
      <c r="B3" s="2232" t="s">
        <v>1236</v>
      </c>
      <c r="C3" s="2233">
        <f>+'CO2 - Cálculos'!AD58</f>
        <v>23025.599999999999</v>
      </c>
      <c r="D3" s="2234"/>
      <c r="E3" s="2234"/>
      <c r="F3" s="1890"/>
      <c r="G3" s="1890"/>
      <c r="H3" s="1890"/>
      <c r="I3" s="1890"/>
      <c r="J3" s="1890"/>
      <c r="K3" s="1890"/>
      <c r="L3" s="1890"/>
      <c r="M3" s="1890"/>
      <c r="N3" s="1890"/>
      <c r="O3" s="1890"/>
      <c r="P3" s="1890"/>
      <c r="Q3" s="1890"/>
      <c r="R3" s="1890"/>
      <c r="S3" s="1890"/>
      <c r="T3" s="1890"/>
    </row>
    <row r="4" spans="1:20" ht="14.25" x14ac:dyDescent="0.25">
      <c r="A4" s="1890"/>
      <c r="B4" s="2235"/>
      <c r="C4" s="2236"/>
      <c r="D4" s="2237"/>
      <c r="E4" s="2237"/>
      <c r="F4" s="1890"/>
      <c r="G4" s="1890"/>
      <c r="H4" s="1890"/>
      <c r="I4" s="1890"/>
      <c r="J4" s="1890"/>
      <c r="K4" s="1890"/>
      <c r="L4" s="2238"/>
      <c r="M4" s="2238"/>
      <c r="N4" s="2238"/>
      <c r="O4" s="2238"/>
      <c r="P4" s="2238"/>
      <c r="Q4" s="2238"/>
      <c r="R4" s="2238"/>
      <c r="S4" s="1890"/>
      <c r="T4" s="1890"/>
    </row>
    <row r="5" spans="1:20" ht="14.25" x14ac:dyDescent="0.25">
      <c r="A5" s="1890"/>
      <c r="B5" s="2232" t="s">
        <v>1237</v>
      </c>
      <c r="C5" s="2233">
        <f>+'CO2 - Cálculos'!AD13</f>
        <v>746.02944000000014</v>
      </c>
      <c r="D5" s="2234"/>
      <c r="E5" s="2234"/>
      <c r="F5" s="1890"/>
      <c r="G5" s="1890"/>
      <c r="H5" s="1890"/>
      <c r="I5" s="1890"/>
      <c r="J5" s="1890"/>
      <c r="K5" s="1890"/>
      <c r="L5" s="2238"/>
      <c r="M5" s="2238"/>
      <c r="N5" s="2238"/>
      <c r="O5" s="2969" t="s">
        <v>1238</v>
      </c>
      <c r="P5" s="2970"/>
      <c r="Q5" s="2238"/>
      <c r="R5" s="2238"/>
      <c r="S5" s="1890"/>
      <c r="T5" s="1890"/>
    </row>
    <row r="6" spans="1:20" ht="14.25" x14ac:dyDescent="0.25">
      <c r="A6" s="1890"/>
      <c r="B6" s="2239"/>
      <c r="C6" s="2240"/>
      <c r="D6" s="2234"/>
      <c r="E6" s="2234"/>
      <c r="F6" s="1890"/>
      <c r="G6" s="1890"/>
      <c r="H6" s="1890"/>
      <c r="I6" s="1890"/>
      <c r="J6" s="1890"/>
      <c r="K6" s="1890"/>
      <c r="L6" s="2238"/>
      <c r="M6" s="2238"/>
      <c r="N6" s="2238"/>
      <c r="O6" s="2971">
        <f>+C3</f>
        <v>23025.599999999999</v>
      </c>
      <c r="P6" s="2972"/>
      <c r="Q6" s="2238"/>
      <c r="R6" s="2238"/>
      <c r="S6" s="1890"/>
      <c r="T6" s="1890"/>
    </row>
    <row r="7" spans="1:20" ht="14.25" x14ac:dyDescent="0.25">
      <c r="A7" s="1890"/>
      <c r="B7" s="2241" t="s">
        <v>1106</v>
      </c>
      <c r="C7" s="2242">
        <f>+'CO2 - Cálculos'!AD5</f>
        <v>0</v>
      </c>
      <c r="D7" s="2234"/>
      <c r="E7" s="2234"/>
      <c r="F7" s="1890"/>
      <c r="G7" s="1890"/>
      <c r="H7" s="1890"/>
      <c r="I7" s="1890"/>
      <c r="J7" s="1890"/>
      <c r="K7" s="1890"/>
      <c r="L7" s="2238"/>
      <c r="M7" s="2243"/>
      <c r="N7" s="2238"/>
      <c r="O7" s="2238"/>
      <c r="P7" s="2238"/>
      <c r="Q7" s="2238"/>
      <c r="R7" s="2238"/>
      <c r="S7" s="1890"/>
      <c r="T7" s="1890"/>
    </row>
    <row r="8" spans="1:20" ht="14.25" x14ac:dyDescent="0.25">
      <c r="A8" s="1890"/>
      <c r="B8" s="2241" t="s">
        <v>1107</v>
      </c>
      <c r="C8" s="2242">
        <f>+'CO2 - Cálculos'!AD6</f>
        <v>0</v>
      </c>
      <c r="D8" s="2234"/>
      <c r="E8" s="2234"/>
      <c r="F8" s="1890"/>
      <c r="G8" s="1890"/>
      <c r="H8" s="1890"/>
      <c r="I8" s="1890"/>
      <c r="J8" s="1890"/>
      <c r="K8" s="1890"/>
      <c r="L8" s="2238"/>
      <c r="M8" s="2238"/>
      <c r="N8" s="2238"/>
      <c r="O8" s="2238"/>
      <c r="P8" s="2238"/>
      <c r="Q8" s="2238"/>
      <c r="R8" s="2238"/>
      <c r="S8" s="1890"/>
      <c r="T8" s="1890"/>
    </row>
    <row r="9" spans="1:20" ht="14.25" x14ac:dyDescent="0.25">
      <c r="A9" s="1890"/>
      <c r="B9" s="2241" t="s">
        <v>1108</v>
      </c>
      <c r="C9" s="2242">
        <f>+'CO2 - Cálculos'!AD7</f>
        <v>301.63535999999999</v>
      </c>
      <c r="D9" s="2234"/>
      <c r="E9" s="2234"/>
      <c r="F9" s="1890"/>
      <c r="G9" s="1890"/>
      <c r="H9" s="1890"/>
      <c r="I9" s="1890"/>
      <c r="J9" s="1890"/>
      <c r="K9" s="1890"/>
      <c r="L9" s="2238"/>
      <c r="M9" s="2244" t="s">
        <v>1046</v>
      </c>
      <c r="N9" s="2245">
        <f>+C5</f>
        <v>746.02944000000014</v>
      </c>
      <c r="O9" s="2246">
        <f>+N9/O6</f>
        <v>3.2400000000000005E-2</v>
      </c>
      <c r="P9" s="2247">
        <f>+Q9/O6</f>
        <v>0.96760000000000002</v>
      </c>
      <c r="Q9" s="2248">
        <f>+C16</f>
        <v>22279.57056</v>
      </c>
      <c r="R9" s="2249" t="s">
        <v>1239</v>
      </c>
      <c r="S9" s="1890"/>
      <c r="T9" s="1890"/>
    </row>
    <row r="10" spans="1:20" ht="14.25" x14ac:dyDescent="0.25">
      <c r="A10" s="1890"/>
      <c r="B10" s="2241" t="s">
        <v>1109</v>
      </c>
      <c r="C10" s="2242">
        <f>+'CO2 - Cálculos'!AD8</f>
        <v>310.84560000000005</v>
      </c>
      <c r="D10" s="2234"/>
      <c r="E10" s="2234"/>
      <c r="F10" s="1890"/>
      <c r="G10" s="1890"/>
      <c r="H10" s="1890"/>
      <c r="I10" s="1890"/>
      <c r="J10" s="1890"/>
      <c r="K10" s="1890"/>
      <c r="L10" s="2238"/>
      <c r="M10" s="2250"/>
      <c r="N10" s="2251"/>
      <c r="O10" s="2252"/>
      <c r="P10" s="2238"/>
      <c r="Q10" s="2253"/>
      <c r="R10" s="2254"/>
      <c r="S10" s="1890"/>
      <c r="T10" s="1890"/>
    </row>
    <row r="11" spans="1:20" ht="14.25" x14ac:dyDescent="0.25">
      <c r="A11" s="1890"/>
      <c r="B11" s="2241" t="s">
        <v>50</v>
      </c>
      <c r="C11" s="2242">
        <f>+'CO2 - Cálculos'!AD9</f>
        <v>0</v>
      </c>
      <c r="D11" s="2234"/>
      <c r="E11" s="2234"/>
      <c r="F11" s="1890"/>
      <c r="G11" s="1890"/>
      <c r="H11" s="1890"/>
      <c r="I11" s="1890"/>
      <c r="J11" s="1890"/>
      <c r="K11" s="1890"/>
      <c r="L11" s="2238"/>
      <c r="M11" s="2244" t="str">
        <f t="shared" ref="M11:N18" si="0">+B7</f>
        <v>Resíduos de alimentos</v>
      </c>
      <c r="N11" s="2255">
        <f t="shared" si="0"/>
        <v>0</v>
      </c>
      <c r="O11" s="2256">
        <f t="shared" ref="O11:O18" si="1">+N11/$N$9</f>
        <v>0</v>
      </c>
      <c r="P11" s="2257">
        <f t="shared" ref="P11:P19" si="2">+Q11/$Q$9</f>
        <v>0</v>
      </c>
      <c r="Q11" s="2258">
        <f t="shared" ref="Q11:Q19" si="3">+C18</f>
        <v>0</v>
      </c>
      <c r="R11" s="2249" t="str">
        <f t="shared" ref="R11:R19" si="4">+B18</f>
        <v>Resíduos dispersos</v>
      </c>
      <c r="S11" s="1890"/>
      <c r="T11" s="1890"/>
    </row>
    <row r="12" spans="1:20" ht="14.25" x14ac:dyDescent="0.25">
      <c r="A12" s="1890"/>
      <c r="B12" s="2241" t="s">
        <v>1110</v>
      </c>
      <c r="C12" s="2242">
        <f>+'CO2 - Cálculos'!AD10</f>
        <v>105.91776</v>
      </c>
      <c r="D12" s="2234"/>
      <c r="E12" s="2234"/>
      <c r="F12" s="1890"/>
      <c r="G12" s="1890"/>
      <c r="H12" s="1890"/>
      <c r="I12" s="1890"/>
      <c r="J12" s="1890"/>
      <c r="K12" s="1890"/>
      <c r="L12" s="2238"/>
      <c r="M12" s="2244" t="str">
        <f t="shared" si="0"/>
        <v>Resíduos de jardins e parques</v>
      </c>
      <c r="N12" s="2255">
        <f t="shared" si="0"/>
        <v>0</v>
      </c>
      <c r="O12" s="2256">
        <f t="shared" si="1"/>
        <v>0</v>
      </c>
      <c r="P12" s="2257">
        <f t="shared" si="2"/>
        <v>0</v>
      </c>
      <c r="Q12" s="2258">
        <f t="shared" si="3"/>
        <v>0</v>
      </c>
      <c r="R12" s="2249" t="str">
        <f t="shared" si="4"/>
        <v>Queima a céu aberto</v>
      </c>
      <c r="S12" s="1890"/>
      <c r="T12" s="1890"/>
    </row>
    <row r="13" spans="1:20" ht="14.25" x14ac:dyDescent="0.25">
      <c r="A13" s="1890"/>
      <c r="B13" s="2241" t="s">
        <v>1111</v>
      </c>
      <c r="C13" s="2242">
        <f>+'CO2 - Cálculos'!AD11</f>
        <v>27.630719999999997</v>
      </c>
      <c r="D13" s="2234"/>
      <c r="E13" s="2234"/>
      <c r="F13" s="1890"/>
      <c r="G13" s="1890"/>
      <c r="H13" s="1890"/>
      <c r="I13" s="1890"/>
      <c r="J13" s="1890"/>
      <c r="K13" s="1890"/>
      <c r="L13" s="2238"/>
      <c r="M13" s="2244" t="str">
        <f t="shared" si="0"/>
        <v>Papel, papelão</v>
      </c>
      <c r="N13" s="2255">
        <f t="shared" si="0"/>
        <v>301.63535999999999</v>
      </c>
      <c r="O13" s="2256">
        <f t="shared" si="1"/>
        <v>0.4043209876543209</v>
      </c>
      <c r="P13" s="2257">
        <f t="shared" si="2"/>
        <v>0</v>
      </c>
      <c r="Q13" s="2258">
        <f t="shared" si="3"/>
        <v>0</v>
      </c>
      <c r="R13" s="2249" t="str">
        <f t="shared" si="4"/>
        <v>Lixão não controlado</v>
      </c>
      <c r="S13" s="1890"/>
      <c r="T13" s="1890"/>
    </row>
    <row r="14" spans="1:20" ht="14.25" x14ac:dyDescent="0.25">
      <c r="A14" s="1890"/>
      <c r="B14" s="2241" t="s">
        <v>1112</v>
      </c>
      <c r="C14" s="2242">
        <f>+'CO2 - Cálculos'!AD12</f>
        <v>0</v>
      </c>
      <c r="D14" s="2234"/>
      <c r="E14" s="2234"/>
      <c r="F14" s="1890"/>
      <c r="G14" s="1890"/>
      <c r="H14" s="1890"/>
      <c r="I14" s="1890"/>
      <c r="J14" s="1890"/>
      <c r="K14" s="1890"/>
      <c r="L14" s="2238"/>
      <c r="M14" s="2244" t="str">
        <f t="shared" si="0"/>
        <v>Plásticos</v>
      </c>
      <c r="N14" s="2255">
        <f t="shared" si="0"/>
        <v>310.84560000000005</v>
      </c>
      <c r="O14" s="2256">
        <f t="shared" si="1"/>
        <v>0.41666666666666663</v>
      </c>
      <c r="P14" s="2257">
        <f t="shared" si="2"/>
        <v>0</v>
      </c>
      <c r="Q14" s="2258">
        <f t="shared" si="3"/>
        <v>0</v>
      </c>
      <c r="R14" s="2249" t="str">
        <f t="shared" si="4"/>
        <v>Aterro controlado</v>
      </c>
      <c r="S14" s="1890"/>
      <c r="T14" s="1890"/>
    </row>
    <row r="15" spans="1:20" ht="14.25" x14ac:dyDescent="0.25">
      <c r="A15" s="1890"/>
      <c r="B15" s="2259"/>
      <c r="C15" s="2240"/>
      <c r="D15" s="2234"/>
      <c r="E15" s="2234"/>
      <c r="F15" s="1890"/>
      <c r="G15" s="1890"/>
      <c r="H15" s="1890"/>
      <c r="I15" s="1890"/>
      <c r="J15" s="1890"/>
      <c r="K15" s="1890"/>
      <c r="L15" s="2238"/>
      <c r="M15" s="2244" t="str">
        <f t="shared" si="0"/>
        <v>Vidros</v>
      </c>
      <c r="N15" s="2255">
        <f t="shared" si="0"/>
        <v>0</v>
      </c>
      <c r="O15" s="2256">
        <f t="shared" si="1"/>
        <v>0</v>
      </c>
      <c r="P15" s="2257">
        <f t="shared" si="2"/>
        <v>1</v>
      </c>
      <c r="Q15" s="2258">
        <f t="shared" si="3"/>
        <v>22279.57056</v>
      </c>
      <c r="R15" s="2249" t="str">
        <f t="shared" si="4"/>
        <v>Aterro sanitário</v>
      </c>
      <c r="S15" s="1890"/>
      <c r="T15" s="1890"/>
    </row>
    <row r="16" spans="1:20" ht="14.25" x14ac:dyDescent="0.25">
      <c r="A16" s="1890"/>
      <c r="B16" s="2260" t="s">
        <v>1240</v>
      </c>
      <c r="C16" s="2233">
        <f>+'CO2 - Cálculos'!AD57</f>
        <v>22279.57056</v>
      </c>
      <c r="D16" s="2234"/>
      <c r="E16" s="2234"/>
      <c r="F16" s="1890"/>
      <c r="G16" s="1890"/>
      <c r="H16" s="1890"/>
      <c r="I16" s="1890"/>
      <c r="J16" s="1890"/>
      <c r="K16" s="1890"/>
      <c r="L16" s="2238"/>
      <c r="M16" s="2244" t="str">
        <f t="shared" si="0"/>
        <v>Metais ferrosos</v>
      </c>
      <c r="N16" s="2255">
        <f t="shared" si="0"/>
        <v>105.91776</v>
      </c>
      <c r="O16" s="2256">
        <f t="shared" si="1"/>
        <v>0.14197530864197527</v>
      </c>
      <c r="P16" s="2257">
        <f t="shared" si="2"/>
        <v>0</v>
      </c>
      <c r="Q16" s="2258">
        <f t="shared" si="3"/>
        <v>0</v>
      </c>
      <c r="R16" s="2249" t="str">
        <f t="shared" si="4"/>
        <v>Trat. biol + cobertura at.</v>
      </c>
      <c r="S16" s="1890"/>
      <c r="T16" s="1890"/>
    </row>
    <row r="17" spans="1:52" ht="14.25" x14ac:dyDescent="0.25">
      <c r="A17" s="1890"/>
      <c r="B17" s="2239"/>
      <c r="C17" s="2240"/>
      <c r="D17" s="2234"/>
      <c r="E17" s="2234"/>
      <c r="F17" s="1890"/>
      <c r="G17" s="1890"/>
      <c r="H17" s="1890"/>
      <c r="I17" s="1890"/>
      <c r="J17" s="1890"/>
      <c r="K17" s="1890"/>
      <c r="L17" s="2238"/>
      <c r="M17" s="2244" t="str">
        <f t="shared" si="0"/>
        <v>Alumínio</v>
      </c>
      <c r="N17" s="2255">
        <f t="shared" si="0"/>
        <v>27.630719999999997</v>
      </c>
      <c r="O17" s="2256">
        <f t="shared" si="1"/>
        <v>3.7037037037037028E-2</v>
      </c>
      <c r="P17" s="2257">
        <f t="shared" si="2"/>
        <v>0</v>
      </c>
      <c r="Q17" s="2258">
        <f t="shared" si="3"/>
        <v>0</v>
      </c>
      <c r="R17" s="2249" t="str">
        <f t="shared" si="4"/>
        <v>CDR seco + rejeito aterro</v>
      </c>
      <c r="S17" s="1890"/>
      <c r="T17" s="1890"/>
    </row>
    <row r="18" spans="1:52" ht="14.25" x14ac:dyDescent="0.25">
      <c r="A18" s="1890"/>
      <c r="B18" s="2241" t="s">
        <v>1241</v>
      </c>
      <c r="C18" s="2242">
        <f>+'CO2 - Cálculos'!AD47</f>
        <v>0</v>
      </c>
      <c r="D18" s="2234"/>
      <c r="E18" s="2234"/>
      <c r="F18" s="1890"/>
      <c r="G18" s="1890"/>
      <c r="H18" s="1890"/>
      <c r="I18" s="1890"/>
      <c r="J18" s="1890"/>
      <c r="K18" s="1890"/>
      <c r="L18" s="2238"/>
      <c r="M18" s="2244" t="str">
        <f t="shared" si="0"/>
        <v>Têxteis</v>
      </c>
      <c r="N18" s="2255">
        <f t="shared" si="0"/>
        <v>0</v>
      </c>
      <c r="O18" s="2256">
        <f t="shared" si="1"/>
        <v>0</v>
      </c>
      <c r="P18" s="2257">
        <f t="shared" si="2"/>
        <v>0</v>
      </c>
      <c r="Q18" s="2258">
        <f t="shared" si="3"/>
        <v>0</v>
      </c>
      <c r="R18" s="2249" t="str">
        <f t="shared" si="4"/>
        <v>CDR seco + trat. biol.</v>
      </c>
      <c r="S18" s="1890"/>
      <c r="T18" s="1890"/>
    </row>
    <row r="19" spans="1:52" ht="14.25" x14ac:dyDescent="0.25">
      <c r="A19" s="1890"/>
      <c r="B19" s="2241" t="s">
        <v>1242</v>
      </c>
      <c r="C19" s="2242">
        <f>+'CO2 - Cálculos'!AD48</f>
        <v>0</v>
      </c>
      <c r="D19" s="2234"/>
      <c r="E19" s="2234"/>
      <c r="F19" s="1890"/>
      <c r="G19" s="1890"/>
      <c r="H19" s="1890"/>
      <c r="I19" s="1890"/>
      <c r="J19" s="1890"/>
      <c r="K19" s="1890"/>
      <c r="L19" s="2238"/>
      <c r="M19" s="2238"/>
      <c r="N19" s="2238"/>
      <c r="O19" s="2261"/>
      <c r="P19" s="2257">
        <f t="shared" si="2"/>
        <v>0</v>
      </c>
      <c r="Q19" s="2258">
        <f t="shared" si="3"/>
        <v>0</v>
      </c>
      <c r="R19" s="2249" t="str">
        <f t="shared" si="4"/>
        <v>CDR seco + CDR org.</v>
      </c>
      <c r="S19" s="1890"/>
      <c r="T19" s="1890"/>
    </row>
    <row r="20" spans="1:52" ht="14.25" x14ac:dyDescent="0.25">
      <c r="A20" s="1890"/>
      <c r="B20" s="2241" t="s">
        <v>1243</v>
      </c>
      <c r="C20" s="2242">
        <f>+'CO2 - Cálculos'!AD49</f>
        <v>0</v>
      </c>
      <c r="D20" s="2234"/>
      <c r="E20" s="2234"/>
      <c r="F20" s="1890"/>
      <c r="G20" s="1890"/>
      <c r="H20" s="1890"/>
      <c r="I20" s="1890"/>
      <c r="J20" s="1890"/>
      <c r="K20" s="1890"/>
      <c r="L20" s="2238"/>
      <c r="M20" s="2238"/>
      <c r="N20" s="2238"/>
      <c r="O20" s="2238"/>
      <c r="P20" s="2257">
        <f>+Q20/$Q$9</f>
        <v>0</v>
      </c>
      <c r="Q20" s="2258">
        <f>+C27</f>
        <v>0</v>
      </c>
      <c r="R20" s="2249" t="str">
        <f>+B27</f>
        <v>Incineração</v>
      </c>
      <c r="S20" s="1890"/>
      <c r="T20" s="1890"/>
    </row>
    <row r="21" spans="1:52" ht="14.25" x14ac:dyDescent="0.25">
      <c r="A21" s="1890"/>
      <c r="B21" s="2241" t="s">
        <v>1244</v>
      </c>
      <c r="C21" s="2242">
        <f>+'CO2 - Cálculos'!AD50</f>
        <v>0</v>
      </c>
      <c r="D21" s="2234"/>
      <c r="E21" s="2234"/>
      <c r="F21" s="1890"/>
      <c r="G21" s="1890"/>
      <c r="H21" s="1890"/>
      <c r="I21" s="1890"/>
      <c r="J21" s="1890"/>
      <c r="K21" s="1890"/>
      <c r="L21" s="1890"/>
      <c r="M21" s="1890"/>
      <c r="N21" s="1890"/>
      <c r="O21" s="1890"/>
      <c r="P21" s="1890"/>
      <c r="Q21" s="1890"/>
      <c r="R21" s="2262"/>
      <c r="S21" s="1890"/>
      <c r="T21" s="1890"/>
    </row>
    <row r="22" spans="1:52" ht="14.25" x14ac:dyDescent="0.25">
      <c r="A22" s="1890"/>
      <c r="B22" s="2263" t="s">
        <v>64</v>
      </c>
      <c r="C22" s="2242">
        <f>+'CO2 - Cálculos'!AD51</f>
        <v>22279.57056</v>
      </c>
      <c r="D22" s="2234"/>
      <c r="E22" s="2234"/>
      <c r="F22" s="1890"/>
      <c r="G22" s="1890"/>
      <c r="H22" s="1890"/>
      <c r="I22" s="1890"/>
      <c r="J22" s="1890"/>
      <c r="K22" s="1890"/>
      <c r="L22" s="1890"/>
      <c r="M22" s="1890"/>
      <c r="N22" s="1890"/>
      <c r="O22" s="1890"/>
      <c r="P22" s="1890"/>
      <c r="Q22" s="1890"/>
      <c r="R22" s="1890"/>
      <c r="S22" s="1890"/>
      <c r="T22" s="1890"/>
    </row>
    <row r="23" spans="1:52" ht="14.25" x14ac:dyDescent="0.25">
      <c r="A23" s="1890"/>
      <c r="B23" s="2264" t="s">
        <v>1245</v>
      </c>
      <c r="C23" s="2265">
        <f>+'CO2 - Cálculos'!AD52</f>
        <v>0</v>
      </c>
      <c r="D23" s="2234"/>
      <c r="E23" s="2234"/>
      <c r="F23" s="1890"/>
      <c r="G23" s="1890"/>
      <c r="H23" s="1890"/>
      <c r="I23" s="1890"/>
      <c r="J23" s="1890"/>
      <c r="K23" s="1890"/>
      <c r="L23" s="1890"/>
      <c r="M23" s="1890"/>
      <c r="N23" s="1890"/>
      <c r="O23" s="1890"/>
      <c r="P23" s="1890"/>
      <c r="Q23" s="1890"/>
      <c r="R23" s="1890"/>
      <c r="S23" s="1890"/>
      <c r="T23" s="1890"/>
    </row>
    <row r="24" spans="1:52" ht="14.25" x14ac:dyDescent="0.25">
      <c r="A24" s="1890"/>
      <c r="B24" s="2264" t="s">
        <v>1246</v>
      </c>
      <c r="C24" s="2242">
        <f>+'CO2 - Cálculos'!AD53</f>
        <v>0</v>
      </c>
      <c r="D24" s="2234"/>
      <c r="E24" s="2234"/>
      <c r="F24" s="1890"/>
      <c r="G24" s="1890"/>
      <c r="H24" s="1890"/>
      <c r="I24" s="1890"/>
      <c r="J24" s="1890"/>
      <c r="K24" s="1890"/>
      <c r="L24" s="1890"/>
      <c r="M24" s="1890"/>
      <c r="N24" s="1890"/>
      <c r="O24" s="1890"/>
      <c r="P24" s="1890"/>
      <c r="Q24" s="1890"/>
      <c r="R24" s="1890"/>
      <c r="S24" s="1890"/>
      <c r="T24" s="1890"/>
    </row>
    <row r="25" spans="1:52" ht="14.25" x14ac:dyDescent="0.25">
      <c r="A25" s="1890"/>
      <c r="B25" s="2264" t="s">
        <v>1247</v>
      </c>
      <c r="C25" s="2242">
        <f>+'CO2 - Cálculos'!AD54</f>
        <v>0</v>
      </c>
      <c r="D25" s="2234"/>
      <c r="E25" s="2234"/>
      <c r="F25" s="1890"/>
      <c r="G25" s="1890"/>
      <c r="H25" s="1890"/>
      <c r="I25" s="1890"/>
      <c r="J25" s="1890"/>
      <c r="K25" s="1890"/>
      <c r="L25" s="1890"/>
      <c r="M25" s="1890"/>
      <c r="N25" s="1890"/>
      <c r="O25" s="1890"/>
      <c r="P25" s="1890"/>
      <c r="Q25" s="1890"/>
      <c r="R25" s="1890"/>
      <c r="S25" s="1890"/>
      <c r="T25" s="1890"/>
    </row>
    <row r="26" spans="1:52" ht="14.25" x14ac:dyDescent="0.25">
      <c r="A26" s="1890"/>
      <c r="B26" s="2264" t="s">
        <v>1248</v>
      </c>
      <c r="C26" s="2242">
        <f>+'CO2 - Cálculos'!AD55</f>
        <v>0</v>
      </c>
      <c r="D26" s="2234"/>
      <c r="E26" s="2234"/>
      <c r="F26" s="1890"/>
      <c r="G26" s="1890"/>
      <c r="H26" s="1890"/>
      <c r="I26" s="1890"/>
      <c r="J26" s="1890"/>
      <c r="K26" s="1890"/>
      <c r="L26" s="1890"/>
      <c r="M26" s="1890"/>
      <c r="N26" s="1890"/>
      <c r="O26" s="1890"/>
      <c r="P26" s="1890"/>
      <c r="Q26" s="1890"/>
      <c r="R26" s="1890"/>
      <c r="S26" s="1890"/>
      <c r="T26" s="1890"/>
    </row>
    <row r="27" spans="1:52" ht="14.25" x14ac:dyDescent="0.25">
      <c r="A27" s="1890"/>
      <c r="B27" s="2241" t="s">
        <v>63</v>
      </c>
      <c r="C27" s="2242">
        <f>+'CO2 - Cálculos'!AD56</f>
        <v>0</v>
      </c>
      <c r="D27" s="2234"/>
      <c r="E27" s="2234"/>
      <c r="F27" s="1890"/>
      <c r="G27" s="1890"/>
      <c r="H27" s="1890"/>
      <c r="I27" s="1890"/>
      <c r="J27" s="1890"/>
      <c r="K27" s="1890"/>
      <c r="L27" s="1890"/>
      <c r="M27" s="1890"/>
      <c r="N27" s="1890"/>
      <c r="O27" s="1890"/>
      <c r="P27" s="1890"/>
      <c r="Q27" s="1890"/>
      <c r="R27" s="1890"/>
      <c r="S27" s="1890"/>
      <c r="T27" s="1890"/>
    </row>
    <row r="28" spans="1:52" x14ac:dyDescent="0.2">
      <c r="A28" s="1890"/>
      <c r="B28" s="1890"/>
      <c r="C28" s="2234"/>
      <c r="D28" s="2234"/>
      <c r="E28" s="2234"/>
      <c r="F28" s="1890"/>
      <c r="G28" s="1890"/>
      <c r="H28" s="1890"/>
      <c r="I28" s="1890"/>
      <c r="J28" s="1890"/>
      <c r="K28" s="1890"/>
      <c r="L28" s="1890"/>
      <c r="M28" s="1890"/>
      <c r="N28" s="1890"/>
      <c r="O28" s="1890"/>
      <c r="P28" s="1890"/>
      <c r="Q28" s="1890"/>
      <c r="R28" s="1890"/>
      <c r="S28" s="1890"/>
      <c r="T28" s="1890"/>
    </row>
    <row r="29" spans="1:52" s="2229" customFormat="1" ht="26.1" customHeight="1" x14ac:dyDescent="0.2">
      <c r="A29" s="2063" t="s">
        <v>1249</v>
      </c>
      <c r="B29" s="2266"/>
      <c r="C29" s="1985"/>
      <c r="D29" s="1985"/>
      <c r="E29" s="1985"/>
      <c r="F29" s="2030"/>
      <c r="G29" s="2030"/>
      <c r="H29" s="2030"/>
      <c r="I29" s="2030"/>
      <c r="J29" s="2030"/>
      <c r="K29" s="2030"/>
      <c r="L29" s="2030"/>
      <c r="M29" s="2030"/>
      <c r="N29" s="2030"/>
      <c r="O29" s="2030"/>
      <c r="P29" s="2030"/>
      <c r="Q29" s="2030"/>
      <c r="R29" s="2030"/>
      <c r="S29" s="2030"/>
      <c r="T29" s="2030"/>
      <c r="U29" s="1845"/>
      <c r="V29" s="1845"/>
      <c r="W29" s="1845"/>
      <c r="X29" s="1845"/>
      <c r="Y29" s="1845"/>
      <c r="Z29" s="1845"/>
      <c r="AA29" s="1845"/>
      <c r="AB29" s="1845"/>
      <c r="AC29" s="1845"/>
      <c r="AD29" s="1845"/>
      <c r="AE29" s="1845"/>
      <c r="AF29" s="1845"/>
      <c r="AG29" s="1845"/>
      <c r="AH29" s="1845"/>
      <c r="AI29" s="1845"/>
      <c r="AJ29" s="1845"/>
      <c r="AK29" s="1845"/>
      <c r="AL29" s="1845"/>
      <c r="AM29" s="1845"/>
      <c r="AN29" s="1845"/>
      <c r="AO29" s="1845"/>
      <c r="AP29" s="1845"/>
      <c r="AQ29" s="1845"/>
      <c r="AR29" s="1845"/>
      <c r="AS29" s="1845"/>
      <c r="AT29" s="1845"/>
      <c r="AU29" s="1845"/>
      <c r="AV29" s="1845"/>
      <c r="AW29" s="1845"/>
      <c r="AX29" s="1845"/>
      <c r="AY29" s="1845"/>
      <c r="AZ29" s="1845"/>
    </row>
    <row r="30" spans="1:52" x14ac:dyDescent="0.2">
      <c r="A30" s="1890"/>
      <c r="B30" s="1890"/>
      <c r="C30" s="1890"/>
      <c r="D30" s="1890"/>
      <c r="E30" s="1890"/>
      <c r="F30" s="1890"/>
      <c r="G30" s="2267"/>
      <c r="H30" s="1890"/>
      <c r="I30" s="1890"/>
      <c r="J30" s="1890"/>
      <c r="K30" s="1890"/>
      <c r="L30" s="1890"/>
      <c r="M30" s="1890"/>
      <c r="N30" s="1890"/>
      <c r="O30" s="1890"/>
      <c r="P30" s="1890"/>
      <c r="Q30" s="1890"/>
      <c r="R30" s="1890"/>
      <c r="S30" s="1890"/>
      <c r="T30" s="1890"/>
    </row>
    <row r="31" spans="1:52" ht="15.75" x14ac:dyDescent="0.25">
      <c r="A31" s="1890"/>
      <c r="B31" s="2268"/>
      <c r="C31" s="2269" t="s">
        <v>1250</v>
      </c>
      <c r="D31" s="2270" t="s">
        <v>1251</v>
      </c>
      <c r="E31" s="2270" t="s">
        <v>1252</v>
      </c>
      <c r="F31" s="1890"/>
      <c r="G31" s="1890"/>
      <c r="H31" s="2271"/>
      <c r="I31" s="1890"/>
      <c r="J31" s="1890"/>
      <c r="K31" s="1890"/>
      <c r="L31" s="1890"/>
      <c r="M31" s="1890"/>
      <c r="N31" s="1890"/>
      <c r="O31" s="1890"/>
      <c r="P31" s="1890"/>
      <c r="Q31" s="1890"/>
      <c r="R31" s="1890"/>
      <c r="S31" s="1890"/>
      <c r="T31" s="1890"/>
    </row>
    <row r="32" spans="1:52" ht="14.25" x14ac:dyDescent="0.25">
      <c r="A32" s="1890"/>
      <c r="B32" s="2272" t="s">
        <v>1237</v>
      </c>
      <c r="C32" s="2273"/>
      <c r="D32" s="2235"/>
      <c r="E32" s="2235"/>
      <c r="F32" s="1890"/>
      <c r="G32" s="1890"/>
      <c r="H32" s="1890"/>
      <c r="I32" s="1890"/>
      <c r="J32" s="1890"/>
      <c r="K32" s="1890"/>
      <c r="L32" s="1890"/>
      <c r="M32" s="1890"/>
      <c r="N32" s="1890"/>
      <c r="O32" s="1890"/>
      <c r="P32" s="1890"/>
      <c r="Q32" s="1890"/>
      <c r="R32" s="1890"/>
      <c r="S32" s="1890"/>
      <c r="T32" s="1890"/>
    </row>
    <row r="33" spans="1:20" ht="14.25" x14ac:dyDescent="0.25">
      <c r="A33" s="1890"/>
      <c r="B33" s="2274"/>
      <c r="C33" s="2275"/>
      <c r="D33" s="2275"/>
      <c r="E33" s="2275"/>
      <c r="F33" s="1890"/>
      <c r="G33" s="1890"/>
      <c r="H33" s="1890"/>
      <c r="I33" s="1890"/>
      <c r="J33" s="1890"/>
      <c r="K33" s="1890"/>
      <c r="L33" s="1890"/>
      <c r="M33" s="1890"/>
      <c r="N33" s="1890"/>
      <c r="O33" s="1890"/>
      <c r="P33" s="1890"/>
      <c r="Q33" s="1890"/>
      <c r="R33" s="1890"/>
      <c r="S33" s="1890"/>
      <c r="T33" s="1890"/>
    </row>
    <row r="34" spans="1:20" ht="14.25" x14ac:dyDescent="0.25">
      <c r="A34" s="1890"/>
      <c r="B34" s="2226" t="str">
        <f>B7</f>
        <v>Resíduos de alimentos</v>
      </c>
      <c r="C34" s="2242">
        <f>+C62</f>
        <v>0</v>
      </c>
      <c r="D34" s="2242">
        <f>+C71</f>
        <v>0</v>
      </c>
      <c r="E34" s="2242">
        <f t="shared" ref="E34:E41" si="5">+D34+C34</f>
        <v>0</v>
      </c>
      <c r="F34" s="1890"/>
      <c r="G34" s="1890"/>
      <c r="H34" s="1890"/>
      <c r="I34" s="1890"/>
      <c r="J34" s="1890"/>
      <c r="K34" s="1890"/>
      <c r="L34" s="1890"/>
      <c r="M34" s="1890"/>
      <c r="N34" s="1890"/>
      <c r="O34" s="1890"/>
      <c r="P34" s="1890"/>
      <c r="Q34" s="1890"/>
      <c r="R34" s="1890"/>
      <c r="S34" s="1890"/>
      <c r="T34" s="1890"/>
    </row>
    <row r="35" spans="1:20" ht="14.25" x14ac:dyDescent="0.25">
      <c r="A35" s="1890"/>
      <c r="B35" s="2226" t="str">
        <f t="shared" ref="B35:B41" si="6">B8</f>
        <v>Resíduos de jardins e parques</v>
      </c>
      <c r="C35" s="2242">
        <f t="shared" ref="C35:C41" si="7">+C63</f>
        <v>0</v>
      </c>
      <c r="D35" s="2242">
        <f t="shared" ref="D35:D41" si="8">+C72</f>
        <v>0</v>
      </c>
      <c r="E35" s="2242">
        <f t="shared" si="5"/>
        <v>0</v>
      </c>
      <c r="F35" s="1890"/>
      <c r="G35" s="1890"/>
      <c r="H35" s="1890"/>
      <c r="I35" s="1890"/>
      <c r="J35" s="1890"/>
      <c r="K35" s="1890"/>
      <c r="L35" s="1890"/>
      <c r="M35" s="1890"/>
      <c r="N35" s="1890"/>
      <c r="O35" s="1890"/>
      <c r="P35" s="1890"/>
      <c r="Q35" s="1890"/>
      <c r="R35" s="1890"/>
      <c r="S35" s="1890"/>
      <c r="T35" s="1890"/>
    </row>
    <row r="36" spans="1:20" ht="14.25" x14ac:dyDescent="0.25">
      <c r="A36" s="1890"/>
      <c r="B36" s="2226" t="str">
        <f t="shared" si="6"/>
        <v>Papel, papelão</v>
      </c>
      <c r="C36" s="2242">
        <f t="shared" si="7"/>
        <v>378.85401215999997</v>
      </c>
      <c r="D36" s="2242">
        <f t="shared" si="8"/>
        <v>-466.93153727999999</v>
      </c>
      <c r="E36" s="2242">
        <f t="shared" si="5"/>
        <v>-88.077525120000018</v>
      </c>
      <c r="F36" s="1890"/>
      <c r="G36" s="1890"/>
      <c r="H36" s="1890"/>
      <c r="I36" s="1890"/>
      <c r="J36" s="1890"/>
      <c r="K36" s="1890"/>
      <c r="L36" s="1890"/>
      <c r="M36" s="1890"/>
      <c r="N36" s="1890"/>
      <c r="O36" s="1890"/>
      <c r="P36" s="1890"/>
      <c r="Q36" s="1890"/>
      <c r="R36" s="1890"/>
      <c r="S36" s="1890"/>
      <c r="T36" s="1890"/>
    </row>
    <row r="37" spans="1:20" ht="14.25" x14ac:dyDescent="0.25">
      <c r="A37" s="1890"/>
      <c r="B37" s="2226" t="str">
        <f t="shared" si="6"/>
        <v>Plásticos</v>
      </c>
      <c r="C37" s="2242">
        <f t="shared" si="7"/>
        <v>127.44669600000003</v>
      </c>
      <c r="D37" s="2242">
        <f t="shared" si="8"/>
        <v>-593.65292688</v>
      </c>
      <c r="E37" s="2242">
        <f t="shared" si="5"/>
        <v>-466.20623087999996</v>
      </c>
      <c r="F37" s="1890"/>
      <c r="G37" s="1890"/>
      <c r="H37" s="1890"/>
      <c r="I37" s="1890"/>
      <c r="J37" s="1890"/>
      <c r="K37" s="1890"/>
      <c r="L37" s="1890"/>
      <c r="M37" s="1890"/>
      <c r="N37" s="1890"/>
      <c r="O37" s="1890"/>
      <c r="P37" s="1890"/>
      <c r="Q37" s="1890"/>
      <c r="R37" s="1890"/>
      <c r="S37" s="1890"/>
      <c r="T37" s="1890"/>
    </row>
    <row r="38" spans="1:20" ht="14.25" x14ac:dyDescent="0.25">
      <c r="A38" s="1890"/>
      <c r="B38" s="2226" t="str">
        <f t="shared" si="6"/>
        <v>Vidros</v>
      </c>
      <c r="C38" s="2242">
        <f t="shared" si="7"/>
        <v>0</v>
      </c>
      <c r="D38" s="2242">
        <f t="shared" si="8"/>
        <v>0</v>
      </c>
      <c r="E38" s="2242">
        <f t="shared" si="5"/>
        <v>0</v>
      </c>
      <c r="F38" s="1890"/>
      <c r="G38" s="1890"/>
      <c r="H38" s="1890"/>
      <c r="I38" s="1890"/>
      <c r="J38" s="1890"/>
      <c r="K38" s="1890"/>
      <c r="L38" s="1890"/>
      <c r="M38" s="1890"/>
      <c r="N38" s="1890"/>
      <c r="O38" s="1890"/>
      <c r="P38" s="1890"/>
      <c r="Q38" s="1890"/>
      <c r="R38" s="1890"/>
      <c r="S38" s="1890"/>
      <c r="T38" s="1890"/>
    </row>
    <row r="39" spans="1:20" ht="14.25" x14ac:dyDescent="0.25">
      <c r="A39" s="1890"/>
      <c r="B39" s="2226" t="str">
        <f t="shared" si="6"/>
        <v>Metais ferrosos</v>
      </c>
      <c r="C39" s="2242">
        <f t="shared" si="7"/>
        <v>6.77873664</v>
      </c>
      <c r="D39" s="2242">
        <f t="shared" si="8"/>
        <v>-181.33120511999999</v>
      </c>
      <c r="E39" s="2242">
        <f t="shared" si="5"/>
        <v>-174.55246847999999</v>
      </c>
      <c r="F39" s="1890"/>
      <c r="G39" s="1890"/>
      <c r="H39" s="1890"/>
      <c r="I39" s="1890"/>
      <c r="J39" s="1890"/>
      <c r="K39" s="1890"/>
      <c r="L39" s="1890"/>
      <c r="M39" s="1890"/>
      <c r="N39" s="1890"/>
      <c r="O39" s="1890"/>
      <c r="P39" s="1890"/>
      <c r="Q39" s="1890"/>
      <c r="R39" s="1890"/>
      <c r="S39" s="1890"/>
      <c r="T39" s="1890"/>
    </row>
    <row r="40" spans="1:20" ht="14.25" x14ac:dyDescent="0.25">
      <c r="A40" s="1890"/>
      <c r="B40" s="2226" t="str">
        <f t="shared" si="6"/>
        <v>Alumínio</v>
      </c>
      <c r="C40" s="2242">
        <f t="shared" si="7"/>
        <v>19.258611839999997</v>
      </c>
      <c r="D40" s="2242">
        <f t="shared" si="8"/>
        <v>-272.99151359999996</v>
      </c>
      <c r="E40" s="2242">
        <f t="shared" si="5"/>
        <v>-253.73290175999998</v>
      </c>
      <c r="F40" s="1890"/>
      <c r="G40" s="1890"/>
      <c r="H40" s="1890"/>
      <c r="I40" s="1890"/>
      <c r="J40" s="1890"/>
      <c r="K40" s="1890"/>
      <c r="L40" s="1890"/>
      <c r="M40" s="1890"/>
      <c r="N40" s="1890"/>
      <c r="O40" s="1890"/>
      <c r="P40" s="1890"/>
      <c r="Q40" s="1890"/>
      <c r="R40" s="1890"/>
      <c r="S40" s="1890"/>
      <c r="T40" s="1890"/>
    </row>
    <row r="41" spans="1:20" ht="14.25" x14ac:dyDescent="0.25">
      <c r="A41" s="1890"/>
      <c r="B41" s="2226" t="str">
        <f t="shared" si="6"/>
        <v>Têxteis</v>
      </c>
      <c r="C41" s="2242">
        <f t="shared" si="7"/>
        <v>0</v>
      </c>
      <c r="D41" s="2242">
        <f t="shared" si="8"/>
        <v>0</v>
      </c>
      <c r="E41" s="2242">
        <f t="shared" si="5"/>
        <v>0</v>
      </c>
      <c r="F41" s="1890"/>
      <c r="G41" s="1890"/>
      <c r="H41" s="1890"/>
      <c r="I41" s="1890"/>
      <c r="J41" s="1890"/>
      <c r="K41" s="1890"/>
      <c r="L41" s="1890"/>
      <c r="M41" s="1890"/>
      <c r="N41" s="1890"/>
      <c r="O41" s="1890"/>
      <c r="P41" s="1890"/>
      <c r="Q41" s="1890"/>
      <c r="R41" s="1890"/>
      <c r="S41" s="1890"/>
      <c r="T41" s="1890"/>
    </row>
    <row r="42" spans="1:20" ht="14.25" x14ac:dyDescent="0.25">
      <c r="A42" s="1890"/>
      <c r="B42" s="2276"/>
      <c r="C42" s="2277"/>
      <c r="D42" s="2277"/>
      <c r="E42" s="2277"/>
      <c r="F42" s="1890"/>
      <c r="G42" s="1890"/>
      <c r="H42" s="1890"/>
      <c r="I42" s="1890"/>
      <c r="J42" s="1890"/>
      <c r="K42" s="1890"/>
      <c r="L42" s="1890"/>
      <c r="M42" s="1890"/>
      <c r="N42" s="1890"/>
      <c r="O42" s="1890"/>
      <c r="P42" s="1890"/>
      <c r="Q42" s="1890"/>
      <c r="R42" s="1890"/>
      <c r="S42" s="1890"/>
      <c r="T42" s="1890"/>
    </row>
    <row r="43" spans="1:20" ht="14.25" x14ac:dyDescent="0.25">
      <c r="A43" s="1890"/>
      <c r="B43" s="2278" t="s">
        <v>1240</v>
      </c>
      <c r="C43" s="2279"/>
      <c r="D43" s="2280"/>
      <c r="E43" s="2280"/>
      <c r="F43" s="1890"/>
      <c r="G43" s="1890"/>
      <c r="H43" s="1890"/>
      <c r="I43" s="1890"/>
      <c r="J43" s="1890"/>
      <c r="K43" s="1890"/>
      <c r="L43" s="1890"/>
      <c r="M43" s="1890"/>
      <c r="N43" s="1890"/>
      <c r="O43" s="1890"/>
      <c r="P43" s="1890"/>
      <c r="Q43" s="1890"/>
      <c r="R43" s="1890"/>
      <c r="S43" s="1890"/>
      <c r="T43" s="1890"/>
    </row>
    <row r="44" spans="1:20" ht="14.25" x14ac:dyDescent="0.25">
      <c r="A44" s="1890"/>
      <c r="B44" s="2274"/>
      <c r="C44" s="2240"/>
      <c r="D44" s="2240"/>
      <c r="E44" s="2240"/>
      <c r="F44" s="1890"/>
      <c r="G44" s="1890"/>
      <c r="H44" s="1890"/>
      <c r="I44" s="1890"/>
      <c r="J44" s="1890"/>
      <c r="K44" s="1890"/>
      <c r="L44" s="1890"/>
      <c r="M44" s="1890"/>
      <c r="N44" s="1890"/>
      <c r="O44" s="1890"/>
      <c r="P44" s="1890"/>
      <c r="Q44" s="1890"/>
      <c r="R44" s="1890"/>
      <c r="S44" s="1890"/>
      <c r="T44" s="1890"/>
    </row>
    <row r="45" spans="1:20" ht="14.25" x14ac:dyDescent="0.25">
      <c r="A45" s="1890"/>
      <c r="B45" s="2226" t="str">
        <f>B18</f>
        <v>Resíduos dispersos</v>
      </c>
      <c r="C45" s="2242">
        <f>+L62</f>
        <v>0</v>
      </c>
      <c r="D45" s="2242">
        <f t="shared" ref="D45:D54" si="9">+L73</f>
        <v>0</v>
      </c>
      <c r="E45" s="2242">
        <f t="shared" ref="E45:E53" si="10">+D45+C45</f>
        <v>0</v>
      </c>
      <c r="F45" s="1890"/>
      <c r="G45" s="1890"/>
      <c r="H45" s="1890"/>
      <c r="I45" s="1890"/>
      <c r="J45" s="1890"/>
      <c r="K45" s="1890"/>
      <c r="L45" s="1890"/>
      <c r="M45" s="1890"/>
      <c r="N45" s="1890"/>
      <c r="O45" s="1890"/>
      <c r="P45" s="1890"/>
      <c r="Q45" s="1890"/>
      <c r="R45" s="1890"/>
      <c r="S45" s="1890"/>
      <c r="T45" s="1890"/>
    </row>
    <row r="46" spans="1:20" ht="14.25" x14ac:dyDescent="0.25">
      <c r="A46" s="1890"/>
      <c r="B46" s="2226" t="str">
        <f t="shared" ref="B46:B54" si="11">B19</f>
        <v>Queima a céu aberto</v>
      </c>
      <c r="C46" s="2242">
        <f t="shared" ref="C46:C53" si="12">+L63</f>
        <v>0</v>
      </c>
      <c r="D46" s="2242">
        <f t="shared" si="9"/>
        <v>0</v>
      </c>
      <c r="E46" s="2242">
        <f t="shared" si="10"/>
        <v>0</v>
      </c>
      <c r="F46" s="1890"/>
      <c r="G46" s="1890"/>
      <c r="H46" s="1890"/>
      <c r="I46" s="1890"/>
      <c r="J46" s="1890"/>
      <c r="K46" s="1890"/>
      <c r="L46" s="1890"/>
      <c r="M46" s="1890"/>
      <c r="N46" s="1890"/>
      <c r="O46" s="1890"/>
      <c r="P46" s="1890"/>
      <c r="Q46" s="1890"/>
      <c r="R46" s="1890"/>
      <c r="S46" s="1890"/>
      <c r="T46" s="1890"/>
    </row>
    <row r="47" spans="1:20" ht="14.25" x14ac:dyDescent="0.25">
      <c r="A47" s="1890"/>
      <c r="B47" s="2226" t="str">
        <f t="shared" si="11"/>
        <v>Lixão não controlado</v>
      </c>
      <c r="C47" s="2242">
        <f t="shared" si="12"/>
        <v>0</v>
      </c>
      <c r="D47" s="2242">
        <f t="shared" si="9"/>
        <v>0</v>
      </c>
      <c r="E47" s="2242">
        <f t="shared" si="10"/>
        <v>0</v>
      </c>
      <c r="F47" s="1890"/>
      <c r="G47" s="1890"/>
      <c r="H47" s="1890"/>
      <c r="I47" s="1890"/>
      <c r="J47" s="1890"/>
      <c r="K47" s="1890"/>
      <c r="L47" s="1890"/>
      <c r="M47" s="1890"/>
      <c r="N47" s="1890"/>
      <c r="O47" s="1890"/>
      <c r="P47" s="1890"/>
      <c r="Q47" s="1890"/>
      <c r="R47" s="1890"/>
      <c r="S47" s="1890"/>
      <c r="T47" s="1890"/>
    </row>
    <row r="48" spans="1:20" ht="14.25" x14ac:dyDescent="0.25">
      <c r="A48" s="1890"/>
      <c r="B48" s="2226" t="str">
        <f t="shared" si="11"/>
        <v>Aterro controlado</v>
      </c>
      <c r="C48" s="2242">
        <f t="shared" si="12"/>
        <v>0</v>
      </c>
      <c r="D48" s="2242">
        <f t="shared" si="9"/>
        <v>0</v>
      </c>
      <c r="E48" s="2242">
        <f t="shared" si="10"/>
        <v>0</v>
      </c>
      <c r="F48" s="1890"/>
      <c r="G48" s="1890"/>
      <c r="H48" s="1890"/>
      <c r="I48" s="1890"/>
      <c r="J48" s="1890"/>
      <c r="K48" s="1890"/>
      <c r="L48" s="1890"/>
      <c r="M48" s="1890"/>
      <c r="N48" s="1890"/>
      <c r="O48" s="1890"/>
      <c r="P48" s="1890"/>
      <c r="Q48" s="1890"/>
      <c r="R48" s="1890"/>
      <c r="S48" s="1890"/>
      <c r="T48" s="1890"/>
    </row>
    <row r="49" spans="1:105" ht="14.25" x14ac:dyDescent="0.25">
      <c r="A49" s="1890"/>
      <c r="B49" s="2226" t="str">
        <f t="shared" si="11"/>
        <v>Aterro sanitário</v>
      </c>
      <c r="C49" s="2242">
        <f t="shared" si="12"/>
        <v>26393.084303869578</v>
      </c>
      <c r="D49" s="2242">
        <f t="shared" si="9"/>
        <v>0</v>
      </c>
      <c r="E49" s="2242">
        <f t="shared" si="10"/>
        <v>26393.084303869578</v>
      </c>
      <c r="F49" s="1890"/>
      <c r="G49" s="1890"/>
      <c r="H49" s="1890"/>
      <c r="I49" s="1890"/>
      <c r="J49" s="1890"/>
      <c r="K49" s="1890"/>
      <c r="L49" s="1890"/>
      <c r="M49" s="1890"/>
      <c r="N49" s="1890"/>
      <c r="O49" s="1890"/>
      <c r="P49" s="1890"/>
      <c r="Q49" s="1890"/>
      <c r="R49" s="1890"/>
      <c r="S49" s="1890"/>
      <c r="T49" s="1890"/>
    </row>
    <row r="50" spans="1:105" ht="14.25" x14ac:dyDescent="0.25">
      <c r="A50" s="1890"/>
      <c r="B50" s="2226" t="str">
        <f t="shared" si="11"/>
        <v>Trat. biol + cobertura at.</v>
      </c>
      <c r="C50" s="2242">
        <f t="shared" si="12"/>
        <v>0</v>
      </c>
      <c r="D50" s="2242">
        <f t="shared" si="9"/>
        <v>0</v>
      </c>
      <c r="E50" s="2242">
        <f t="shared" si="10"/>
        <v>0</v>
      </c>
      <c r="F50" s="1890"/>
      <c r="G50" s="1890"/>
      <c r="H50" s="1890"/>
      <c r="I50" s="1890"/>
      <c r="J50" s="1890"/>
      <c r="K50" s="1890"/>
      <c r="L50" s="1890"/>
      <c r="M50" s="1890"/>
      <c r="N50" s="1890"/>
      <c r="O50" s="1890"/>
      <c r="P50" s="1890"/>
      <c r="Q50" s="1890"/>
      <c r="R50" s="1890"/>
      <c r="S50" s="1890"/>
      <c r="T50" s="1890"/>
    </row>
    <row r="51" spans="1:105" ht="14.25" x14ac:dyDescent="0.25">
      <c r="A51" s="1890"/>
      <c r="B51" s="2226" t="str">
        <f t="shared" si="11"/>
        <v>CDR seco + rejeito aterro</v>
      </c>
      <c r="C51" s="2242">
        <f t="shared" si="12"/>
        <v>0</v>
      </c>
      <c r="D51" s="2242">
        <f t="shared" si="9"/>
        <v>0</v>
      </c>
      <c r="E51" s="2242">
        <f t="shared" si="10"/>
        <v>0</v>
      </c>
      <c r="F51" s="1890"/>
      <c r="G51" s="2281"/>
      <c r="H51" s="2282"/>
      <c r="I51" s="2282"/>
      <c r="J51" s="2282"/>
      <c r="K51" s="1890"/>
      <c r="L51" s="1890"/>
      <c r="M51" s="1890"/>
      <c r="N51" s="1890"/>
      <c r="O51" s="1890"/>
      <c r="P51" s="1890"/>
      <c r="Q51" s="1890"/>
      <c r="R51" s="1890"/>
      <c r="S51" s="1890"/>
      <c r="T51" s="1890"/>
    </row>
    <row r="52" spans="1:105" ht="14.25" x14ac:dyDescent="0.25">
      <c r="A52" s="1890"/>
      <c r="B52" s="2226" t="str">
        <f t="shared" si="11"/>
        <v>CDR seco + trat. biol.</v>
      </c>
      <c r="C52" s="2242">
        <f t="shared" si="12"/>
        <v>0</v>
      </c>
      <c r="D52" s="2242">
        <f t="shared" si="9"/>
        <v>0</v>
      </c>
      <c r="E52" s="2242">
        <f t="shared" si="10"/>
        <v>0</v>
      </c>
      <c r="F52" s="1890"/>
      <c r="G52" s="2283"/>
      <c r="H52" s="2284" t="s">
        <v>1253</v>
      </c>
      <c r="I52" s="2285" t="s">
        <v>1240</v>
      </c>
      <c r="J52" s="2285" t="s">
        <v>1254</v>
      </c>
      <c r="K52" s="1890"/>
      <c r="L52" s="1890"/>
      <c r="M52" s="1890"/>
      <c r="N52" s="1890"/>
      <c r="O52" s="1890"/>
      <c r="P52" s="1890"/>
      <c r="Q52" s="1890"/>
      <c r="R52" s="1890"/>
      <c r="S52" s="1890"/>
      <c r="T52" s="1890"/>
    </row>
    <row r="53" spans="1:105" ht="14.25" x14ac:dyDescent="0.25">
      <c r="A53" s="1890"/>
      <c r="B53" s="2226" t="str">
        <f t="shared" si="11"/>
        <v>CDR seco + CDR org.</v>
      </c>
      <c r="C53" s="2242">
        <f t="shared" si="12"/>
        <v>0</v>
      </c>
      <c r="D53" s="2242">
        <f t="shared" si="9"/>
        <v>0</v>
      </c>
      <c r="E53" s="2242">
        <f t="shared" si="10"/>
        <v>0</v>
      </c>
      <c r="F53" s="1890"/>
      <c r="G53" s="1967" t="s">
        <v>1255</v>
      </c>
      <c r="H53" s="2286">
        <f>SUM(C34:C41)</f>
        <v>532.33805663999999</v>
      </c>
      <c r="I53" s="2286">
        <f>SUM(C45:C54)</f>
        <v>26393.084303869578</v>
      </c>
      <c r="J53" s="2286">
        <f>+I53+H53</f>
        <v>26925.422360509579</v>
      </c>
      <c r="K53" s="1890"/>
      <c r="L53" s="1890"/>
      <c r="M53" s="1890"/>
      <c r="N53" s="1890"/>
      <c r="O53" s="1890"/>
      <c r="P53" s="1890"/>
      <c r="Q53" s="1890"/>
      <c r="R53" s="1890"/>
      <c r="S53" s="1890"/>
      <c r="T53" s="1890"/>
    </row>
    <row r="54" spans="1:105" ht="14.25" x14ac:dyDescent="0.25">
      <c r="A54" s="1890"/>
      <c r="B54" s="2226" t="str">
        <f t="shared" si="11"/>
        <v>Incineração</v>
      </c>
      <c r="C54" s="2242">
        <f>+L71</f>
        <v>0</v>
      </c>
      <c r="D54" s="2242">
        <f t="shared" si="9"/>
        <v>0</v>
      </c>
      <c r="E54" s="2242">
        <f>+D54+C54</f>
        <v>0</v>
      </c>
      <c r="F54" s="1890"/>
      <c r="G54" s="1967" t="s">
        <v>1256</v>
      </c>
      <c r="H54" s="2286">
        <f>SUM(D34:D41)</f>
        <v>-1514.9071828799999</v>
      </c>
      <c r="I54" s="2286">
        <f>SUM(D45:D54)</f>
        <v>0</v>
      </c>
      <c r="J54" s="2286">
        <f>+I54+H54</f>
        <v>-1514.9071828799999</v>
      </c>
      <c r="K54" s="1890"/>
      <c r="L54" s="1890"/>
      <c r="M54" s="1890"/>
      <c r="N54" s="1890"/>
      <c r="O54" s="1890"/>
      <c r="P54" s="1890"/>
      <c r="Q54" s="1890"/>
      <c r="R54" s="1890"/>
      <c r="S54" s="1890"/>
      <c r="T54" s="1890"/>
    </row>
    <row r="55" spans="1:105" ht="14.25" x14ac:dyDescent="0.25">
      <c r="A55" s="1890"/>
      <c r="B55" s="2287"/>
      <c r="C55" s="2288"/>
      <c r="D55" s="2288"/>
      <c r="E55" s="2288"/>
      <c r="F55" s="1890"/>
      <c r="G55" s="1967" t="s">
        <v>1257</v>
      </c>
      <c r="H55" s="2286">
        <f>+H53+H54</f>
        <v>-982.56912623999995</v>
      </c>
      <c r="I55" s="2286">
        <f>+I53+I54</f>
        <v>26393.084303869578</v>
      </c>
      <c r="J55" s="2644">
        <f>+I55+H55</f>
        <v>25410.515177629579</v>
      </c>
      <c r="K55" s="1890"/>
      <c r="L55" s="1890"/>
      <c r="M55" s="1890"/>
      <c r="N55" s="1890"/>
      <c r="O55" s="1890"/>
      <c r="P55" s="1890"/>
      <c r="Q55" s="1890"/>
      <c r="R55" s="1890"/>
      <c r="S55" s="1890"/>
      <c r="T55" s="1890"/>
    </row>
    <row r="56" spans="1:105" ht="14.25" x14ac:dyDescent="0.25">
      <c r="A56" s="1890"/>
      <c r="B56" s="2260" t="s">
        <v>52</v>
      </c>
      <c r="C56" s="2289">
        <f>SUM(C34:C54)</f>
        <v>26925.422360509579</v>
      </c>
      <c r="D56" s="2289">
        <f>SUM(D34:D54)</f>
        <v>-1514.9071828799999</v>
      </c>
      <c r="E56" s="2289">
        <f>+D56+C56</f>
        <v>25410.515177629579</v>
      </c>
      <c r="F56" s="1890"/>
      <c r="G56" s="2281"/>
      <c r="H56" s="2290"/>
      <c r="I56" s="2290"/>
      <c r="J56" s="2290"/>
      <c r="K56" s="1890"/>
      <c r="L56" s="1890"/>
      <c r="M56" s="1890"/>
      <c r="N56" s="1890"/>
      <c r="O56" s="1890"/>
      <c r="P56" s="1890"/>
      <c r="Q56" s="1890"/>
      <c r="R56" s="1890"/>
      <c r="S56" s="1890"/>
      <c r="T56" s="1890"/>
    </row>
    <row r="57" spans="1:105" x14ac:dyDescent="0.2">
      <c r="A57" s="1890"/>
      <c r="B57" s="1890"/>
      <c r="C57" s="1890"/>
      <c r="D57" s="1890"/>
      <c r="E57" s="1890"/>
      <c r="F57" s="1890"/>
      <c r="G57" s="2281"/>
      <c r="H57" s="2282"/>
      <c r="I57" s="2282"/>
      <c r="J57" s="2290"/>
      <c r="K57" s="2234"/>
      <c r="L57" s="1890"/>
      <c r="M57" s="1890"/>
      <c r="N57" s="1890"/>
      <c r="O57" s="1890"/>
      <c r="P57" s="1890"/>
      <c r="Q57" s="1890"/>
      <c r="R57" s="1890"/>
      <c r="S57" s="1890"/>
      <c r="T57" s="1890"/>
    </row>
    <row r="58" spans="1:105" x14ac:dyDescent="0.2">
      <c r="A58" s="1890"/>
      <c r="B58" s="1890"/>
      <c r="C58" s="1890"/>
      <c r="D58" s="1890"/>
      <c r="E58" s="1890"/>
      <c r="F58" s="1890"/>
      <c r="G58" s="2281"/>
      <c r="H58" s="2282"/>
      <c r="I58" s="2282"/>
      <c r="J58" s="2290"/>
      <c r="K58" s="2234"/>
      <c r="L58" s="1890"/>
      <c r="M58" s="1890"/>
      <c r="N58" s="1890"/>
      <c r="O58" s="1890"/>
      <c r="P58" s="1890"/>
      <c r="Q58" s="1890"/>
      <c r="R58" s="1890"/>
      <c r="S58" s="1890"/>
      <c r="T58" s="1890"/>
    </row>
    <row r="59" spans="1:105" s="2292" customFormat="1" ht="24.95" customHeight="1" x14ac:dyDescent="0.2">
      <c r="A59" s="2291" t="s">
        <v>1258</v>
      </c>
      <c r="B59" s="2266"/>
      <c r="C59" s="1985"/>
      <c r="D59" s="1985"/>
      <c r="E59" s="1985"/>
      <c r="F59" s="2228"/>
      <c r="G59" s="2266"/>
      <c r="H59" s="2266"/>
      <c r="I59" s="2266"/>
      <c r="J59" s="2266"/>
      <c r="K59" s="1912" t="s">
        <v>1259</v>
      </c>
      <c r="L59" s="2266"/>
      <c r="M59" s="2266"/>
      <c r="N59" s="2266"/>
      <c r="O59" s="2266"/>
      <c r="P59" s="2266"/>
      <c r="Q59" s="2266"/>
      <c r="R59" s="2266"/>
      <c r="S59" s="2266"/>
      <c r="T59" s="2030"/>
      <c r="U59" s="1845"/>
      <c r="V59" s="1845"/>
      <c r="W59" s="1845"/>
      <c r="X59" s="1845"/>
      <c r="Y59" s="1845"/>
      <c r="Z59" s="1845"/>
      <c r="AA59" s="1845"/>
      <c r="AB59" s="1845"/>
      <c r="AC59" s="1845"/>
      <c r="AD59" s="1845"/>
      <c r="AE59" s="1845"/>
      <c r="AF59" s="1845"/>
      <c r="AG59" s="1845"/>
      <c r="AH59" s="1845"/>
      <c r="AI59" s="1845"/>
      <c r="AJ59" s="1845"/>
      <c r="AK59" s="1845"/>
      <c r="AL59" s="1845"/>
      <c r="AM59" s="1845"/>
      <c r="AN59" s="1845"/>
      <c r="AO59" s="1845"/>
      <c r="AP59" s="1845"/>
      <c r="AQ59" s="1845"/>
      <c r="AR59" s="1845"/>
      <c r="AS59" s="1845"/>
      <c r="AT59" s="1845"/>
      <c r="AU59" s="1845"/>
      <c r="AV59" s="1845"/>
      <c r="AW59" s="1845"/>
      <c r="AX59" s="1845"/>
      <c r="AY59" s="1845"/>
      <c r="AZ59" s="1845"/>
      <c r="BA59" s="1845"/>
      <c r="BB59" s="1845"/>
      <c r="BC59" s="1845"/>
      <c r="BD59" s="1845"/>
      <c r="BE59" s="1845"/>
      <c r="BF59" s="1845"/>
      <c r="BG59" s="1845"/>
      <c r="BH59" s="1845"/>
      <c r="BI59" s="1845"/>
      <c r="BJ59" s="1845"/>
      <c r="BK59" s="1845"/>
      <c r="BL59" s="1845"/>
      <c r="BM59" s="1845"/>
      <c r="BN59" s="1845"/>
      <c r="BO59" s="1845"/>
      <c r="BP59" s="1845"/>
      <c r="BQ59" s="1845"/>
      <c r="BR59" s="1845"/>
      <c r="BS59" s="1845"/>
      <c r="BT59" s="1845"/>
      <c r="BU59" s="1845"/>
      <c r="BV59" s="1845"/>
      <c r="BW59" s="1845"/>
      <c r="BX59" s="1845"/>
      <c r="BY59" s="1845"/>
      <c r="BZ59" s="1845"/>
      <c r="CA59" s="1845"/>
      <c r="CB59" s="1845"/>
      <c r="CC59" s="1845"/>
      <c r="CD59" s="1845"/>
      <c r="CE59" s="1845"/>
      <c r="CF59" s="1845"/>
      <c r="CG59" s="1845"/>
      <c r="CH59" s="1845"/>
      <c r="CI59" s="1845"/>
      <c r="CJ59" s="1845"/>
      <c r="CK59" s="1845"/>
      <c r="CL59" s="1845"/>
      <c r="CM59" s="1845"/>
      <c r="CN59" s="1845"/>
      <c r="CO59" s="1845"/>
      <c r="CP59" s="1845"/>
      <c r="CQ59" s="1845"/>
      <c r="CR59" s="1845"/>
      <c r="CS59" s="1845"/>
      <c r="CT59" s="1845"/>
      <c r="CU59" s="1845"/>
      <c r="CV59" s="1845"/>
      <c r="CW59" s="1845"/>
      <c r="CX59" s="1845"/>
      <c r="CY59" s="1845"/>
      <c r="CZ59" s="1845"/>
      <c r="DA59" s="1845"/>
    </row>
    <row r="60" spans="1:105" ht="18" x14ac:dyDescent="0.25">
      <c r="A60" s="2293"/>
      <c r="B60" s="1890"/>
      <c r="C60" s="1890"/>
      <c r="D60" s="1890"/>
      <c r="E60" s="1890"/>
      <c r="F60" s="1890"/>
      <c r="G60" s="1890"/>
      <c r="H60" s="1890"/>
      <c r="I60" s="1890"/>
      <c r="J60" s="1890"/>
      <c r="K60" s="1890"/>
      <c r="L60" s="1890"/>
      <c r="M60" s="1890"/>
      <c r="N60" s="1890"/>
      <c r="O60" s="1890"/>
      <c r="P60" s="1890"/>
      <c r="Q60" s="1890"/>
      <c r="R60" s="1890"/>
      <c r="S60" s="1890"/>
      <c r="T60" s="1890"/>
    </row>
    <row r="61" spans="1:105" ht="14.25" x14ac:dyDescent="0.25">
      <c r="A61" s="1890"/>
      <c r="B61" s="2294"/>
      <c r="C61" s="2295" t="s">
        <v>1237</v>
      </c>
      <c r="D61" s="2295" t="s">
        <v>1257</v>
      </c>
      <c r="E61" s="1957"/>
      <c r="F61" s="1957"/>
      <c r="G61" s="1957"/>
      <c r="H61" s="1957"/>
      <c r="I61" s="1957"/>
      <c r="J61" s="1957"/>
      <c r="K61" s="2296"/>
      <c r="L61" s="2297" t="s">
        <v>1260</v>
      </c>
      <c r="M61" s="2295" t="s">
        <v>1257</v>
      </c>
      <c r="N61" s="1890"/>
      <c r="O61" s="1890"/>
      <c r="P61" s="1890"/>
      <c r="Q61" s="1890"/>
      <c r="R61" s="1890"/>
      <c r="S61" s="1890"/>
      <c r="T61" s="1890"/>
    </row>
    <row r="62" spans="1:105" ht="14.25" x14ac:dyDescent="0.25">
      <c r="A62" s="1890"/>
      <c r="B62" s="2298" t="str">
        <f>+'CO2 - Cálculos'!AC16</f>
        <v>Resíduos de alimentos</v>
      </c>
      <c r="C62" s="2299">
        <f>+'CO2 - Cálculos'!AD16</f>
        <v>0</v>
      </c>
      <c r="D62" s="2024"/>
      <c r="E62" s="1957"/>
      <c r="F62" s="1957"/>
      <c r="G62" s="1957"/>
      <c r="H62" s="1957"/>
      <c r="I62" s="1957"/>
      <c r="J62" s="1957"/>
      <c r="K62" s="2300" t="str">
        <f>+'CO2 - Cálculos'!AC61</f>
        <v>Resíduos dispersos</v>
      </c>
      <c r="L62" s="2299">
        <f>+'CO2 - Cálculos'!AD61</f>
        <v>0</v>
      </c>
      <c r="M62" s="2024"/>
      <c r="N62" s="1890"/>
      <c r="O62" s="1890"/>
      <c r="P62" s="1890"/>
      <c r="Q62" s="1890"/>
      <c r="R62" s="1890"/>
      <c r="S62" s="1890"/>
      <c r="T62" s="1890"/>
    </row>
    <row r="63" spans="1:105" ht="14.25" x14ac:dyDescent="0.25">
      <c r="A63" s="1890"/>
      <c r="B63" s="2298" t="str">
        <f>+'CO2 - Cálculos'!AC17</f>
        <v>Resíduos de jardins e parques</v>
      </c>
      <c r="C63" s="2299">
        <f>+'CO2 - Cálculos'!AD17</f>
        <v>0</v>
      </c>
      <c r="D63" s="2024"/>
      <c r="E63" s="1957"/>
      <c r="F63" s="1957"/>
      <c r="G63" s="1957"/>
      <c r="H63" s="1957"/>
      <c r="I63" s="1957"/>
      <c r="J63" s="1957"/>
      <c r="K63" s="2300" t="str">
        <f>+'CO2 - Cálculos'!AC62</f>
        <v>Queima a céu aberto</v>
      </c>
      <c r="L63" s="2299">
        <f>+'CO2 - Cálculos'!AD62</f>
        <v>0</v>
      </c>
      <c r="M63" s="2024"/>
      <c r="N63" s="1890"/>
      <c r="O63" s="1890"/>
      <c r="P63" s="1890"/>
      <c r="Q63" s="1890"/>
      <c r="R63" s="1890"/>
      <c r="S63" s="1890"/>
      <c r="T63" s="1890"/>
    </row>
    <row r="64" spans="1:105" ht="14.25" x14ac:dyDescent="0.25">
      <c r="A64" s="1890"/>
      <c r="B64" s="2298" t="str">
        <f>+'CO2 - Cálculos'!AC18</f>
        <v>Papel, papelão</v>
      </c>
      <c r="C64" s="2299">
        <f>+'CO2 - Cálculos'!AD18</f>
        <v>378.85401215999997</v>
      </c>
      <c r="D64" s="2024"/>
      <c r="E64" s="1957"/>
      <c r="F64" s="1957"/>
      <c r="G64" s="1957"/>
      <c r="H64" s="1957"/>
      <c r="I64" s="1957"/>
      <c r="J64" s="1957"/>
      <c r="K64" s="2300" t="str">
        <f>+'CO2 - Cálculos'!AC63</f>
        <v>Lixão não controlado</v>
      </c>
      <c r="L64" s="2299">
        <f>+'CO2 - Cálculos'!AD63</f>
        <v>0</v>
      </c>
      <c r="M64" s="2024"/>
      <c r="N64" s="1890"/>
      <c r="O64" s="1890"/>
      <c r="P64" s="1890"/>
      <c r="Q64" s="1890"/>
      <c r="R64" s="1890"/>
      <c r="S64" s="1890"/>
      <c r="T64" s="1890"/>
    </row>
    <row r="65" spans="1:20" ht="14.25" x14ac:dyDescent="0.25">
      <c r="A65" s="1890"/>
      <c r="B65" s="2298" t="str">
        <f>+'CO2 - Cálculos'!AC19</f>
        <v>Plásticos</v>
      </c>
      <c r="C65" s="2299">
        <f>+'CO2 - Cálculos'!AD19</f>
        <v>127.44669600000003</v>
      </c>
      <c r="D65" s="2024"/>
      <c r="E65" s="1957"/>
      <c r="F65" s="1957"/>
      <c r="G65" s="1957"/>
      <c r="H65" s="1957"/>
      <c r="I65" s="1957"/>
      <c r="J65" s="1957"/>
      <c r="K65" s="2300" t="str">
        <f>+'CO2 - Cálculos'!AC64</f>
        <v>Aterro controlado</v>
      </c>
      <c r="L65" s="2299">
        <f>+'CO2 - Cálculos'!AD64</f>
        <v>0</v>
      </c>
      <c r="M65" s="2024"/>
      <c r="N65" s="1890"/>
      <c r="O65" s="1890"/>
      <c r="P65" s="1890"/>
      <c r="Q65" s="1890"/>
      <c r="R65" s="1890"/>
      <c r="S65" s="1890"/>
      <c r="T65" s="1890"/>
    </row>
    <row r="66" spans="1:20" ht="14.25" x14ac:dyDescent="0.25">
      <c r="A66" s="1890"/>
      <c r="B66" s="2298" t="str">
        <f>+'CO2 - Cálculos'!AC20</f>
        <v>Vidros</v>
      </c>
      <c r="C66" s="2299">
        <f>+'CO2 - Cálculos'!AD20</f>
        <v>0</v>
      </c>
      <c r="D66" s="2024"/>
      <c r="E66" s="1957"/>
      <c r="F66" s="1957"/>
      <c r="G66" s="1957"/>
      <c r="H66" s="1957"/>
      <c r="I66" s="1957"/>
      <c r="J66" s="1957"/>
      <c r="K66" s="2300" t="str">
        <f>+'CO2 - Cálculos'!AC65</f>
        <v>Aterro sanitário</v>
      </c>
      <c r="L66" s="2299">
        <f>+'CO2 - Cálculos'!AD65</f>
        <v>26393.084303869578</v>
      </c>
      <c r="M66" s="2024"/>
      <c r="N66" s="1890"/>
      <c r="O66" s="1890"/>
      <c r="P66" s="1890"/>
      <c r="Q66" s="1890"/>
      <c r="R66" s="1890"/>
      <c r="S66" s="1890"/>
      <c r="T66" s="1890"/>
    </row>
    <row r="67" spans="1:20" ht="14.25" x14ac:dyDescent="0.25">
      <c r="A67" s="1890"/>
      <c r="B67" s="2298" t="str">
        <f>+'CO2 - Cálculos'!AC21</f>
        <v>Metais ferrosos</v>
      </c>
      <c r="C67" s="2299">
        <f>+'CO2 - Cálculos'!AD21</f>
        <v>6.77873664</v>
      </c>
      <c r="D67" s="2024"/>
      <c r="E67" s="1957"/>
      <c r="F67" s="1957"/>
      <c r="G67" s="1957"/>
      <c r="H67" s="1957"/>
      <c r="I67" s="1957"/>
      <c r="J67" s="1957"/>
      <c r="K67" s="2300" t="str">
        <f>+'CO2 - Cálculos'!AC66</f>
        <v>Trat. biol + cobertura at.</v>
      </c>
      <c r="L67" s="2299">
        <f>+'CO2 - Cálculos'!AD66</f>
        <v>0</v>
      </c>
      <c r="M67" s="2024"/>
      <c r="N67" s="1890"/>
      <c r="O67" s="1890"/>
      <c r="P67" s="1890"/>
      <c r="Q67" s="1890"/>
      <c r="R67" s="1890"/>
      <c r="S67" s="1890"/>
      <c r="T67" s="1890"/>
    </row>
    <row r="68" spans="1:20" ht="14.25" x14ac:dyDescent="0.25">
      <c r="A68" s="1890"/>
      <c r="B68" s="2298" t="str">
        <f>+'CO2 - Cálculos'!AC22</f>
        <v>Alumínio</v>
      </c>
      <c r="C68" s="2299">
        <f>+'CO2 - Cálculos'!AD22</f>
        <v>19.258611839999997</v>
      </c>
      <c r="D68" s="2024"/>
      <c r="E68" s="1957"/>
      <c r="F68" s="1957"/>
      <c r="G68" s="1957"/>
      <c r="H68" s="1957"/>
      <c r="I68" s="1957"/>
      <c r="J68" s="1957"/>
      <c r="K68" s="2300" t="str">
        <f>+'CO2 - Cálculos'!AC67</f>
        <v>CDR seco + rejeito aterro</v>
      </c>
      <c r="L68" s="2299">
        <f>+'CO2 - Cálculos'!AD67</f>
        <v>0</v>
      </c>
      <c r="M68" s="2024"/>
      <c r="N68" s="1890"/>
      <c r="O68" s="1890"/>
      <c r="P68" s="1890"/>
      <c r="Q68" s="1890"/>
      <c r="R68" s="1890"/>
      <c r="S68" s="1890"/>
      <c r="T68" s="1890"/>
    </row>
    <row r="69" spans="1:20" ht="14.25" x14ac:dyDescent="0.25">
      <c r="A69" s="2234"/>
      <c r="B69" s="2298" t="str">
        <f>+'CO2 - Cálculos'!AC23</f>
        <v>Têxteis</v>
      </c>
      <c r="C69" s="2299">
        <f>+'CO2 - Cálculos'!AD23</f>
        <v>0</v>
      </c>
      <c r="D69" s="2024"/>
      <c r="E69" s="1957"/>
      <c r="F69" s="1957"/>
      <c r="G69" s="1957"/>
      <c r="H69" s="1957"/>
      <c r="I69" s="1957"/>
      <c r="J69" s="1957"/>
      <c r="K69" s="2300" t="str">
        <f>+'CO2 - Cálculos'!AC68</f>
        <v>CDR seco + trat. biol.</v>
      </c>
      <c r="L69" s="2299">
        <f>+'CO2 - Cálculos'!AD68</f>
        <v>0</v>
      </c>
      <c r="M69" s="2024"/>
      <c r="N69" s="1890"/>
      <c r="O69" s="1890"/>
      <c r="P69" s="1890"/>
      <c r="Q69" s="1890"/>
      <c r="R69" s="1890"/>
      <c r="S69" s="1890"/>
      <c r="T69" s="1890"/>
    </row>
    <row r="70" spans="1:20" ht="14.25" x14ac:dyDescent="0.25">
      <c r="A70" s="1890"/>
      <c r="B70" s="2298" t="s">
        <v>1255</v>
      </c>
      <c r="C70" s="2024"/>
      <c r="D70" s="2301"/>
      <c r="E70" s="1957"/>
      <c r="F70" s="1957"/>
      <c r="G70" s="1957"/>
      <c r="H70" s="1957"/>
      <c r="I70" s="1957"/>
      <c r="J70" s="1957"/>
      <c r="K70" s="2300" t="str">
        <f>+'CO2 - Cálculos'!AC69</f>
        <v>CDR seco + CDR org.</v>
      </c>
      <c r="L70" s="2299">
        <f>+'CO2 - Cálculos'!AD69</f>
        <v>0</v>
      </c>
      <c r="M70" s="2024"/>
      <c r="N70" s="1890"/>
      <c r="O70" s="1890"/>
      <c r="P70" s="1890"/>
      <c r="Q70" s="1890"/>
      <c r="R70" s="1890"/>
      <c r="S70" s="1890"/>
      <c r="T70" s="1890"/>
    </row>
    <row r="71" spans="1:20" ht="14.25" x14ac:dyDescent="0.25">
      <c r="A71" s="1890"/>
      <c r="B71" s="2302" t="str">
        <f>+'CO2 - Cálculos'!AC25</f>
        <v>Resíduos de alimentos</v>
      </c>
      <c r="C71" s="2299">
        <f>+'CO2 - Cálculos'!AD25</f>
        <v>0</v>
      </c>
      <c r="D71" s="2024"/>
      <c r="E71" s="1957"/>
      <c r="F71" s="1957"/>
      <c r="G71" s="1957"/>
      <c r="H71" s="1957"/>
      <c r="I71" s="1957"/>
      <c r="J71" s="1957"/>
      <c r="K71" s="2300" t="str">
        <f>+'CO2 - Cálculos'!AC70</f>
        <v>Incineração</v>
      </c>
      <c r="L71" s="2299">
        <f>+'CO2 - Cálculos'!AD70</f>
        <v>0</v>
      </c>
      <c r="M71" s="2024"/>
      <c r="N71" s="1890"/>
      <c r="O71" s="1890"/>
      <c r="P71" s="1890"/>
      <c r="Q71" s="1890"/>
      <c r="R71" s="1890"/>
      <c r="S71" s="1890"/>
      <c r="T71" s="1890"/>
    </row>
    <row r="72" spans="1:20" ht="14.25" x14ac:dyDescent="0.25">
      <c r="A72" s="1890"/>
      <c r="B72" s="2302" t="str">
        <f>+'CO2 - Cálculos'!AC26</f>
        <v>Resíduos de jardins e parques</v>
      </c>
      <c r="C72" s="2299">
        <f>+'CO2 - Cálculos'!AD26</f>
        <v>0</v>
      </c>
      <c r="D72" s="2024"/>
      <c r="E72" s="1957"/>
      <c r="F72" s="1957"/>
      <c r="G72" s="1957"/>
      <c r="H72" s="1957"/>
      <c r="I72" s="1957"/>
      <c r="J72" s="1957"/>
      <c r="K72" s="2303" t="s">
        <v>1255</v>
      </c>
      <c r="L72" s="2024"/>
      <c r="M72" s="2024"/>
      <c r="N72" s="1890"/>
      <c r="O72" s="1890"/>
      <c r="P72" s="1890"/>
      <c r="Q72" s="1890"/>
      <c r="R72" s="1890"/>
      <c r="S72" s="1890"/>
      <c r="T72" s="1890"/>
    </row>
    <row r="73" spans="1:20" ht="14.25" x14ac:dyDescent="0.25">
      <c r="A73" s="1890"/>
      <c r="B73" s="2302" t="str">
        <f>+'CO2 - Cálculos'!AC27</f>
        <v>Papel, papelão</v>
      </c>
      <c r="C73" s="2299">
        <f>+'CO2 - Cálculos'!AD27</f>
        <v>-466.93153727999999</v>
      </c>
      <c r="D73" s="2024"/>
      <c r="E73" s="1957"/>
      <c r="F73" s="1957"/>
      <c r="G73" s="1957"/>
      <c r="H73" s="1957"/>
      <c r="I73" s="1957"/>
      <c r="J73" s="1957"/>
      <c r="K73" s="2300" t="str">
        <f>+'CO2 - Cálculos'!AC72</f>
        <v>Resíduos dispersos</v>
      </c>
      <c r="L73" s="2299">
        <f>+'CO2 - Cálculos'!AD72</f>
        <v>0</v>
      </c>
      <c r="M73" s="2024"/>
      <c r="N73" s="1890"/>
      <c r="O73" s="1890"/>
      <c r="P73" s="1890"/>
      <c r="Q73" s="1890"/>
      <c r="R73" s="1890"/>
      <c r="S73" s="1890"/>
      <c r="T73" s="1890"/>
    </row>
    <row r="74" spans="1:20" ht="14.25" x14ac:dyDescent="0.25">
      <c r="A74" s="1890"/>
      <c r="B74" s="2302" t="str">
        <f>+'CO2 - Cálculos'!AC28</f>
        <v>Plásticos</v>
      </c>
      <c r="C74" s="2299">
        <f>+'CO2 - Cálculos'!AD28</f>
        <v>-593.65292688</v>
      </c>
      <c r="D74" s="2024"/>
      <c r="E74" s="1957"/>
      <c r="F74" s="1957"/>
      <c r="G74" s="1957"/>
      <c r="H74" s="1957"/>
      <c r="I74" s="1957"/>
      <c r="J74" s="1957"/>
      <c r="K74" s="2300" t="str">
        <f>+'CO2 - Cálculos'!AC73</f>
        <v>Queima a céu aberto</v>
      </c>
      <c r="L74" s="2299">
        <f>+'CO2 - Cálculos'!AD73</f>
        <v>0</v>
      </c>
      <c r="M74" s="2024"/>
      <c r="N74" s="1890"/>
      <c r="O74" s="1890"/>
      <c r="P74" s="1890"/>
      <c r="Q74" s="1890"/>
      <c r="R74" s="1890"/>
      <c r="S74" s="1890"/>
      <c r="T74" s="1890"/>
    </row>
    <row r="75" spans="1:20" ht="14.25" x14ac:dyDescent="0.25">
      <c r="A75" s="1890"/>
      <c r="B75" s="2302" t="str">
        <f>+'CO2 - Cálculos'!AC29</f>
        <v>Vidros</v>
      </c>
      <c r="C75" s="2299">
        <f>+'CO2 - Cálculos'!AD29</f>
        <v>0</v>
      </c>
      <c r="D75" s="2024"/>
      <c r="E75" s="1957"/>
      <c r="F75" s="1957"/>
      <c r="G75" s="1957"/>
      <c r="H75" s="1957"/>
      <c r="I75" s="1957"/>
      <c r="J75" s="1957"/>
      <c r="K75" s="2300" t="str">
        <f>+'CO2 - Cálculos'!AC74</f>
        <v>Lixão não controlado</v>
      </c>
      <c r="L75" s="2299">
        <f>+'CO2 - Cálculos'!AD74</f>
        <v>0</v>
      </c>
      <c r="M75" s="2024"/>
      <c r="N75" s="1890"/>
      <c r="O75" s="1890"/>
      <c r="P75" s="1890"/>
      <c r="Q75" s="1890"/>
      <c r="R75" s="1890"/>
      <c r="S75" s="1890"/>
      <c r="T75" s="1890"/>
    </row>
    <row r="76" spans="1:20" ht="14.25" x14ac:dyDescent="0.25">
      <c r="A76" s="1890"/>
      <c r="B76" s="2302" t="str">
        <f>+'CO2 - Cálculos'!AC30</f>
        <v>Metais ferrosos</v>
      </c>
      <c r="C76" s="2299">
        <f>+'CO2 - Cálculos'!AD30</f>
        <v>-181.33120511999999</v>
      </c>
      <c r="D76" s="2024"/>
      <c r="E76" s="1957"/>
      <c r="F76" s="1957"/>
      <c r="G76" s="1957"/>
      <c r="H76" s="1957"/>
      <c r="I76" s="1957"/>
      <c r="J76" s="1957"/>
      <c r="K76" s="2300" t="str">
        <f>+'CO2 - Cálculos'!AC75</f>
        <v>Aterro controlado</v>
      </c>
      <c r="L76" s="2299">
        <f>+'CO2 - Cálculos'!AD75</f>
        <v>0</v>
      </c>
      <c r="M76" s="2024"/>
      <c r="N76" s="1890"/>
      <c r="O76" s="1890"/>
      <c r="P76" s="1890"/>
      <c r="Q76" s="1890"/>
      <c r="R76" s="1890"/>
      <c r="S76" s="1890"/>
      <c r="T76" s="1890"/>
    </row>
    <row r="77" spans="1:20" ht="14.25" x14ac:dyDescent="0.25">
      <c r="A77" s="1890"/>
      <c r="B77" s="2302" t="str">
        <f>+'CO2 - Cálculos'!AC31</f>
        <v>Alumínio</v>
      </c>
      <c r="C77" s="2299">
        <f>+'CO2 - Cálculos'!AD31</f>
        <v>-272.99151359999996</v>
      </c>
      <c r="D77" s="2024"/>
      <c r="E77" s="1957"/>
      <c r="F77" s="1957"/>
      <c r="G77" s="1957"/>
      <c r="H77" s="1957"/>
      <c r="I77" s="1957"/>
      <c r="J77" s="1957"/>
      <c r="K77" s="2300" t="str">
        <f>+'CO2 - Cálculos'!AC76</f>
        <v>Aterro sanitário</v>
      </c>
      <c r="L77" s="2299">
        <f>+'CO2 - Cálculos'!AD76</f>
        <v>0</v>
      </c>
      <c r="M77" s="2024"/>
      <c r="N77" s="1890"/>
      <c r="O77" s="1890"/>
      <c r="P77" s="1890"/>
      <c r="Q77" s="1890"/>
      <c r="R77" s="1890"/>
      <c r="S77" s="1890"/>
      <c r="T77" s="1890"/>
    </row>
    <row r="78" spans="1:20" ht="14.25" x14ac:dyDescent="0.25">
      <c r="A78" s="1890"/>
      <c r="B78" s="2302" t="str">
        <f>+'CO2 - Cálculos'!AC32</f>
        <v>Têxteis</v>
      </c>
      <c r="C78" s="2299">
        <f>+'CO2 - Cálculos'!AD32</f>
        <v>0</v>
      </c>
      <c r="D78" s="2024"/>
      <c r="E78" s="1957"/>
      <c r="F78" s="1957"/>
      <c r="G78" s="1957"/>
      <c r="H78" s="1957"/>
      <c r="I78" s="1957"/>
      <c r="J78" s="1957"/>
      <c r="K78" s="2300" t="str">
        <f>+'CO2 - Cálculos'!AC77</f>
        <v>Trat. biol + cobertura at.</v>
      </c>
      <c r="L78" s="2299">
        <f>+'CO2 - Cálculos'!AD77</f>
        <v>0</v>
      </c>
      <c r="M78" s="2024"/>
      <c r="N78" s="1890"/>
      <c r="O78" s="1890"/>
      <c r="P78" s="1890"/>
      <c r="Q78" s="1890"/>
      <c r="R78" s="1890"/>
      <c r="S78" s="1890"/>
      <c r="T78" s="1890"/>
    </row>
    <row r="79" spans="1:20" ht="14.25" x14ac:dyDescent="0.25">
      <c r="A79" s="1890"/>
      <c r="B79" s="2304" t="s">
        <v>1256</v>
      </c>
      <c r="C79" s="2024"/>
      <c r="D79" s="2301"/>
      <c r="E79" s="1957"/>
      <c r="F79" s="1957"/>
      <c r="G79" s="1957"/>
      <c r="H79" s="1957"/>
      <c r="I79" s="1957"/>
      <c r="J79" s="1957"/>
      <c r="K79" s="2300" t="str">
        <f>+'CO2 - Cálculos'!AC78</f>
        <v>CDR seco + rejeito aterro</v>
      </c>
      <c r="L79" s="2299">
        <f>+'CO2 - Cálculos'!AD78</f>
        <v>0</v>
      </c>
      <c r="M79" s="2024"/>
      <c r="N79" s="1890"/>
      <c r="O79" s="1890"/>
      <c r="P79" s="1890"/>
      <c r="Q79" s="1890"/>
      <c r="R79" s="1890"/>
      <c r="S79" s="1890"/>
      <c r="T79" s="1890"/>
    </row>
    <row r="80" spans="1:20" ht="14.25" x14ac:dyDescent="0.25">
      <c r="A80" s="1890"/>
      <c r="B80" s="2304" t="s">
        <v>1261</v>
      </c>
      <c r="C80" s="2024"/>
      <c r="D80" s="2299">
        <f>SUM(C62:C69,C71:C78)</f>
        <v>-982.56912624000006</v>
      </c>
      <c r="E80" s="1957"/>
      <c r="F80" s="1957"/>
      <c r="G80" s="1957"/>
      <c r="H80" s="1957"/>
      <c r="I80" s="1957"/>
      <c r="J80" s="1957"/>
      <c r="K80" s="2300" t="str">
        <f>+'CO2 - Cálculos'!AC79</f>
        <v>CDR seco + trat. biol.</v>
      </c>
      <c r="L80" s="2299">
        <f>+'CO2 - Cálculos'!AD79</f>
        <v>0</v>
      </c>
      <c r="M80" s="2024"/>
      <c r="N80" s="1890"/>
      <c r="O80" s="1890"/>
      <c r="P80" s="1890"/>
      <c r="Q80" s="1890"/>
      <c r="R80" s="1890"/>
      <c r="S80" s="1890"/>
      <c r="T80" s="1890"/>
    </row>
    <row r="81" spans="1:20" ht="14.25" x14ac:dyDescent="0.25">
      <c r="A81" s="1890"/>
      <c r="B81" s="1957"/>
      <c r="C81" s="1957"/>
      <c r="D81" s="1957"/>
      <c r="E81" s="1957"/>
      <c r="F81" s="1957"/>
      <c r="G81" s="1957"/>
      <c r="H81" s="1957"/>
      <c r="I81" s="1957"/>
      <c r="J81" s="1957"/>
      <c r="K81" s="2300" t="str">
        <f>+'CO2 - Cálculos'!AC80</f>
        <v>CDR seco + CDR org.</v>
      </c>
      <c r="L81" s="2299">
        <f>+'CO2 - Cálculos'!AD80</f>
        <v>0</v>
      </c>
      <c r="M81" s="2024"/>
      <c r="N81" s="1890"/>
      <c r="O81" s="1890"/>
      <c r="P81" s="1890"/>
      <c r="Q81" s="1890"/>
      <c r="R81" s="1890"/>
      <c r="S81" s="1890"/>
      <c r="T81" s="1890"/>
    </row>
    <row r="82" spans="1:20" ht="14.25" x14ac:dyDescent="0.2">
      <c r="A82" s="1890"/>
      <c r="B82" s="1890"/>
      <c r="C82" s="1890"/>
      <c r="D82" s="1890"/>
      <c r="E82" s="2267"/>
      <c r="F82" s="1890"/>
      <c r="G82" s="1890"/>
      <c r="H82" s="1890"/>
      <c r="I82" s="1890"/>
      <c r="J82" s="1890"/>
      <c r="K82" s="2300" t="str">
        <f>+'CO2 - Cálculos'!AC81</f>
        <v>Incineração</v>
      </c>
      <c r="L82" s="2299">
        <f>+'CO2 - Cálculos'!AD81</f>
        <v>0</v>
      </c>
      <c r="M82" s="2024"/>
      <c r="N82" s="1890"/>
      <c r="O82" s="1890"/>
      <c r="P82" s="1890"/>
      <c r="Q82" s="1890"/>
      <c r="R82" s="1890"/>
      <c r="S82" s="1890"/>
      <c r="T82" s="1890"/>
    </row>
    <row r="83" spans="1:20" ht="14.25" x14ac:dyDescent="0.25">
      <c r="A83" s="1890"/>
      <c r="B83" s="1890"/>
      <c r="C83" s="1890"/>
      <c r="D83" s="1890"/>
      <c r="E83" s="2267"/>
      <c r="F83" s="1890"/>
      <c r="G83" s="1890"/>
      <c r="H83" s="1890"/>
      <c r="I83" s="1890"/>
      <c r="J83" s="1890"/>
      <c r="K83" s="2304" t="s">
        <v>1256</v>
      </c>
      <c r="L83" s="2024"/>
      <c r="M83" s="2024"/>
      <c r="N83" s="1890"/>
      <c r="O83" s="1890"/>
      <c r="P83" s="1890"/>
      <c r="Q83" s="1890"/>
      <c r="R83" s="1890"/>
      <c r="S83" s="1890"/>
      <c r="T83" s="1890"/>
    </row>
    <row r="84" spans="1:20" ht="14.25" x14ac:dyDescent="0.25">
      <c r="A84" s="1890"/>
      <c r="B84" s="1890"/>
      <c r="C84" s="1890"/>
      <c r="D84" s="1890"/>
      <c r="E84" s="2267"/>
      <c r="F84" s="1890"/>
      <c r="G84" s="1890"/>
      <c r="H84" s="1890"/>
      <c r="I84" s="1890"/>
      <c r="J84" s="1890"/>
      <c r="K84" s="2304" t="s">
        <v>1257</v>
      </c>
      <c r="L84" s="2024"/>
      <c r="M84" s="2299">
        <f>SUM(L62:L71,L73:L82)</f>
        <v>26393.084303869578</v>
      </c>
      <c r="N84" s="1890"/>
      <c r="O84" s="1890"/>
      <c r="P84" s="1890"/>
      <c r="Q84" s="1890"/>
      <c r="R84" s="1890"/>
      <c r="S84" s="1890"/>
      <c r="T84" s="1890"/>
    </row>
    <row r="85" spans="1:20" ht="14.25" x14ac:dyDescent="0.25">
      <c r="A85" s="1890"/>
      <c r="B85" s="1890"/>
      <c r="C85" s="1890"/>
      <c r="D85" s="1890"/>
      <c r="E85" s="1890"/>
      <c r="F85" s="1890"/>
      <c r="G85" s="1890"/>
      <c r="H85" s="1890"/>
      <c r="I85" s="1890"/>
      <c r="J85" s="1890"/>
      <c r="K85" s="1957"/>
      <c r="L85" s="1890"/>
      <c r="M85" s="1890"/>
      <c r="N85" s="1890"/>
      <c r="O85" s="1890"/>
      <c r="P85" s="1890"/>
      <c r="Q85" s="1890"/>
      <c r="R85" s="1890"/>
      <c r="S85" s="1890"/>
      <c r="T85" s="1890"/>
    </row>
    <row r="86" spans="1:20" ht="14.25" x14ac:dyDescent="0.25">
      <c r="A86" s="1890"/>
      <c r="B86" s="1890"/>
      <c r="C86" s="1890"/>
      <c r="D86" s="1890"/>
      <c r="E86" s="1890"/>
      <c r="F86" s="1890"/>
      <c r="G86" s="1890"/>
      <c r="H86" s="1890"/>
      <c r="I86" s="1890"/>
      <c r="J86" s="1890"/>
      <c r="K86" s="1957"/>
      <c r="L86" s="1890"/>
      <c r="M86" s="1890"/>
      <c r="N86" s="1890"/>
      <c r="O86" s="1890"/>
      <c r="P86" s="1890"/>
      <c r="Q86" s="1890"/>
      <c r="R86" s="1890"/>
      <c r="S86" s="1890"/>
      <c r="T86" s="1890"/>
    </row>
    <row r="87" spans="1:20" x14ac:dyDescent="0.2">
      <c r="A87" s="1890"/>
      <c r="B87" s="1890"/>
      <c r="C87" s="1890"/>
      <c r="D87" s="1890"/>
      <c r="E87" s="1890"/>
      <c r="F87" s="1890"/>
      <c r="G87" s="1890"/>
      <c r="H87" s="1890"/>
      <c r="I87" s="1890"/>
      <c r="J87" s="1890"/>
      <c r="K87" s="1890"/>
      <c r="L87" s="1890"/>
      <c r="M87" s="1890"/>
      <c r="N87" s="1890"/>
      <c r="O87" s="1890"/>
      <c r="P87" s="1890"/>
      <c r="Q87" s="1890"/>
      <c r="R87" s="1890"/>
      <c r="S87" s="1890"/>
      <c r="T87" s="1890"/>
    </row>
    <row r="88" spans="1:20" x14ac:dyDescent="0.2">
      <c r="A88" s="1890"/>
      <c r="B88" s="1890"/>
      <c r="C88" s="1890"/>
      <c r="D88" s="1890"/>
      <c r="E88" s="1890"/>
      <c r="F88" s="1890"/>
      <c r="G88" s="1890"/>
      <c r="H88" s="1890"/>
      <c r="I88" s="1890"/>
      <c r="J88" s="1890"/>
      <c r="K88" s="1890"/>
      <c r="L88" s="1890"/>
      <c r="M88" s="1890"/>
      <c r="N88" s="1890"/>
      <c r="O88" s="1890"/>
      <c r="P88" s="1890"/>
      <c r="Q88" s="1890"/>
      <c r="R88" s="1890"/>
      <c r="S88" s="1890"/>
      <c r="T88" s="1890"/>
    </row>
    <row r="89" spans="1:20" x14ac:dyDescent="0.2">
      <c r="A89" s="1890"/>
      <c r="B89" s="1890"/>
      <c r="C89" s="1890"/>
      <c r="D89" s="1890"/>
      <c r="E89" s="1890"/>
      <c r="F89" s="1890"/>
      <c r="G89" s="1890"/>
      <c r="H89" s="1890"/>
      <c r="I89" s="1890"/>
      <c r="J89" s="1890"/>
      <c r="K89" s="1890"/>
      <c r="L89" s="1890"/>
      <c r="M89" s="1890"/>
      <c r="N89" s="1890"/>
      <c r="O89" s="1890"/>
      <c r="P89" s="1890"/>
      <c r="Q89" s="1890"/>
      <c r="R89" s="1890"/>
      <c r="S89" s="1890"/>
      <c r="T89" s="1890"/>
    </row>
    <row r="90" spans="1:20" x14ac:dyDescent="0.2">
      <c r="A90" s="1890"/>
      <c r="B90" s="1890"/>
      <c r="C90" s="1890"/>
      <c r="D90" s="1890"/>
      <c r="E90" s="1890"/>
      <c r="F90" s="1890"/>
      <c r="G90" s="1890"/>
      <c r="H90" s="1890"/>
      <c r="I90" s="1890"/>
      <c r="J90" s="1890"/>
      <c r="K90" s="1890"/>
      <c r="L90" s="1890"/>
      <c r="M90" s="1890"/>
      <c r="N90" s="1890"/>
      <c r="O90" s="1890"/>
      <c r="P90" s="1890"/>
      <c r="Q90" s="1890"/>
      <c r="R90" s="1890"/>
      <c r="S90" s="1890"/>
      <c r="T90" s="1890"/>
    </row>
    <row r="91" spans="1:20" x14ac:dyDescent="0.2">
      <c r="A91" s="1890"/>
      <c r="B91" s="1890"/>
      <c r="C91" s="1890"/>
      <c r="D91" s="1890"/>
      <c r="E91" s="1890"/>
      <c r="F91" s="1890"/>
      <c r="G91" s="1890"/>
      <c r="H91" s="1890"/>
      <c r="I91" s="1890"/>
      <c r="J91" s="1890"/>
      <c r="K91" s="1890"/>
      <c r="L91" s="1890"/>
      <c r="M91" s="1890"/>
      <c r="N91" s="1890"/>
      <c r="O91" s="1890"/>
      <c r="P91" s="1890"/>
      <c r="Q91" s="1890"/>
      <c r="R91" s="1890"/>
      <c r="S91" s="1890"/>
      <c r="T91" s="1890"/>
    </row>
    <row r="92" spans="1:20" x14ac:dyDescent="0.2">
      <c r="A92" s="1890"/>
      <c r="B92" s="1890"/>
      <c r="C92" s="1890"/>
      <c r="D92" s="1890"/>
      <c r="E92" s="1890"/>
      <c r="F92" s="1890"/>
      <c r="G92" s="1890"/>
      <c r="H92" s="1890"/>
      <c r="I92" s="1890"/>
      <c r="J92" s="1890"/>
      <c r="K92" s="1890"/>
      <c r="L92" s="1890"/>
      <c r="M92" s="1890"/>
      <c r="N92" s="1890"/>
      <c r="O92" s="1890"/>
      <c r="P92" s="1890"/>
      <c r="Q92" s="1890"/>
      <c r="R92" s="1890"/>
      <c r="S92" s="1890"/>
      <c r="T92" s="1890"/>
    </row>
    <row r="93" spans="1:20" x14ac:dyDescent="0.2">
      <c r="A93" s="1890"/>
      <c r="B93" s="1890"/>
      <c r="C93" s="1890"/>
      <c r="D93" s="1890"/>
      <c r="E93" s="1890"/>
      <c r="F93" s="1890"/>
      <c r="G93" s="1890"/>
      <c r="H93" s="1890"/>
      <c r="I93" s="1890"/>
      <c r="J93" s="1890"/>
      <c r="K93" s="1890"/>
      <c r="L93" s="1890"/>
      <c r="M93" s="1890"/>
      <c r="N93" s="1890"/>
      <c r="O93" s="1890"/>
      <c r="P93" s="1890"/>
      <c r="Q93" s="1890"/>
      <c r="R93" s="1890"/>
      <c r="S93" s="1890"/>
      <c r="T93" s="1890"/>
    </row>
    <row r="94" spans="1:20" x14ac:dyDescent="0.2">
      <c r="A94" s="1890"/>
      <c r="B94" s="1890"/>
      <c r="C94" s="1890"/>
      <c r="D94" s="1890"/>
      <c r="E94" s="1890"/>
      <c r="F94" s="1890"/>
      <c r="G94" s="1890"/>
      <c r="H94" s="1890"/>
      <c r="I94" s="1890"/>
      <c r="J94" s="1890"/>
      <c r="K94" s="1890"/>
      <c r="L94" s="1890"/>
      <c r="M94" s="1890"/>
      <c r="N94" s="1890"/>
      <c r="O94" s="1890"/>
      <c r="P94" s="1890"/>
      <c r="Q94" s="1890"/>
      <c r="R94" s="1890"/>
      <c r="S94" s="1890"/>
      <c r="T94" s="1890"/>
    </row>
    <row r="95" spans="1:20" x14ac:dyDescent="0.2">
      <c r="A95" s="1890"/>
      <c r="B95" s="1890"/>
      <c r="C95" s="1890"/>
      <c r="D95" s="1890"/>
      <c r="E95" s="1890"/>
      <c r="F95" s="1890"/>
      <c r="G95" s="1890"/>
      <c r="H95" s="1890"/>
      <c r="I95" s="1890"/>
      <c r="J95" s="1890"/>
      <c r="K95" s="1890"/>
      <c r="L95" s="1890"/>
      <c r="M95" s="1890"/>
      <c r="N95" s="1890"/>
      <c r="O95" s="1890"/>
      <c r="P95" s="1890"/>
      <c r="Q95" s="1890"/>
      <c r="R95" s="1890"/>
      <c r="S95" s="1890"/>
      <c r="T95" s="1890"/>
    </row>
    <row r="96" spans="1:20" x14ac:dyDescent="0.2">
      <c r="A96" s="1890"/>
      <c r="B96" s="1890"/>
      <c r="C96" s="1890"/>
      <c r="D96" s="1890"/>
      <c r="E96" s="1890"/>
      <c r="F96" s="1890"/>
      <c r="G96" s="1890"/>
      <c r="H96" s="1890"/>
      <c r="I96" s="1890"/>
      <c r="J96" s="1890"/>
      <c r="K96" s="1890"/>
      <c r="L96" s="1890"/>
      <c r="M96" s="1890"/>
      <c r="N96" s="1890"/>
      <c r="O96" s="1890"/>
      <c r="P96" s="1890"/>
      <c r="Q96" s="1890"/>
      <c r="R96" s="1890"/>
      <c r="S96" s="1890"/>
      <c r="T96" s="1890"/>
    </row>
    <row r="97" spans="1:20" x14ac:dyDescent="0.2">
      <c r="A97" s="1890"/>
      <c r="B97" s="1890"/>
      <c r="C97" s="1890"/>
      <c r="D97" s="1890"/>
      <c r="E97" s="1890"/>
      <c r="F97" s="1890"/>
      <c r="G97" s="1890"/>
      <c r="H97" s="1890"/>
      <c r="I97" s="1890"/>
      <c r="J97" s="1890"/>
      <c r="K97" s="1890"/>
      <c r="L97" s="1890"/>
      <c r="M97" s="1890"/>
      <c r="N97" s="1890"/>
      <c r="O97" s="1890"/>
      <c r="P97" s="1890"/>
      <c r="Q97" s="1890"/>
      <c r="R97" s="1890"/>
      <c r="S97" s="1890"/>
      <c r="T97" s="1890"/>
    </row>
    <row r="98" spans="1:20" x14ac:dyDescent="0.2">
      <c r="A98" s="1890"/>
      <c r="B98" s="1890"/>
      <c r="C98" s="1890"/>
      <c r="D98" s="1890"/>
      <c r="E98" s="1890"/>
      <c r="F98" s="1890"/>
      <c r="G98" s="1890"/>
      <c r="H98" s="1890"/>
      <c r="I98" s="1890"/>
      <c r="J98" s="1890"/>
      <c r="K98" s="1890"/>
      <c r="L98" s="1890"/>
      <c r="M98" s="1890"/>
      <c r="N98" s="1890"/>
      <c r="O98" s="1890"/>
      <c r="P98" s="1890"/>
      <c r="Q98" s="1890"/>
      <c r="R98" s="1890"/>
      <c r="S98" s="1890"/>
      <c r="T98" s="1890"/>
    </row>
    <row r="99" spans="1:20" x14ac:dyDescent="0.2">
      <c r="A99" s="1890"/>
      <c r="B99" s="1890"/>
      <c r="C99" s="1890"/>
      <c r="D99" s="1890"/>
      <c r="E99" s="1890"/>
      <c r="F99" s="1890"/>
      <c r="G99" s="1890"/>
      <c r="H99" s="1890"/>
      <c r="I99" s="1890"/>
      <c r="J99" s="1890"/>
      <c r="K99" s="1890"/>
      <c r="L99" s="1890"/>
      <c r="M99" s="1890"/>
      <c r="N99" s="1890"/>
      <c r="O99" s="1890"/>
      <c r="P99" s="1890"/>
      <c r="Q99" s="1890"/>
      <c r="R99" s="1890"/>
      <c r="S99" s="1890"/>
      <c r="T99" s="1890"/>
    </row>
    <row r="100" spans="1:20" x14ac:dyDescent="0.2">
      <c r="A100" s="1890"/>
      <c r="B100" s="1890"/>
      <c r="C100" s="1890"/>
      <c r="D100" s="1890"/>
      <c r="E100" s="1890"/>
      <c r="F100" s="1890"/>
      <c r="G100" s="1890"/>
      <c r="H100" s="1890"/>
      <c r="I100" s="1890"/>
      <c r="J100" s="1890"/>
      <c r="K100" s="1890"/>
      <c r="L100" s="1890"/>
      <c r="M100" s="1890"/>
      <c r="N100" s="1890"/>
      <c r="O100" s="1890"/>
      <c r="P100" s="1890"/>
      <c r="Q100" s="1890"/>
      <c r="R100" s="1890"/>
      <c r="S100" s="1890"/>
      <c r="T100" s="1890"/>
    </row>
    <row r="101" spans="1:20" x14ac:dyDescent="0.2">
      <c r="A101" s="1890"/>
      <c r="B101" s="1890"/>
      <c r="C101" s="1890"/>
      <c r="D101" s="1890"/>
      <c r="E101" s="1890"/>
      <c r="F101" s="1890"/>
      <c r="G101" s="1890"/>
      <c r="H101" s="1890"/>
      <c r="I101" s="1890"/>
      <c r="J101" s="1890"/>
      <c r="K101" s="1890"/>
      <c r="L101" s="1890"/>
      <c r="M101" s="1890"/>
      <c r="N101" s="1890"/>
      <c r="O101" s="1890"/>
      <c r="P101" s="1890"/>
      <c r="Q101" s="1890"/>
      <c r="R101" s="1890"/>
      <c r="S101" s="1890"/>
      <c r="T101" s="1890"/>
    </row>
    <row r="102" spans="1:20" x14ac:dyDescent="0.2">
      <c r="A102" s="1890"/>
      <c r="B102" s="1890"/>
      <c r="C102" s="1890"/>
      <c r="D102" s="1890"/>
      <c r="E102" s="1890"/>
      <c r="F102" s="1890"/>
      <c r="G102" s="1890"/>
      <c r="H102" s="1890"/>
      <c r="I102" s="1890"/>
      <c r="J102" s="1890"/>
      <c r="K102" s="1890"/>
      <c r="L102" s="1890"/>
      <c r="M102" s="1890"/>
      <c r="N102" s="1890"/>
      <c r="O102" s="1890"/>
      <c r="P102" s="1890"/>
      <c r="Q102" s="1890"/>
      <c r="R102" s="1890"/>
      <c r="S102" s="1890"/>
      <c r="T102" s="1890"/>
    </row>
    <row r="103" spans="1:20" x14ac:dyDescent="0.2">
      <c r="A103" s="1890"/>
      <c r="B103" s="1890"/>
      <c r="C103" s="1890"/>
      <c r="D103" s="1890"/>
      <c r="E103" s="1890"/>
      <c r="F103" s="1890"/>
      <c r="G103" s="1890"/>
      <c r="H103" s="1890"/>
      <c r="I103" s="1890"/>
      <c r="J103" s="1890"/>
      <c r="K103" s="1890"/>
      <c r="L103" s="1890"/>
      <c r="M103" s="1890"/>
      <c r="N103" s="1890"/>
      <c r="O103" s="1890"/>
      <c r="P103" s="1890"/>
      <c r="Q103" s="1890"/>
      <c r="R103" s="1890"/>
      <c r="S103" s="1890"/>
      <c r="T103" s="1890"/>
    </row>
    <row r="104" spans="1:20" x14ac:dyDescent="0.2">
      <c r="A104" s="1890"/>
      <c r="B104" s="1890"/>
      <c r="C104" s="1890"/>
      <c r="D104" s="1890"/>
      <c r="E104" s="1890"/>
      <c r="F104" s="1890"/>
      <c r="G104" s="1890"/>
      <c r="H104" s="1890"/>
      <c r="I104" s="1890"/>
      <c r="J104" s="1890"/>
      <c r="K104" s="1890"/>
      <c r="L104" s="1890"/>
      <c r="M104" s="1890"/>
      <c r="N104" s="1890"/>
      <c r="O104" s="1890"/>
      <c r="P104" s="1890"/>
      <c r="Q104" s="1890"/>
      <c r="R104" s="1890"/>
      <c r="S104" s="1890"/>
      <c r="T104" s="1890"/>
    </row>
    <row r="105" spans="1:20" x14ac:dyDescent="0.2">
      <c r="A105" s="1890"/>
      <c r="B105" s="1890"/>
      <c r="C105" s="1890"/>
      <c r="D105" s="1890"/>
      <c r="E105" s="1890"/>
      <c r="F105" s="1890"/>
      <c r="G105" s="1890"/>
      <c r="H105" s="1890"/>
      <c r="I105" s="1890"/>
      <c r="J105" s="1890"/>
      <c r="K105" s="1890"/>
      <c r="L105" s="1890"/>
      <c r="M105" s="1890"/>
      <c r="N105" s="1890"/>
      <c r="O105" s="1890"/>
      <c r="P105" s="1890"/>
      <c r="Q105" s="1890"/>
      <c r="R105" s="1890"/>
      <c r="S105" s="1890"/>
      <c r="T105" s="1890"/>
    </row>
    <row r="106" spans="1:20" x14ac:dyDescent="0.2">
      <c r="A106" s="1890"/>
      <c r="B106" s="1890"/>
      <c r="C106" s="1890"/>
      <c r="D106" s="1890"/>
      <c r="E106" s="1890"/>
      <c r="F106" s="1890"/>
      <c r="G106" s="1890"/>
      <c r="H106" s="1890"/>
      <c r="I106" s="1890"/>
      <c r="J106" s="1890"/>
      <c r="K106" s="1890"/>
      <c r="L106" s="1890"/>
      <c r="M106" s="1890"/>
      <c r="N106" s="1890"/>
      <c r="O106" s="1890"/>
      <c r="P106" s="1890"/>
      <c r="Q106" s="1890"/>
      <c r="R106" s="1890"/>
      <c r="S106" s="1890"/>
      <c r="T106" s="1890"/>
    </row>
    <row r="107" spans="1:20" x14ac:dyDescent="0.2">
      <c r="A107" s="1890"/>
      <c r="B107" s="1890"/>
      <c r="C107" s="1890"/>
      <c r="D107" s="1890"/>
      <c r="E107" s="1890"/>
      <c r="F107" s="1890"/>
      <c r="G107" s="1890"/>
      <c r="H107" s="1890"/>
      <c r="I107" s="1890"/>
      <c r="J107" s="1890"/>
      <c r="K107" s="1890"/>
      <c r="L107" s="1890"/>
      <c r="M107" s="1890"/>
      <c r="N107" s="1890"/>
      <c r="O107" s="1890"/>
      <c r="P107" s="1890"/>
      <c r="Q107" s="1890"/>
      <c r="R107" s="1890"/>
      <c r="S107" s="1890"/>
      <c r="T107" s="1890"/>
    </row>
    <row r="108" spans="1:20" x14ac:dyDescent="0.2">
      <c r="A108" s="1890"/>
      <c r="B108" s="1890"/>
      <c r="C108" s="1890"/>
      <c r="D108" s="1890"/>
      <c r="E108" s="1890"/>
      <c r="F108" s="1890"/>
      <c r="G108" s="1890"/>
      <c r="H108" s="1890"/>
      <c r="I108" s="1890"/>
      <c r="J108" s="1890"/>
      <c r="K108" s="1890"/>
      <c r="L108" s="1890"/>
      <c r="M108" s="1890"/>
      <c r="N108" s="1890"/>
      <c r="O108" s="1890"/>
      <c r="P108" s="1890"/>
      <c r="Q108" s="1890"/>
      <c r="R108" s="1890"/>
      <c r="S108" s="1890"/>
      <c r="T108" s="1890"/>
    </row>
    <row r="109" spans="1:20" x14ac:dyDescent="0.2">
      <c r="A109" s="1890"/>
      <c r="B109" s="1890"/>
      <c r="C109" s="1890"/>
      <c r="D109" s="1890"/>
      <c r="E109" s="1890"/>
      <c r="F109" s="1890"/>
      <c r="G109" s="1890"/>
      <c r="H109" s="1890"/>
      <c r="I109" s="1890"/>
      <c r="J109" s="1890"/>
      <c r="K109" s="1890"/>
      <c r="L109" s="1890"/>
      <c r="M109" s="1890"/>
      <c r="N109" s="1890"/>
      <c r="O109" s="1890"/>
      <c r="P109" s="1890"/>
      <c r="Q109" s="1890"/>
      <c r="R109" s="1890"/>
      <c r="S109" s="1890"/>
      <c r="T109" s="1890"/>
    </row>
    <row r="110" spans="1:20" x14ac:dyDescent="0.2">
      <c r="A110" s="1890"/>
      <c r="B110" s="1890"/>
      <c r="C110" s="1890"/>
      <c r="D110" s="1890"/>
      <c r="E110" s="1890"/>
      <c r="F110" s="1890"/>
      <c r="G110" s="1890"/>
      <c r="H110" s="1890"/>
      <c r="I110" s="1890"/>
      <c r="J110" s="1890"/>
      <c r="K110" s="1890"/>
      <c r="L110" s="1890"/>
      <c r="M110" s="1890"/>
      <c r="N110" s="1890"/>
      <c r="O110" s="1890"/>
      <c r="P110" s="1890"/>
      <c r="Q110" s="1890"/>
      <c r="R110" s="1890"/>
      <c r="S110" s="1890"/>
      <c r="T110" s="1890"/>
    </row>
    <row r="111" spans="1:20" x14ac:dyDescent="0.2">
      <c r="A111" s="1890"/>
      <c r="B111" s="1890"/>
      <c r="C111" s="1890"/>
      <c r="D111" s="1890"/>
      <c r="E111" s="1890"/>
      <c r="F111" s="1890"/>
      <c r="G111" s="1890"/>
      <c r="H111" s="1890"/>
      <c r="I111" s="1890"/>
      <c r="J111" s="1890"/>
      <c r="K111" s="1890"/>
      <c r="L111" s="1890"/>
      <c r="M111" s="1890"/>
      <c r="N111" s="1890"/>
      <c r="O111" s="1890"/>
      <c r="P111" s="1890"/>
      <c r="Q111" s="1890"/>
      <c r="R111" s="1890"/>
      <c r="S111" s="1890"/>
      <c r="T111" s="1890"/>
    </row>
    <row r="112" spans="1:20" x14ac:dyDescent="0.2">
      <c r="A112" s="1890"/>
      <c r="B112" s="1890"/>
      <c r="C112" s="1890"/>
      <c r="D112" s="1890"/>
      <c r="E112" s="1890"/>
      <c r="F112" s="1890"/>
      <c r="G112" s="1890"/>
      <c r="H112" s="1890"/>
      <c r="I112" s="1890"/>
      <c r="J112" s="1890"/>
      <c r="K112" s="1890"/>
      <c r="L112" s="1890"/>
      <c r="M112" s="1890"/>
      <c r="N112" s="1890"/>
      <c r="O112" s="1890"/>
      <c r="P112" s="1890"/>
      <c r="Q112" s="1890"/>
      <c r="R112" s="1890"/>
      <c r="S112" s="1890"/>
      <c r="T112" s="1890"/>
    </row>
    <row r="113" spans="1:20" x14ac:dyDescent="0.2">
      <c r="A113" s="1890"/>
      <c r="B113" s="1890"/>
      <c r="C113" s="1890"/>
      <c r="D113" s="1890"/>
      <c r="E113" s="1890"/>
      <c r="F113" s="1890"/>
      <c r="G113" s="1890"/>
      <c r="H113" s="1890"/>
      <c r="I113" s="1890"/>
      <c r="J113" s="1890"/>
      <c r="K113" s="1890"/>
      <c r="L113" s="1890"/>
      <c r="M113" s="1890"/>
      <c r="N113" s="1890"/>
      <c r="O113" s="1890"/>
      <c r="P113" s="1890"/>
      <c r="Q113" s="1890"/>
      <c r="R113" s="1890"/>
      <c r="S113" s="1890"/>
      <c r="T113" s="1890"/>
    </row>
    <row r="114" spans="1:20" x14ac:dyDescent="0.2">
      <c r="A114" s="1890"/>
      <c r="B114" s="1890"/>
      <c r="C114" s="1890"/>
      <c r="D114" s="1890"/>
      <c r="E114" s="1890"/>
      <c r="F114" s="1890"/>
      <c r="G114" s="1890"/>
      <c r="H114" s="1890"/>
      <c r="I114" s="1890"/>
      <c r="J114" s="1890"/>
      <c r="K114" s="1890"/>
      <c r="L114" s="1890"/>
      <c r="M114" s="1890"/>
      <c r="N114" s="1890"/>
      <c r="O114" s="1890"/>
      <c r="P114" s="1890"/>
      <c r="Q114" s="1890"/>
      <c r="R114" s="1890"/>
      <c r="S114" s="1890"/>
      <c r="T114" s="1890"/>
    </row>
    <row r="115" spans="1:20" x14ac:dyDescent="0.2">
      <c r="A115" s="1890"/>
      <c r="B115" s="1890"/>
      <c r="C115" s="1890"/>
      <c r="D115" s="1890"/>
      <c r="E115" s="1890"/>
      <c r="F115" s="1890"/>
      <c r="G115" s="1890"/>
      <c r="H115" s="1890"/>
      <c r="I115" s="1890"/>
      <c r="J115" s="1890"/>
      <c r="K115" s="1890"/>
      <c r="L115" s="1890"/>
      <c r="M115" s="1890"/>
      <c r="N115" s="1890"/>
      <c r="O115" s="1890"/>
      <c r="P115" s="1890"/>
      <c r="Q115" s="1890"/>
      <c r="R115" s="1890"/>
      <c r="S115" s="1890"/>
      <c r="T115" s="1890"/>
    </row>
    <row r="116" spans="1:20" x14ac:dyDescent="0.2">
      <c r="A116" s="1890"/>
      <c r="B116" s="1890"/>
      <c r="C116" s="1890"/>
      <c r="D116" s="1890"/>
      <c r="E116" s="1890"/>
      <c r="F116" s="1890"/>
      <c r="G116" s="1890"/>
      <c r="H116" s="1890"/>
      <c r="I116" s="1890"/>
      <c r="J116" s="1890"/>
      <c r="K116" s="1890"/>
      <c r="L116" s="1890"/>
      <c r="M116" s="1890"/>
      <c r="N116" s="1890"/>
      <c r="O116" s="1890"/>
      <c r="P116" s="1890"/>
      <c r="Q116" s="1890"/>
      <c r="R116" s="1890"/>
      <c r="S116" s="1890"/>
      <c r="T116" s="1890"/>
    </row>
    <row r="117" spans="1:20" x14ac:dyDescent="0.2">
      <c r="A117" s="1890"/>
      <c r="B117" s="1890"/>
      <c r="C117" s="1890"/>
      <c r="D117" s="1890"/>
      <c r="E117" s="1890"/>
      <c r="F117" s="1890"/>
      <c r="G117" s="1890"/>
      <c r="H117" s="1890"/>
      <c r="I117" s="1890"/>
      <c r="J117" s="1890"/>
      <c r="K117" s="1890"/>
      <c r="L117" s="1890"/>
      <c r="M117" s="1890"/>
      <c r="N117" s="1890"/>
      <c r="O117" s="1890"/>
      <c r="P117" s="1890"/>
      <c r="Q117" s="1890"/>
      <c r="R117" s="1890"/>
      <c r="S117" s="1890"/>
      <c r="T117" s="1890"/>
    </row>
    <row r="118" spans="1:20" x14ac:dyDescent="0.2">
      <c r="A118" s="1890"/>
      <c r="B118" s="1890"/>
      <c r="C118" s="1890"/>
      <c r="D118" s="1890"/>
      <c r="E118" s="1890"/>
      <c r="F118" s="1890"/>
      <c r="G118" s="1890"/>
      <c r="H118" s="1890"/>
      <c r="I118" s="1890"/>
      <c r="J118" s="1890"/>
      <c r="K118" s="1890"/>
      <c r="L118" s="1890"/>
      <c r="M118" s="1890"/>
      <c r="N118" s="1890"/>
      <c r="O118" s="1890"/>
      <c r="P118" s="1890"/>
      <c r="Q118" s="1890"/>
      <c r="R118" s="1890"/>
      <c r="S118" s="1890"/>
      <c r="T118" s="1890"/>
    </row>
    <row r="119" spans="1:20" x14ac:dyDescent="0.2">
      <c r="A119" s="1890"/>
      <c r="B119" s="1890"/>
      <c r="C119" s="1890"/>
      <c r="D119" s="1890"/>
      <c r="E119" s="1890"/>
      <c r="F119" s="1890"/>
      <c r="G119" s="1890"/>
      <c r="H119" s="1890"/>
      <c r="I119" s="1890"/>
      <c r="J119" s="1890"/>
      <c r="K119" s="1890"/>
      <c r="L119" s="1890"/>
      <c r="M119" s="1890"/>
      <c r="N119" s="1890"/>
      <c r="O119" s="1890"/>
      <c r="P119" s="1890"/>
      <c r="Q119" s="1890"/>
      <c r="R119" s="1890"/>
      <c r="S119" s="1890"/>
      <c r="T119" s="1890"/>
    </row>
    <row r="120" spans="1:20" x14ac:dyDescent="0.2">
      <c r="A120" s="1890"/>
      <c r="B120" s="1890"/>
      <c r="C120" s="1890"/>
      <c r="D120" s="1890"/>
      <c r="E120" s="1890"/>
      <c r="F120" s="1890"/>
      <c r="G120" s="1890"/>
      <c r="H120" s="1890"/>
      <c r="I120" s="1890"/>
      <c r="J120" s="1890"/>
      <c r="K120" s="1890"/>
      <c r="L120" s="1890"/>
      <c r="M120" s="1890"/>
      <c r="N120" s="1890"/>
      <c r="O120" s="1890"/>
      <c r="P120" s="1890"/>
      <c r="Q120" s="1890"/>
      <c r="R120" s="1890"/>
      <c r="S120" s="1890"/>
      <c r="T120" s="1890"/>
    </row>
  </sheetData>
  <sheetProtection selectLockedCells="1" selectUnlockedCells="1"/>
  <mergeCells count="2">
    <mergeCell ref="O5:P5"/>
    <mergeCell ref="O6:P6"/>
  </mergeCells>
  <pageMargins left="0.78740157499999996" right="0.78740157499999996" top="0.984251969" bottom="0.984251969" header="0.4921259845" footer="0.4921259845"/>
  <pageSetup paperSize="9" orientation="portrait" r:id="rId1"/>
  <headerFooter alignWithMargins="0"/>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321528-216C-4447-B634-D1B03576F4B5}">
  <dimension ref="A1:Z121"/>
  <sheetViews>
    <sheetView zoomScale="70" zoomScaleNormal="70" zoomScalePageLayoutView="30" workbookViewId="0">
      <selection activeCell="L13" sqref="L13"/>
    </sheetView>
  </sheetViews>
  <sheetFormatPr defaultColWidth="11.42578125" defaultRowHeight="12.75" x14ac:dyDescent="0.2"/>
  <cols>
    <col min="1" max="1" width="8.42578125" style="1846" customWidth="1"/>
    <col min="2" max="2" width="37.42578125" style="1846" customWidth="1"/>
    <col min="3" max="3" width="17" style="1846" customWidth="1"/>
    <col min="4" max="4" width="15.42578125" style="1846" bestFit="1" customWidth="1"/>
    <col min="5" max="5" width="16.140625" style="1846" customWidth="1"/>
    <col min="6" max="7" width="11.42578125" style="1846"/>
    <col min="8" max="8" width="17.7109375" style="1846" bestFit="1" customWidth="1"/>
    <col min="9" max="9" width="22.85546875" style="1846" bestFit="1" customWidth="1"/>
    <col min="10" max="10" width="12" style="1846" customWidth="1"/>
    <col min="11" max="11" width="34.42578125" style="1846" customWidth="1"/>
    <col min="12" max="12" width="19.5703125" style="1846" bestFit="1" customWidth="1"/>
    <col min="13" max="13" width="10.85546875" style="1846" customWidth="1"/>
    <col min="14" max="16384" width="11.42578125" style="1846"/>
  </cols>
  <sheetData>
    <row r="1" spans="1:20" s="2229" customFormat="1" ht="26.1" customHeight="1" x14ac:dyDescent="0.2">
      <c r="A1" s="1912" t="s">
        <v>1235</v>
      </c>
      <c r="B1" s="1985"/>
      <c r="C1" s="1985"/>
      <c r="D1" s="1985"/>
      <c r="E1" s="1985"/>
      <c r="F1" s="2305"/>
      <c r="G1" s="2305"/>
      <c r="H1" s="2305"/>
      <c r="I1" s="2305"/>
      <c r="J1" s="2305"/>
      <c r="K1" s="2228"/>
      <c r="L1" s="2228"/>
      <c r="M1" s="2228"/>
      <c r="N1" s="2228"/>
      <c r="O1" s="2228"/>
      <c r="P1" s="2228"/>
      <c r="Q1" s="2228"/>
      <c r="R1" s="2228"/>
      <c r="S1" s="2228"/>
      <c r="T1" s="2228"/>
    </row>
    <row r="2" spans="1:20" ht="14.25" customHeight="1" x14ac:dyDescent="0.25">
      <c r="A2" s="2230"/>
      <c r="B2" s="2231"/>
      <c r="C2" s="2030"/>
      <c r="D2" s="2030"/>
      <c r="E2" s="2030"/>
      <c r="F2" s="2030"/>
      <c r="G2" s="2030"/>
      <c r="H2" s="2030"/>
      <c r="I2" s="2030"/>
      <c r="J2" s="2030"/>
      <c r="K2" s="1890"/>
      <c r="L2" s="1890"/>
      <c r="M2" s="1890"/>
      <c r="N2" s="1890"/>
      <c r="O2" s="1890"/>
      <c r="P2" s="1890"/>
      <c r="Q2" s="1890"/>
      <c r="R2" s="1890"/>
      <c r="S2" s="1890"/>
      <c r="T2" s="1890"/>
    </row>
    <row r="3" spans="1:20" ht="18" customHeight="1" x14ac:dyDescent="0.2">
      <c r="A3" s="1890"/>
      <c r="B3" s="2306" t="s">
        <v>1236</v>
      </c>
      <c r="C3" s="2307">
        <f>+'CO2 - Cálculos'!AE58</f>
        <v>23025.599999999999</v>
      </c>
      <c r="D3" s="2234"/>
      <c r="E3" s="2234"/>
      <c r="F3" s="1890"/>
      <c r="G3" s="1890"/>
      <c r="H3" s="1890"/>
      <c r="I3" s="1890"/>
      <c r="J3" s="1890"/>
      <c r="K3" s="1890"/>
      <c r="L3" s="1890"/>
      <c r="M3" s="1890"/>
      <c r="N3" s="1890"/>
      <c r="O3" s="1890"/>
      <c r="P3" s="1890"/>
      <c r="Q3" s="1890"/>
      <c r="R3" s="1890"/>
      <c r="S3" s="1890"/>
      <c r="T3" s="1890"/>
    </row>
    <row r="4" spans="1:20" ht="18" customHeight="1" x14ac:dyDescent="0.2">
      <c r="A4" s="1890"/>
      <c r="B4" s="1908"/>
      <c r="C4" s="2308"/>
      <c r="D4" s="2237"/>
      <c r="E4" s="2237"/>
      <c r="F4" s="1890"/>
      <c r="G4" s="1890"/>
      <c r="H4" s="1890"/>
      <c r="I4" s="1890"/>
      <c r="J4" s="1890"/>
      <c r="K4" s="1890"/>
      <c r="L4" s="1890"/>
      <c r="M4" s="2309"/>
      <c r="N4" s="2309"/>
      <c r="O4" s="2309"/>
      <c r="P4" s="2309"/>
      <c r="Q4" s="2309"/>
      <c r="R4" s="2309"/>
      <c r="S4" s="1890"/>
      <c r="T4" s="1890"/>
    </row>
    <row r="5" spans="1:20" ht="18" customHeight="1" x14ac:dyDescent="0.25">
      <c r="A5" s="1890"/>
      <c r="B5" s="2306" t="s">
        <v>1237</v>
      </c>
      <c r="C5" s="2307">
        <f>+'CO2 - Cálculos'!AE13</f>
        <v>2322.6613487999998</v>
      </c>
      <c r="D5" s="2234"/>
      <c r="E5" s="2234"/>
      <c r="F5" s="1890"/>
      <c r="G5" s="1890"/>
      <c r="H5" s="1890"/>
      <c r="I5" s="1890"/>
      <c r="J5" s="1890"/>
      <c r="K5" s="1890"/>
      <c r="L5" s="1957"/>
      <c r="M5" s="1957"/>
      <c r="N5" s="1957"/>
      <c r="O5" s="2973" t="s">
        <v>1262</v>
      </c>
      <c r="P5" s="2974"/>
      <c r="Q5" s="1957"/>
      <c r="R5" s="1957"/>
      <c r="S5" s="1890"/>
      <c r="T5" s="1890"/>
    </row>
    <row r="6" spans="1:20" ht="18" customHeight="1" x14ac:dyDescent="0.25">
      <c r="A6" s="1890"/>
      <c r="B6" s="2310"/>
      <c r="C6" s="2311"/>
      <c r="D6" s="2234"/>
      <c r="E6" s="2234"/>
      <c r="F6" s="1890"/>
      <c r="G6" s="1890"/>
      <c r="H6" s="1890"/>
      <c r="I6" s="1890"/>
      <c r="J6" s="1890"/>
      <c r="K6" s="1890"/>
      <c r="L6" s="1957"/>
      <c r="M6" s="1957"/>
      <c r="N6" s="1957"/>
      <c r="O6" s="2975">
        <f>+C3</f>
        <v>23025.599999999999</v>
      </c>
      <c r="P6" s="2976"/>
      <c r="Q6" s="1957"/>
      <c r="R6" s="1957"/>
      <c r="S6" s="1890"/>
      <c r="T6" s="1890"/>
    </row>
    <row r="7" spans="1:20" ht="18" customHeight="1" x14ac:dyDescent="0.25">
      <c r="A7" s="1890"/>
      <c r="B7" s="2226" t="s">
        <v>1106</v>
      </c>
      <c r="C7" s="2312">
        <f>+'CO2 - Cálculos'!AE5</f>
        <v>0</v>
      </c>
      <c r="D7" s="2234"/>
      <c r="E7" s="2234"/>
      <c r="F7" s="1890"/>
      <c r="G7" s="1890"/>
      <c r="H7" s="1890"/>
      <c r="I7" s="1890"/>
      <c r="J7" s="1890"/>
      <c r="K7" s="1890"/>
      <c r="L7" s="1957"/>
      <c r="M7" s="1977"/>
      <c r="N7" s="1957"/>
      <c r="O7" s="1957"/>
      <c r="P7" s="1957"/>
      <c r="Q7" s="1957"/>
      <c r="R7" s="1957"/>
      <c r="S7" s="1890"/>
      <c r="T7" s="1890"/>
    </row>
    <row r="8" spans="1:20" ht="18" customHeight="1" x14ac:dyDescent="0.2">
      <c r="A8" s="1890"/>
      <c r="B8" s="2226" t="s">
        <v>1107</v>
      </c>
      <c r="C8" s="2312">
        <f>+'CO2 - Cálculos'!AE6</f>
        <v>0</v>
      </c>
      <c r="D8" s="2234"/>
      <c r="E8" s="2234"/>
      <c r="F8" s="1890"/>
      <c r="G8" s="1890"/>
      <c r="H8" s="1890"/>
      <c r="I8" s="1890"/>
      <c r="J8" s="1890"/>
      <c r="K8" s="1890"/>
      <c r="L8" s="2313"/>
      <c r="M8" s="2313"/>
      <c r="N8" s="2313"/>
      <c r="O8" s="2313"/>
      <c r="P8" s="2313"/>
      <c r="Q8" s="2313"/>
      <c r="R8" s="2313"/>
      <c r="S8" s="1890"/>
      <c r="T8" s="1890"/>
    </row>
    <row r="9" spans="1:20" ht="18" customHeight="1" x14ac:dyDescent="0.2">
      <c r="A9" s="1890"/>
      <c r="B9" s="2226" t="s">
        <v>1108</v>
      </c>
      <c r="C9" s="2312">
        <f>+'CO2 - Cálculos'!AE7</f>
        <v>1004.4457488</v>
      </c>
      <c r="D9" s="2234"/>
      <c r="E9" s="2234"/>
      <c r="F9" s="1890"/>
      <c r="G9" s="1890"/>
      <c r="H9" s="1890"/>
      <c r="I9" s="1890"/>
      <c r="J9" s="1890"/>
      <c r="K9" s="1890"/>
      <c r="L9" s="2313"/>
      <c r="M9" s="1866" t="s">
        <v>1046</v>
      </c>
      <c r="N9" s="2314">
        <f>+C5</f>
        <v>2322.6613487999998</v>
      </c>
      <c r="O9" s="2315">
        <f>+N9/O6</f>
        <v>0.100873</v>
      </c>
      <c r="P9" s="2316">
        <f>+Q9/O6</f>
        <v>0.89912700000000001</v>
      </c>
      <c r="Q9" s="2317">
        <f>+C16</f>
        <v>20702.938651199998</v>
      </c>
      <c r="R9" s="2318" t="s">
        <v>1239</v>
      </c>
      <c r="S9" s="1890"/>
      <c r="T9" s="1890"/>
    </row>
    <row r="10" spans="1:20" ht="18" customHeight="1" x14ac:dyDescent="0.2">
      <c r="A10" s="1890"/>
      <c r="B10" s="2226" t="s">
        <v>1109</v>
      </c>
      <c r="C10" s="2312">
        <f>+'CO2 - Cálculos'!AE8</f>
        <v>683.86032</v>
      </c>
      <c r="D10" s="2234"/>
      <c r="E10" s="2234"/>
      <c r="F10" s="1890"/>
      <c r="G10" s="1890"/>
      <c r="H10" s="1890"/>
      <c r="I10" s="1890"/>
      <c r="J10" s="1890"/>
      <c r="K10" s="1890"/>
      <c r="L10" s="2313"/>
      <c r="M10" s="2319"/>
      <c r="N10" s="2320"/>
      <c r="O10" s="2313"/>
      <c r="P10" s="2313"/>
      <c r="Q10" s="2320"/>
      <c r="R10" s="2319"/>
      <c r="S10" s="1890"/>
      <c r="T10" s="1890"/>
    </row>
    <row r="11" spans="1:20" ht="18" customHeight="1" x14ac:dyDescent="0.2">
      <c r="A11" s="1890"/>
      <c r="B11" s="2226" t="s">
        <v>50</v>
      </c>
      <c r="C11" s="2312">
        <f>+'CO2 - Cálculos'!AE9</f>
        <v>0</v>
      </c>
      <c r="D11" s="2234"/>
      <c r="E11" s="2234"/>
      <c r="F11" s="1890"/>
      <c r="G11" s="1890"/>
      <c r="H11" s="1890"/>
      <c r="I11" s="1890"/>
      <c r="J11" s="1890"/>
      <c r="K11" s="1890"/>
      <c r="L11" s="2313"/>
      <c r="M11" s="1866" t="str">
        <f t="shared" ref="M11:N18" si="0">+B7</f>
        <v>Resíduos de alimentos</v>
      </c>
      <c r="N11" s="2321">
        <f t="shared" si="0"/>
        <v>0</v>
      </c>
      <c r="O11" s="2322">
        <f t="shared" ref="O11:O18" si="1">+N11/$N$9</f>
        <v>0</v>
      </c>
      <c r="P11" s="2323">
        <f t="shared" ref="P11:P19" si="2">+Q11/$Q$9</f>
        <v>0</v>
      </c>
      <c r="Q11" s="2324">
        <f t="shared" ref="Q11:Q19" si="3">+C18</f>
        <v>0</v>
      </c>
      <c r="R11" s="2318" t="str">
        <f t="shared" ref="R11:R19" si="4">+B18</f>
        <v>Resíduos dispersos</v>
      </c>
      <c r="S11" s="1890"/>
      <c r="T11" s="1890"/>
    </row>
    <row r="12" spans="1:20" ht="18" customHeight="1" x14ac:dyDescent="0.2">
      <c r="A12" s="1890"/>
      <c r="B12" s="2226" t="s">
        <v>1110</v>
      </c>
      <c r="C12" s="2312">
        <f>+'CO2 - Cálculos'!AE10</f>
        <v>503.10935999999998</v>
      </c>
      <c r="D12" s="2234"/>
      <c r="E12" s="2234"/>
      <c r="F12" s="1890"/>
      <c r="G12" s="1890"/>
      <c r="H12" s="1890"/>
      <c r="I12" s="1890"/>
      <c r="J12" s="1890"/>
      <c r="K12" s="1890"/>
      <c r="L12" s="2313"/>
      <c r="M12" s="1866" t="str">
        <f t="shared" si="0"/>
        <v>Resíduos de jardins e parques</v>
      </c>
      <c r="N12" s="2321">
        <f t="shared" si="0"/>
        <v>0</v>
      </c>
      <c r="O12" s="2322">
        <f t="shared" si="1"/>
        <v>0</v>
      </c>
      <c r="P12" s="2323">
        <f t="shared" si="2"/>
        <v>0</v>
      </c>
      <c r="Q12" s="2324">
        <f t="shared" si="3"/>
        <v>0</v>
      </c>
      <c r="R12" s="2318" t="str">
        <f t="shared" si="4"/>
        <v>Queima a céu aberto</v>
      </c>
      <c r="S12" s="1890"/>
      <c r="T12" s="1890"/>
    </row>
    <row r="13" spans="1:20" ht="18" customHeight="1" x14ac:dyDescent="0.2">
      <c r="A13" s="1890"/>
      <c r="B13" s="2226" t="s">
        <v>1111</v>
      </c>
      <c r="C13" s="2312">
        <f>+'CO2 - Cálculos'!AE11</f>
        <v>131.24591999999998</v>
      </c>
      <c r="D13" s="2234"/>
      <c r="E13" s="2234"/>
      <c r="F13" s="1890"/>
      <c r="G13" s="1890"/>
      <c r="H13" s="1890"/>
      <c r="I13" s="1890"/>
      <c r="J13" s="1890"/>
      <c r="K13" s="1890"/>
      <c r="L13" s="2313"/>
      <c r="M13" s="1866" t="str">
        <f t="shared" si="0"/>
        <v>Papel, papelão</v>
      </c>
      <c r="N13" s="2321">
        <f t="shared" si="0"/>
        <v>1004.4457488</v>
      </c>
      <c r="O13" s="2322">
        <f t="shared" si="1"/>
        <v>0.4324546707245745</v>
      </c>
      <c r="P13" s="2323">
        <f t="shared" si="2"/>
        <v>0</v>
      </c>
      <c r="Q13" s="2324">
        <f t="shared" si="3"/>
        <v>0</v>
      </c>
      <c r="R13" s="2318" t="str">
        <f t="shared" si="4"/>
        <v>Lixão não controlado</v>
      </c>
      <c r="S13" s="1890"/>
      <c r="T13" s="1890"/>
    </row>
    <row r="14" spans="1:20" ht="18" customHeight="1" x14ac:dyDescent="0.2">
      <c r="A14" s="1890"/>
      <c r="B14" s="2226" t="s">
        <v>1112</v>
      </c>
      <c r="C14" s="2312">
        <f>+'CO2 - Cálculos'!AE12</f>
        <v>0</v>
      </c>
      <c r="D14" s="2234"/>
      <c r="E14" s="2234"/>
      <c r="F14" s="1890"/>
      <c r="G14" s="1890"/>
      <c r="H14" s="1890"/>
      <c r="I14" s="1890"/>
      <c r="J14" s="1890"/>
      <c r="K14" s="1890"/>
      <c r="L14" s="2313"/>
      <c r="M14" s="1866" t="str">
        <f t="shared" si="0"/>
        <v>Plásticos</v>
      </c>
      <c r="N14" s="2321">
        <f t="shared" si="0"/>
        <v>683.86032</v>
      </c>
      <c r="O14" s="2322">
        <f t="shared" si="1"/>
        <v>0.29442962933589761</v>
      </c>
      <c r="P14" s="2323">
        <f t="shared" si="2"/>
        <v>0</v>
      </c>
      <c r="Q14" s="2324">
        <f t="shared" si="3"/>
        <v>0</v>
      </c>
      <c r="R14" s="2318" t="str">
        <f t="shared" si="4"/>
        <v>Aterro controlado</v>
      </c>
      <c r="S14" s="1890"/>
      <c r="T14" s="1890"/>
    </row>
    <row r="15" spans="1:20" ht="18" customHeight="1" x14ac:dyDescent="0.2">
      <c r="A15" s="1890"/>
      <c r="B15" s="1908"/>
      <c r="C15" s="2308"/>
      <c r="D15" s="2234"/>
      <c r="E15" s="2234"/>
      <c r="F15" s="1890"/>
      <c r="G15" s="1890"/>
      <c r="H15" s="1890"/>
      <c r="I15" s="1890"/>
      <c r="J15" s="1890"/>
      <c r="K15" s="1890"/>
      <c r="L15" s="2313"/>
      <c r="M15" s="1866" t="str">
        <f t="shared" si="0"/>
        <v>Vidros</v>
      </c>
      <c r="N15" s="2321">
        <f t="shared" si="0"/>
        <v>0</v>
      </c>
      <c r="O15" s="2322">
        <f t="shared" si="1"/>
        <v>0</v>
      </c>
      <c r="P15" s="2323">
        <f t="shared" si="2"/>
        <v>0.35</v>
      </c>
      <c r="Q15" s="2324">
        <f t="shared" si="3"/>
        <v>7246.0285279199989</v>
      </c>
      <c r="R15" s="2318" t="str">
        <f t="shared" si="4"/>
        <v>Aterro sanitário</v>
      </c>
      <c r="S15" s="1890"/>
      <c r="T15" s="1890"/>
    </row>
    <row r="16" spans="1:20" ht="18" customHeight="1" x14ac:dyDescent="0.2">
      <c r="A16" s="1890"/>
      <c r="B16" s="1979" t="s">
        <v>1263</v>
      </c>
      <c r="C16" s="2307">
        <f>+'CO2 - Cálculos'!AE57</f>
        <v>20702.938651199998</v>
      </c>
      <c r="D16" s="2234"/>
      <c r="E16" s="2234"/>
      <c r="F16" s="1890"/>
      <c r="G16" s="1890"/>
      <c r="H16" s="1890"/>
      <c r="I16" s="1890"/>
      <c r="J16" s="1890"/>
      <c r="K16" s="1890"/>
      <c r="L16" s="2313"/>
      <c r="M16" s="1866" t="str">
        <f t="shared" si="0"/>
        <v>Metais ferrosos</v>
      </c>
      <c r="N16" s="2321">
        <f t="shared" si="0"/>
        <v>503.10935999999998</v>
      </c>
      <c r="O16" s="2322">
        <f t="shared" si="1"/>
        <v>0.21660900340031525</v>
      </c>
      <c r="P16" s="2323">
        <f t="shared" si="2"/>
        <v>0</v>
      </c>
      <c r="Q16" s="2324">
        <f t="shared" si="3"/>
        <v>0</v>
      </c>
      <c r="R16" s="2318" t="str">
        <f t="shared" si="4"/>
        <v>Trat. biol + cobertura at.</v>
      </c>
      <c r="S16" s="1890"/>
      <c r="T16" s="1890"/>
    </row>
    <row r="17" spans="1:26" ht="18" customHeight="1" x14ac:dyDescent="0.2">
      <c r="A17" s="1890"/>
      <c r="B17" s="2310"/>
      <c r="C17" s="2311"/>
      <c r="D17" s="2234"/>
      <c r="E17" s="2234"/>
      <c r="F17" s="1890"/>
      <c r="G17" s="1890"/>
      <c r="H17" s="1890"/>
      <c r="I17" s="1890"/>
      <c r="J17" s="1890"/>
      <c r="K17" s="1890"/>
      <c r="L17" s="2313"/>
      <c r="M17" s="1866" t="str">
        <f t="shared" si="0"/>
        <v>Alumínio</v>
      </c>
      <c r="N17" s="2321">
        <f t="shared" si="0"/>
        <v>131.24591999999998</v>
      </c>
      <c r="O17" s="2322">
        <f t="shared" si="1"/>
        <v>5.650669653921267E-2</v>
      </c>
      <c r="P17" s="2323">
        <f t="shared" si="2"/>
        <v>0.125</v>
      </c>
      <c r="Q17" s="2324">
        <f t="shared" si="3"/>
        <v>2587.8673313999998</v>
      </c>
      <c r="R17" s="2318" t="str">
        <f t="shared" si="4"/>
        <v>CDR seco + rejeito aterro</v>
      </c>
      <c r="S17" s="1890"/>
      <c r="T17" s="1890"/>
    </row>
    <row r="18" spans="1:26" ht="18" customHeight="1" x14ac:dyDescent="0.2">
      <c r="A18" s="1890"/>
      <c r="B18" s="2226" t="s">
        <v>1241</v>
      </c>
      <c r="C18" s="2312">
        <f>+'CO2 - Cálculos'!AE47</f>
        <v>0</v>
      </c>
      <c r="D18" s="2234"/>
      <c r="E18" s="2234"/>
      <c r="F18" s="1890"/>
      <c r="G18" s="1890"/>
      <c r="H18" s="1890"/>
      <c r="I18" s="1890"/>
      <c r="J18" s="1890"/>
      <c r="K18" s="1890"/>
      <c r="L18" s="2313"/>
      <c r="M18" s="1866" t="str">
        <f t="shared" si="0"/>
        <v>Têxteis</v>
      </c>
      <c r="N18" s="2321">
        <f t="shared" si="0"/>
        <v>0</v>
      </c>
      <c r="O18" s="2322">
        <f t="shared" si="1"/>
        <v>0</v>
      </c>
      <c r="P18" s="2323">
        <f t="shared" si="2"/>
        <v>0.52500000000000002</v>
      </c>
      <c r="Q18" s="2324">
        <f t="shared" si="3"/>
        <v>10869.04279188</v>
      </c>
      <c r="R18" s="2318" t="str">
        <f t="shared" si="4"/>
        <v>CDR seco + trat. biol.</v>
      </c>
      <c r="S18" s="1890"/>
      <c r="T18" s="1890"/>
    </row>
    <row r="19" spans="1:26" ht="18" customHeight="1" x14ac:dyDescent="0.2">
      <c r="A19" s="1890"/>
      <c r="B19" s="2226" t="s">
        <v>1242</v>
      </c>
      <c r="C19" s="2312">
        <f>+'CO2 - Cálculos'!AE48</f>
        <v>0</v>
      </c>
      <c r="D19" s="2234"/>
      <c r="E19" s="2234"/>
      <c r="F19" s="1890"/>
      <c r="G19" s="1890"/>
      <c r="H19" s="1890"/>
      <c r="I19" s="1890"/>
      <c r="J19" s="1890"/>
      <c r="K19" s="1890"/>
      <c r="L19" s="2313"/>
      <c r="M19" s="2313"/>
      <c r="N19" s="2313"/>
      <c r="O19" s="2325"/>
      <c r="P19" s="2323">
        <f t="shared" si="2"/>
        <v>0</v>
      </c>
      <c r="Q19" s="2324">
        <f t="shared" si="3"/>
        <v>0</v>
      </c>
      <c r="R19" s="2318" t="str">
        <f t="shared" si="4"/>
        <v>CDR seco + CDR org.</v>
      </c>
      <c r="S19" s="1890"/>
      <c r="T19" s="1890"/>
    </row>
    <row r="20" spans="1:26" ht="18" customHeight="1" x14ac:dyDescent="0.2">
      <c r="A20" s="1890"/>
      <c r="B20" s="2226" t="s">
        <v>1243</v>
      </c>
      <c r="C20" s="2312">
        <f>+'CO2 - Cálculos'!AE49</f>
        <v>0</v>
      </c>
      <c r="D20" s="2234"/>
      <c r="E20" s="2234"/>
      <c r="F20" s="1890"/>
      <c r="G20" s="1890"/>
      <c r="H20" s="1890"/>
      <c r="I20" s="1890"/>
      <c r="J20" s="1890"/>
      <c r="K20" s="1890"/>
      <c r="L20" s="2313"/>
      <c r="M20" s="2313"/>
      <c r="N20" s="2313"/>
      <c r="O20" s="2313"/>
      <c r="P20" s="2323">
        <f>+Q20/$Q$9</f>
        <v>0</v>
      </c>
      <c r="Q20" s="2324">
        <f>+C27</f>
        <v>0</v>
      </c>
      <c r="R20" s="2318" t="str">
        <f>+B27</f>
        <v>Incineração</v>
      </c>
      <c r="S20" s="1890"/>
      <c r="T20" s="1890"/>
    </row>
    <row r="21" spans="1:26" ht="18" customHeight="1" x14ac:dyDescent="0.2">
      <c r="A21" s="1890"/>
      <c r="B21" s="2226" t="s">
        <v>1244</v>
      </c>
      <c r="C21" s="2312">
        <f>+'CO2 - Cálculos'!AE50</f>
        <v>0</v>
      </c>
      <c r="D21" s="2234"/>
      <c r="E21" s="2234"/>
      <c r="F21" s="1890"/>
      <c r="G21" s="1890"/>
      <c r="H21" s="1890"/>
      <c r="I21" s="1890"/>
      <c r="J21" s="1890"/>
      <c r="K21" s="1890"/>
      <c r="L21" s="1890"/>
      <c r="M21" s="1890"/>
      <c r="N21" s="1890"/>
      <c r="O21" s="1890"/>
      <c r="P21" s="1890"/>
      <c r="Q21" s="1890"/>
      <c r="R21" s="1890"/>
      <c r="S21" s="1890"/>
      <c r="T21" s="1890"/>
    </row>
    <row r="22" spans="1:26" ht="18" customHeight="1" x14ac:dyDescent="0.2">
      <c r="A22" s="1890"/>
      <c r="B22" s="2326" t="s">
        <v>64</v>
      </c>
      <c r="C22" s="2312">
        <f>+'CO2 - Cálculos'!AE51</f>
        <v>7246.0285279199989</v>
      </c>
      <c r="D22" s="2234"/>
      <c r="E22" s="2234"/>
      <c r="F22" s="1890"/>
      <c r="G22" s="1890"/>
      <c r="H22" s="1890"/>
      <c r="I22" s="1890"/>
      <c r="J22" s="1890"/>
      <c r="K22" s="1890"/>
      <c r="L22" s="1890"/>
      <c r="M22" s="1890"/>
      <c r="N22" s="1890"/>
      <c r="O22" s="1890"/>
      <c r="P22" s="1890"/>
      <c r="Q22" s="1890"/>
      <c r="R22" s="1890"/>
      <c r="S22" s="1890"/>
      <c r="T22" s="1890"/>
    </row>
    <row r="23" spans="1:26" ht="18" customHeight="1" x14ac:dyDescent="0.2">
      <c r="A23" s="1890"/>
      <c r="B23" s="2327" t="s">
        <v>1245</v>
      </c>
      <c r="C23" s="2328">
        <f>+'CO2 - Cálculos'!AE52</f>
        <v>0</v>
      </c>
      <c r="D23" s="2234"/>
      <c r="E23" s="2234"/>
      <c r="F23" s="1890"/>
      <c r="G23" s="1890"/>
      <c r="H23" s="1890"/>
      <c r="I23" s="1890"/>
      <c r="J23" s="1890"/>
      <c r="K23" s="1890"/>
      <c r="L23" s="1890"/>
      <c r="M23" s="1890"/>
      <c r="N23" s="1890"/>
      <c r="O23" s="1890"/>
      <c r="P23" s="1890"/>
      <c r="Q23" s="1890"/>
      <c r="R23" s="1890"/>
      <c r="S23" s="1890"/>
      <c r="T23" s="1890"/>
    </row>
    <row r="24" spans="1:26" ht="18" customHeight="1" x14ac:dyDescent="0.2">
      <c r="A24" s="1890"/>
      <c r="B24" s="2327" t="s">
        <v>1246</v>
      </c>
      <c r="C24" s="2312">
        <f>+'CO2 - Cálculos'!AE53</f>
        <v>2587.8673313999998</v>
      </c>
      <c r="D24" s="2234"/>
      <c r="E24" s="2234"/>
      <c r="F24" s="1890"/>
      <c r="G24" s="1890"/>
      <c r="H24" s="1890"/>
      <c r="I24" s="1890"/>
      <c r="J24" s="1890"/>
      <c r="K24" s="1890"/>
      <c r="L24" s="1890"/>
      <c r="M24" s="1890"/>
      <c r="N24" s="1890"/>
      <c r="O24" s="1890"/>
      <c r="P24" s="1890"/>
      <c r="Q24" s="1890"/>
      <c r="R24" s="1890"/>
      <c r="S24" s="1890"/>
      <c r="T24" s="1890"/>
    </row>
    <row r="25" spans="1:26" ht="18" customHeight="1" x14ac:dyDescent="0.2">
      <c r="A25" s="1890"/>
      <c r="B25" s="2327" t="s">
        <v>1247</v>
      </c>
      <c r="C25" s="2312">
        <f>+'CO2 - Cálculos'!AE54</f>
        <v>10869.04279188</v>
      </c>
      <c r="D25" s="2234"/>
      <c r="E25" s="2234"/>
      <c r="F25" s="1890"/>
      <c r="G25" s="1890"/>
      <c r="H25" s="1890"/>
      <c r="I25" s="1890"/>
      <c r="J25" s="1890"/>
      <c r="K25" s="1890"/>
      <c r="L25" s="1890"/>
      <c r="M25" s="1890"/>
      <c r="N25" s="1890"/>
      <c r="O25" s="1890"/>
      <c r="P25" s="1890"/>
      <c r="Q25" s="1890"/>
      <c r="R25" s="1890"/>
      <c r="S25" s="1890"/>
      <c r="T25" s="1890"/>
    </row>
    <row r="26" spans="1:26" ht="18" customHeight="1" x14ac:dyDescent="0.2">
      <c r="A26" s="1890"/>
      <c r="B26" s="2327" t="s">
        <v>1248</v>
      </c>
      <c r="C26" s="2312">
        <f>+'CO2 - Cálculos'!AE55</f>
        <v>0</v>
      </c>
      <c r="D26" s="2234"/>
      <c r="E26" s="2234"/>
      <c r="F26" s="1890"/>
      <c r="G26" s="1890"/>
      <c r="H26" s="1890"/>
      <c r="I26" s="1890"/>
      <c r="J26" s="1890"/>
      <c r="K26" s="1890"/>
      <c r="L26" s="1890"/>
      <c r="M26" s="1890"/>
      <c r="N26" s="1890"/>
      <c r="O26" s="1890"/>
      <c r="P26" s="1890"/>
      <c r="Q26" s="1890"/>
      <c r="R26" s="1890"/>
      <c r="S26" s="1890"/>
      <c r="T26" s="1890"/>
    </row>
    <row r="27" spans="1:26" ht="18" customHeight="1" x14ac:dyDescent="0.2">
      <c r="A27" s="1890"/>
      <c r="B27" s="2226" t="s">
        <v>63</v>
      </c>
      <c r="C27" s="2312">
        <f>+'CO2 - Cálculos'!AE56</f>
        <v>0</v>
      </c>
      <c r="D27" s="2234"/>
      <c r="E27" s="2234"/>
      <c r="F27" s="1890"/>
      <c r="G27" s="1890"/>
      <c r="H27" s="1890"/>
      <c r="I27" s="1890"/>
      <c r="J27" s="1890"/>
      <c r="K27" s="1890"/>
      <c r="L27" s="1890"/>
      <c r="M27" s="1890"/>
      <c r="N27" s="1890"/>
      <c r="O27" s="1890"/>
      <c r="P27" s="1890"/>
      <c r="Q27" s="1890"/>
      <c r="R27" s="1890"/>
      <c r="S27" s="1890"/>
      <c r="T27" s="1890"/>
    </row>
    <row r="28" spans="1:26" x14ac:dyDescent="0.2">
      <c r="A28" s="1890"/>
      <c r="B28" s="1890"/>
      <c r="C28" s="2234"/>
      <c r="D28" s="2234"/>
      <c r="E28" s="2234"/>
      <c r="F28" s="1890"/>
      <c r="G28" s="1890"/>
      <c r="H28" s="1890"/>
      <c r="I28" s="1890"/>
      <c r="J28" s="1890"/>
      <c r="K28" s="1890"/>
      <c r="L28" s="1890"/>
      <c r="M28" s="1890"/>
      <c r="N28" s="1890"/>
      <c r="O28" s="1890"/>
      <c r="P28" s="1890"/>
      <c r="Q28" s="1890"/>
      <c r="R28" s="1890"/>
      <c r="S28" s="1890"/>
      <c r="T28" s="1890"/>
    </row>
    <row r="29" spans="1:26" s="2229" customFormat="1" ht="26.1" customHeight="1" x14ac:dyDescent="0.2">
      <c r="A29" s="2063" t="s">
        <v>1264</v>
      </c>
      <c r="B29" s="2329"/>
      <c r="C29" s="2330"/>
      <c r="D29" s="2330"/>
      <c r="E29" s="2330"/>
      <c r="F29" s="2030"/>
      <c r="G29" s="2030"/>
      <c r="H29" s="2030"/>
      <c r="I29" s="2030"/>
      <c r="J29" s="2030"/>
      <c r="K29" s="2030"/>
      <c r="L29" s="2030"/>
      <c r="M29" s="2030"/>
      <c r="N29" s="2030"/>
      <c r="O29" s="2030"/>
      <c r="P29" s="2030"/>
      <c r="Q29" s="2030"/>
      <c r="R29" s="2030"/>
      <c r="S29" s="2030"/>
      <c r="T29" s="2030"/>
      <c r="U29" s="1845"/>
      <c r="V29" s="1845"/>
      <c r="W29" s="1845"/>
      <c r="X29" s="1845"/>
      <c r="Y29" s="1845"/>
      <c r="Z29" s="1845"/>
    </row>
    <row r="30" spans="1:26" x14ac:dyDescent="0.2">
      <c r="A30" s="1890"/>
      <c r="B30" s="1890"/>
      <c r="C30" s="1890"/>
      <c r="D30" s="1890"/>
      <c r="E30" s="1890"/>
      <c r="F30" s="1890"/>
      <c r="G30" s="2267"/>
      <c r="H30" s="1890"/>
      <c r="I30" s="1890"/>
      <c r="J30" s="1890"/>
      <c r="K30" s="1890"/>
      <c r="L30" s="1890"/>
      <c r="M30" s="1890"/>
      <c r="N30" s="1890"/>
      <c r="O30" s="1890"/>
      <c r="P30" s="1890"/>
      <c r="Q30" s="1890"/>
      <c r="R30" s="1890"/>
      <c r="S30" s="1890"/>
      <c r="T30" s="1890"/>
    </row>
    <row r="31" spans="1:26" ht="18" customHeight="1" x14ac:dyDescent="0.2">
      <c r="A31" s="1890"/>
      <c r="B31" s="2331"/>
      <c r="C31" s="2332" t="s">
        <v>1250</v>
      </c>
      <c r="D31" s="2079" t="s">
        <v>1251</v>
      </c>
      <c r="E31" s="2079" t="s">
        <v>1252</v>
      </c>
      <c r="F31" s="2333"/>
      <c r="G31" s="2333"/>
      <c r="H31" s="2334"/>
      <c r="I31" s="2333"/>
      <c r="J31" s="2333"/>
      <c r="K31" s="2333"/>
      <c r="L31" s="1890"/>
      <c r="M31" s="1890"/>
      <c r="N31" s="1890"/>
      <c r="O31" s="1890"/>
      <c r="P31" s="1890"/>
      <c r="Q31" s="1890"/>
      <c r="R31" s="1890"/>
      <c r="S31" s="1890"/>
      <c r="T31" s="1890"/>
    </row>
    <row r="32" spans="1:26" ht="18" customHeight="1" x14ac:dyDescent="0.2">
      <c r="A32" s="1890"/>
      <c r="B32" s="2335" t="s">
        <v>1237</v>
      </c>
      <c r="C32" s="2336"/>
      <c r="D32" s="2337"/>
      <c r="E32" s="2337"/>
      <c r="F32" s="2333"/>
      <c r="G32" s="2333"/>
      <c r="H32" s="2333"/>
      <c r="I32" s="2333"/>
      <c r="J32" s="2333"/>
      <c r="K32" s="2333"/>
      <c r="L32" s="1890"/>
      <c r="M32" s="1890"/>
      <c r="N32" s="1890"/>
      <c r="O32" s="1890"/>
      <c r="P32" s="1890"/>
      <c r="Q32" s="1890"/>
      <c r="R32" s="1890"/>
      <c r="S32" s="1890"/>
      <c r="T32" s="1890"/>
    </row>
    <row r="33" spans="1:20" ht="18" customHeight="1" x14ac:dyDescent="0.2">
      <c r="A33" s="1890"/>
      <c r="B33" s="2338"/>
      <c r="C33" s="2337"/>
      <c r="D33" s="2337"/>
      <c r="E33" s="2337"/>
      <c r="F33" s="2333"/>
      <c r="G33" s="2333"/>
      <c r="H33" s="2333"/>
      <c r="I33" s="2333"/>
      <c r="J33" s="2333"/>
      <c r="K33" s="2333"/>
      <c r="L33" s="1890"/>
      <c r="M33" s="1890"/>
      <c r="N33" s="1890"/>
      <c r="O33" s="1890"/>
      <c r="P33" s="1890"/>
      <c r="Q33" s="1890"/>
      <c r="R33" s="1890"/>
      <c r="S33" s="1890"/>
      <c r="T33" s="1890"/>
    </row>
    <row r="34" spans="1:20" ht="18" customHeight="1" x14ac:dyDescent="0.2">
      <c r="A34" s="1890"/>
      <c r="B34" s="2226" t="str">
        <f>B7</f>
        <v>Resíduos de alimentos</v>
      </c>
      <c r="C34" s="2339">
        <f t="shared" ref="C34:C41" si="5">+C62</f>
        <v>0</v>
      </c>
      <c r="D34" s="2339">
        <f t="shared" ref="D34:D41" si="6">+C71</f>
        <v>0</v>
      </c>
      <c r="E34" s="2339">
        <f t="shared" ref="E34:E41" si="7">+D34+C34</f>
        <v>0</v>
      </c>
      <c r="F34" s="2333"/>
      <c r="G34" s="2333"/>
      <c r="H34" s="2333"/>
      <c r="I34" s="2333"/>
      <c r="J34" s="2333"/>
      <c r="K34" s="2333"/>
      <c r="L34" s="1890"/>
      <c r="M34" s="1890"/>
      <c r="N34" s="1890"/>
      <c r="O34" s="1890"/>
      <c r="P34" s="1890"/>
      <c r="Q34" s="1890"/>
      <c r="R34" s="1890"/>
      <c r="S34" s="1890"/>
      <c r="T34" s="1890"/>
    </row>
    <row r="35" spans="1:20" ht="18" customHeight="1" x14ac:dyDescent="0.2">
      <c r="A35" s="1890"/>
      <c r="B35" s="2226" t="str">
        <f t="shared" ref="B35:B41" si="8">B8</f>
        <v>Resíduos de jardins e parques</v>
      </c>
      <c r="C35" s="2339">
        <f t="shared" si="5"/>
        <v>0</v>
      </c>
      <c r="D35" s="2339">
        <f t="shared" si="6"/>
        <v>0</v>
      </c>
      <c r="E35" s="2339">
        <f t="shared" si="7"/>
        <v>0</v>
      </c>
      <c r="F35" s="2333"/>
      <c r="G35" s="2333"/>
      <c r="H35" s="2333"/>
      <c r="I35" s="2333"/>
      <c r="J35" s="2333"/>
      <c r="K35" s="2333"/>
      <c r="L35" s="1890"/>
      <c r="M35" s="1890"/>
      <c r="N35" s="1890"/>
      <c r="O35" s="1890"/>
      <c r="P35" s="1890"/>
      <c r="Q35" s="1890"/>
      <c r="R35" s="1890"/>
      <c r="S35" s="1890"/>
      <c r="T35" s="1890"/>
    </row>
    <row r="36" spans="1:20" ht="18" customHeight="1" x14ac:dyDescent="0.2">
      <c r="A36" s="1890"/>
      <c r="B36" s="2226" t="str">
        <f t="shared" si="8"/>
        <v>Papel, papelão</v>
      </c>
      <c r="C36" s="2339">
        <f t="shared" si="5"/>
        <v>1261.5838604928001</v>
      </c>
      <c r="D36" s="2339">
        <f t="shared" si="6"/>
        <v>-1554.8820191423999</v>
      </c>
      <c r="E36" s="2339">
        <f t="shared" si="7"/>
        <v>-293.29815864959983</v>
      </c>
      <c r="F36" s="2333"/>
      <c r="G36" s="2333"/>
      <c r="H36" s="2333"/>
      <c r="I36" s="2333"/>
      <c r="J36" s="2333"/>
      <c r="K36" s="2333"/>
      <c r="L36" s="1890"/>
      <c r="M36" s="1890"/>
      <c r="N36" s="1890"/>
      <c r="O36" s="1890"/>
      <c r="P36" s="1890"/>
      <c r="Q36" s="1890"/>
      <c r="R36" s="1890"/>
      <c r="S36" s="1890"/>
      <c r="T36" s="1890"/>
    </row>
    <row r="37" spans="1:20" ht="18" customHeight="1" x14ac:dyDescent="0.2">
      <c r="A37" s="1890"/>
      <c r="B37" s="2226" t="str">
        <f t="shared" si="8"/>
        <v>Plásticos</v>
      </c>
      <c r="C37" s="2339">
        <f t="shared" si="5"/>
        <v>280.38273119999997</v>
      </c>
      <c r="D37" s="2339">
        <f t="shared" si="6"/>
        <v>-1306.0364391359999</v>
      </c>
      <c r="E37" s="2339">
        <f t="shared" si="7"/>
        <v>-1025.653707936</v>
      </c>
      <c r="F37" s="2333"/>
      <c r="G37" s="2333"/>
      <c r="H37" s="2333"/>
      <c r="I37" s="2333"/>
      <c r="J37" s="2333"/>
      <c r="K37" s="2333"/>
      <c r="L37" s="1890"/>
      <c r="M37" s="1890"/>
      <c r="N37" s="1890"/>
      <c r="O37" s="1890"/>
      <c r="P37" s="1890"/>
      <c r="Q37" s="1890"/>
      <c r="R37" s="1890"/>
      <c r="S37" s="1890"/>
      <c r="T37" s="1890"/>
    </row>
    <row r="38" spans="1:20" ht="18" customHeight="1" x14ac:dyDescent="0.2">
      <c r="A38" s="1890"/>
      <c r="B38" s="2226" t="str">
        <f t="shared" si="8"/>
        <v>Vidros</v>
      </c>
      <c r="C38" s="2339">
        <f t="shared" si="5"/>
        <v>0</v>
      </c>
      <c r="D38" s="2339">
        <f t="shared" si="6"/>
        <v>0</v>
      </c>
      <c r="E38" s="2339">
        <f t="shared" si="7"/>
        <v>0</v>
      </c>
      <c r="F38" s="2333"/>
      <c r="G38" s="2333"/>
      <c r="H38" s="2333"/>
      <c r="I38" s="2333"/>
      <c r="J38" s="2333"/>
      <c r="K38" s="2333"/>
      <c r="L38" s="1890"/>
      <c r="M38" s="1890"/>
      <c r="N38" s="1890"/>
      <c r="O38" s="1890"/>
      <c r="P38" s="1890"/>
      <c r="Q38" s="1890"/>
      <c r="R38" s="1890"/>
      <c r="S38" s="1890"/>
      <c r="T38" s="1890"/>
    </row>
    <row r="39" spans="1:20" ht="18" customHeight="1" x14ac:dyDescent="0.2">
      <c r="A39" s="1890"/>
      <c r="B39" s="2226" t="str">
        <f t="shared" si="8"/>
        <v>Metais ferrosos</v>
      </c>
      <c r="C39" s="2339">
        <f t="shared" si="5"/>
        <v>32.198999039999997</v>
      </c>
      <c r="D39" s="2339">
        <f t="shared" si="6"/>
        <v>-861.32322431999989</v>
      </c>
      <c r="E39" s="2339">
        <f t="shared" si="7"/>
        <v>-829.12422527999991</v>
      </c>
      <c r="F39" s="2333"/>
      <c r="G39" s="2333"/>
      <c r="H39" s="2333"/>
      <c r="I39" s="2333"/>
      <c r="J39" s="2333"/>
      <c r="K39" s="2333"/>
      <c r="L39" s="1890"/>
      <c r="M39" s="1890"/>
      <c r="N39" s="1890"/>
      <c r="O39" s="1890"/>
      <c r="P39" s="1890"/>
      <c r="Q39" s="1890"/>
      <c r="R39" s="1890"/>
      <c r="S39" s="1890"/>
      <c r="T39" s="1890"/>
    </row>
    <row r="40" spans="1:20" ht="18" customHeight="1" x14ac:dyDescent="0.2">
      <c r="A40" s="1890"/>
      <c r="B40" s="2226" t="str">
        <f t="shared" si="8"/>
        <v>Alumínio</v>
      </c>
      <c r="C40" s="2339">
        <f t="shared" si="5"/>
        <v>91.478406239999984</v>
      </c>
      <c r="D40" s="2339">
        <f t="shared" si="6"/>
        <v>-1296.7096895999998</v>
      </c>
      <c r="E40" s="2339">
        <f t="shared" si="7"/>
        <v>-1205.2312833599999</v>
      </c>
      <c r="F40" s="2333"/>
      <c r="G40" s="2333"/>
      <c r="H40" s="2333"/>
      <c r="I40" s="2333"/>
      <c r="J40" s="2333"/>
      <c r="K40" s="2333"/>
      <c r="L40" s="1890"/>
      <c r="M40" s="1890"/>
      <c r="N40" s="1890"/>
      <c r="O40" s="1890"/>
      <c r="P40" s="1890"/>
      <c r="Q40" s="1890"/>
      <c r="R40" s="1890"/>
      <c r="S40" s="1890"/>
      <c r="T40" s="1890"/>
    </row>
    <row r="41" spans="1:20" ht="18" customHeight="1" x14ac:dyDescent="0.2">
      <c r="A41" s="1890"/>
      <c r="B41" s="2226" t="str">
        <f t="shared" si="8"/>
        <v>Têxteis</v>
      </c>
      <c r="C41" s="2339">
        <f t="shared" si="5"/>
        <v>0</v>
      </c>
      <c r="D41" s="2339">
        <f t="shared" si="6"/>
        <v>0</v>
      </c>
      <c r="E41" s="2339">
        <f t="shared" si="7"/>
        <v>0</v>
      </c>
      <c r="F41" s="2333"/>
      <c r="G41" s="2333"/>
      <c r="H41" s="2333"/>
      <c r="I41" s="2333"/>
      <c r="J41" s="2333"/>
      <c r="K41" s="2333"/>
      <c r="L41" s="1890"/>
      <c r="M41" s="1890"/>
      <c r="N41" s="1890"/>
      <c r="O41" s="1890"/>
      <c r="P41" s="1890"/>
      <c r="Q41" s="1890"/>
      <c r="R41" s="1890"/>
      <c r="S41" s="1890"/>
      <c r="T41" s="1890"/>
    </row>
    <row r="42" spans="1:20" ht="18" customHeight="1" x14ac:dyDescent="0.2">
      <c r="A42" s="1890"/>
      <c r="B42" s="2340"/>
      <c r="C42" s="2341"/>
      <c r="D42" s="2342"/>
      <c r="E42" s="2341"/>
      <c r="F42" s="2333"/>
      <c r="G42" s="2333"/>
      <c r="H42" s="2333"/>
      <c r="I42" s="2333"/>
      <c r="J42" s="2333"/>
      <c r="K42" s="2333"/>
      <c r="L42" s="1890"/>
      <c r="M42" s="1890"/>
      <c r="N42" s="1890"/>
      <c r="O42" s="1890"/>
      <c r="P42" s="1890"/>
      <c r="Q42" s="1890"/>
      <c r="R42" s="1890"/>
      <c r="S42" s="1890"/>
      <c r="T42" s="1890"/>
    </row>
    <row r="43" spans="1:20" ht="18" customHeight="1" x14ac:dyDescent="0.2">
      <c r="A43" s="1890"/>
      <c r="B43" s="2343" t="s">
        <v>1263</v>
      </c>
      <c r="C43" s="2344"/>
      <c r="D43" s="2345"/>
      <c r="E43" s="2345"/>
      <c r="F43" s="2333"/>
      <c r="G43" s="2333"/>
      <c r="H43" s="2333"/>
      <c r="I43" s="2333"/>
      <c r="J43" s="2333"/>
      <c r="K43" s="2333"/>
      <c r="L43" s="1890"/>
      <c r="M43" s="1890"/>
      <c r="N43" s="1890"/>
      <c r="O43" s="1890"/>
      <c r="P43" s="1890"/>
      <c r="Q43" s="1890"/>
      <c r="R43" s="1890"/>
      <c r="S43" s="1890"/>
      <c r="T43" s="1890"/>
    </row>
    <row r="44" spans="1:20" ht="18" customHeight="1" x14ac:dyDescent="0.2">
      <c r="A44" s="1890"/>
      <c r="B44" s="2338"/>
      <c r="C44" s="2336"/>
      <c r="D44" s="2336"/>
      <c r="E44" s="2336"/>
      <c r="F44" s="2333"/>
      <c r="G44" s="2333"/>
      <c r="H44" s="2333"/>
      <c r="I44" s="2333"/>
      <c r="J44" s="2333"/>
      <c r="K44" s="2333"/>
      <c r="L44" s="1890"/>
      <c r="M44" s="1890"/>
      <c r="N44" s="1890"/>
      <c r="O44" s="1890"/>
      <c r="P44" s="1890"/>
      <c r="Q44" s="1890"/>
      <c r="R44" s="1890"/>
      <c r="S44" s="1890"/>
      <c r="T44" s="1890"/>
    </row>
    <row r="45" spans="1:20" ht="18" customHeight="1" x14ac:dyDescent="0.2">
      <c r="A45" s="1890"/>
      <c r="B45" s="2226" t="str">
        <f>B18</f>
        <v>Resíduos dispersos</v>
      </c>
      <c r="C45" s="2339">
        <f t="shared" ref="C45:C53" si="9">+L62</f>
        <v>0</v>
      </c>
      <c r="D45" s="2339">
        <f t="shared" ref="D45:D54" si="10">+L73</f>
        <v>0</v>
      </c>
      <c r="E45" s="2339">
        <f t="shared" ref="E45:E53" si="11">+D45+C45</f>
        <v>0</v>
      </c>
      <c r="F45" s="2333"/>
      <c r="G45" s="2333"/>
      <c r="H45" s="2333"/>
      <c r="I45" s="2333"/>
      <c r="J45" s="2333"/>
      <c r="K45" s="2333"/>
      <c r="L45" s="1890"/>
      <c r="M45" s="1890"/>
      <c r="N45" s="1890"/>
      <c r="O45" s="1890"/>
      <c r="P45" s="1890"/>
      <c r="Q45" s="1890"/>
      <c r="R45" s="1890"/>
      <c r="S45" s="1890"/>
      <c r="T45" s="1890"/>
    </row>
    <row r="46" spans="1:20" ht="18" customHeight="1" x14ac:dyDescent="0.2">
      <c r="A46" s="1890"/>
      <c r="B46" s="2226" t="str">
        <f t="shared" ref="B46:B54" si="12">B19</f>
        <v>Queima a céu aberto</v>
      </c>
      <c r="C46" s="2339">
        <f t="shared" si="9"/>
        <v>0</v>
      </c>
      <c r="D46" s="2339">
        <f t="shared" si="10"/>
        <v>0</v>
      </c>
      <c r="E46" s="2339">
        <f t="shared" si="11"/>
        <v>0</v>
      </c>
      <c r="F46" s="2333"/>
      <c r="G46" s="2333"/>
      <c r="H46" s="2333"/>
      <c r="I46" s="2333"/>
      <c r="J46" s="2333"/>
      <c r="K46" s="2333"/>
      <c r="L46" s="1890"/>
      <c r="M46" s="1890"/>
      <c r="N46" s="1890"/>
      <c r="O46" s="1890"/>
      <c r="P46" s="1890"/>
      <c r="Q46" s="1890"/>
      <c r="R46" s="1890"/>
      <c r="S46" s="1890"/>
      <c r="T46" s="1890"/>
    </row>
    <row r="47" spans="1:20" ht="18" customHeight="1" x14ac:dyDescent="0.2">
      <c r="A47" s="1890"/>
      <c r="B47" s="2226" t="str">
        <f t="shared" si="12"/>
        <v>Lixão não controlado</v>
      </c>
      <c r="C47" s="2339">
        <f t="shared" si="9"/>
        <v>0</v>
      </c>
      <c r="D47" s="2339">
        <f t="shared" si="10"/>
        <v>0</v>
      </c>
      <c r="E47" s="2339">
        <f t="shared" si="11"/>
        <v>0</v>
      </c>
      <c r="F47" s="2333"/>
      <c r="G47" s="2333"/>
      <c r="H47" s="2333"/>
      <c r="I47" s="2333"/>
      <c r="J47" s="2333"/>
      <c r="K47" s="2333"/>
      <c r="L47" s="1890"/>
      <c r="M47" s="1890"/>
      <c r="N47" s="1890"/>
      <c r="O47" s="1890"/>
      <c r="P47" s="1890"/>
      <c r="Q47" s="1890"/>
      <c r="R47" s="1890"/>
      <c r="S47" s="1890"/>
      <c r="T47" s="1890"/>
    </row>
    <row r="48" spans="1:20" ht="18" customHeight="1" x14ac:dyDescent="0.2">
      <c r="A48" s="1890"/>
      <c r="B48" s="2226" t="str">
        <f t="shared" si="12"/>
        <v>Aterro controlado</v>
      </c>
      <c r="C48" s="2339">
        <f t="shared" si="9"/>
        <v>0</v>
      </c>
      <c r="D48" s="2339">
        <f t="shared" si="10"/>
        <v>0</v>
      </c>
      <c r="E48" s="2339">
        <f t="shared" si="11"/>
        <v>0</v>
      </c>
      <c r="F48" s="2333"/>
      <c r="G48" s="2333"/>
      <c r="H48" s="2333"/>
      <c r="I48" s="2333"/>
      <c r="J48" s="2333"/>
      <c r="K48" s="2333"/>
      <c r="L48" s="1890"/>
      <c r="M48" s="1890"/>
      <c r="N48" s="1890"/>
      <c r="O48" s="1890"/>
      <c r="P48" s="1890"/>
      <c r="Q48" s="1890"/>
      <c r="R48" s="1890"/>
      <c r="S48" s="1890"/>
      <c r="T48" s="1890"/>
    </row>
    <row r="49" spans="1:21" ht="18" customHeight="1" x14ac:dyDescent="0.2">
      <c r="A49" s="1890"/>
      <c r="B49" s="2226" t="str">
        <f t="shared" si="12"/>
        <v>Aterro sanitário</v>
      </c>
      <c r="C49" s="2339">
        <f t="shared" si="9"/>
        <v>8513.3129213582743</v>
      </c>
      <c r="D49" s="2339">
        <f t="shared" si="10"/>
        <v>0</v>
      </c>
      <c r="E49" s="2339">
        <f t="shared" si="11"/>
        <v>8513.3129213582743</v>
      </c>
      <c r="F49" s="2333"/>
      <c r="G49" s="2333"/>
      <c r="H49" s="2333"/>
      <c r="I49" s="2333"/>
      <c r="J49" s="2333"/>
      <c r="K49" s="2333"/>
      <c r="L49" s="1890"/>
      <c r="M49" s="1890"/>
      <c r="N49" s="1890"/>
      <c r="O49" s="1890"/>
      <c r="P49" s="1890"/>
      <c r="Q49" s="1890"/>
      <c r="R49" s="1890"/>
      <c r="S49" s="1890"/>
      <c r="T49" s="1890"/>
    </row>
    <row r="50" spans="1:21" ht="18" customHeight="1" x14ac:dyDescent="0.2">
      <c r="A50" s="1890"/>
      <c r="B50" s="2226" t="str">
        <f t="shared" si="12"/>
        <v>Trat. biol + cobertura at.</v>
      </c>
      <c r="C50" s="2339">
        <f t="shared" si="9"/>
        <v>0</v>
      </c>
      <c r="D50" s="2339">
        <f t="shared" si="10"/>
        <v>0</v>
      </c>
      <c r="E50" s="2339">
        <f t="shared" si="11"/>
        <v>0</v>
      </c>
      <c r="F50" s="2333"/>
      <c r="G50" s="2333"/>
      <c r="H50" s="2333"/>
      <c r="I50" s="2333"/>
      <c r="J50" s="2333"/>
      <c r="K50" s="2333"/>
      <c r="L50" s="1890"/>
      <c r="M50" s="1890"/>
      <c r="N50" s="1890"/>
      <c r="O50" s="1890"/>
      <c r="P50" s="1890"/>
      <c r="Q50" s="1890"/>
      <c r="R50" s="1890"/>
      <c r="S50" s="1890"/>
      <c r="T50" s="1890"/>
    </row>
    <row r="51" spans="1:21" ht="18" customHeight="1" x14ac:dyDescent="0.2">
      <c r="A51" s="1890"/>
      <c r="B51" s="2226" t="str">
        <f t="shared" si="12"/>
        <v>CDR seco + rejeito aterro</v>
      </c>
      <c r="C51" s="2339">
        <f t="shared" si="9"/>
        <v>1557.9926977483726</v>
      </c>
      <c r="D51" s="2339">
        <f t="shared" si="10"/>
        <v>-1295.3249665304779</v>
      </c>
      <c r="E51" s="2339">
        <f t="shared" si="11"/>
        <v>262.6677312178947</v>
      </c>
      <c r="F51" s="2333"/>
      <c r="G51" s="2346"/>
      <c r="H51" s="2347"/>
      <c r="I51" s="2347"/>
      <c r="J51" s="2347"/>
      <c r="K51" s="2333"/>
      <c r="L51" s="1890"/>
      <c r="M51" s="1890"/>
      <c r="N51" s="1890"/>
      <c r="O51" s="1890"/>
      <c r="P51" s="1890"/>
      <c r="Q51" s="1890"/>
      <c r="R51" s="1890"/>
      <c r="S51" s="1890"/>
      <c r="T51" s="1890"/>
    </row>
    <row r="52" spans="1:21" ht="18" customHeight="1" x14ac:dyDescent="0.2">
      <c r="A52" s="1890"/>
      <c r="B52" s="2226" t="str">
        <f t="shared" si="12"/>
        <v>CDR seco + trat. biol.</v>
      </c>
      <c r="C52" s="2339">
        <f t="shared" si="9"/>
        <v>1149.6270448781202</v>
      </c>
      <c r="D52" s="2339">
        <f t="shared" si="10"/>
        <v>-5511.3645994213884</v>
      </c>
      <c r="E52" s="2339">
        <f t="shared" si="11"/>
        <v>-4361.7375545432678</v>
      </c>
      <c r="F52" s="2333"/>
      <c r="G52" s="2348"/>
      <c r="H52" s="2349" t="s">
        <v>1253</v>
      </c>
      <c r="I52" s="2350" t="s">
        <v>1265</v>
      </c>
      <c r="J52" s="2350" t="s">
        <v>1254</v>
      </c>
      <c r="K52" s="2333"/>
      <c r="L52" s="1890"/>
      <c r="M52" s="1890"/>
      <c r="N52" s="1890"/>
      <c r="O52" s="1890"/>
      <c r="P52" s="1890"/>
      <c r="Q52" s="1890"/>
      <c r="R52" s="1890"/>
      <c r="S52" s="1890"/>
      <c r="T52" s="1890"/>
    </row>
    <row r="53" spans="1:21" ht="18" customHeight="1" x14ac:dyDescent="0.2">
      <c r="A53" s="1890"/>
      <c r="B53" s="2226" t="str">
        <f t="shared" si="12"/>
        <v>CDR seco + CDR org.</v>
      </c>
      <c r="C53" s="2339">
        <f t="shared" si="9"/>
        <v>0</v>
      </c>
      <c r="D53" s="2339">
        <f t="shared" si="10"/>
        <v>0</v>
      </c>
      <c r="E53" s="2339">
        <f t="shared" si="11"/>
        <v>0</v>
      </c>
      <c r="F53" s="2333"/>
      <c r="G53" s="2351" t="s">
        <v>1255</v>
      </c>
      <c r="H53" s="2352">
        <f>SUM(C34:C41)</f>
        <v>1665.6439969728001</v>
      </c>
      <c r="I53" s="2352">
        <f>SUM(C45:C54)</f>
        <v>11220.932663984766</v>
      </c>
      <c r="J53" s="2352">
        <f>+I53+H53</f>
        <v>12886.576660957566</v>
      </c>
      <c r="K53" s="2333"/>
      <c r="L53" s="1890"/>
      <c r="M53" s="1890"/>
      <c r="N53" s="1890"/>
      <c r="O53" s="1890"/>
      <c r="P53" s="1890"/>
      <c r="Q53" s="1890"/>
      <c r="R53" s="1890"/>
      <c r="S53" s="1890"/>
      <c r="T53" s="1890"/>
    </row>
    <row r="54" spans="1:21" ht="18" customHeight="1" x14ac:dyDescent="0.2">
      <c r="A54" s="1890"/>
      <c r="B54" s="2226" t="str">
        <f t="shared" si="12"/>
        <v>Incineração</v>
      </c>
      <c r="C54" s="2339">
        <f>+L71</f>
        <v>0</v>
      </c>
      <c r="D54" s="2339">
        <f t="shared" si="10"/>
        <v>0</v>
      </c>
      <c r="E54" s="2339">
        <f>+D54+C54</f>
        <v>0</v>
      </c>
      <c r="F54" s="2333"/>
      <c r="G54" s="2351" t="s">
        <v>1256</v>
      </c>
      <c r="H54" s="2352">
        <f>SUM(D34:D41)</f>
        <v>-5018.9513721984003</v>
      </c>
      <c r="I54" s="2352">
        <f>SUM(D45:D54)</f>
        <v>-6806.6895659518668</v>
      </c>
      <c r="J54" s="2352">
        <f>+I54+H54</f>
        <v>-11825.640938150267</v>
      </c>
      <c r="K54" s="2333"/>
      <c r="L54" s="1890"/>
      <c r="M54" s="1890"/>
      <c r="N54" s="1890"/>
      <c r="O54" s="1890"/>
      <c r="P54" s="1890"/>
      <c r="Q54" s="1890"/>
      <c r="R54" s="1890"/>
      <c r="S54" s="1890"/>
      <c r="T54" s="1890"/>
    </row>
    <row r="55" spans="1:21" ht="18" customHeight="1" x14ac:dyDescent="0.2">
      <c r="A55" s="1890"/>
      <c r="B55" s="2340"/>
      <c r="C55" s="2353"/>
      <c r="D55" s="2354"/>
      <c r="E55" s="2353"/>
      <c r="F55" s="2333"/>
      <c r="G55" s="2351" t="s">
        <v>1257</v>
      </c>
      <c r="H55" s="2352">
        <f>+H53+H54</f>
        <v>-3353.3073752256005</v>
      </c>
      <c r="I55" s="2352">
        <f>+I53+I54</f>
        <v>4414.2430980328991</v>
      </c>
      <c r="J55" s="2352">
        <f>+I55+H55</f>
        <v>1060.9357228072986</v>
      </c>
      <c r="K55" s="2333"/>
      <c r="L55" s="1890"/>
      <c r="M55" s="1890"/>
      <c r="N55" s="1890"/>
      <c r="O55" s="1890"/>
      <c r="P55" s="1890"/>
      <c r="Q55" s="1890"/>
      <c r="R55" s="1890"/>
      <c r="S55" s="1890"/>
      <c r="T55" s="1890"/>
    </row>
    <row r="56" spans="1:21" ht="18" customHeight="1" x14ac:dyDescent="0.2">
      <c r="A56" s="1890"/>
      <c r="B56" s="2343" t="s">
        <v>52</v>
      </c>
      <c r="C56" s="2355">
        <f>SUM(C34:C54)</f>
        <v>12886.576660957566</v>
      </c>
      <c r="D56" s="2355">
        <f>SUM(D34:D54)</f>
        <v>-11825.640938150267</v>
      </c>
      <c r="E56" s="2355">
        <f>+D56+C56</f>
        <v>1060.9357228072986</v>
      </c>
      <c r="F56" s="2333"/>
      <c r="G56" s="2346"/>
      <c r="H56" s="2356"/>
      <c r="I56" s="2356"/>
      <c r="J56" s="2356"/>
      <c r="K56" s="2333"/>
      <c r="L56" s="1890"/>
      <c r="M56" s="1890"/>
      <c r="N56" s="1890"/>
      <c r="O56" s="1890"/>
      <c r="P56" s="1890"/>
      <c r="Q56" s="1890"/>
      <c r="R56" s="1890"/>
      <c r="S56" s="1890"/>
      <c r="T56" s="1890"/>
    </row>
    <row r="57" spans="1:21" x14ac:dyDescent="0.2">
      <c r="A57" s="1890"/>
      <c r="B57" s="1890"/>
      <c r="C57" s="1890"/>
      <c r="D57" s="1890"/>
      <c r="E57" s="1890"/>
      <c r="F57" s="1890"/>
      <c r="G57" s="2281"/>
      <c r="H57" s="2282"/>
      <c r="I57" s="2282"/>
      <c r="J57" s="2290"/>
      <c r="K57" s="2234"/>
      <c r="L57" s="1890"/>
      <c r="M57" s="1890"/>
      <c r="N57" s="1890"/>
      <c r="O57" s="1890"/>
      <c r="P57" s="1890"/>
      <c r="Q57" s="1890"/>
      <c r="R57" s="1890"/>
      <c r="S57" s="1890"/>
      <c r="T57" s="1890"/>
    </row>
    <row r="58" spans="1:21" x14ac:dyDescent="0.2">
      <c r="A58" s="1890"/>
      <c r="B58" s="1890"/>
      <c r="C58" s="1890"/>
      <c r="D58" s="1890"/>
      <c r="E58" s="1890"/>
      <c r="F58" s="1890"/>
      <c r="G58" s="2281"/>
      <c r="H58" s="2282"/>
      <c r="I58" s="2282"/>
      <c r="J58" s="2290"/>
      <c r="K58" s="2234"/>
      <c r="L58" s="1890"/>
      <c r="M58" s="1890"/>
      <c r="N58" s="1890"/>
      <c r="O58" s="1890"/>
      <c r="P58" s="1890"/>
      <c r="Q58" s="1890"/>
      <c r="R58" s="1890"/>
      <c r="S58" s="1890"/>
      <c r="T58" s="1890"/>
    </row>
    <row r="59" spans="1:21" s="2229" customFormat="1" ht="26.1" customHeight="1" x14ac:dyDescent="0.25">
      <c r="A59" s="2291" t="s">
        <v>1258</v>
      </c>
      <c r="B59" s="2357"/>
      <c r="C59" s="2357"/>
      <c r="D59" s="2357"/>
      <c r="E59" s="2357"/>
      <c r="F59" s="2228"/>
      <c r="G59" s="1940"/>
      <c r="H59" s="1985"/>
      <c r="I59" s="1985"/>
      <c r="J59" s="1985"/>
      <c r="K59" s="1912" t="s">
        <v>1266</v>
      </c>
      <c r="L59" s="1985"/>
      <c r="M59" s="1985"/>
      <c r="N59" s="1985"/>
      <c r="O59" s="1985"/>
      <c r="P59" s="1940"/>
      <c r="Q59" s="1940"/>
      <c r="R59" s="1940"/>
      <c r="S59" s="1940"/>
      <c r="T59" s="1940"/>
      <c r="U59" s="2358"/>
    </row>
    <row r="60" spans="1:21" ht="18" x14ac:dyDescent="0.25">
      <c r="A60" s="2293"/>
      <c r="B60" s="1890"/>
      <c r="C60" s="1890"/>
      <c r="D60" s="1890"/>
      <c r="E60" s="1890"/>
      <c r="F60" s="1890"/>
      <c r="G60" s="1890"/>
      <c r="H60" s="1890"/>
      <c r="I60" s="1890"/>
      <c r="J60" s="1890"/>
      <c r="K60" s="1890"/>
      <c r="L60" s="1890"/>
      <c r="M60" s="1890"/>
      <c r="N60" s="1890"/>
      <c r="O60" s="1890"/>
      <c r="P60" s="1890"/>
      <c r="Q60" s="1890"/>
      <c r="R60" s="1890"/>
      <c r="S60" s="1890"/>
      <c r="T60" s="1890"/>
    </row>
    <row r="61" spans="1:21" ht="18" customHeight="1" x14ac:dyDescent="0.25">
      <c r="A61" s="1890"/>
      <c r="B61" s="2294"/>
      <c r="C61" s="2359" t="s">
        <v>1237</v>
      </c>
      <c r="D61" s="2359" t="s">
        <v>1257</v>
      </c>
      <c r="E61" s="1890"/>
      <c r="F61" s="1890"/>
      <c r="G61" s="1890"/>
      <c r="H61" s="1890"/>
      <c r="I61" s="1890"/>
      <c r="J61" s="1890"/>
      <c r="K61" s="2360"/>
      <c r="L61" s="2361" t="s">
        <v>1265</v>
      </c>
      <c r="M61" s="2359" t="s">
        <v>1257</v>
      </c>
      <c r="N61" s="1890"/>
      <c r="O61" s="1890"/>
      <c r="P61" s="1890"/>
      <c r="Q61" s="1890"/>
      <c r="R61" s="1890"/>
      <c r="S61" s="1890"/>
      <c r="T61" s="1890"/>
    </row>
    <row r="62" spans="1:21" ht="18" customHeight="1" x14ac:dyDescent="0.25">
      <c r="A62" s="1890"/>
      <c r="B62" s="2303" t="str">
        <f>+'CO2 - Cálculos'!AC16</f>
        <v>Resíduos de alimentos</v>
      </c>
      <c r="C62" s="2242">
        <f>+'CO2 - Cálculos'!AE16</f>
        <v>0</v>
      </c>
      <c r="D62" s="2275"/>
      <c r="E62" s="1890"/>
      <c r="F62" s="1890"/>
      <c r="G62" s="1890"/>
      <c r="H62" s="1890"/>
      <c r="I62" s="1890"/>
      <c r="J62" s="1890"/>
      <c r="K62" s="2302" t="str">
        <f>+'CO2 - Cálculos'!AC61</f>
        <v>Resíduos dispersos</v>
      </c>
      <c r="L62" s="2242">
        <f>+'CO2 - Cálculos'!AE61</f>
        <v>0</v>
      </c>
      <c r="M62" s="2275"/>
      <c r="N62" s="1890"/>
      <c r="O62" s="1890"/>
      <c r="P62" s="1890"/>
      <c r="Q62" s="1890"/>
      <c r="R62" s="1890"/>
      <c r="S62" s="1890"/>
      <c r="T62" s="1890"/>
    </row>
    <row r="63" spans="1:21" ht="18" customHeight="1" x14ac:dyDescent="0.25">
      <c r="A63" s="1890"/>
      <c r="B63" s="2303" t="str">
        <f>+'CO2 - Cálculos'!AC17</f>
        <v>Resíduos de jardins e parques</v>
      </c>
      <c r="C63" s="2242">
        <f>+'CO2 - Cálculos'!AE17</f>
        <v>0</v>
      </c>
      <c r="D63" s="2275"/>
      <c r="E63" s="1890"/>
      <c r="F63" s="1890"/>
      <c r="G63" s="1890"/>
      <c r="H63" s="1890"/>
      <c r="I63" s="1890"/>
      <c r="J63" s="1890"/>
      <c r="K63" s="2302" t="str">
        <f>+'CO2 - Cálculos'!AC62</f>
        <v>Queima a céu aberto</v>
      </c>
      <c r="L63" s="2242">
        <f>+'CO2 - Cálculos'!AE62</f>
        <v>0</v>
      </c>
      <c r="M63" s="2275"/>
      <c r="N63" s="1890"/>
      <c r="O63" s="1890"/>
      <c r="P63" s="1890"/>
      <c r="Q63" s="1890"/>
      <c r="R63" s="1890"/>
      <c r="S63" s="1890"/>
      <c r="T63" s="1890"/>
    </row>
    <row r="64" spans="1:21" ht="18" customHeight="1" x14ac:dyDescent="0.25">
      <c r="A64" s="1890"/>
      <c r="B64" s="2303" t="str">
        <f>+'CO2 - Cálculos'!AC18</f>
        <v>Papel, papelão</v>
      </c>
      <c r="C64" s="2242">
        <f>+'CO2 - Cálculos'!AE18</f>
        <v>1261.5838604928001</v>
      </c>
      <c r="D64" s="2275"/>
      <c r="E64" s="1890"/>
      <c r="F64" s="1890"/>
      <c r="G64" s="1890"/>
      <c r="H64" s="1890"/>
      <c r="I64" s="1890"/>
      <c r="J64" s="1890"/>
      <c r="K64" s="2302" t="str">
        <f>+'CO2 - Cálculos'!AC63</f>
        <v>Lixão não controlado</v>
      </c>
      <c r="L64" s="2242">
        <f>+'CO2 - Cálculos'!AE63</f>
        <v>0</v>
      </c>
      <c r="M64" s="2275"/>
      <c r="N64" s="1890"/>
      <c r="O64" s="1890"/>
      <c r="P64" s="1890"/>
      <c r="Q64" s="1890"/>
      <c r="R64" s="1890"/>
      <c r="S64" s="1890"/>
      <c r="T64" s="1890"/>
    </row>
    <row r="65" spans="1:20" ht="18" customHeight="1" x14ac:dyDescent="0.25">
      <c r="A65" s="1890"/>
      <c r="B65" s="2303" t="str">
        <f>+'CO2 - Cálculos'!AC19</f>
        <v>Plásticos</v>
      </c>
      <c r="C65" s="2242">
        <f>+'CO2 - Cálculos'!AE19</f>
        <v>280.38273119999997</v>
      </c>
      <c r="D65" s="2275"/>
      <c r="E65" s="1890"/>
      <c r="F65" s="1890"/>
      <c r="G65" s="1890"/>
      <c r="H65" s="1890"/>
      <c r="I65" s="1890"/>
      <c r="J65" s="1890"/>
      <c r="K65" s="2302" t="str">
        <f>+'CO2 - Cálculos'!AC64</f>
        <v>Aterro controlado</v>
      </c>
      <c r="L65" s="2242">
        <f>+'CO2 - Cálculos'!AE64</f>
        <v>0</v>
      </c>
      <c r="M65" s="2275"/>
      <c r="N65" s="1890"/>
      <c r="O65" s="1890"/>
      <c r="P65" s="1890"/>
      <c r="Q65" s="1890"/>
      <c r="R65" s="1890"/>
      <c r="S65" s="1890"/>
      <c r="T65" s="1890"/>
    </row>
    <row r="66" spans="1:20" ht="18" customHeight="1" x14ac:dyDescent="0.25">
      <c r="A66" s="1890"/>
      <c r="B66" s="2303" t="str">
        <f>+'CO2 - Cálculos'!AC20</f>
        <v>Vidros</v>
      </c>
      <c r="C66" s="2242">
        <f>+'CO2 - Cálculos'!AE20</f>
        <v>0</v>
      </c>
      <c r="D66" s="2275"/>
      <c r="E66" s="1890"/>
      <c r="F66" s="1890"/>
      <c r="G66" s="1890"/>
      <c r="H66" s="1890"/>
      <c r="I66" s="1890"/>
      <c r="J66" s="1890"/>
      <c r="K66" s="2302" t="str">
        <f>+'CO2 - Cálculos'!AC65</f>
        <v>Aterro sanitário</v>
      </c>
      <c r="L66" s="2242">
        <f>+'CO2 - Cálculos'!AE65</f>
        <v>8513.3129213582743</v>
      </c>
      <c r="M66" s="2275"/>
      <c r="N66" s="1890"/>
      <c r="O66" s="1890"/>
      <c r="P66" s="1890"/>
      <c r="Q66" s="1890"/>
      <c r="R66" s="1890"/>
      <c r="S66" s="1890"/>
      <c r="T66" s="1890"/>
    </row>
    <row r="67" spans="1:20" ht="18" customHeight="1" x14ac:dyDescent="0.25">
      <c r="A67" s="1890"/>
      <c r="B67" s="2303" t="str">
        <f>+'CO2 - Cálculos'!AC21</f>
        <v>Metais ferrosos</v>
      </c>
      <c r="C67" s="2242">
        <f>+'CO2 - Cálculos'!AE21</f>
        <v>32.198999039999997</v>
      </c>
      <c r="D67" s="2275"/>
      <c r="E67" s="1890"/>
      <c r="F67" s="1890"/>
      <c r="G67" s="1890"/>
      <c r="H67" s="1890"/>
      <c r="I67" s="1890"/>
      <c r="J67" s="2362"/>
      <c r="K67" s="2302" t="str">
        <f>+'CO2 - Cálculos'!AC66</f>
        <v>Trat. biol + cobertura at.</v>
      </c>
      <c r="L67" s="2242">
        <f>+'CO2 - Cálculos'!AE66</f>
        <v>0</v>
      </c>
      <c r="M67" s="2275"/>
      <c r="N67" s="1890"/>
      <c r="O67" s="1890"/>
      <c r="P67" s="1890"/>
      <c r="Q67" s="1890"/>
      <c r="R67" s="1890"/>
      <c r="S67" s="1890"/>
      <c r="T67" s="1890"/>
    </row>
    <row r="68" spans="1:20" ht="18" customHeight="1" x14ac:dyDescent="0.25">
      <c r="A68" s="1890"/>
      <c r="B68" s="2303" t="str">
        <f>+'CO2 - Cálculos'!AC22</f>
        <v>Alumínio</v>
      </c>
      <c r="C68" s="2242">
        <f>+'CO2 - Cálculos'!AE22</f>
        <v>91.478406239999984</v>
      </c>
      <c r="D68" s="2275"/>
      <c r="E68" s="1890"/>
      <c r="F68" s="1890"/>
      <c r="G68" s="1890"/>
      <c r="H68" s="1890"/>
      <c r="I68" s="1890"/>
      <c r="J68" s="2362"/>
      <c r="K68" s="2302" t="str">
        <f>+'CO2 - Cálculos'!AC67</f>
        <v>CDR seco + rejeito aterro</v>
      </c>
      <c r="L68" s="2242">
        <f>+'CO2 - Cálculos'!AE67</f>
        <v>1557.9926977483726</v>
      </c>
      <c r="M68" s="2275"/>
      <c r="N68" s="1890"/>
      <c r="O68" s="1890"/>
      <c r="P68" s="1890"/>
      <c r="Q68" s="1890"/>
      <c r="R68" s="1890"/>
      <c r="S68" s="1890"/>
      <c r="T68" s="1890"/>
    </row>
    <row r="69" spans="1:20" ht="18" customHeight="1" x14ac:dyDescent="0.25">
      <c r="A69" s="2234"/>
      <c r="B69" s="2303" t="str">
        <f>+'CO2 - Cálculos'!AC23</f>
        <v>Têxteis</v>
      </c>
      <c r="C69" s="2242">
        <f>+'CO2 - Cálculos'!AE23</f>
        <v>0</v>
      </c>
      <c r="D69" s="2275"/>
      <c r="E69" s="1890"/>
      <c r="F69" s="1890"/>
      <c r="G69" s="1890"/>
      <c r="H69" s="1890"/>
      <c r="I69" s="1890"/>
      <c r="J69" s="2362"/>
      <c r="K69" s="2302" t="str">
        <f>+'CO2 - Cálculos'!AC68</f>
        <v>CDR seco + trat. biol.</v>
      </c>
      <c r="L69" s="2242">
        <f>+'CO2 - Cálculos'!AE68</f>
        <v>1149.6270448781202</v>
      </c>
      <c r="M69" s="2275"/>
      <c r="N69" s="1890"/>
      <c r="O69" s="1890"/>
      <c r="P69" s="1890"/>
      <c r="Q69" s="1890"/>
      <c r="R69" s="1890"/>
      <c r="S69" s="1890"/>
      <c r="T69" s="1890"/>
    </row>
    <row r="70" spans="1:20" ht="18" customHeight="1" x14ac:dyDescent="0.25">
      <c r="A70" s="1890"/>
      <c r="B70" s="2363" t="s">
        <v>1255</v>
      </c>
      <c r="C70" s="2275"/>
      <c r="D70" s="2240"/>
      <c r="E70" s="1890"/>
      <c r="F70" s="1890"/>
      <c r="G70" s="1890"/>
      <c r="H70" s="1890"/>
      <c r="I70" s="1890"/>
      <c r="J70" s="1890"/>
      <c r="K70" s="2302" t="str">
        <f>+'CO2 - Cálculos'!AC69</f>
        <v>CDR seco + CDR org.</v>
      </c>
      <c r="L70" s="2242">
        <f>+'CO2 - Cálculos'!AE69</f>
        <v>0</v>
      </c>
      <c r="M70" s="2275"/>
      <c r="N70" s="1890"/>
      <c r="O70" s="1890"/>
      <c r="P70" s="1890"/>
      <c r="Q70" s="1890"/>
      <c r="R70" s="1890"/>
      <c r="S70" s="1890"/>
      <c r="T70" s="1890"/>
    </row>
    <row r="71" spans="1:20" ht="18" customHeight="1" x14ac:dyDescent="0.25">
      <c r="A71" s="1890"/>
      <c r="B71" s="2300" t="str">
        <f>+'CO2 - Cálculos'!AC25</f>
        <v>Resíduos de alimentos</v>
      </c>
      <c r="C71" s="2242">
        <f>+'CO2 - Cálculos'!AE25</f>
        <v>0</v>
      </c>
      <c r="D71" s="2275"/>
      <c r="E71" s="1890"/>
      <c r="F71" s="1890"/>
      <c r="G71" s="1890"/>
      <c r="H71" s="1890"/>
      <c r="I71" s="1890"/>
      <c r="J71" s="1890"/>
      <c r="K71" s="2302" t="str">
        <f>+'CO2 - Cálculos'!AC70</f>
        <v>Incineração</v>
      </c>
      <c r="L71" s="2242">
        <f>+'CO2 - Cálculos'!AE70</f>
        <v>0</v>
      </c>
      <c r="M71" s="2275"/>
      <c r="N71" s="1890"/>
      <c r="O71" s="1890"/>
      <c r="P71" s="1890"/>
      <c r="Q71" s="1890"/>
      <c r="R71" s="1890"/>
      <c r="S71" s="1890"/>
      <c r="T71" s="1890"/>
    </row>
    <row r="72" spans="1:20" ht="18" customHeight="1" x14ac:dyDescent="0.25">
      <c r="A72" s="1890"/>
      <c r="B72" s="2300" t="str">
        <f>+'CO2 - Cálculos'!AC26</f>
        <v>Resíduos de jardins e parques</v>
      </c>
      <c r="C72" s="2242">
        <f>+'CO2 - Cálculos'!AE26</f>
        <v>0</v>
      </c>
      <c r="D72" s="2275"/>
      <c r="E72" s="1890"/>
      <c r="F72" s="1890"/>
      <c r="G72" s="1890"/>
      <c r="H72" s="1890"/>
      <c r="I72" s="1890"/>
      <c r="J72" s="1890"/>
      <c r="K72" s="2364" t="s">
        <v>1255</v>
      </c>
      <c r="L72" s="2275"/>
      <c r="M72" s="2275"/>
      <c r="N72" s="1890"/>
      <c r="O72" s="1890"/>
      <c r="P72" s="1890"/>
      <c r="Q72" s="1890"/>
      <c r="R72" s="1890"/>
      <c r="S72" s="1890"/>
      <c r="T72" s="1890"/>
    </row>
    <row r="73" spans="1:20" ht="18" customHeight="1" x14ac:dyDescent="0.25">
      <c r="A73" s="1890"/>
      <c r="B73" s="2300" t="str">
        <f>+'CO2 - Cálculos'!AC27</f>
        <v>Papel, papelão</v>
      </c>
      <c r="C73" s="2242">
        <f>+'CO2 - Cálculos'!AE27</f>
        <v>-1554.8820191423999</v>
      </c>
      <c r="D73" s="2275"/>
      <c r="E73" s="1890"/>
      <c r="F73" s="1890"/>
      <c r="G73" s="1890"/>
      <c r="H73" s="1890"/>
      <c r="I73" s="1890"/>
      <c r="J73" s="1890"/>
      <c r="K73" s="2302" t="str">
        <f>+'CO2 - Cálculos'!AC72</f>
        <v>Resíduos dispersos</v>
      </c>
      <c r="L73" s="2242">
        <f>+'CO2 - Cálculos'!AE72</f>
        <v>0</v>
      </c>
      <c r="M73" s="2275"/>
      <c r="N73" s="1890"/>
      <c r="O73" s="1890"/>
      <c r="P73" s="1890"/>
      <c r="Q73" s="1890"/>
      <c r="R73" s="1890"/>
      <c r="S73" s="1890"/>
      <c r="T73" s="1890"/>
    </row>
    <row r="74" spans="1:20" ht="18" customHeight="1" x14ac:dyDescent="0.25">
      <c r="A74" s="1890"/>
      <c r="B74" s="2300" t="str">
        <f>+'CO2 - Cálculos'!AC28</f>
        <v>Plásticos</v>
      </c>
      <c r="C74" s="2242">
        <f>+'CO2 - Cálculos'!AE28</f>
        <v>-1306.0364391359999</v>
      </c>
      <c r="D74" s="2275"/>
      <c r="E74" s="1890"/>
      <c r="F74" s="1890"/>
      <c r="G74" s="1890"/>
      <c r="H74" s="1890"/>
      <c r="I74" s="1890"/>
      <c r="J74" s="1890"/>
      <c r="K74" s="2302" t="str">
        <f>+'CO2 - Cálculos'!AC73</f>
        <v>Queima a céu aberto</v>
      </c>
      <c r="L74" s="2242">
        <f>+'CO2 - Cálculos'!AE73</f>
        <v>0</v>
      </c>
      <c r="M74" s="2275"/>
      <c r="N74" s="1890"/>
      <c r="O74" s="1890"/>
      <c r="P74" s="1890"/>
      <c r="Q74" s="1890"/>
      <c r="R74" s="1890"/>
      <c r="S74" s="1890"/>
      <c r="T74" s="1890"/>
    </row>
    <row r="75" spans="1:20" ht="18" customHeight="1" x14ac:dyDescent="0.25">
      <c r="A75" s="1890"/>
      <c r="B75" s="2300" t="str">
        <f>+'CO2 - Cálculos'!AC29</f>
        <v>Vidros</v>
      </c>
      <c r="C75" s="2242">
        <f>+'CO2 - Cálculos'!AE29</f>
        <v>0</v>
      </c>
      <c r="D75" s="2275"/>
      <c r="E75" s="1890"/>
      <c r="F75" s="1890"/>
      <c r="G75" s="1890"/>
      <c r="H75" s="1890"/>
      <c r="I75" s="1890"/>
      <c r="J75" s="1890"/>
      <c r="K75" s="2302" t="str">
        <f>+'CO2 - Cálculos'!AC74</f>
        <v>Lixão não controlado</v>
      </c>
      <c r="L75" s="2242">
        <f>+'CO2 - Cálculos'!AE74</f>
        <v>0</v>
      </c>
      <c r="M75" s="2275"/>
      <c r="N75" s="1890"/>
      <c r="O75" s="1890"/>
      <c r="P75" s="1890"/>
      <c r="Q75" s="1890"/>
      <c r="R75" s="1890"/>
      <c r="S75" s="1890"/>
      <c r="T75" s="1890"/>
    </row>
    <row r="76" spans="1:20" ht="18" customHeight="1" x14ac:dyDescent="0.25">
      <c r="A76" s="1890"/>
      <c r="B76" s="2300" t="str">
        <f>+'CO2 - Cálculos'!AC30</f>
        <v>Metais ferrosos</v>
      </c>
      <c r="C76" s="2242">
        <f>+'CO2 - Cálculos'!AE30</f>
        <v>-861.32322431999989</v>
      </c>
      <c r="D76" s="2275"/>
      <c r="E76" s="1890"/>
      <c r="F76" s="1890"/>
      <c r="G76" s="1890"/>
      <c r="H76" s="1890"/>
      <c r="I76" s="1890"/>
      <c r="J76" s="1890"/>
      <c r="K76" s="2302" t="str">
        <f>+'CO2 - Cálculos'!AC75</f>
        <v>Aterro controlado</v>
      </c>
      <c r="L76" s="2242">
        <f>+'CO2 - Cálculos'!AE75</f>
        <v>0</v>
      </c>
      <c r="M76" s="2275"/>
      <c r="N76" s="1890"/>
      <c r="O76" s="1890"/>
      <c r="P76" s="1890"/>
      <c r="Q76" s="1890"/>
      <c r="R76" s="1890"/>
      <c r="S76" s="1890"/>
      <c r="T76" s="1890"/>
    </row>
    <row r="77" spans="1:20" ht="18" customHeight="1" x14ac:dyDescent="0.25">
      <c r="A77" s="1890"/>
      <c r="B77" s="2300" t="str">
        <f>+'CO2 - Cálculos'!AC31</f>
        <v>Alumínio</v>
      </c>
      <c r="C77" s="2242">
        <f>+'CO2 - Cálculos'!AE31</f>
        <v>-1296.7096895999998</v>
      </c>
      <c r="D77" s="2275"/>
      <c r="E77" s="1890"/>
      <c r="F77" s="1890"/>
      <c r="G77" s="1890"/>
      <c r="H77" s="1890"/>
      <c r="I77" s="1890"/>
      <c r="J77" s="2362"/>
      <c r="K77" s="2302" t="str">
        <f>+'CO2 - Cálculos'!AC76</f>
        <v>Aterro sanitário</v>
      </c>
      <c r="L77" s="2242">
        <f>+'CO2 - Cálculos'!AE76</f>
        <v>0</v>
      </c>
      <c r="M77" s="2275"/>
      <c r="N77" s="1890"/>
      <c r="O77" s="1890"/>
      <c r="P77" s="1890"/>
      <c r="Q77" s="1890"/>
      <c r="R77" s="1890"/>
      <c r="S77" s="1890"/>
      <c r="T77" s="1890"/>
    </row>
    <row r="78" spans="1:20" ht="18" customHeight="1" x14ac:dyDescent="0.25">
      <c r="A78" s="1890"/>
      <c r="B78" s="2300" t="str">
        <f>+'CO2 - Cálculos'!AC32</f>
        <v>Têxteis</v>
      </c>
      <c r="C78" s="2242">
        <f>+'CO2 - Cálculos'!AE32</f>
        <v>0</v>
      </c>
      <c r="D78" s="2275"/>
      <c r="E78" s="1890"/>
      <c r="F78" s="1890"/>
      <c r="G78" s="1890"/>
      <c r="H78" s="1890"/>
      <c r="I78" s="1890"/>
      <c r="K78" s="2302" t="str">
        <f>+'CO2 - Cálculos'!AC77</f>
        <v>Trat. biol + cobertura at.</v>
      </c>
      <c r="L78" s="2242">
        <f>+'CO2 - Cálculos'!AE77</f>
        <v>0</v>
      </c>
      <c r="M78" s="2275"/>
      <c r="N78" s="1890"/>
      <c r="O78" s="1890"/>
      <c r="P78" s="1890"/>
      <c r="Q78" s="1890"/>
      <c r="R78" s="1890"/>
      <c r="S78" s="1890"/>
      <c r="T78" s="1890"/>
    </row>
    <row r="79" spans="1:20" ht="18" customHeight="1" x14ac:dyDescent="0.25">
      <c r="A79" s="1890"/>
      <c r="B79" s="2365" t="s">
        <v>1256</v>
      </c>
      <c r="C79" s="2275"/>
      <c r="D79" s="2240"/>
      <c r="E79" s="1890"/>
      <c r="F79" s="1890"/>
      <c r="G79" s="1890"/>
      <c r="H79" s="1890"/>
      <c r="I79" s="1890"/>
      <c r="J79" s="2362"/>
      <c r="K79" s="2302" t="str">
        <f>+'CO2 - Cálculos'!AC78</f>
        <v>CDR seco + rejeito aterro</v>
      </c>
      <c r="L79" s="2242">
        <f>+'CO2 - Cálculos'!AE78</f>
        <v>-1295.3249665304779</v>
      </c>
      <c r="M79" s="2275"/>
      <c r="N79" s="1890"/>
      <c r="O79" s="1890"/>
      <c r="P79" s="1890"/>
      <c r="Q79" s="1890"/>
      <c r="R79" s="1890"/>
      <c r="S79" s="1890"/>
      <c r="T79" s="1890"/>
    </row>
    <row r="80" spans="1:20" ht="18" customHeight="1" x14ac:dyDescent="0.25">
      <c r="A80" s="1890"/>
      <c r="B80" s="2365" t="s">
        <v>1257</v>
      </c>
      <c r="C80" s="2275"/>
      <c r="D80" s="2242">
        <f>SUM(C62:C69,C71:C78)</f>
        <v>-3353.3073752255996</v>
      </c>
      <c r="E80" s="1890"/>
      <c r="F80" s="1890"/>
      <c r="G80" s="1890"/>
      <c r="H80" s="1890"/>
      <c r="I80" s="1890"/>
      <c r="J80" s="1890"/>
      <c r="K80" s="2302" t="str">
        <f>+'CO2 - Cálculos'!AC79</f>
        <v>CDR seco + trat. biol.</v>
      </c>
      <c r="L80" s="2242">
        <f>+'CO2 - Cálculos'!AE79</f>
        <v>-5511.3645994213884</v>
      </c>
      <c r="M80" s="2275"/>
      <c r="N80" s="1890"/>
      <c r="O80" s="1890"/>
      <c r="P80" s="1890"/>
      <c r="Q80" s="1890"/>
      <c r="R80" s="1890"/>
      <c r="S80" s="1890"/>
      <c r="T80" s="1890"/>
    </row>
    <row r="81" spans="1:20" ht="14.25" x14ac:dyDescent="0.25">
      <c r="A81" s="1890"/>
      <c r="B81" s="1890"/>
      <c r="C81" s="1890"/>
      <c r="D81" s="1890"/>
      <c r="E81" s="1890"/>
      <c r="F81" s="1890"/>
      <c r="G81" s="1890"/>
      <c r="H81" s="1890"/>
      <c r="I81" s="1890"/>
      <c r="J81" s="1890"/>
      <c r="K81" s="2302" t="str">
        <f>+'CO2 - Cálculos'!AC80</f>
        <v>CDR seco + CDR org.</v>
      </c>
      <c r="L81" s="2242">
        <f>+'CO2 - Cálculos'!AE80</f>
        <v>0</v>
      </c>
      <c r="M81" s="2275"/>
      <c r="N81" s="1890"/>
      <c r="O81" s="1890"/>
      <c r="P81" s="1890"/>
      <c r="Q81" s="1890"/>
      <c r="R81" s="1890"/>
      <c r="S81" s="1890"/>
      <c r="T81" s="1890"/>
    </row>
    <row r="82" spans="1:20" ht="14.25" x14ac:dyDescent="0.25">
      <c r="A82" s="1890"/>
      <c r="B82" s="1890"/>
      <c r="C82" s="1890"/>
      <c r="D82" s="1890"/>
      <c r="E82" s="2267"/>
      <c r="F82" s="1890"/>
      <c r="G82" s="1890"/>
      <c r="H82" s="1890"/>
      <c r="I82" s="1890"/>
      <c r="J82" s="1890"/>
      <c r="K82" s="2302" t="str">
        <f>+'CO2 - Cálculos'!AC81</f>
        <v>Incineração</v>
      </c>
      <c r="L82" s="2242">
        <f>+'CO2 - Cálculos'!AE81</f>
        <v>0</v>
      </c>
      <c r="M82" s="2275"/>
      <c r="N82" s="1890"/>
      <c r="O82" s="1890"/>
      <c r="P82" s="1890"/>
      <c r="Q82" s="1890"/>
      <c r="R82" s="1890"/>
      <c r="S82" s="1890"/>
      <c r="T82" s="1890"/>
    </row>
    <row r="83" spans="1:20" ht="14.25" x14ac:dyDescent="0.25">
      <c r="A83" s="1890"/>
      <c r="B83" s="1890"/>
      <c r="C83" s="1890"/>
      <c r="D83" s="1890"/>
      <c r="E83" s="2267"/>
      <c r="F83" s="1890"/>
      <c r="G83" s="1890"/>
      <c r="H83" s="1890"/>
      <c r="I83" s="1890"/>
      <c r="J83" s="1890"/>
      <c r="K83" s="2304" t="s">
        <v>1256</v>
      </c>
      <c r="L83" s="2275"/>
      <c r="M83" s="2275"/>
      <c r="N83" s="1890"/>
      <c r="O83" s="1890"/>
      <c r="P83" s="1890"/>
      <c r="Q83" s="1890"/>
      <c r="R83" s="1890"/>
      <c r="S83" s="1890"/>
      <c r="T83" s="1890"/>
    </row>
    <row r="84" spans="1:20" ht="14.25" x14ac:dyDescent="0.25">
      <c r="A84" s="1890"/>
      <c r="B84" s="1890"/>
      <c r="C84" s="1890"/>
      <c r="D84" s="1890"/>
      <c r="E84" s="2267"/>
      <c r="F84" s="1890"/>
      <c r="G84" s="1890"/>
      <c r="H84" s="1890"/>
      <c r="I84" s="1890"/>
      <c r="J84" s="1890"/>
      <c r="K84" s="2304" t="s">
        <v>1257</v>
      </c>
      <c r="L84" s="2275"/>
      <c r="M84" s="2242">
        <f>SUM(L62:L71,L73:L82)</f>
        <v>4414.2430980329</v>
      </c>
      <c r="N84" s="1890"/>
      <c r="O84" s="1890"/>
      <c r="P84" s="1890"/>
      <c r="Q84" s="1890"/>
      <c r="R84" s="1890"/>
      <c r="S84" s="1890"/>
      <c r="T84" s="1890"/>
    </row>
    <row r="85" spans="1:20" x14ac:dyDescent="0.2">
      <c r="A85" s="1890"/>
      <c r="B85" s="1890"/>
      <c r="C85" s="1890"/>
      <c r="D85" s="1890"/>
      <c r="E85" s="1890"/>
      <c r="F85" s="1890"/>
      <c r="G85" s="1890"/>
      <c r="H85" s="1890"/>
      <c r="I85" s="1890"/>
      <c r="J85" s="1890"/>
      <c r="K85" s="1890"/>
      <c r="L85" s="1890"/>
      <c r="M85" s="1890"/>
      <c r="N85" s="1890"/>
      <c r="O85" s="1890"/>
      <c r="P85" s="1890"/>
      <c r="Q85" s="1890"/>
      <c r="R85" s="1890"/>
      <c r="S85" s="1890"/>
      <c r="T85" s="1890"/>
    </row>
    <row r="86" spans="1:20" x14ac:dyDescent="0.2">
      <c r="A86" s="1890"/>
      <c r="B86" s="1890"/>
      <c r="C86" s="1890"/>
      <c r="D86" s="1890"/>
      <c r="E86" s="1890"/>
      <c r="F86" s="1890"/>
      <c r="G86" s="1890"/>
      <c r="H86" s="1890"/>
      <c r="I86" s="1890"/>
      <c r="J86" s="1890"/>
      <c r="K86" s="1890"/>
      <c r="L86" s="1890"/>
      <c r="M86" s="1890"/>
      <c r="N86" s="1890"/>
      <c r="O86" s="1890"/>
      <c r="P86" s="1890"/>
      <c r="Q86" s="1890"/>
      <c r="R86" s="1890"/>
      <c r="S86" s="1890"/>
      <c r="T86" s="1890"/>
    </row>
    <row r="87" spans="1:20" x14ac:dyDescent="0.2">
      <c r="A87" s="1890"/>
      <c r="B87" s="1890"/>
      <c r="C87" s="1890"/>
      <c r="D87" s="1890"/>
      <c r="E87" s="1890"/>
      <c r="F87" s="1890"/>
      <c r="G87" s="1890"/>
      <c r="H87" s="1890"/>
      <c r="I87" s="1890"/>
      <c r="J87" s="1890"/>
      <c r="K87" s="1890"/>
      <c r="L87" s="1890"/>
      <c r="M87" s="1890"/>
      <c r="N87" s="1890"/>
      <c r="O87" s="1890"/>
      <c r="P87" s="1890"/>
      <c r="Q87" s="1890"/>
      <c r="R87" s="1890"/>
      <c r="S87" s="1890"/>
      <c r="T87" s="1890"/>
    </row>
    <row r="88" spans="1:20" x14ac:dyDescent="0.2">
      <c r="A88" s="1890"/>
      <c r="B88" s="1890"/>
      <c r="C88" s="1890"/>
      <c r="D88" s="1890"/>
      <c r="E88" s="1890"/>
      <c r="F88" s="1890"/>
      <c r="G88" s="1890"/>
      <c r="H88" s="1890"/>
      <c r="I88" s="1890"/>
      <c r="J88" s="1890"/>
      <c r="K88" s="1890"/>
      <c r="L88" s="1890"/>
      <c r="M88" s="1890"/>
      <c r="N88" s="1890"/>
      <c r="O88" s="1890"/>
      <c r="P88" s="1890"/>
      <c r="Q88" s="1890"/>
      <c r="R88" s="1890"/>
      <c r="S88" s="1890"/>
      <c r="T88" s="1890"/>
    </row>
    <row r="89" spans="1:20" x14ac:dyDescent="0.2">
      <c r="A89" s="1890"/>
      <c r="B89" s="1890"/>
      <c r="C89" s="1890"/>
      <c r="D89" s="1890"/>
      <c r="E89" s="1890"/>
      <c r="F89" s="1890"/>
      <c r="G89" s="1890"/>
      <c r="H89" s="1890"/>
      <c r="I89" s="1890"/>
      <c r="J89" s="1890"/>
      <c r="K89" s="1890"/>
      <c r="L89" s="1890"/>
      <c r="M89" s="1890"/>
      <c r="N89" s="1890"/>
      <c r="O89" s="1890"/>
      <c r="P89" s="1890"/>
      <c r="Q89" s="1890"/>
      <c r="R89" s="1890"/>
      <c r="S89" s="1890"/>
      <c r="T89" s="1890"/>
    </row>
    <row r="90" spans="1:20" x14ac:dyDescent="0.2">
      <c r="A90" s="1890"/>
      <c r="B90" s="1890"/>
      <c r="C90" s="1890"/>
      <c r="D90" s="1890"/>
      <c r="E90" s="1890"/>
      <c r="F90" s="1890"/>
      <c r="G90" s="1890"/>
      <c r="H90" s="1890"/>
      <c r="I90" s="1890"/>
      <c r="J90" s="1890"/>
      <c r="K90" s="1890"/>
      <c r="L90" s="1890"/>
      <c r="M90" s="1890"/>
      <c r="N90" s="1890"/>
      <c r="O90" s="1890"/>
      <c r="P90" s="1890"/>
      <c r="Q90" s="1890"/>
      <c r="R90" s="1890"/>
      <c r="S90" s="1890"/>
      <c r="T90" s="1890"/>
    </row>
    <row r="91" spans="1:20" x14ac:dyDescent="0.2">
      <c r="A91" s="1890"/>
      <c r="B91" s="1890"/>
      <c r="C91" s="1890"/>
      <c r="D91" s="1890"/>
      <c r="E91" s="1890"/>
      <c r="F91" s="1890"/>
      <c r="G91" s="1890"/>
      <c r="H91" s="1890"/>
      <c r="I91" s="1890"/>
      <c r="J91" s="1890"/>
      <c r="K91" s="1890"/>
      <c r="L91" s="1890"/>
      <c r="M91" s="1890"/>
      <c r="N91" s="1890"/>
      <c r="O91" s="1890"/>
      <c r="P91" s="1890"/>
      <c r="Q91" s="1890"/>
      <c r="R91" s="1890"/>
      <c r="S91" s="1890"/>
      <c r="T91" s="1890"/>
    </row>
    <row r="92" spans="1:20" x14ac:dyDescent="0.2">
      <c r="A92" s="1890"/>
      <c r="B92" s="1890"/>
      <c r="C92" s="1890"/>
      <c r="D92" s="1890"/>
      <c r="E92" s="1890"/>
      <c r="F92" s="1890"/>
      <c r="G92" s="1890"/>
      <c r="H92" s="1890"/>
      <c r="I92" s="1890"/>
      <c r="J92" s="1890"/>
      <c r="K92" s="1890"/>
      <c r="L92" s="1890"/>
      <c r="M92" s="1890"/>
      <c r="N92" s="1890"/>
      <c r="O92" s="1890"/>
      <c r="P92" s="1890"/>
      <c r="Q92" s="1890"/>
      <c r="R92" s="1890"/>
      <c r="S92" s="1890"/>
      <c r="T92" s="1890"/>
    </row>
    <row r="93" spans="1:20" x14ac:dyDescent="0.2">
      <c r="A93" s="1890"/>
      <c r="B93" s="1890"/>
      <c r="C93" s="1890"/>
      <c r="D93" s="1890"/>
      <c r="E93" s="1890"/>
      <c r="F93" s="1890"/>
      <c r="G93" s="1890"/>
      <c r="H93" s="1890"/>
      <c r="I93" s="1890"/>
      <c r="J93" s="1890"/>
      <c r="K93" s="1890"/>
      <c r="L93" s="1890"/>
      <c r="M93" s="1890"/>
      <c r="N93" s="1890"/>
      <c r="O93" s="1890"/>
      <c r="P93" s="1890"/>
      <c r="Q93" s="1890"/>
      <c r="R93" s="1890"/>
      <c r="S93" s="1890"/>
      <c r="T93" s="1890"/>
    </row>
    <row r="94" spans="1:20" x14ac:dyDescent="0.2">
      <c r="A94" s="1890"/>
      <c r="B94" s="1890"/>
      <c r="C94" s="1890"/>
      <c r="D94" s="1890"/>
      <c r="E94" s="1890"/>
      <c r="F94" s="1890"/>
      <c r="G94" s="1890"/>
      <c r="H94" s="1890"/>
      <c r="I94" s="1890"/>
      <c r="J94" s="1890"/>
      <c r="K94" s="1890"/>
      <c r="L94" s="1890"/>
      <c r="M94" s="1890"/>
      <c r="N94" s="1890"/>
      <c r="O94" s="1890"/>
      <c r="P94" s="1890"/>
      <c r="Q94" s="1890"/>
      <c r="R94" s="1890"/>
      <c r="S94" s="1890"/>
      <c r="T94" s="1890"/>
    </row>
    <row r="95" spans="1:20" x14ac:dyDescent="0.2">
      <c r="A95" s="1890"/>
      <c r="B95" s="1890"/>
      <c r="C95" s="1890"/>
      <c r="D95" s="1890"/>
      <c r="E95" s="1890"/>
      <c r="F95" s="1890"/>
      <c r="G95" s="1890"/>
      <c r="H95" s="1890"/>
      <c r="I95" s="1890"/>
      <c r="J95" s="1890"/>
      <c r="K95" s="1890"/>
      <c r="L95" s="1890"/>
      <c r="M95" s="1890"/>
      <c r="N95" s="1890"/>
      <c r="O95" s="1890"/>
      <c r="P95" s="1890"/>
      <c r="Q95" s="1890"/>
      <c r="R95" s="1890"/>
      <c r="S95" s="1890"/>
      <c r="T95" s="1890"/>
    </row>
    <row r="96" spans="1:20" x14ac:dyDescent="0.2">
      <c r="A96" s="1890"/>
      <c r="B96" s="1890"/>
      <c r="C96" s="1890"/>
      <c r="D96" s="1890"/>
      <c r="E96" s="1890"/>
      <c r="F96" s="1890"/>
      <c r="G96" s="1890"/>
      <c r="H96" s="1890"/>
      <c r="I96" s="1890"/>
      <c r="J96" s="1890"/>
      <c r="K96" s="1890"/>
      <c r="L96" s="1890"/>
      <c r="M96" s="1890"/>
      <c r="N96" s="1890"/>
      <c r="O96" s="1890"/>
      <c r="P96" s="1890"/>
      <c r="Q96" s="1890"/>
      <c r="R96" s="1890"/>
      <c r="S96" s="1890"/>
      <c r="T96" s="1890"/>
    </row>
    <row r="97" spans="1:20" x14ac:dyDescent="0.2">
      <c r="A97" s="1890"/>
      <c r="B97" s="1890"/>
      <c r="C97" s="1890"/>
      <c r="D97" s="1890"/>
      <c r="E97" s="1890"/>
      <c r="F97" s="1890"/>
      <c r="G97" s="1890"/>
      <c r="H97" s="1890"/>
      <c r="I97" s="1890"/>
      <c r="J97" s="1890"/>
      <c r="K97" s="1890"/>
      <c r="L97" s="1890"/>
      <c r="M97" s="1890"/>
      <c r="N97" s="1890"/>
      <c r="O97" s="1890"/>
      <c r="P97" s="1890"/>
      <c r="Q97" s="1890"/>
      <c r="R97" s="1890"/>
      <c r="S97" s="1890"/>
      <c r="T97" s="1890"/>
    </row>
    <row r="98" spans="1:20" x14ac:dyDescent="0.2">
      <c r="A98" s="1890"/>
      <c r="B98" s="1890"/>
      <c r="C98" s="1890"/>
      <c r="D98" s="1890"/>
      <c r="E98" s="1890"/>
      <c r="F98" s="1890"/>
      <c r="G98" s="1890"/>
      <c r="H98" s="1890"/>
      <c r="I98" s="1890"/>
      <c r="J98" s="1890"/>
      <c r="K98" s="1890"/>
      <c r="L98" s="1890"/>
      <c r="M98" s="1890"/>
      <c r="N98" s="1890"/>
      <c r="O98" s="1890"/>
      <c r="P98" s="1890"/>
      <c r="Q98" s="1890"/>
      <c r="R98" s="1890"/>
      <c r="S98" s="1890"/>
      <c r="T98" s="1890"/>
    </row>
    <row r="99" spans="1:20" x14ac:dyDescent="0.2">
      <c r="A99" s="1890"/>
      <c r="B99" s="1890"/>
      <c r="C99" s="1890"/>
      <c r="D99" s="1890"/>
      <c r="E99" s="1890"/>
      <c r="F99" s="1890"/>
      <c r="G99" s="1890"/>
      <c r="H99" s="1890"/>
      <c r="I99" s="1890"/>
      <c r="J99" s="1890"/>
      <c r="K99" s="1890"/>
      <c r="L99" s="1890"/>
      <c r="M99" s="1890"/>
      <c r="N99" s="1890"/>
      <c r="O99" s="1890"/>
      <c r="P99" s="1890"/>
      <c r="Q99" s="1890"/>
      <c r="R99" s="1890"/>
      <c r="S99" s="1890"/>
      <c r="T99" s="1890"/>
    </row>
    <row r="100" spans="1:20" x14ac:dyDescent="0.2">
      <c r="A100" s="1890"/>
      <c r="B100" s="1890"/>
      <c r="C100" s="1890"/>
      <c r="D100" s="1890"/>
      <c r="E100" s="1890"/>
      <c r="F100" s="1890"/>
      <c r="G100" s="1890"/>
      <c r="H100" s="1890"/>
      <c r="I100" s="1890"/>
      <c r="J100" s="1890"/>
      <c r="K100" s="1890"/>
      <c r="L100" s="1890"/>
      <c r="M100" s="1890"/>
      <c r="N100" s="1890"/>
      <c r="O100" s="1890"/>
      <c r="P100" s="1890"/>
      <c r="Q100" s="1890"/>
      <c r="R100" s="1890"/>
      <c r="S100" s="1890"/>
      <c r="T100" s="1890"/>
    </row>
    <row r="101" spans="1:20" x14ac:dyDescent="0.2">
      <c r="A101" s="1890"/>
      <c r="B101" s="1890"/>
      <c r="C101" s="1890"/>
      <c r="D101" s="1890"/>
      <c r="E101" s="1890"/>
      <c r="F101" s="1890"/>
      <c r="G101" s="1890"/>
      <c r="H101" s="1890"/>
      <c r="I101" s="1890"/>
      <c r="J101" s="1890"/>
      <c r="K101" s="1890"/>
      <c r="L101" s="1890"/>
      <c r="M101" s="1890"/>
      <c r="N101" s="1890"/>
      <c r="O101" s="1890"/>
      <c r="P101" s="1890"/>
      <c r="Q101" s="1890"/>
      <c r="R101" s="1890"/>
      <c r="S101" s="1890"/>
      <c r="T101" s="1890"/>
    </row>
    <row r="102" spans="1:20" x14ac:dyDescent="0.2">
      <c r="A102" s="1890"/>
      <c r="B102" s="1890"/>
      <c r="C102" s="1890"/>
      <c r="D102" s="1890"/>
      <c r="E102" s="1890"/>
      <c r="F102" s="1890"/>
      <c r="G102" s="1890"/>
      <c r="H102" s="1890"/>
      <c r="I102" s="1890"/>
      <c r="J102" s="1890"/>
      <c r="K102" s="1890"/>
      <c r="L102" s="1890"/>
      <c r="M102" s="1890"/>
      <c r="N102" s="1890"/>
      <c r="O102" s="1890"/>
      <c r="P102" s="1890"/>
      <c r="Q102" s="1890"/>
      <c r="R102" s="1890"/>
      <c r="S102" s="1890"/>
      <c r="T102" s="1890"/>
    </row>
    <row r="103" spans="1:20" x14ac:dyDescent="0.2">
      <c r="A103" s="1890"/>
      <c r="B103" s="1890"/>
      <c r="C103" s="1890"/>
      <c r="D103" s="1890"/>
      <c r="E103" s="1890"/>
      <c r="F103" s="1890"/>
      <c r="G103" s="1890"/>
      <c r="H103" s="1890"/>
      <c r="I103" s="1890"/>
      <c r="J103" s="1890"/>
      <c r="K103" s="1890"/>
      <c r="L103" s="1890"/>
      <c r="M103" s="1890"/>
      <c r="N103" s="1890"/>
      <c r="O103" s="1890"/>
      <c r="P103" s="1890"/>
      <c r="Q103" s="1890"/>
      <c r="R103" s="1890"/>
      <c r="S103" s="1890"/>
      <c r="T103" s="1890"/>
    </row>
    <row r="104" spans="1:20" x14ac:dyDescent="0.2">
      <c r="A104" s="1890"/>
      <c r="B104" s="1890"/>
      <c r="C104" s="1890"/>
      <c r="D104" s="1890"/>
      <c r="E104" s="1890"/>
      <c r="F104" s="1890"/>
      <c r="G104" s="1890"/>
      <c r="H104" s="1890"/>
      <c r="I104" s="1890"/>
      <c r="J104" s="1890"/>
      <c r="K104" s="1890"/>
      <c r="L104" s="1890"/>
      <c r="M104" s="1890"/>
      <c r="N104" s="1890"/>
      <c r="O104" s="1890"/>
      <c r="P104" s="1890"/>
      <c r="Q104" s="1890"/>
      <c r="R104" s="1890"/>
      <c r="S104" s="1890"/>
      <c r="T104" s="1890"/>
    </row>
    <row r="105" spans="1:20" x14ac:dyDescent="0.2">
      <c r="A105" s="1890"/>
      <c r="B105" s="1890"/>
      <c r="C105" s="1890"/>
      <c r="D105" s="1890"/>
      <c r="E105" s="1890"/>
      <c r="F105" s="1890"/>
      <c r="G105" s="1890"/>
      <c r="H105" s="1890"/>
      <c r="I105" s="1890"/>
      <c r="J105" s="1890"/>
      <c r="K105" s="1890"/>
      <c r="L105" s="1890"/>
      <c r="M105" s="1890"/>
      <c r="N105" s="1890"/>
      <c r="O105" s="1890"/>
      <c r="P105" s="1890"/>
      <c r="Q105" s="1890"/>
      <c r="R105" s="1890"/>
      <c r="S105" s="1890"/>
      <c r="T105" s="1890"/>
    </row>
    <row r="106" spans="1:20" x14ac:dyDescent="0.2">
      <c r="A106" s="1890"/>
      <c r="B106" s="1890"/>
      <c r="C106" s="1890"/>
      <c r="D106" s="1890"/>
      <c r="E106" s="1890"/>
      <c r="F106" s="1890"/>
      <c r="G106" s="1890"/>
      <c r="H106" s="1890"/>
      <c r="I106" s="1890"/>
      <c r="J106" s="1890"/>
      <c r="K106" s="1890"/>
      <c r="L106" s="1890"/>
      <c r="M106" s="1890"/>
      <c r="N106" s="1890"/>
      <c r="O106" s="1890"/>
      <c r="P106" s="1890"/>
      <c r="Q106" s="1890"/>
      <c r="R106" s="1890"/>
      <c r="S106" s="1890"/>
      <c r="T106" s="1890"/>
    </row>
    <row r="107" spans="1:20" x14ac:dyDescent="0.2">
      <c r="A107" s="1890"/>
      <c r="B107" s="1890"/>
      <c r="C107" s="1890"/>
      <c r="D107" s="1890"/>
      <c r="E107" s="1890"/>
      <c r="F107" s="1890"/>
      <c r="G107" s="1890"/>
      <c r="H107" s="1890"/>
      <c r="I107" s="1890"/>
      <c r="J107" s="1890"/>
      <c r="K107" s="1890"/>
      <c r="L107" s="1890"/>
      <c r="M107" s="1890"/>
      <c r="N107" s="1890"/>
      <c r="O107" s="1890"/>
      <c r="P107" s="1890"/>
      <c r="Q107" s="1890"/>
      <c r="R107" s="1890"/>
      <c r="S107" s="1890"/>
      <c r="T107" s="1890"/>
    </row>
    <row r="108" spans="1:20" x14ac:dyDescent="0.2">
      <c r="A108" s="1890"/>
      <c r="B108" s="1890"/>
      <c r="C108" s="1890"/>
      <c r="D108" s="1890"/>
      <c r="E108" s="1890"/>
      <c r="F108" s="1890"/>
      <c r="G108" s="1890"/>
      <c r="H108" s="1890"/>
      <c r="I108" s="1890"/>
      <c r="J108" s="1890"/>
      <c r="K108" s="1890"/>
      <c r="L108" s="1890"/>
      <c r="M108" s="1890"/>
      <c r="N108" s="1890"/>
      <c r="O108" s="1890"/>
      <c r="P108" s="1890"/>
      <c r="Q108" s="1890"/>
      <c r="R108" s="1890"/>
      <c r="S108" s="1890"/>
      <c r="T108" s="1890"/>
    </row>
    <row r="109" spans="1:20" x14ac:dyDescent="0.2">
      <c r="A109" s="1890"/>
      <c r="B109" s="1890"/>
      <c r="C109" s="1890"/>
      <c r="D109" s="1890"/>
      <c r="E109" s="1890"/>
      <c r="F109" s="1890"/>
      <c r="G109" s="1890"/>
      <c r="H109" s="1890"/>
      <c r="I109" s="1890"/>
      <c r="J109" s="1890"/>
      <c r="K109" s="1890"/>
      <c r="L109" s="1890"/>
      <c r="M109" s="1890"/>
      <c r="N109" s="1890"/>
      <c r="O109" s="1890"/>
      <c r="P109" s="1890"/>
      <c r="Q109" s="1890"/>
      <c r="R109" s="1890"/>
      <c r="S109" s="1890"/>
      <c r="T109" s="1890"/>
    </row>
    <row r="110" spans="1:20" x14ac:dyDescent="0.2">
      <c r="A110" s="1890"/>
      <c r="B110" s="1890"/>
      <c r="C110" s="1890"/>
      <c r="D110" s="1890"/>
      <c r="E110" s="1890"/>
      <c r="F110" s="1890"/>
      <c r="G110" s="1890"/>
      <c r="H110" s="1890"/>
      <c r="I110" s="1890"/>
      <c r="J110" s="1890"/>
      <c r="K110" s="1890"/>
      <c r="L110" s="1890"/>
      <c r="M110" s="1890"/>
      <c r="N110" s="1890"/>
      <c r="O110" s="1890"/>
      <c r="P110" s="1890"/>
      <c r="Q110" s="1890"/>
      <c r="R110" s="1890"/>
      <c r="S110" s="1890"/>
      <c r="T110" s="1890"/>
    </row>
    <row r="111" spans="1:20" x14ac:dyDescent="0.2">
      <c r="A111" s="1890"/>
      <c r="B111" s="1890"/>
      <c r="C111" s="1890"/>
      <c r="D111" s="1890"/>
      <c r="E111" s="1890"/>
      <c r="F111" s="1890"/>
      <c r="G111" s="1890"/>
      <c r="H111" s="1890"/>
      <c r="I111" s="1890"/>
      <c r="J111" s="1890"/>
      <c r="K111" s="1890"/>
      <c r="L111" s="1890"/>
      <c r="M111" s="1890"/>
      <c r="N111" s="1890"/>
      <c r="O111" s="1890"/>
      <c r="P111" s="1890"/>
      <c r="Q111" s="1890"/>
      <c r="R111" s="1890"/>
      <c r="S111" s="1890"/>
      <c r="T111" s="1890"/>
    </row>
    <row r="112" spans="1:20" x14ac:dyDescent="0.2">
      <c r="A112" s="1890"/>
      <c r="B112" s="1890"/>
      <c r="C112" s="1890"/>
      <c r="D112" s="1890"/>
      <c r="E112" s="1890"/>
      <c r="F112" s="1890"/>
      <c r="G112" s="1890"/>
      <c r="H112" s="1890"/>
      <c r="I112" s="1890"/>
      <c r="J112" s="1890"/>
      <c r="K112" s="1890"/>
      <c r="L112" s="1890"/>
      <c r="M112" s="1890"/>
      <c r="N112" s="1890"/>
      <c r="O112" s="1890"/>
      <c r="P112" s="1890"/>
      <c r="Q112" s="1890"/>
      <c r="R112" s="1890"/>
      <c r="S112" s="1890"/>
      <c r="T112" s="1890"/>
    </row>
    <row r="113" spans="1:20" x14ac:dyDescent="0.2">
      <c r="A113" s="1890"/>
      <c r="B113" s="1890"/>
      <c r="C113" s="1890"/>
      <c r="D113" s="1890"/>
      <c r="E113" s="1890"/>
      <c r="F113" s="1890"/>
      <c r="G113" s="1890"/>
      <c r="H113" s="1890"/>
      <c r="I113" s="1890"/>
      <c r="J113" s="1890"/>
      <c r="K113" s="1890"/>
      <c r="L113" s="1890"/>
      <c r="M113" s="1890"/>
      <c r="N113" s="1890"/>
      <c r="O113" s="1890"/>
      <c r="P113" s="1890"/>
      <c r="Q113" s="1890"/>
      <c r="R113" s="1890"/>
      <c r="S113" s="1890"/>
      <c r="T113" s="1890"/>
    </row>
    <row r="114" spans="1:20" x14ac:dyDescent="0.2">
      <c r="A114" s="1890"/>
      <c r="B114" s="1890"/>
      <c r="C114" s="1890"/>
      <c r="D114" s="1890"/>
      <c r="E114" s="1890"/>
      <c r="F114" s="1890"/>
      <c r="G114" s="1890"/>
      <c r="H114" s="1890"/>
      <c r="I114" s="1890"/>
      <c r="J114" s="1890"/>
      <c r="K114" s="1890"/>
      <c r="L114" s="1890"/>
      <c r="M114" s="1890"/>
      <c r="N114" s="1890"/>
      <c r="O114" s="1890"/>
      <c r="P114" s="1890"/>
      <c r="Q114" s="1890"/>
      <c r="R114" s="1890"/>
      <c r="S114" s="1890"/>
      <c r="T114" s="1890"/>
    </row>
    <row r="115" spans="1:20" x14ac:dyDescent="0.2">
      <c r="A115" s="1890"/>
      <c r="B115" s="1890"/>
      <c r="C115" s="1890"/>
      <c r="D115" s="1890"/>
      <c r="E115" s="1890"/>
      <c r="F115" s="1890"/>
      <c r="G115" s="1890"/>
      <c r="H115" s="1890"/>
      <c r="I115" s="1890"/>
      <c r="J115" s="1890"/>
      <c r="K115" s="1890"/>
      <c r="L115" s="1890"/>
      <c r="M115" s="1890"/>
      <c r="N115" s="1890"/>
      <c r="O115" s="1890"/>
      <c r="P115" s="1890"/>
      <c r="Q115" s="1890"/>
      <c r="R115" s="1890"/>
      <c r="S115" s="1890"/>
      <c r="T115" s="1890"/>
    </row>
    <row r="116" spans="1:20" x14ac:dyDescent="0.2">
      <c r="A116" s="1890"/>
      <c r="B116" s="1890"/>
      <c r="C116" s="1890"/>
      <c r="D116" s="1890"/>
      <c r="E116" s="1890"/>
      <c r="F116" s="1890"/>
      <c r="G116" s="1890"/>
      <c r="H116" s="1890"/>
      <c r="I116" s="1890"/>
      <c r="J116" s="1890"/>
      <c r="K116" s="1890"/>
      <c r="L116" s="1890"/>
      <c r="M116" s="1890"/>
      <c r="N116" s="1890"/>
      <c r="O116" s="1890"/>
      <c r="P116" s="1890"/>
      <c r="Q116" s="1890"/>
      <c r="R116" s="1890"/>
      <c r="S116" s="1890"/>
      <c r="T116" s="1890"/>
    </row>
    <row r="117" spans="1:20" x14ac:dyDescent="0.2">
      <c r="A117" s="1890"/>
      <c r="B117" s="1890"/>
      <c r="C117" s="1890"/>
      <c r="D117" s="1890"/>
      <c r="E117" s="1890"/>
      <c r="F117" s="1890"/>
      <c r="G117" s="1890"/>
      <c r="H117" s="1890"/>
      <c r="I117" s="1890"/>
      <c r="J117" s="1890"/>
      <c r="K117" s="1890"/>
      <c r="L117" s="1890"/>
      <c r="M117" s="1890"/>
      <c r="N117" s="1890"/>
      <c r="O117" s="1890"/>
      <c r="P117" s="1890"/>
      <c r="Q117" s="1890"/>
      <c r="R117" s="1890"/>
      <c r="S117" s="1890"/>
      <c r="T117" s="1890"/>
    </row>
    <row r="118" spans="1:20" x14ac:dyDescent="0.2">
      <c r="A118" s="1890"/>
      <c r="B118" s="1890"/>
      <c r="C118" s="1890"/>
      <c r="D118" s="1890"/>
      <c r="E118" s="1890"/>
      <c r="F118" s="1890"/>
      <c r="G118" s="1890"/>
      <c r="H118" s="1890"/>
      <c r="I118" s="1890"/>
      <c r="J118" s="1890"/>
      <c r="K118" s="1890"/>
      <c r="L118" s="1890"/>
      <c r="M118" s="1890"/>
      <c r="N118" s="1890"/>
      <c r="O118" s="1890"/>
      <c r="P118" s="1890"/>
      <c r="Q118" s="1890"/>
      <c r="R118" s="1890"/>
      <c r="S118" s="1890"/>
      <c r="T118" s="1890"/>
    </row>
    <row r="119" spans="1:20" x14ac:dyDescent="0.2">
      <c r="A119" s="1890"/>
      <c r="B119" s="1890"/>
      <c r="C119" s="1890"/>
      <c r="D119" s="1890"/>
      <c r="E119" s="1890"/>
      <c r="F119" s="1890"/>
      <c r="G119" s="1890"/>
      <c r="H119" s="1890"/>
      <c r="I119" s="1890"/>
      <c r="J119" s="1890"/>
      <c r="K119" s="1890"/>
      <c r="L119" s="1890"/>
      <c r="M119" s="1890"/>
      <c r="N119" s="1890"/>
      <c r="O119" s="1890"/>
      <c r="P119" s="1890"/>
      <c r="Q119" s="1890"/>
      <c r="R119" s="1890"/>
      <c r="S119" s="1890"/>
      <c r="T119" s="1890"/>
    </row>
    <row r="120" spans="1:20" x14ac:dyDescent="0.2">
      <c r="A120" s="1890"/>
      <c r="B120" s="1890"/>
      <c r="C120" s="1890"/>
      <c r="D120" s="1890"/>
      <c r="E120" s="1890"/>
      <c r="F120" s="1890"/>
      <c r="G120" s="1890"/>
      <c r="H120" s="1890"/>
      <c r="I120" s="1890"/>
      <c r="J120" s="1890"/>
      <c r="K120" s="1890"/>
      <c r="L120" s="1890"/>
      <c r="M120" s="1890"/>
      <c r="N120" s="1890"/>
      <c r="O120" s="1890"/>
      <c r="P120" s="1890"/>
      <c r="Q120" s="1890"/>
      <c r="R120" s="1890"/>
      <c r="S120" s="1890"/>
      <c r="T120" s="1890"/>
    </row>
    <row r="121" spans="1:20" x14ac:dyDescent="0.2">
      <c r="A121" s="1890"/>
      <c r="B121" s="1890"/>
      <c r="C121" s="1890"/>
      <c r="D121" s="1890"/>
      <c r="E121" s="1890"/>
      <c r="F121" s="1890"/>
      <c r="G121" s="1890"/>
      <c r="H121" s="1890"/>
      <c r="I121" s="1890"/>
      <c r="J121" s="1890"/>
      <c r="K121" s="1890"/>
      <c r="L121" s="1890"/>
      <c r="M121" s="1890"/>
      <c r="N121" s="1890"/>
      <c r="O121" s="1890"/>
      <c r="P121" s="1890"/>
      <c r="Q121" s="1890"/>
      <c r="R121" s="1890"/>
      <c r="S121" s="1890"/>
      <c r="T121" s="1890"/>
    </row>
  </sheetData>
  <sheetProtection selectLockedCells="1" selectUnlockedCells="1"/>
  <mergeCells count="2">
    <mergeCell ref="O5:P5"/>
    <mergeCell ref="O6:P6"/>
  </mergeCells>
  <pageMargins left="0.78740157499999996" right="0.78740157499999996" top="0.984251969" bottom="0.984251969" header="0.4921259845" footer="0.4921259845"/>
  <pageSetup paperSize="9" orientation="portrait" r:id="rId1"/>
  <headerFooter alignWithMargins="0"/>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CB7544-F866-4F8E-8DFA-660BC97C9B56}">
  <dimension ref="A1:Z121"/>
  <sheetViews>
    <sheetView zoomScale="70" zoomScaleNormal="70" zoomScalePageLayoutView="30" workbookViewId="0">
      <selection activeCell="L13" sqref="L13"/>
    </sheetView>
  </sheetViews>
  <sheetFormatPr defaultColWidth="11.42578125" defaultRowHeight="12.75" x14ac:dyDescent="0.2"/>
  <cols>
    <col min="1" max="1" width="8.42578125" style="1846" customWidth="1"/>
    <col min="2" max="2" width="37.42578125" style="1846" customWidth="1"/>
    <col min="3" max="3" width="17" style="1846" customWidth="1"/>
    <col min="4" max="4" width="15.42578125" style="1846" bestFit="1" customWidth="1"/>
    <col min="5" max="5" width="16.140625" style="1846" customWidth="1"/>
    <col min="6" max="7" width="11.42578125" style="1846"/>
    <col min="8" max="8" width="17.7109375" style="1846" bestFit="1" customWidth="1"/>
    <col min="9" max="9" width="22.85546875" style="1846" bestFit="1" customWidth="1"/>
    <col min="10" max="10" width="12" style="1846" customWidth="1"/>
    <col min="11" max="11" width="34.42578125" style="1846" customWidth="1"/>
    <col min="12" max="12" width="19.5703125" style="1846" bestFit="1" customWidth="1"/>
    <col min="13" max="13" width="10.85546875" style="1846" customWidth="1"/>
    <col min="14" max="16384" width="11.42578125" style="1846"/>
  </cols>
  <sheetData>
    <row r="1" spans="1:20" s="2229" customFormat="1" ht="26.1" customHeight="1" x14ac:dyDescent="0.2">
      <c r="A1" s="1912" t="s">
        <v>1235</v>
      </c>
      <c r="B1" s="1985"/>
      <c r="C1" s="1985"/>
      <c r="D1" s="1985"/>
      <c r="E1" s="1985"/>
      <c r="F1" s="2305"/>
      <c r="G1" s="2305"/>
      <c r="H1" s="2305"/>
      <c r="I1" s="2305"/>
      <c r="J1" s="2305"/>
      <c r="K1" s="2228"/>
      <c r="L1" s="2228"/>
      <c r="M1" s="2228"/>
      <c r="N1" s="2228"/>
      <c r="O1" s="2228"/>
      <c r="P1" s="2228"/>
      <c r="Q1" s="2228"/>
      <c r="R1" s="2228"/>
      <c r="S1" s="2228"/>
      <c r="T1" s="2228"/>
    </row>
    <row r="2" spans="1:20" ht="14.25" customHeight="1" x14ac:dyDescent="0.25">
      <c r="A2" s="2230"/>
      <c r="B2" s="2231"/>
      <c r="C2" s="2030"/>
      <c r="D2" s="2030"/>
      <c r="E2" s="2030"/>
      <c r="F2" s="2030"/>
      <c r="G2" s="2030"/>
      <c r="H2" s="2030"/>
      <c r="I2" s="2030"/>
      <c r="J2" s="2030"/>
      <c r="K2" s="1890"/>
      <c r="L2" s="1890"/>
      <c r="M2" s="1890"/>
      <c r="N2" s="1890"/>
      <c r="O2" s="1890"/>
      <c r="P2" s="1890"/>
      <c r="Q2" s="1890"/>
      <c r="R2" s="1890"/>
      <c r="S2" s="1890"/>
      <c r="T2" s="1890"/>
    </row>
    <row r="3" spans="1:20" ht="18" customHeight="1" x14ac:dyDescent="0.2">
      <c r="A3" s="1890"/>
      <c r="B3" s="2306" t="s">
        <v>1236</v>
      </c>
      <c r="C3" s="2307">
        <f>+'CO2 - Cálculos'!AE58</f>
        <v>23025.599999999999</v>
      </c>
      <c r="D3" s="2234"/>
      <c r="E3" s="2234"/>
      <c r="F3" s="1890"/>
      <c r="G3" s="1890"/>
      <c r="H3" s="1890"/>
      <c r="I3" s="1890"/>
      <c r="J3" s="1890"/>
      <c r="K3" s="1890"/>
      <c r="L3" s="1890"/>
      <c r="M3" s="1890"/>
      <c r="N3" s="1890"/>
      <c r="O3" s="1890"/>
      <c r="P3" s="1890"/>
      <c r="Q3" s="1890"/>
      <c r="R3" s="1890"/>
      <c r="S3" s="1890"/>
      <c r="T3" s="1890"/>
    </row>
    <row r="4" spans="1:20" ht="18" customHeight="1" x14ac:dyDescent="0.2">
      <c r="A4" s="1890"/>
      <c r="B4" s="1908"/>
      <c r="C4" s="2308"/>
      <c r="D4" s="2237"/>
      <c r="E4" s="2237"/>
      <c r="F4" s="1890"/>
      <c r="G4" s="1890"/>
      <c r="H4" s="1890"/>
      <c r="I4" s="1890"/>
      <c r="J4" s="1890"/>
      <c r="K4" s="1890"/>
      <c r="L4" s="1890"/>
      <c r="M4" s="2309"/>
      <c r="N4" s="2309"/>
      <c r="O4" s="2309"/>
      <c r="P4" s="2309"/>
      <c r="Q4" s="2309"/>
      <c r="R4" s="2309"/>
      <c r="S4" s="1890"/>
      <c r="T4" s="1890"/>
    </row>
    <row r="5" spans="1:20" ht="18" customHeight="1" x14ac:dyDescent="0.25">
      <c r="A5" s="1890"/>
      <c r="B5" s="2306" t="s">
        <v>1237</v>
      </c>
      <c r="C5" s="2307">
        <f>+'CO2 - Cálculos'!AE13</f>
        <v>2322.6613487999998</v>
      </c>
      <c r="D5" s="2234"/>
      <c r="E5" s="2234"/>
      <c r="F5" s="1890"/>
      <c r="G5" s="1890"/>
      <c r="H5" s="1890"/>
      <c r="I5" s="1890"/>
      <c r="J5" s="1890"/>
      <c r="K5" s="1890"/>
      <c r="L5" s="1957"/>
      <c r="M5" s="1957"/>
      <c r="N5" s="1957"/>
      <c r="O5" s="2973" t="s">
        <v>1262</v>
      </c>
      <c r="P5" s="2974"/>
      <c r="Q5" s="1957"/>
      <c r="R5" s="1957"/>
      <c r="S5" s="1890"/>
      <c r="T5" s="1890"/>
    </row>
    <row r="6" spans="1:20" ht="18" customHeight="1" x14ac:dyDescent="0.25">
      <c r="A6" s="1890"/>
      <c r="B6" s="2310"/>
      <c r="C6" s="2311"/>
      <c r="D6" s="2234"/>
      <c r="E6" s="2234"/>
      <c r="F6" s="1890"/>
      <c r="G6" s="1890"/>
      <c r="H6" s="1890"/>
      <c r="I6" s="1890"/>
      <c r="J6" s="1890"/>
      <c r="K6" s="1890"/>
      <c r="L6" s="1957"/>
      <c r="M6" s="1957"/>
      <c r="N6" s="1957"/>
      <c r="O6" s="2975">
        <f>+C3</f>
        <v>23025.599999999999</v>
      </c>
      <c r="P6" s="2976"/>
      <c r="Q6" s="1957"/>
      <c r="R6" s="1957"/>
      <c r="S6" s="1890"/>
      <c r="T6" s="1890"/>
    </row>
    <row r="7" spans="1:20" ht="18" customHeight="1" x14ac:dyDescent="0.25">
      <c r="A7" s="1890"/>
      <c r="B7" s="2226" t="s">
        <v>1106</v>
      </c>
      <c r="C7" s="2312">
        <f>+'CO2 - Cálculos'!AG5</f>
        <v>0</v>
      </c>
      <c r="D7" s="2234"/>
      <c r="E7" s="2234"/>
      <c r="F7" s="1890"/>
      <c r="G7" s="1890"/>
      <c r="H7" s="1890"/>
      <c r="I7" s="1890"/>
      <c r="J7" s="1890"/>
      <c r="K7" s="1890"/>
      <c r="L7" s="1957"/>
      <c r="M7" s="1977"/>
      <c r="N7" s="1957"/>
      <c r="O7" s="1957"/>
      <c r="P7" s="1957"/>
      <c r="Q7" s="1957"/>
      <c r="R7" s="1957"/>
      <c r="S7" s="1890"/>
      <c r="T7" s="1890"/>
    </row>
    <row r="8" spans="1:20" ht="18" customHeight="1" x14ac:dyDescent="0.2">
      <c r="A8" s="1890"/>
      <c r="B8" s="2226" t="s">
        <v>1107</v>
      </c>
      <c r="C8" s="2312">
        <f>+'CO2 - Cálculos'!AG6</f>
        <v>0</v>
      </c>
      <c r="D8" s="2234"/>
      <c r="E8" s="2234"/>
      <c r="F8" s="1890"/>
      <c r="G8" s="1890"/>
      <c r="H8" s="1890"/>
      <c r="I8" s="1890"/>
      <c r="J8" s="1890"/>
      <c r="K8" s="1890"/>
      <c r="L8" s="2313"/>
      <c r="M8" s="2313"/>
      <c r="N8" s="2313"/>
      <c r="O8" s="2313"/>
      <c r="P8" s="2313"/>
      <c r="Q8" s="2313"/>
      <c r="R8" s="2313"/>
      <c r="S8" s="1890"/>
      <c r="T8" s="1890"/>
    </row>
    <row r="9" spans="1:20" ht="18" customHeight="1" x14ac:dyDescent="0.2">
      <c r="A9" s="1890"/>
      <c r="B9" s="2226" t="s">
        <v>1108</v>
      </c>
      <c r="C9" s="2312">
        <f>+'CO2 - Cálculos'!AG7</f>
        <v>1004.4457488</v>
      </c>
      <c r="D9" s="2234"/>
      <c r="E9" s="2234"/>
      <c r="F9" s="1890"/>
      <c r="G9" s="1890"/>
      <c r="H9" s="1890"/>
      <c r="I9" s="1890"/>
      <c r="J9" s="1890"/>
      <c r="K9" s="1890"/>
      <c r="L9" s="2313"/>
      <c r="M9" s="1866" t="s">
        <v>1046</v>
      </c>
      <c r="N9" s="2314">
        <f>+C5</f>
        <v>2322.6613487999998</v>
      </c>
      <c r="O9" s="2315">
        <f>+N9/O6</f>
        <v>0.100873</v>
      </c>
      <c r="P9" s="2316">
        <f>+Q9/O6</f>
        <v>0.89912700000000001</v>
      </c>
      <c r="Q9" s="2317">
        <f>+C16</f>
        <v>20702.938651199998</v>
      </c>
      <c r="R9" s="2318" t="s">
        <v>1239</v>
      </c>
      <c r="S9" s="1890"/>
      <c r="T9" s="1890"/>
    </row>
    <row r="10" spans="1:20" ht="18" customHeight="1" x14ac:dyDescent="0.2">
      <c r="A10" s="1890"/>
      <c r="B10" s="2226" t="s">
        <v>1109</v>
      </c>
      <c r="C10" s="2312">
        <f>+'CO2 - Cálculos'!AG8</f>
        <v>683.86032</v>
      </c>
      <c r="D10" s="2234"/>
      <c r="E10" s="2234"/>
      <c r="F10" s="1890"/>
      <c r="G10" s="1890"/>
      <c r="H10" s="1890"/>
      <c r="I10" s="1890"/>
      <c r="J10" s="1890"/>
      <c r="K10" s="1890"/>
      <c r="L10" s="2313"/>
      <c r="M10" s="2319"/>
      <c r="N10" s="2320"/>
      <c r="O10" s="2313"/>
      <c r="P10" s="2313"/>
      <c r="Q10" s="2320"/>
      <c r="R10" s="2319"/>
      <c r="S10" s="1890"/>
      <c r="T10" s="1890"/>
    </row>
    <row r="11" spans="1:20" ht="18" customHeight="1" x14ac:dyDescent="0.2">
      <c r="A11" s="1890"/>
      <c r="B11" s="2226" t="s">
        <v>50</v>
      </c>
      <c r="C11" s="2312">
        <f>+'CO2 - Cálculos'!AG9</f>
        <v>0</v>
      </c>
      <c r="D11" s="2234"/>
      <c r="E11" s="2234"/>
      <c r="F11" s="1890"/>
      <c r="G11" s="1890"/>
      <c r="H11" s="1890"/>
      <c r="I11" s="1890"/>
      <c r="J11" s="1890"/>
      <c r="K11" s="1890"/>
      <c r="L11" s="2313"/>
      <c r="M11" s="1866" t="str">
        <f t="shared" ref="M11:N18" si="0">+B7</f>
        <v>Resíduos de alimentos</v>
      </c>
      <c r="N11" s="2321">
        <f t="shared" si="0"/>
        <v>0</v>
      </c>
      <c r="O11" s="2322">
        <f t="shared" ref="O11:O18" si="1">+N11/$N$9</f>
        <v>0</v>
      </c>
      <c r="P11" s="2323">
        <f t="shared" ref="P11:P19" si="2">+Q11/$Q$9</f>
        <v>0</v>
      </c>
      <c r="Q11" s="2324">
        <f t="shared" ref="Q11:Q19" si="3">+C18</f>
        <v>0</v>
      </c>
      <c r="R11" s="2318" t="str">
        <f t="shared" ref="R11:R19" si="4">+B18</f>
        <v>Resíduos dispersos</v>
      </c>
      <c r="S11" s="1890"/>
      <c r="T11" s="1890"/>
    </row>
    <row r="12" spans="1:20" ht="18" customHeight="1" x14ac:dyDescent="0.2">
      <c r="A12" s="1890"/>
      <c r="B12" s="2226" t="s">
        <v>1110</v>
      </c>
      <c r="C12" s="2312">
        <f>+'CO2 - Cálculos'!AG10</f>
        <v>503.10935999999998</v>
      </c>
      <c r="D12" s="2234"/>
      <c r="E12" s="2234"/>
      <c r="F12" s="1890"/>
      <c r="G12" s="1890"/>
      <c r="H12" s="1890"/>
      <c r="I12" s="1890"/>
      <c r="J12" s="1890"/>
      <c r="K12" s="1890"/>
      <c r="L12" s="2313"/>
      <c r="M12" s="1866" t="str">
        <f t="shared" si="0"/>
        <v>Resíduos de jardins e parques</v>
      </c>
      <c r="N12" s="2321">
        <f t="shared" si="0"/>
        <v>0</v>
      </c>
      <c r="O12" s="2322">
        <f t="shared" si="1"/>
        <v>0</v>
      </c>
      <c r="P12" s="2323">
        <f t="shared" si="2"/>
        <v>0</v>
      </c>
      <c r="Q12" s="2324">
        <f t="shared" si="3"/>
        <v>0</v>
      </c>
      <c r="R12" s="2318" t="str">
        <f t="shared" si="4"/>
        <v>Queima a céu aberto</v>
      </c>
      <c r="S12" s="1890"/>
      <c r="T12" s="1890"/>
    </row>
    <row r="13" spans="1:20" ht="18" customHeight="1" x14ac:dyDescent="0.2">
      <c r="A13" s="1890"/>
      <c r="B13" s="2226" t="s">
        <v>1111</v>
      </c>
      <c r="C13" s="2312">
        <f>+'CO2 - Cálculos'!AG11</f>
        <v>131.24591999999998</v>
      </c>
      <c r="D13" s="2234"/>
      <c r="E13" s="2234"/>
      <c r="F13" s="1890"/>
      <c r="G13" s="1890"/>
      <c r="H13" s="1890"/>
      <c r="I13" s="1890"/>
      <c r="J13" s="1890"/>
      <c r="K13" s="1890"/>
      <c r="L13" s="2313"/>
      <c r="M13" s="1866" t="str">
        <f t="shared" si="0"/>
        <v>Papel, papelão</v>
      </c>
      <c r="N13" s="2321">
        <f t="shared" si="0"/>
        <v>1004.4457488</v>
      </c>
      <c r="O13" s="2322">
        <f t="shared" si="1"/>
        <v>0.4324546707245745</v>
      </c>
      <c r="P13" s="2323">
        <f t="shared" si="2"/>
        <v>0</v>
      </c>
      <c r="Q13" s="2324">
        <f t="shared" si="3"/>
        <v>0</v>
      </c>
      <c r="R13" s="2318" t="str">
        <f t="shared" si="4"/>
        <v>Lixão não controlado</v>
      </c>
      <c r="S13" s="1890"/>
      <c r="T13" s="1890"/>
    </row>
    <row r="14" spans="1:20" ht="18" customHeight="1" x14ac:dyDescent="0.2">
      <c r="A14" s="1890"/>
      <c r="B14" s="2226" t="s">
        <v>1112</v>
      </c>
      <c r="C14" s="2312">
        <f>+'CO2 - Cálculos'!AG12</f>
        <v>0</v>
      </c>
      <c r="D14" s="2234"/>
      <c r="E14" s="2234"/>
      <c r="F14" s="1890"/>
      <c r="G14" s="1890"/>
      <c r="H14" s="1890"/>
      <c r="I14" s="1890"/>
      <c r="J14" s="1890"/>
      <c r="K14" s="1890"/>
      <c r="L14" s="2313"/>
      <c r="M14" s="1866" t="str">
        <f t="shared" si="0"/>
        <v>Plásticos</v>
      </c>
      <c r="N14" s="2321">
        <f t="shared" si="0"/>
        <v>683.86032</v>
      </c>
      <c r="O14" s="2322">
        <f t="shared" si="1"/>
        <v>0.29442962933589761</v>
      </c>
      <c r="P14" s="2323">
        <f t="shared" si="2"/>
        <v>0</v>
      </c>
      <c r="Q14" s="2324">
        <f t="shared" si="3"/>
        <v>0</v>
      </c>
      <c r="R14" s="2318" t="str">
        <f t="shared" si="4"/>
        <v>Aterro controlado</v>
      </c>
      <c r="S14" s="1890"/>
      <c r="T14" s="1890"/>
    </row>
    <row r="15" spans="1:20" ht="18" customHeight="1" x14ac:dyDescent="0.2">
      <c r="A15" s="1890"/>
      <c r="B15" s="1908"/>
      <c r="C15" s="2308"/>
      <c r="D15" s="2234"/>
      <c r="E15" s="2234"/>
      <c r="F15" s="1890"/>
      <c r="G15" s="1890"/>
      <c r="H15" s="1890"/>
      <c r="I15" s="1890"/>
      <c r="J15" s="1890"/>
      <c r="K15" s="1890"/>
      <c r="L15" s="2313"/>
      <c r="M15" s="1866" t="str">
        <f t="shared" si="0"/>
        <v>Vidros</v>
      </c>
      <c r="N15" s="2321">
        <f t="shared" si="0"/>
        <v>0</v>
      </c>
      <c r="O15" s="2322">
        <f t="shared" si="1"/>
        <v>0</v>
      </c>
      <c r="P15" s="2323">
        <f t="shared" si="2"/>
        <v>0.35</v>
      </c>
      <c r="Q15" s="2324">
        <f t="shared" si="3"/>
        <v>7246.0285279199989</v>
      </c>
      <c r="R15" s="2318" t="str">
        <f t="shared" si="4"/>
        <v>Aterro sanitário</v>
      </c>
      <c r="S15" s="1890"/>
      <c r="T15" s="1890"/>
    </row>
    <row r="16" spans="1:20" ht="18" customHeight="1" x14ac:dyDescent="0.2">
      <c r="A16" s="1890"/>
      <c r="B16" s="1979" t="s">
        <v>1263</v>
      </c>
      <c r="C16" s="2307">
        <f>+'CO2 - Cálculos'!AE57</f>
        <v>20702.938651199998</v>
      </c>
      <c r="D16" s="2234"/>
      <c r="E16" s="2234"/>
      <c r="F16" s="1890"/>
      <c r="G16" s="1890"/>
      <c r="H16" s="1890"/>
      <c r="I16" s="1890"/>
      <c r="J16" s="1890"/>
      <c r="K16" s="1890"/>
      <c r="L16" s="2313"/>
      <c r="M16" s="1866" t="str">
        <f t="shared" si="0"/>
        <v>Metais ferrosos</v>
      </c>
      <c r="N16" s="2321">
        <f t="shared" si="0"/>
        <v>503.10935999999998</v>
      </c>
      <c r="O16" s="2322">
        <f t="shared" si="1"/>
        <v>0.21660900340031525</v>
      </c>
      <c r="P16" s="2323">
        <f t="shared" si="2"/>
        <v>0</v>
      </c>
      <c r="Q16" s="2324">
        <f t="shared" si="3"/>
        <v>0</v>
      </c>
      <c r="R16" s="2318" t="str">
        <f t="shared" si="4"/>
        <v>Trat. biol + cobertura at.</v>
      </c>
      <c r="S16" s="1890"/>
      <c r="T16" s="1890"/>
    </row>
    <row r="17" spans="1:26" ht="18" customHeight="1" x14ac:dyDescent="0.2">
      <c r="A17" s="1890"/>
      <c r="B17" s="2310"/>
      <c r="C17" s="2311"/>
      <c r="D17" s="2234"/>
      <c r="E17" s="2234"/>
      <c r="F17" s="1890"/>
      <c r="G17" s="1890"/>
      <c r="H17" s="1890"/>
      <c r="I17" s="1890"/>
      <c r="J17" s="1890"/>
      <c r="K17" s="1890"/>
      <c r="L17" s="2313"/>
      <c r="M17" s="1866" t="str">
        <f t="shared" si="0"/>
        <v>Alumínio</v>
      </c>
      <c r="N17" s="2321">
        <f t="shared" si="0"/>
        <v>131.24591999999998</v>
      </c>
      <c r="O17" s="2322">
        <f t="shared" si="1"/>
        <v>5.650669653921267E-2</v>
      </c>
      <c r="P17" s="2323">
        <f t="shared" si="2"/>
        <v>0.125</v>
      </c>
      <c r="Q17" s="2324">
        <f t="shared" si="3"/>
        <v>2587.8673313999998</v>
      </c>
      <c r="R17" s="2318" t="str">
        <f t="shared" si="4"/>
        <v>CDR seco + rejeito aterro</v>
      </c>
      <c r="S17" s="1890"/>
      <c r="T17" s="1890"/>
    </row>
    <row r="18" spans="1:26" ht="18" customHeight="1" x14ac:dyDescent="0.2">
      <c r="A18" s="1890"/>
      <c r="B18" s="2226" t="s">
        <v>1241</v>
      </c>
      <c r="C18" s="2312">
        <f>+'CO2 - Cálculos'!AG47</f>
        <v>0</v>
      </c>
      <c r="D18" s="2234"/>
      <c r="E18" s="2234"/>
      <c r="F18" s="1890"/>
      <c r="G18" s="1890"/>
      <c r="H18" s="1890"/>
      <c r="I18" s="1890"/>
      <c r="J18" s="1890"/>
      <c r="K18" s="1890"/>
      <c r="L18" s="2313"/>
      <c r="M18" s="1866" t="str">
        <f t="shared" si="0"/>
        <v>Têxteis</v>
      </c>
      <c r="N18" s="2321">
        <f t="shared" si="0"/>
        <v>0</v>
      </c>
      <c r="O18" s="2322">
        <f t="shared" si="1"/>
        <v>0</v>
      </c>
      <c r="P18" s="2323">
        <f t="shared" si="2"/>
        <v>0.52500000000000002</v>
      </c>
      <c r="Q18" s="2324">
        <f t="shared" si="3"/>
        <v>10869.04279188</v>
      </c>
      <c r="R18" s="2318" t="str">
        <f t="shared" si="4"/>
        <v>CDR seco + trat. biol.</v>
      </c>
      <c r="S18" s="1890"/>
      <c r="T18" s="1890"/>
    </row>
    <row r="19" spans="1:26" ht="18" customHeight="1" x14ac:dyDescent="0.2">
      <c r="A19" s="1890"/>
      <c r="B19" s="2226" t="s">
        <v>1242</v>
      </c>
      <c r="C19" s="2312">
        <f>+'CO2 - Cálculos'!AG48</f>
        <v>0</v>
      </c>
      <c r="D19" s="2234"/>
      <c r="E19" s="2234"/>
      <c r="F19" s="1890"/>
      <c r="G19" s="1890"/>
      <c r="H19" s="1890"/>
      <c r="I19" s="1890"/>
      <c r="J19" s="1890"/>
      <c r="K19" s="1890"/>
      <c r="L19" s="2313"/>
      <c r="M19" s="2313"/>
      <c r="N19" s="2313"/>
      <c r="O19" s="2325"/>
      <c r="P19" s="2323">
        <f t="shared" si="2"/>
        <v>0</v>
      </c>
      <c r="Q19" s="2324">
        <f t="shared" si="3"/>
        <v>0</v>
      </c>
      <c r="R19" s="2318" t="str">
        <f t="shared" si="4"/>
        <v>CDR seco + CDR org.</v>
      </c>
      <c r="S19" s="1890"/>
      <c r="T19" s="1890"/>
    </row>
    <row r="20" spans="1:26" ht="18" customHeight="1" x14ac:dyDescent="0.2">
      <c r="A20" s="1890"/>
      <c r="B20" s="2226" t="s">
        <v>1243</v>
      </c>
      <c r="C20" s="2312">
        <f>+'CO2 - Cálculos'!AG49</f>
        <v>0</v>
      </c>
      <c r="D20" s="2234"/>
      <c r="E20" s="2234"/>
      <c r="F20" s="1890"/>
      <c r="G20" s="1890"/>
      <c r="H20" s="1890"/>
      <c r="I20" s="1890"/>
      <c r="J20" s="1890"/>
      <c r="K20" s="1890"/>
      <c r="L20" s="2313"/>
      <c r="M20" s="2313"/>
      <c r="N20" s="2313"/>
      <c r="O20" s="2313"/>
      <c r="P20" s="2323">
        <f>+Q20/$Q$9</f>
        <v>0</v>
      </c>
      <c r="Q20" s="2324">
        <f>+C27</f>
        <v>0</v>
      </c>
      <c r="R20" s="2318" t="str">
        <f>+B27</f>
        <v>Incineração</v>
      </c>
      <c r="S20" s="1890"/>
      <c r="T20" s="1890"/>
    </row>
    <row r="21" spans="1:26" ht="18" customHeight="1" x14ac:dyDescent="0.2">
      <c r="A21" s="1890"/>
      <c r="B21" s="2226" t="s">
        <v>1244</v>
      </c>
      <c r="C21" s="2312">
        <f>+'CO2 - Cálculos'!AG50</f>
        <v>0</v>
      </c>
      <c r="D21" s="2234"/>
      <c r="E21" s="2234"/>
      <c r="F21" s="1890"/>
      <c r="G21" s="1890"/>
      <c r="H21" s="1890"/>
      <c r="I21" s="1890"/>
      <c r="J21" s="1890"/>
      <c r="K21" s="1890"/>
      <c r="L21" s="1890"/>
      <c r="M21" s="1890"/>
      <c r="N21" s="1890"/>
      <c r="O21" s="1890"/>
      <c r="P21" s="1890"/>
      <c r="Q21" s="1890"/>
      <c r="R21" s="1890"/>
      <c r="S21" s="1890"/>
      <c r="T21" s="1890"/>
    </row>
    <row r="22" spans="1:26" ht="18" customHeight="1" x14ac:dyDescent="0.2">
      <c r="A22" s="1890"/>
      <c r="B22" s="2326" t="s">
        <v>64</v>
      </c>
      <c r="C22" s="2312">
        <f>+'CO2 - Cálculos'!AG51</f>
        <v>7246.0285279199989</v>
      </c>
      <c r="D22" s="2234"/>
      <c r="E22" s="2234"/>
      <c r="F22" s="1890"/>
      <c r="G22" s="1890"/>
      <c r="H22" s="1890"/>
      <c r="I22" s="1890"/>
      <c r="J22" s="1890"/>
      <c r="K22" s="1890"/>
      <c r="L22" s="1890"/>
      <c r="M22" s="1890"/>
      <c r="N22" s="1890"/>
      <c r="O22" s="1890"/>
      <c r="P22" s="1890"/>
      <c r="Q22" s="1890"/>
      <c r="R22" s="1890"/>
      <c r="S22" s="1890"/>
      <c r="T22" s="1890"/>
    </row>
    <row r="23" spans="1:26" ht="18" customHeight="1" x14ac:dyDescent="0.2">
      <c r="A23" s="1890"/>
      <c r="B23" s="2327" t="s">
        <v>1245</v>
      </c>
      <c r="C23" s="2328">
        <f>+'CO2 - Cálculos'!AG52</f>
        <v>0</v>
      </c>
      <c r="D23" s="2234"/>
      <c r="E23" s="2234"/>
      <c r="F23" s="1890"/>
      <c r="G23" s="1890"/>
      <c r="H23" s="1890"/>
      <c r="I23" s="1890"/>
      <c r="J23" s="1890"/>
      <c r="K23" s="1890"/>
      <c r="L23" s="1890"/>
      <c r="M23" s="1890"/>
      <c r="N23" s="1890"/>
      <c r="O23" s="1890"/>
      <c r="P23" s="1890"/>
      <c r="Q23" s="1890"/>
      <c r="R23" s="1890"/>
      <c r="S23" s="1890"/>
      <c r="T23" s="1890"/>
    </row>
    <row r="24" spans="1:26" ht="18" customHeight="1" x14ac:dyDescent="0.2">
      <c r="A24" s="1890"/>
      <c r="B24" s="2327" t="s">
        <v>1246</v>
      </c>
      <c r="C24" s="2312">
        <f>+'CO2 - Cálculos'!AG53</f>
        <v>2587.8673313999998</v>
      </c>
      <c r="D24" s="2234"/>
      <c r="E24" s="2234"/>
      <c r="F24" s="1890"/>
      <c r="G24" s="1890"/>
      <c r="H24" s="1890"/>
      <c r="I24" s="1890"/>
      <c r="J24" s="1890"/>
      <c r="K24" s="1890"/>
      <c r="L24" s="1890"/>
      <c r="M24" s="1890"/>
      <c r="N24" s="1890"/>
      <c r="O24" s="1890"/>
      <c r="P24" s="1890"/>
      <c r="Q24" s="1890"/>
      <c r="R24" s="1890"/>
      <c r="S24" s="1890"/>
      <c r="T24" s="1890"/>
    </row>
    <row r="25" spans="1:26" ht="18" customHeight="1" x14ac:dyDescent="0.2">
      <c r="A25" s="1890"/>
      <c r="B25" s="2327" t="s">
        <v>1247</v>
      </c>
      <c r="C25" s="2312">
        <f>+'CO2 - Cálculos'!AG54</f>
        <v>10869.04279188</v>
      </c>
      <c r="D25" s="2234"/>
      <c r="E25" s="2234"/>
      <c r="F25" s="1890"/>
      <c r="G25" s="1890"/>
      <c r="H25" s="1890"/>
      <c r="I25" s="1890"/>
      <c r="J25" s="1890"/>
      <c r="K25" s="1890"/>
      <c r="L25" s="1890"/>
      <c r="M25" s="1890"/>
      <c r="N25" s="1890"/>
      <c r="O25" s="1890"/>
      <c r="P25" s="1890"/>
      <c r="Q25" s="1890"/>
      <c r="R25" s="1890"/>
      <c r="S25" s="1890"/>
      <c r="T25" s="1890"/>
    </row>
    <row r="26" spans="1:26" ht="18" customHeight="1" x14ac:dyDescent="0.2">
      <c r="A26" s="1890"/>
      <c r="B26" s="2327" t="s">
        <v>1248</v>
      </c>
      <c r="C26" s="2312">
        <f>+'CO2 - Cálculos'!AG55</f>
        <v>0</v>
      </c>
      <c r="D26" s="2234"/>
      <c r="E26" s="2234"/>
      <c r="F26" s="1890"/>
      <c r="G26" s="1890"/>
      <c r="H26" s="1890"/>
      <c r="I26" s="1890"/>
      <c r="J26" s="1890"/>
      <c r="K26" s="1890"/>
      <c r="L26" s="1890"/>
      <c r="M26" s="1890"/>
      <c r="N26" s="1890"/>
      <c r="O26" s="1890"/>
      <c r="P26" s="1890"/>
      <c r="Q26" s="1890"/>
      <c r="R26" s="1890"/>
      <c r="S26" s="1890"/>
      <c r="T26" s="1890"/>
    </row>
    <row r="27" spans="1:26" ht="18" customHeight="1" x14ac:dyDescent="0.2">
      <c r="A27" s="1890"/>
      <c r="B27" s="2226" t="s">
        <v>63</v>
      </c>
      <c r="C27" s="2312">
        <f>+'CO2 - Cálculos'!AG56</f>
        <v>0</v>
      </c>
      <c r="D27" s="2234"/>
      <c r="E27" s="2234"/>
      <c r="F27" s="1890"/>
      <c r="G27" s="1890"/>
      <c r="H27" s="1890"/>
      <c r="I27" s="1890"/>
      <c r="J27" s="1890"/>
      <c r="K27" s="1890"/>
      <c r="L27" s="1890"/>
      <c r="M27" s="1890"/>
      <c r="N27" s="1890"/>
      <c r="O27" s="1890"/>
      <c r="P27" s="1890"/>
      <c r="Q27" s="1890"/>
      <c r="R27" s="1890"/>
      <c r="S27" s="1890"/>
      <c r="T27" s="1890"/>
    </row>
    <row r="28" spans="1:26" x14ac:dyDescent="0.2">
      <c r="A28" s="1890"/>
      <c r="B28" s="1890"/>
      <c r="C28" s="2234"/>
      <c r="D28" s="2234"/>
      <c r="E28" s="2234"/>
      <c r="F28" s="1890"/>
      <c r="G28" s="1890"/>
      <c r="H28" s="1890"/>
      <c r="I28" s="1890"/>
      <c r="J28" s="1890"/>
      <c r="K28" s="1890"/>
      <c r="L28" s="1890"/>
      <c r="M28" s="1890"/>
      <c r="N28" s="1890"/>
      <c r="O28" s="1890"/>
      <c r="P28" s="1890"/>
      <c r="Q28" s="1890"/>
      <c r="R28" s="1890"/>
      <c r="S28" s="1890"/>
      <c r="T28" s="1890"/>
    </row>
    <row r="29" spans="1:26" s="2229" customFormat="1" ht="26.1" customHeight="1" x14ac:dyDescent="0.2">
      <c r="A29" s="2063" t="s">
        <v>1264</v>
      </c>
      <c r="B29" s="2329"/>
      <c r="C29" s="2330"/>
      <c r="D29" s="2330"/>
      <c r="E29" s="2330"/>
      <c r="F29" s="2030"/>
      <c r="G29" s="2030"/>
      <c r="H29" s="2030"/>
      <c r="I29" s="2030"/>
      <c r="J29" s="2030"/>
      <c r="K29" s="2030"/>
      <c r="L29" s="2030"/>
      <c r="M29" s="2030"/>
      <c r="N29" s="2030"/>
      <c r="O29" s="2030"/>
      <c r="P29" s="2030"/>
      <c r="Q29" s="2030"/>
      <c r="R29" s="2030"/>
      <c r="S29" s="2030"/>
      <c r="T29" s="2030"/>
      <c r="U29" s="1845"/>
      <c r="V29" s="1845"/>
      <c r="W29" s="1845"/>
      <c r="X29" s="1845"/>
      <c r="Y29" s="1845"/>
      <c r="Z29" s="1845"/>
    </row>
    <row r="30" spans="1:26" x14ac:dyDescent="0.2">
      <c r="A30" s="1890"/>
      <c r="B30" s="1890"/>
      <c r="C30" s="1890"/>
      <c r="D30" s="1890"/>
      <c r="E30" s="1890"/>
      <c r="F30" s="1890"/>
      <c r="G30" s="2267"/>
      <c r="H30" s="1890"/>
      <c r="I30" s="1890"/>
      <c r="J30" s="1890"/>
      <c r="K30" s="1890"/>
      <c r="L30" s="1890"/>
      <c r="M30" s="1890"/>
      <c r="N30" s="1890"/>
      <c r="O30" s="1890"/>
      <c r="P30" s="1890"/>
      <c r="Q30" s="1890"/>
      <c r="R30" s="1890"/>
      <c r="S30" s="1890"/>
      <c r="T30" s="1890"/>
    </row>
    <row r="31" spans="1:26" ht="18" customHeight="1" x14ac:dyDescent="0.2">
      <c r="A31" s="1890"/>
      <c r="B31" s="2331"/>
      <c r="C31" s="2332" t="s">
        <v>1250</v>
      </c>
      <c r="D31" s="2079" t="s">
        <v>1251</v>
      </c>
      <c r="E31" s="2079" t="s">
        <v>1252</v>
      </c>
      <c r="F31" s="2333"/>
      <c r="G31" s="2333"/>
      <c r="H31" s="2334"/>
      <c r="I31" s="2333"/>
      <c r="J31" s="2333"/>
      <c r="K31" s="2333"/>
      <c r="L31" s="1890"/>
      <c r="M31" s="1890"/>
      <c r="N31" s="1890"/>
      <c r="O31" s="1890"/>
      <c r="P31" s="1890"/>
      <c r="Q31" s="1890"/>
      <c r="R31" s="1890"/>
      <c r="S31" s="1890"/>
      <c r="T31" s="1890"/>
    </row>
    <row r="32" spans="1:26" ht="18" customHeight="1" x14ac:dyDescent="0.2">
      <c r="A32" s="1890"/>
      <c r="B32" s="2335" t="s">
        <v>1237</v>
      </c>
      <c r="C32" s="2336"/>
      <c r="D32" s="2337"/>
      <c r="E32" s="2337"/>
      <c r="F32" s="2333"/>
      <c r="G32" s="2333"/>
      <c r="H32" s="2333"/>
      <c r="I32" s="2333"/>
      <c r="J32" s="2333"/>
      <c r="K32" s="2333"/>
      <c r="L32" s="1890"/>
      <c r="M32" s="1890"/>
      <c r="N32" s="1890"/>
      <c r="O32" s="1890"/>
      <c r="P32" s="1890"/>
      <c r="Q32" s="1890"/>
      <c r="R32" s="1890"/>
      <c r="S32" s="1890"/>
      <c r="T32" s="1890"/>
    </row>
    <row r="33" spans="1:20" ht="18" customHeight="1" x14ac:dyDescent="0.2">
      <c r="A33" s="1890"/>
      <c r="B33" s="2338"/>
      <c r="C33" s="2337"/>
      <c r="D33" s="2337"/>
      <c r="E33" s="2337"/>
      <c r="F33" s="2333"/>
      <c r="G33" s="2333"/>
      <c r="H33" s="2333"/>
      <c r="I33" s="2333"/>
      <c r="J33" s="2333"/>
      <c r="K33" s="2333"/>
      <c r="L33" s="1890"/>
      <c r="M33" s="1890"/>
      <c r="N33" s="1890"/>
      <c r="O33" s="1890"/>
      <c r="P33" s="1890"/>
      <c r="Q33" s="1890"/>
      <c r="R33" s="1890"/>
      <c r="S33" s="1890"/>
      <c r="T33" s="1890"/>
    </row>
    <row r="34" spans="1:20" ht="18" customHeight="1" x14ac:dyDescent="0.2">
      <c r="A34" s="1890"/>
      <c r="B34" s="2226" t="str">
        <f>B7</f>
        <v>Resíduos de alimentos</v>
      </c>
      <c r="C34" s="2339">
        <f t="shared" ref="C34:C41" si="5">+C62</f>
        <v>0</v>
      </c>
      <c r="D34" s="2339">
        <f t="shared" ref="D34:D41" si="6">+C71</f>
        <v>0</v>
      </c>
      <c r="E34" s="2339">
        <f t="shared" ref="E34:E41" si="7">+D34+C34</f>
        <v>0</v>
      </c>
      <c r="F34" s="2333"/>
      <c r="G34" s="2333"/>
      <c r="H34" s="2333"/>
      <c r="I34" s="2333"/>
      <c r="J34" s="2333"/>
      <c r="K34" s="2333"/>
      <c r="L34" s="1890"/>
      <c r="M34" s="1890"/>
      <c r="N34" s="1890"/>
      <c r="O34" s="1890"/>
      <c r="P34" s="1890"/>
      <c r="Q34" s="1890"/>
      <c r="R34" s="1890"/>
      <c r="S34" s="1890"/>
      <c r="T34" s="1890"/>
    </row>
    <row r="35" spans="1:20" ht="18" customHeight="1" x14ac:dyDescent="0.2">
      <c r="A35" s="1890"/>
      <c r="B35" s="2226" t="str">
        <f t="shared" ref="B35:B41" si="8">B8</f>
        <v>Resíduos de jardins e parques</v>
      </c>
      <c r="C35" s="2339">
        <f t="shared" si="5"/>
        <v>0</v>
      </c>
      <c r="D35" s="2339">
        <f t="shared" si="6"/>
        <v>0</v>
      </c>
      <c r="E35" s="2339">
        <f t="shared" si="7"/>
        <v>0</v>
      </c>
      <c r="F35" s="2333"/>
      <c r="G35" s="2333"/>
      <c r="H35" s="2333"/>
      <c r="I35" s="2333"/>
      <c r="J35" s="2333"/>
      <c r="K35" s="2333"/>
      <c r="L35" s="1890"/>
      <c r="M35" s="1890"/>
      <c r="N35" s="1890"/>
      <c r="O35" s="1890"/>
      <c r="P35" s="1890"/>
      <c r="Q35" s="1890"/>
      <c r="R35" s="1890"/>
      <c r="S35" s="1890"/>
      <c r="T35" s="1890"/>
    </row>
    <row r="36" spans="1:20" ht="18" customHeight="1" x14ac:dyDescent="0.2">
      <c r="A36" s="1890"/>
      <c r="B36" s="2226" t="str">
        <f t="shared" si="8"/>
        <v>Papel, papelão</v>
      </c>
      <c r="C36" s="2339">
        <f t="shared" si="5"/>
        <v>1261.5838604928001</v>
      </c>
      <c r="D36" s="2339">
        <f t="shared" si="6"/>
        <v>-1554.8820191423999</v>
      </c>
      <c r="E36" s="2339">
        <f t="shared" si="7"/>
        <v>-293.29815864959983</v>
      </c>
      <c r="F36" s="2333"/>
      <c r="G36" s="2333"/>
      <c r="H36" s="2333"/>
      <c r="I36" s="2333"/>
      <c r="J36" s="2333"/>
      <c r="K36" s="2333"/>
      <c r="L36" s="1890"/>
      <c r="M36" s="1890"/>
      <c r="N36" s="1890"/>
      <c r="O36" s="1890"/>
      <c r="P36" s="1890"/>
      <c r="Q36" s="1890"/>
      <c r="R36" s="1890"/>
      <c r="S36" s="1890"/>
      <c r="T36" s="1890"/>
    </row>
    <row r="37" spans="1:20" ht="18" customHeight="1" x14ac:dyDescent="0.2">
      <c r="A37" s="1890"/>
      <c r="B37" s="2226" t="str">
        <f t="shared" si="8"/>
        <v>Plásticos</v>
      </c>
      <c r="C37" s="2339">
        <f t="shared" si="5"/>
        <v>280.38273119999997</v>
      </c>
      <c r="D37" s="2339">
        <f t="shared" si="6"/>
        <v>-1306.0364391359999</v>
      </c>
      <c r="E37" s="2339">
        <f t="shared" si="7"/>
        <v>-1025.653707936</v>
      </c>
      <c r="F37" s="2333"/>
      <c r="G37" s="2333"/>
      <c r="H37" s="2333"/>
      <c r="I37" s="2333"/>
      <c r="J37" s="2333"/>
      <c r="K37" s="2333"/>
      <c r="L37" s="1890"/>
      <c r="M37" s="1890"/>
      <c r="N37" s="1890"/>
      <c r="O37" s="1890"/>
      <c r="P37" s="1890"/>
      <c r="Q37" s="1890"/>
      <c r="R37" s="1890"/>
      <c r="S37" s="1890"/>
      <c r="T37" s="1890"/>
    </row>
    <row r="38" spans="1:20" ht="18" customHeight="1" x14ac:dyDescent="0.2">
      <c r="A38" s="1890"/>
      <c r="B38" s="2226" t="str">
        <f t="shared" si="8"/>
        <v>Vidros</v>
      </c>
      <c r="C38" s="2339">
        <f t="shared" si="5"/>
        <v>0</v>
      </c>
      <c r="D38" s="2339">
        <f t="shared" si="6"/>
        <v>0</v>
      </c>
      <c r="E38" s="2339">
        <f t="shared" si="7"/>
        <v>0</v>
      </c>
      <c r="F38" s="2333"/>
      <c r="G38" s="2333"/>
      <c r="H38" s="2333"/>
      <c r="I38" s="2333"/>
      <c r="J38" s="2333"/>
      <c r="K38" s="2333"/>
      <c r="L38" s="1890"/>
      <c r="M38" s="1890"/>
      <c r="N38" s="1890"/>
      <c r="O38" s="1890"/>
      <c r="P38" s="1890"/>
      <c r="Q38" s="1890"/>
      <c r="R38" s="1890"/>
      <c r="S38" s="1890"/>
      <c r="T38" s="1890"/>
    </row>
    <row r="39" spans="1:20" ht="18" customHeight="1" x14ac:dyDescent="0.2">
      <c r="A39" s="1890"/>
      <c r="B39" s="2226" t="str">
        <f t="shared" si="8"/>
        <v>Metais ferrosos</v>
      </c>
      <c r="C39" s="2339">
        <f t="shared" si="5"/>
        <v>32.198999039999997</v>
      </c>
      <c r="D39" s="2339">
        <f t="shared" si="6"/>
        <v>-861.32322431999989</v>
      </c>
      <c r="E39" s="2339">
        <f t="shared" si="7"/>
        <v>-829.12422527999991</v>
      </c>
      <c r="F39" s="2333"/>
      <c r="G39" s="2333"/>
      <c r="H39" s="2333"/>
      <c r="I39" s="2333"/>
      <c r="J39" s="2333"/>
      <c r="K39" s="2333"/>
      <c r="L39" s="1890"/>
      <c r="M39" s="1890"/>
      <c r="N39" s="1890"/>
      <c r="O39" s="1890"/>
      <c r="P39" s="1890"/>
      <c r="Q39" s="1890"/>
      <c r="R39" s="1890"/>
      <c r="S39" s="1890"/>
      <c r="T39" s="1890"/>
    </row>
    <row r="40" spans="1:20" ht="18" customHeight="1" x14ac:dyDescent="0.2">
      <c r="A40" s="1890"/>
      <c r="B40" s="2226" t="str">
        <f t="shared" si="8"/>
        <v>Alumínio</v>
      </c>
      <c r="C40" s="2339">
        <f t="shared" si="5"/>
        <v>91.478406239999984</v>
      </c>
      <c r="D40" s="2339">
        <f t="shared" si="6"/>
        <v>-1296.7096895999998</v>
      </c>
      <c r="E40" s="2339">
        <f t="shared" si="7"/>
        <v>-1205.2312833599999</v>
      </c>
      <c r="F40" s="2333"/>
      <c r="G40" s="2333"/>
      <c r="H40" s="2333"/>
      <c r="I40" s="2333"/>
      <c r="J40" s="2333"/>
      <c r="K40" s="2333"/>
      <c r="L40" s="1890"/>
      <c r="M40" s="1890"/>
      <c r="N40" s="1890"/>
      <c r="O40" s="1890"/>
      <c r="P40" s="1890"/>
      <c r="Q40" s="1890"/>
      <c r="R40" s="1890"/>
      <c r="S40" s="1890"/>
      <c r="T40" s="1890"/>
    </row>
    <row r="41" spans="1:20" ht="18" customHeight="1" x14ac:dyDescent="0.2">
      <c r="A41" s="1890"/>
      <c r="B41" s="2226" t="str">
        <f t="shared" si="8"/>
        <v>Têxteis</v>
      </c>
      <c r="C41" s="2339">
        <f t="shared" si="5"/>
        <v>0</v>
      </c>
      <c r="D41" s="2339">
        <f t="shared" si="6"/>
        <v>0</v>
      </c>
      <c r="E41" s="2339">
        <f t="shared" si="7"/>
        <v>0</v>
      </c>
      <c r="F41" s="2333"/>
      <c r="G41" s="2333"/>
      <c r="H41" s="2333"/>
      <c r="I41" s="2333"/>
      <c r="J41" s="2333"/>
      <c r="K41" s="2333"/>
      <c r="L41" s="1890"/>
      <c r="M41" s="1890"/>
      <c r="N41" s="1890"/>
      <c r="O41" s="1890"/>
      <c r="P41" s="1890"/>
      <c r="Q41" s="1890"/>
      <c r="R41" s="1890"/>
      <c r="S41" s="1890"/>
      <c r="T41" s="1890"/>
    </row>
    <row r="42" spans="1:20" ht="18" customHeight="1" x14ac:dyDescent="0.2">
      <c r="A42" s="1890"/>
      <c r="B42" s="2340"/>
      <c r="C42" s="2341"/>
      <c r="D42" s="2342"/>
      <c r="E42" s="2341"/>
      <c r="F42" s="2333"/>
      <c r="G42" s="2333"/>
      <c r="H42" s="2333"/>
      <c r="I42" s="2333"/>
      <c r="J42" s="2333"/>
      <c r="K42" s="2333"/>
      <c r="L42" s="1890"/>
      <c r="M42" s="1890"/>
      <c r="N42" s="1890"/>
      <c r="O42" s="1890"/>
      <c r="P42" s="1890"/>
      <c r="Q42" s="1890"/>
      <c r="R42" s="1890"/>
      <c r="S42" s="1890"/>
      <c r="T42" s="1890"/>
    </row>
    <row r="43" spans="1:20" ht="18" customHeight="1" x14ac:dyDescent="0.2">
      <c r="A43" s="1890"/>
      <c r="B43" s="2343" t="s">
        <v>1263</v>
      </c>
      <c r="C43" s="2344"/>
      <c r="D43" s="2345"/>
      <c r="E43" s="2345"/>
      <c r="F43" s="2333"/>
      <c r="G43" s="2333"/>
      <c r="H43" s="2333"/>
      <c r="I43" s="2333"/>
      <c r="J43" s="2333"/>
      <c r="K43" s="2333"/>
      <c r="L43" s="1890"/>
      <c r="M43" s="1890"/>
      <c r="N43" s="1890"/>
      <c r="O43" s="1890"/>
      <c r="P43" s="1890"/>
      <c r="Q43" s="1890"/>
      <c r="R43" s="1890"/>
      <c r="S43" s="1890"/>
      <c r="T43" s="1890"/>
    </row>
    <row r="44" spans="1:20" ht="18" customHeight="1" x14ac:dyDescent="0.2">
      <c r="A44" s="1890"/>
      <c r="B44" s="2338"/>
      <c r="C44" s="2336"/>
      <c r="D44" s="2336"/>
      <c r="E44" s="2336"/>
      <c r="F44" s="2333"/>
      <c r="G44" s="2333"/>
      <c r="H44" s="2333"/>
      <c r="I44" s="2333"/>
      <c r="J44" s="2333"/>
      <c r="K44" s="2333"/>
      <c r="L44" s="1890"/>
      <c r="M44" s="1890"/>
      <c r="N44" s="1890"/>
      <c r="O44" s="1890"/>
      <c r="P44" s="1890"/>
      <c r="Q44" s="1890"/>
      <c r="R44" s="1890"/>
      <c r="S44" s="1890"/>
      <c r="T44" s="1890"/>
    </row>
    <row r="45" spans="1:20" ht="18" customHeight="1" x14ac:dyDescent="0.2">
      <c r="A45" s="1890"/>
      <c r="B45" s="2226" t="str">
        <f>B18</f>
        <v>Resíduos dispersos</v>
      </c>
      <c r="C45" s="2339">
        <f t="shared" ref="C45:C53" si="9">+L62</f>
        <v>0</v>
      </c>
      <c r="D45" s="2339">
        <f t="shared" ref="D45:D54" si="10">+L73</f>
        <v>0</v>
      </c>
      <c r="E45" s="2339">
        <f t="shared" ref="E45:E53" si="11">+D45+C45</f>
        <v>0</v>
      </c>
      <c r="F45" s="2333"/>
      <c r="G45" s="2333"/>
      <c r="H45" s="2333"/>
      <c r="I45" s="2333"/>
      <c r="J45" s="2333"/>
      <c r="K45" s="2333"/>
      <c r="L45" s="1890"/>
      <c r="M45" s="1890"/>
      <c r="N45" s="1890"/>
      <c r="O45" s="1890"/>
      <c r="P45" s="1890"/>
      <c r="Q45" s="1890"/>
      <c r="R45" s="1890"/>
      <c r="S45" s="1890"/>
      <c r="T45" s="1890"/>
    </row>
    <row r="46" spans="1:20" ht="18" customHeight="1" x14ac:dyDescent="0.2">
      <c r="A46" s="1890"/>
      <c r="B46" s="2226" t="str">
        <f t="shared" ref="B46:B54" si="12">B19</f>
        <v>Queima a céu aberto</v>
      </c>
      <c r="C46" s="2339">
        <f t="shared" si="9"/>
        <v>0</v>
      </c>
      <c r="D46" s="2339">
        <f t="shared" si="10"/>
        <v>0</v>
      </c>
      <c r="E46" s="2339">
        <f t="shared" si="11"/>
        <v>0</v>
      </c>
      <c r="F46" s="2333"/>
      <c r="G46" s="2333"/>
      <c r="H46" s="2333"/>
      <c r="I46" s="2333"/>
      <c r="J46" s="2333"/>
      <c r="K46" s="2333"/>
      <c r="L46" s="1890"/>
      <c r="M46" s="1890"/>
      <c r="N46" s="1890"/>
      <c r="O46" s="1890"/>
      <c r="P46" s="1890"/>
      <c r="Q46" s="1890"/>
      <c r="R46" s="1890"/>
      <c r="S46" s="1890"/>
      <c r="T46" s="1890"/>
    </row>
    <row r="47" spans="1:20" ht="18" customHeight="1" x14ac:dyDescent="0.2">
      <c r="A47" s="1890"/>
      <c r="B47" s="2226" t="str">
        <f t="shared" si="12"/>
        <v>Lixão não controlado</v>
      </c>
      <c r="C47" s="2339">
        <f t="shared" si="9"/>
        <v>0</v>
      </c>
      <c r="D47" s="2339">
        <f t="shared" si="10"/>
        <v>0</v>
      </c>
      <c r="E47" s="2339">
        <f t="shared" si="11"/>
        <v>0</v>
      </c>
      <c r="F47" s="2333"/>
      <c r="G47" s="2333"/>
      <c r="H47" s="2333"/>
      <c r="I47" s="2333"/>
      <c r="J47" s="2333"/>
      <c r="K47" s="2333"/>
      <c r="L47" s="1890"/>
      <c r="M47" s="1890"/>
      <c r="N47" s="1890"/>
      <c r="O47" s="1890"/>
      <c r="P47" s="1890"/>
      <c r="Q47" s="1890"/>
      <c r="R47" s="1890"/>
      <c r="S47" s="1890"/>
      <c r="T47" s="1890"/>
    </row>
    <row r="48" spans="1:20" ht="18" customHeight="1" x14ac:dyDescent="0.2">
      <c r="A48" s="1890"/>
      <c r="B48" s="2226" t="str">
        <f t="shared" si="12"/>
        <v>Aterro controlado</v>
      </c>
      <c r="C48" s="2339">
        <f t="shared" si="9"/>
        <v>0</v>
      </c>
      <c r="D48" s="2339">
        <f t="shared" si="10"/>
        <v>0</v>
      </c>
      <c r="E48" s="2339">
        <f t="shared" si="11"/>
        <v>0</v>
      </c>
      <c r="F48" s="2333"/>
      <c r="G48" s="2333"/>
      <c r="H48" s="2333"/>
      <c r="I48" s="2333"/>
      <c r="J48" s="2333"/>
      <c r="K48" s="2333"/>
      <c r="L48" s="1890"/>
      <c r="M48" s="1890"/>
      <c r="N48" s="1890"/>
      <c r="O48" s="1890"/>
      <c r="P48" s="1890"/>
      <c r="Q48" s="1890"/>
      <c r="R48" s="1890"/>
      <c r="S48" s="1890"/>
      <c r="T48" s="1890"/>
    </row>
    <row r="49" spans="1:21" ht="18" customHeight="1" x14ac:dyDescent="0.2">
      <c r="A49" s="1890"/>
      <c r="B49" s="2226" t="str">
        <f t="shared" si="12"/>
        <v>Aterro sanitário</v>
      </c>
      <c r="C49" s="2339">
        <f t="shared" si="9"/>
        <v>8513.3129213582743</v>
      </c>
      <c r="D49" s="2339">
        <f t="shared" si="10"/>
        <v>0</v>
      </c>
      <c r="E49" s="2339">
        <f t="shared" si="11"/>
        <v>8513.3129213582743</v>
      </c>
      <c r="F49" s="2333"/>
      <c r="G49" s="2333"/>
      <c r="H49" s="2333"/>
      <c r="I49" s="2333"/>
      <c r="J49" s="2333"/>
      <c r="K49" s="2333"/>
      <c r="L49" s="1890"/>
      <c r="M49" s="1890"/>
      <c r="N49" s="1890"/>
      <c r="O49" s="1890"/>
      <c r="P49" s="1890"/>
      <c r="Q49" s="1890"/>
      <c r="R49" s="1890"/>
      <c r="S49" s="1890"/>
      <c r="T49" s="1890"/>
    </row>
    <row r="50" spans="1:21" ht="18" customHeight="1" x14ac:dyDescent="0.2">
      <c r="A50" s="1890"/>
      <c r="B50" s="2226" t="str">
        <f t="shared" si="12"/>
        <v>Trat. biol + cobertura at.</v>
      </c>
      <c r="C50" s="2339">
        <f t="shared" si="9"/>
        <v>0</v>
      </c>
      <c r="D50" s="2339">
        <f t="shared" si="10"/>
        <v>0</v>
      </c>
      <c r="E50" s="2339">
        <f t="shared" si="11"/>
        <v>0</v>
      </c>
      <c r="F50" s="2333"/>
      <c r="G50" s="2333"/>
      <c r="H50" s="2333"/>
      <c r="I50" s="2333"/>
      <c r="J50" s="2333"/>
      <c r="K50" s="2333"/>
      <c r="L50" s="1890"/>
      <c r="M50" s="1890"/>
      <c r="N50" s="1890"/>
      <c r="O50" s="1890"/>
      <c r="P50" s="1890"/>
      <c r="Q50" s="1890"/>
      <c r="R50" s="1890"/>
      <c r="S50" s="1890"/>
      <c r="T50" s="1890"/>
    </row>
    <row r="51" spans="1:21" ht="18" customHeight="1" x14ac:dyDescent="0.2">
      <c r="A51" s="1890"/>
      <c r="B51" s="2226" t="str">
        <f t="shared" si="12"/>
        <v>CDR seco + rejeito aterro</v>
      </c>
      <c r="C51" s="2339">
        <f t="shared" si="9"/>
        <v>1557.9926977483726</v>
      </c>
      <c r="D51" s="2339">
        <f t="shared" si="10"/>
        <v>-1295.3249665304779</v>
      </c>
      <c r="E51" s="2339">
        <f t="shared" si="11"/>
        <v>262.6677312178947</v>
      </c>
      <c r="F51" s="2333"/>
      <c r="G51" s="2346"/>
      <c r="H51" s="2347"/>
      <c r="I51" s="2347"/>
      <c r="J51" s="2347"/>
      <c r="K51" s="2333"/>
      <c r="L51" s="1890"/>
      <c r="M51" s="1890"/>
      <c r="N51" s="1890"/>
      <c r="O51" s="1890"/>
      <c r="P51" s="1890"/>
      <c r="Q51" s="1890"/>
      <c r="R51" s="1890"/>
      <c r="S51" s="1890"/>
      <c r="T51" s="1890"/>
    </row>
    <row r="52" spans="1:21" ht="18" customHeight="1" x14ac:dyDescent="0.2">
      <c r="A52" s="1890"/>
      <c r="B52" s="2226" t="str">
        <f t="shared" si="12"/>
        <v>CDR seco + trat. biol.</v>
      </c>
      <c r="C52" s="2339">
        <f t="shared" si="9"/>
        <v>1149.6270448781202</v>
      </c>
      <c r="D52" s="2339">
        <f t="shared" si="10"/>
        <v>-6495.5388609106576</v>
      </c>
      <c r="E52" s="2339">
        <f t="shared" si="11"/>
        <v>-5345.9118160325379</v>
      </c>
      <c r="F52" s="2333"/>
      <c r="G52" s="2348"/>
      <c r="H52" s="2349" t="s">
        <v>1253</v>
      </c>
      <c r="I52" s="2350" t="s">
        <v>1265</v>
      </c>
      <c r="J52" s="2350" t="s">
        <v>1254</v>
      </c>
      <c r="K52" s="2333"/>
      <c r="L52" s="1890"/>
      <c r="M52" s="1890"/>
      <c r="N52" s="1890"/>
      <c r="O52" s="1890"/>
      <c r="P52" s="1890"/>
      <c r="Q52" s="1890"/>
      <c r="R52" s="1890"/>
      <c r="S52" s="1890"/>
      <c r="T52" s="1890"/>
    </row>
    <row r="53" spans="1:21" ht="18" customHeight="1" x14ac:dyDescent="0.2">
      <c r="A53" s="1890"/>
      <c r="B53" s="2226" t="str">
        <f t="shared" si="12"/>
        <v>CDR seco + CDR org.</v>
      </c>
      <c r="C53" s="2339">
        <f t="shared" si="9"/>
        <v>0</v>
      </c>
      <c r="D53" s="2339">
        <f t="shared" si="10"/>
        <v>0</v>
      </c>
      <c r="E53" s="2339">
        <f t="shared" si="11"/>
        <v>0</v>
      </c>
      <c r="F53" s="2333"/>
      <c r="G53" s="2351" t="s">
        <v>1255</v>
      </c>
      <c r="H53" s="2352">
        <f>SUM(C34:C41)</f>
        <v>1665.6439969728001</v>
      </c>
      <c r="I53" s="2352">
        <f>SUM(C45:C54)</f>
        <v>11220.932663984766</v>
      </c>
      <c r="J53" s="2352">
        <f>+I53+H53</f>
        <v>12886.576660957566</v>
      </c>
      <c r="K53" s="2333"/>
      <c r="L53" s="1890"/>
      <c r="M53" s="1890"/>
      <c r="N53" s="1890"/>
      <c r="O53" s="1890"/>
      <c r="P53" s="1890"/>
      <c r="Q53" s="1890"/>
      <c r="R53" s="1890"/>
      <c r="S53" s="1890"/>
      <c r="T53" s="1890"/>
    </row>
    <row r="54" spans="1:21" ht="18" customHeight="1" x14ac:dyDescent="0.2">
      <c r="A54" s="1890"/>
      <c r="B54" s="2226" t="str">
        <f t="shared" si="12"/>
        <v>Incineração</v>
      </c>
      <c r="C54" s="2339">
        <f>+L71</f>
        <v>0</v>
      </c>
      <c r="D54" s="2339">
        <f t="shared" si="10"/>
        <v>0</v>
      </c>
      <c r="E54" s="2339">
        <f>+D54+C54</f>
        <v>0</v>
      </c>
      <c r="F54" s="2333"/>
      <c r="G54" s="2351" t="s">
        <v>1256</v>
      </c>
      <c r="H54" s="2352">
        <f>SUM(D34:D41)</f>
        <v>-5018.9513721984003</v>
      </c>
      <c r="I54" s="2352">
        <f>SUM(D45:D54)</f>
        <v>-7790.8638274411351</v>
      </c>
      <c r="J54" s="2352">
        <f>+I54+H54</f>
        <v>-12809.815199639535</v>
      </c>
      <c r="K54" s="2333"/>
      <c r="L54" s="1890"/>
      <c r="M54" s="1890"/>
      <c r="N54" s="1890"/>
      <c r="O54" s="1890"/>
      <c r="P54" s="1890"/>
      <c r="Q54" s="1890"/>
      <c r="R54" s="1890"/>
      <c r="S54" s="1890"/>
      <c r="T54" s="1890"/>
    </row>
    <row r="55" spans="1:21" ht="18" customHeight="1" x14ac:dyDescent="0.2">
      <c r="A55" s="1890"/>
      <c r="B55" s="2340"/>
      <c r="C55" s="2353"/>
      <c r="D55" s="2354"/>
      <c r="E55" s="2353"/>
      <c r="F55" s="2333"/>
      <c r="G55" s="2351" t="s">
        <v>1257</v>
      </c>
      <c r="H55" s="2352">
        <f>+H53+H54</f>
        <v>-3353.3073752256005</v>
      </c>
      <c r="I55" s="2352">
        <f>+I53+I54</f>
        <v>3430.0688365436308</v>
      </c>
      <c r="J55" s="2352">
        <f>+I55+H55</f>
        <v>76.761461318030342</v>
      </c>
      <c r="K55" s="2333"/>
      <c r="L55" s="1890"/>
      <c r="M55" s="1890"/>
      <c r="N55" s="1890"/>
      <c r="O55" s="1890"/>
      <c r="P55" s="1890"/>
      <c r="Q55" s="1890"/>
      <c r="R55" s="1890"/>
      <c r="S55" s="1890"/>
      <c r="T55" s="1890"/>
    </row>
    <row r="56" spans="1:21" ht="18" customHeight="1" x14ac:dyDescent="0.2">
      <c r="A56" s="1890"/>
      <c r="B56" s="2343" t="s">
        <v>52</v>
      </c>
      <c r="C56" s="2355">
        <f>SUM(C34:C54)</f>
        <v>12886.576660957566</v>
      </c>
      <c r="D56" s="2355">
        <f>SUM(D34:D54)</f>
        <v>-12809.815199639535</v>
      </c>
      <c r="E56" s="2355">
        <f>+D56+C56</f>
        <v>76.761461318030342</v>
      </c>
      <c r="F56" s="2333"/>
      <c r="G56" s="2346"/>
      <c r="H56" s="2356"/>
      <c r="I56" s="2356"/>
      <c r="J56" s="2356"/>
      <c r="K56" s="2333"/>
      <c r="L56" s="1890"/>
      <c r="M56" s="1890"/>
      <c r="N56" s="1890"/>
      <c r="O56" s="1890"/>
      <c r="P56" s="1890"/>
      <c r="Q56" s="1890"/>
      <c r="R56" s="1890"/>
      <c r="S56" s="1890"/>
      <c r="T56" s="1890"/>
    </row>
    <row r="57" spans="1:21" x14ac:dyDescent="0.2">
      <c r="A57" s="1890"/>
      <c r="B57" s="1890"/>
      <c r="C57" s="1890"/>
      <c r="D57" s="1890"/>
      <c r="E57" s="1890"/>
      <c r="F57" s="1890"/>
      <c r="G57" s="2281"/>
      <c r="H57" s="2282"/>
      <c r="I57" s="2282"/>
      <c r="J57" s="2290"/>
      <c r="K57" s="2234"/>
      <c r="L57" s="1890"/>
      <c r="M57" s="1890"/>
      <c r="N57" s="1890"/>
      <c r="O57" s="1890"/>
      <c r="P57" s="1890"/>
      <c r="Q57" s="1890"/>
      <c r="R57" s="1890"/>
      <c r="S57" s="1890"/>
      <c r="T57" s="1890"/>
    </row>
    <row r="58" spans="1:21" x14ac:dyDescent="0.2">
      <c r="A58" s="1890"/>
      <c r="B58" s="1890"/>
      <c r="C58" s="1890"/>
      <c r="D58" s="1890"/>
      <c r="E58" s="1890"/>
      <c r="F58" s="1890"/>
      <c r="G58" s="2281"/>
      <c r="H58" s="2282"/>
      <c r="I58" s="2282"/>
      <c r="J58" s="2290"/>
      <c r="K58" s="2234"/>
      <c r="L58" s="1890"/>
      <c r="M58" s="1890"/>
      <c r="N58" s="1890"/>
      <c r="O58" s="1890"/>
      <c r="P58" s="1890"/>
      <c r="Q58" s="1890"/>
      <c r="R58" s="1890"/>
      <c r="S58" s="1890"/>
      <c r="T58" s="1890"/>
    </row>
    <row r="59" spans="1:21" s="2229" customFormat="1" ht="26.1" customHeight="1" x14ac:dyDescent="0.25">
      <c r="A59" s="2291" t="s">
        <v>1258</v>
      </c>
      <c r="B59" s="2357"/>
      <c r="C59" s="2357"/>
      <c r="D59" s="2357"/>
      <c r="E59" s="2357"/>
      <c r="F59" s="2228"/>
      <c r="G59" s="1940"/>
      <c r="H59" s="1985"/>
      <c r="I59" s="1985"/>
      <c r="J59" s="1985"/>
      <c r="K59" s="1912" t="s">
        <v>1266</v>
      </c>
      <c r="L59" s="1985"/>
      <c r="M59" s="1985"/>
      <c r="N59" s="1985"/>
      <c r="O59" s="1985"/>
      <c r="P59" s="1940"/>
      <c r="Q59" s="1940"/>
      <c r="R59" s="1940"/>
      <c r="S59" s="1940"/>
      <c r="T59" s="1940"/>
      <c r="U59" s="2358"/>
    </row>
    <row r="60" spans="1:21" ht="18" x14ac:dyDescent="0.25">
      <c r="A60" s="2293"/>
      <c r="B60" s="1890"/>
      <c r="C60" s="1890"/>
      <c r="D60" s="1890"/>
      <c r="E60" s="1890"/>
      <c r="F60" s="1890"/>
      <c r="G60" s="1890"/>
      <c r="H60" s="1890"/>
      <c r="I60" s="1890"/>
      <c r="J60" s="1890"/>
      <c r="K60" s="1890"/>
      <c r="L60" s="1890"/>
      <c r="M60" s="1890"/>
      <c r="N60" s="1890"/>
      <c r="O60" s="1890"/>
      <c r="P60" s="1890"/>
      <c r="Q60" s="1890"/>
      <c r="R60" s="1890"/>
      <c r="S60" s="1890"/>
      <c r="T60" s="1890"/>
    </row>
    <row r="61" spans="1:21" ht="18" customHeight="1" x14ac:dyDescent="0.25">
      <c r="A61" s="1890"/>
      <c r="B61" s="2294"/>
      <c r="C61" s="2359" t="s">
        <v>1237</v>
      </c>
      <c r="D61" s="2359" t="s">
        <v>1257</v>
      </c>
      <c r="E61" s="1890"/>
      <c r="F61" s="1890"/>
      <c r="G61" s="1890"/>
      <c r="H61" s="1890"/>
      <c r="I61" s="1890"/>
      <c r="J61" s="1890"/>
      <c r="K61" s="2360"/>
      <c r="L61" s="2361" t="s">
        <v>1265</v>
      </c>
      <c r="M61" s="2359" t="s">
        <v>1257</v>
      </c>
      <c r="N61" s="1890"/>
      <c r="O61" s="1890"/>
      <c r="P61" s="1890"/>
      <c r="Q61" s="1890"/>
      <c r="R61" s="1890"/>
      <c r="S61" s="1890"/>
      <c r="T61" s="1890"/>
    </row>
    <row r="62" spans="1:21" ht="18" customHeight="1" x14ac:dyDescent="0.25">
      <c r="A62" s="1890"/>
      <c r="B62" s="2303" t="str">
        <f>+'CO2 - Cálculos'!AC16</f>
        <v>Resíduos de alimentos</v>
      </c>
      <c r="C62" s="2242">
        <f>+'CO2 - Cálculos'!AF16</f>
        <v>0</v>
      </c>
      <c r="D62" s="2275"/>
      <c r="E62" s="1890"/>
      <c r="F62" s="1890"/>
      <c r="G62" s="1890"/>
      <c r="H62" s="1890"/>
      <c r="I62" s="1890"/>
      <c r="J62" s="1890"/>
      <c r="K62" s="2302" t="str">
        <f>+'CO2 - Cálculos'!AC61</f>
        <v>Resíduos dispersos</v>
      </c>
      <c r="L62" s="2242">
        <f>+'CO2 - Cálculos'!AF61</f>
        <v>0</v>
      </c>
      <c r="M62" s="2275"/>
      <c r="N62" s="1890"/>
      <c r="O62" s="1890"/>
      <c r="P62" s="1890"/>
      <c r="Q62" s="1890"/>
      <c r="R62" s="1890"/>
      <c r="S62" s="1890"/>
      <c r="T62" s="1890"/>
    </row>
    <row r="63" spans="1:21" ht="18" customHeight="1" x14ac:dyDescent="0.25">
      <c r="A63" s="1890"/>
      <c r="B63" s="2303" t="str">
        <f>+'CO2 - Cálculos'!AC17</f>
        <v>Resíduos de jardins e parques</v>
      </c>
      <c r="C63" s="2242">
        <f>+'CO2 - Cálculos'!AF17</f>
        <v>0</v>
      </c>
      <c r="D63" s="2275"/>
      <c r="E63" s="1890"/>
      <c r="F63" s="1890"/>
      <c r="G63" s="1890"/>
      <c r="H63" s="1890"/>
      <c r="I63" s="1890"/>
      <c r="J63" s="1890"/>
      <c r="K63" s="2302" t="str">
        <f>+'CO2 - Cálculos'!AC62</f>
        <v>Queima a céu aberto</v>
      </c>
      <c r="L63" s="2242">
        <f>+'CO2 - Cálculos'!AF62</f>
        <v>0</v>
      </c>
      <c r="M63" s="2275"/>
      <c r="N63" s="1890"/>
      <c r="O63" s="1890"/>
      <c r="P63" s="1890"/>
      <c r="Q63" s="1890"/>
      <c r="R63" s="1890"/>
      <c r="S63" s="1890"/>
      <c r="T63" s="1890"/>
    </row>
    <row r="64" spans="1:21" ht="18" customHeight="1" x14ac:dyDescent="0.25">
      <c r="A64" s="1890"/>
      <c r="B64" s="2303" t="str">
        <f>+'CO2 - Cálculos'!AC18</f>
        <v>Papel, papelão</v>
      </c>
      <c r="C64" s="2242">
        <f>+'CO2 - Cálculos'!AF18</f>
        <v>1261.5838604928001</v>
      </c>
      <c r="D64" s="2275"/>
      <c r="E64" s="1890"/>
      <c r="F64" s="1890"/>
      <c r="G64" s="1890"/>
      <c r="H64" s="1890"/>
      <c r="I64" s="1890"/>
      <c r="J64" s="1890"/>
      <c r="K64" s="2302" t="str">
        <f>+'CO2 - Cálculos'!AC63</f>
        <v>Lixão não controlado</v>
      </c>
      <c r="L64" s="2242">
        <f>+'CO2 - Cálculos'!AF63</f>
        <v>0</v>
      </c>
      <c r="M64" s="2275"/>
      <c r="N64" s="1890"/>
      <c r="O64" s="1890"/>
      <c r="P64" s="1890"/>
      <c r="Q64" s="1890"/>
      <c r="R64" s="1890"/>
      <c r="S64" s="1890"/>
      <c r="T64" s="1890"/>
    </row>
    <row r="65" spans="1:20" ht="18" customHeight="1" x14ac:dyDescent="0.25">
      <c r="A65" s="1890"/>
      <c r="B65" s="2303" t="str">
        <f>+'CO2 - Cálculos'!AC19</f>
        <v>Plásticos</v>
      </c>
      <c r="C65" s="2242">
        <f>+'CO2 - Cálculos'!AF19</f>
        <v>280.38273119999997</v>
      </c>
      <c r="D65" s="2275"/>
      <c r="E65" s="1890"/>
      <c r="F65" s="1890"/>
      <c r="G65" s="1890"/>
      <c r="H65" s="1890"/>
      <c r="I65" s="1890"/>
      <c r="J65" s="1890"/>
      <c r="K65" s="2302" t="str">
        <f>+'CO2 - Cálculos'!AC64</f>
        <v>Aterro controlado</v>
      </c>
      <c r="L65" s="2242">
        <f>+'CO2 - Cálculos'!AF64</f>
        <v>0</v>
      </c>
      <c r="M65" s="2275"/>
      <c r="N65" s="1890"/>
      <c r="O65" s="1890"/>
      <c r="P65" s="1890"/>
      <c r="Q65" s="1890"/>
      <c r="R65" s="1890"/>
      <c r="S65" s="1890"/>
      <c r="T65" s="1890"/>
    </row>
    <row r="66" spans="1:20" ht="18" customHeight="1" x14ac:dyDescent="0.25">
      <c r="A66" s="1890"/>
      <c r="B66" s="2303" t="str">
        <f>+'CO2 - Cálculos'!AC20</f>
        <v>Vidros</v>
      </c>
      <c r="C66" s="2242">
        <f>+'CO2 - Cálculos'!AF20</f>
        <v>0</v>
      </c>
      <c r="D66" s="2275"/>
      <c r="E66" s="1890"/>
      <c r="F66" s="1890"/>
      <c r="G66" s="1890"/>
      <c r="H66" s="1890"/>
      <c r="I66" s="1890"/>
      <c r="J66" s="1890"/>
      <c r="K66" s="2302" t="str">
        <f>+'CO2 - Cálculos'!AC65</f>
        <v>Aterro sanitário</v>
      </c>
      <c r="L66" s="2242">
        <f>+'CO2 - Cálculos'!AF65</f>
        <v>8513.3129213582743</v>
      </c>
      <c r="M66" s="2275"/>
      <c r="N66" s="1890"/>
      <c r="O66" s="1890"/>
      <c r="P66" s="1890"/>
      <c r="Q66" s="1890"/>
      <c r="R66" s="1890"/>
      <c r="S66" s="1890"/>
      <c r="T66" s="1890"/>
    </row>
    <row r="67" spans="1:20" ht="18" customHeight="1" x14ac:dyDescent="0.25">
      <c r="A67" s="1890"/>
      <c r="B67" s="2303" t="str">
        <f>+'CO2 - Cálculos'!AC21</f>
        <v>Metais ferrosos</v>
      </c>
      <c r="C67" s="2242">
        <f>+'CO2 - Cálculos'!AF21</f>
        <v>32.198999039999997</v>
      </c>
      <c r="D67" s="2275"/>
      <c r="E67" s="1890"/>
      <c r="F67" s="1890"/>
      <c r="G67" s="1890"/>
      <c r="H67" s="1890"/>
      <c r="I67" s="1890"/>
      <c r="J67" s="2362"/>
      <c r="K67" s="2302" t="str">
        <f>+'CO2 - Cálculos'!AC66</f>
        <v>Trat. biol + cobertura at.</v>
      </c>
      <c r="L67" s="2242">
        <f>+'CO2 - Cálculos'!AF66</f>
        <v>0</v>
      </c>
      <c r="M67" s="2275"/>
      <c r="N67" s="1890"/>
      <c r="O67" s="1890"/>
      <c r="P67" s="1890"/>
      <c r="Q67" s="1890"/>
      <c r="R67" s="1890"/>
      <c r="S67" s="1890"/>
      <c r="T67" s="1890"/>
    </row>
    <row r="68" spans="1:20" ht="18" customHeight="1" x14ac:dyDescent="0.25">
      <c r="A68" s="1890"/>
      <c r="B68" s="2303" t="str">
        <f>+'CO2 - Cálculos'!AC22</f>
        <v>Alumínio</v>
      </c>
      <c r="C68" s="2242">
        <f>+'CO2 - Cálculos'!AF22</f>
        <v>91.478406239999984</v>
      </c>
      <c r="D68" s="2275"/>
      <c r="E68" s="1890"/>
      <c r="F68" s="1890"/>
      <c r="G68" s="1890"/>
      <c r="H68" s="1890"/>
      <c r="I68" s="1890"/>
      <c r="J68" s="2362"/>
      <c r="K68" s="2302" t="str">
        <f>+'CO2 - Cálculos'!AC67</f>
        <v>CDR seco + rejeito aterro</v>
      </c>
      <c r="L68" s="2242">
        <f>+'CO2 - Cálculos'!AF67</f>
        <v>1557.9926977483726</v>
      </c>
      <c r="M68" s="2275"/>
      <c r="N68" s="1890"/>
      <c r="O68" s="1890"/>
      <c r="P68" s="1890"/>
      <c r="Q68" s="1890"/>
      <c r="R68" s="1890"/>
      <c r="S68" s="1890"/>
      <c r="T68" s="1890"/>
    </row>
    <row r="69" spans="1:20" ht="18" customHeight="1" x14ac:dyDescent="0.25">
      <c r="A69" s="2234"/>
      <c r="B69" s="2303" t="str">
        <f>+'CO2 - Cálculos'!AC23</f>
        <v>Têxteis</v>
      </c>
      <c r="C69" s="2242">
        <f>+'CO2 - Cálculos'!AF23</f>
        <v>0</v>
      </c>
      <c r="D69" s="2275"/>
      <c r="E69" s="1890"/>
      <c r="F69" s="1890"/>
      <c r="G69" s="1890"/>
      <c r="H69" s="1890"/>
      <c r="I69" s="1890"/>
      <c r="J69" s="2362"/>
      <c r="K69" s="2302" t="str">
        <f>+'CO2 - Cálculos'!AC68</f>
        <v>CDR seco + trat. biol.</v>
      </c>
      <c r="L69" s="2242">
        <f>+'CO2 - Cálculos'!AF68</f>
        <v>1149.6270448781202</v>
      </c>
      <c r="M69" s="2275"/>
      <c r="N69" s="1890"/>
      <c r="O69" s="1890"/>
      <c r="P69" s="1890"/>
      <c r="Q69" s="1890"/>
      <c r="R69" s="1890"/>
      <c r="S69" s="1890"/>
      <c r="T69" s="1890"/>
    </row>
    <row r="70" spans="1:20" ht="18" customHeight="1" x14ac:dyDescent="0.25">
      <c r="A70" s="1890"/>
      <c r="B70" s="2363" t="s">
        <v>1255</v>
      </c>
      <c r="C70" s="2275"/>
      <c r="D70" s="2240"/>
      <c r="E70" s="1890"/>
      <c r="F70" s="1890"/>
      <c r="G70" s="1890"/>
      <c r="H70" s="1890"/>
      <c r="I70" s="1890"/>
      <c r="J70" s="1890"/>
      <c r="K70" s="2302" t="str">
        <f>+'CO2 - Cálculos'!AC69</f>
        <v>CDR seco + CDR org.</v>
      </c>
      <c r="L70" s="2242">
        <f>+'CO2 - Cálculos'!AF69</f>
        <v>0</v>
      </c>
      <c r="M70" s="2275"/>
      <c r="N70" s="1890"/>
      <c r="O70" s="1890"/>
      <c r="P70" s="1890"/>
      <c r="Q70" s="1890"/>
      <c r="R70" s="1890"/>
      <c r="S70" s="1890"/>
      <c r="T70" s="1890"/>
    </row>
    <row r="71" spans="1:20" ht="18" customHeight="1" x14ac:dyDescent="0.25">
      <c r="A71" s="1890"/>
      <c r="B71" s="2300" t="str">
        <f>+'CO2 - Cálculos'!AC25</f>
        <v>Resíduos de alimentos</v>
      </c>
      <c r="C71" s="2242">
        <f>+'CO2 - Cálculos'!AF25</f>
        <v>0</v>
      </c>
      <c r="D71" s="2275"/>
      <c r="E71" s="1890"/>
      <c r="F71" s="1890"/>
      <c r="G71" s="1890"/>
      <c r="H71" s="1890"/>
      <c r="I71" s="1890"/>
      <c r="J71" s="1890"/>
      <c r="K71" s="2302" t="str">
        <f>+'CO2 - Cálculos'!AC70</f>
        <v>Incineração</v>
      </c>
      <c r="L71" s="2242">
        <f>+'CO2 - Cálculos'!AF70</f>
        <v>0</v>
      </c>
      <c r="M71" s="2275"/>
      <c r="N71" s="1890"/>
      <c r="O71" s="1890"/>
      <c r="P71" s="1890"/>
      <c r="Q71" s="1890"/>
      <c r="R71" s="1890"/>
      <c r="S71" s="1890"/>
      <c r="T71" s="1890"/>
    </row>
    <row r="72" spans="1:20" ht="18" customHeight="1" x14ac:dyDescent="0.25">
      <c r="A72" s="1890"/>
      <c r="B72" s="2300" t="str">
        <f>+'CO2 - Cálculos'!AC26</f>
        <v>Resíduos de jardins e parques</v>
      </c>
      <c r="C72" s="2242">
        <f>+'CO2 - Cálculos'!AF26</f>
        <v>0</v>
      </c>
      <c r="D72" s="2275"/>
      <c r="E72" s="1890"/>
      <c r="F72" s="1890"/>
      <c r="G72" s="1890"/>
      <c r="H72" s="1890"/>
      <c r="I72" s="1890"/>
      <c r="J72" s="1890"/>
      <c r="K72" s="2364" t="s">
        <v>1255</v>
      </c>
      <c r="L72" s="2275"/>
      <c r="M72" s="2275"/>
      <c r="N72" s="1890"/>
      <c r="O72" s="1890"/>
      <c r="P72" s="1890"/>
      <c r="Q72" s="1890"/>
      <c r="R72" s="1890"/>
      <c r="S72" s="1890"/>
      <c r="T72" s="1890"/>
    </row>
    <row r="73" spans="1:20" ht="18" customHeight="1" x14ac:dyDescent="0.25">
      <c r="A73" s="1890"/>
      <c r="B73" s="2300" t="str">
        <f>+'CO2 - Cálculos'!AC27</f>
        <v>Papel, papelão</v>
      </c>
      <c r="C73" s="2242">
        <f>+'CO2 - Cálculos'!AF27</f>
        <v>-1554.8820191423999</v>
      </c>
      <c r="D73" s="2275"/>
      <c r="E73" s="1890"/>
      <c r="F73" s="1890"/>
      <c r="G73" s="1890"/>
      <c r="H73" s="1890"/>
      <c r="I73" s="1890"/>
      <c r="J73" s="1890"/>
      <c r="K73" s="2302" t="str">
        <f>+'CO2 - Cálculos'!AC72</f>
        <v>Resíduos dispersos</v>
      </c>
      <c r="L73" s="2242">
        <f>+'CO2 - Cálculos'!AF72</f>
        <v>0</v>
      </c>
      <c r="M73" s="2275"/>
      <c r="N73" s="1890"/>
      <c r="O73" s="1890"/>
      <c r="P73" s="1890"/>
      <c r="Q73" s="1890"/>
      <c r="R73" s="1890"/>
      <c r="S73" s="1890"/>
      <c r="T73" s="1890"/>
    </row>
    <row r="74" spans="1:20" ht="18" customHeight="1" x14ac:dyDescent="0.25">
      <c r="A74" s="1890"/>
      <c r="B74" s="2300" t="str">
        <f>+'CO2 - Cálculos'!AC28</f>
        <v>Plásticos</v>
      </c>
      <c r="C74" s="2242">
        <f>+'CO2 - Cálculos'!AF28</f>
        <v>-1306.0364391359999</v>
      </c>
      <c r="D74" s="2275"/>
      <c r="E74" s="1890"/>
      <c r="F74" s="1890"/>
      <c r="G74" s="1890"/>
      <c r="H74" s="1890"/>
      <c r="I74" s="1890"/>
      <c r="J74" s="1890"/>
      <c r="K74" s="2302" t="str">
        <f>+'CO2 - Cálculos'!AC73</f>
        <v>Queima a céu aberto</v>
      </c>
      <c r="L74" s="2242">
        <f>+'CO2 - Cálculos'!AF73</f>
        <v>0</v>
      </c>
      <c r="M74" s="2275"/>
      <c r="N74" s="1890"/>
      <c r="O74" s="1890"/>
      <c r="P74" s="1890"/>
      <c r="Q74" s="1890"/>
      <c r="R74" s="1890"/>
      <c r="S74" s="1890"/>
      <c r="T74" s="1890"/>
    </row>
    <row r="75" spans="1:20" ht="18" customHeight="1" x14ac:dyDescent="0.25">
      <c r="A75" s="1890"/>
      <c r="B75" s="2300" t="str">
        <f>+'CO2 - Cálculos'!AC29</f>
        <v>Vidros</v>
      </c>
      <c r="C75" s="2242">
        <f>+'CO2 - Cálculos'!AF29</f>
        <v>0</v>
      </c>
      <c r="D75" s="2275"/>
      <c r="E75" s="1890"/>
      <c r="F75" s="1890"/>
      <c r="G75" s="1890"/>
      <c r="H75" s="1890"/>
      <c r="I75" s="1890"/>
      <c r="J75" s="1890"/>
      <c r="K75" s="2302" t="str">
        <f>+'CO2 - Cálculos'!AC74</f>
        <v>Lixão não controlado</v>
      </c>
      <c r="L75" s="2242">
        <f>+'CO2 - Cálculos'!AF74</f>
        <v>0</v>
      </c>
      <c r="M75" s="2275"/>
      <c r="N75" s="1890"/>
      <c r="O75" s="1890"/>
      <c r="P75" s="1890"/>
      <c r="Q75" s="1890"/>
      <c r="R75" s="1890"/>
      <c r="S75" s="1890"/>
      <c r="T75" s="1890"/>
    </row>
    <row r="76" spans="1:20" ht="18" customHeight="1" x14ac:dyDescent="0.25">
      <c r="A76" s="1890"/>
      <c r="B76" s="2300" t="str">
        <f>+'CO2 - Cálculos'!AC30</f>
        <v>Metais ferrosos</v>
      </c>
      <c r="C76" s="2242">
        <f>+'CO2 - Cálculos'!AF30</f>
        <v>-861.32322431999989</v>
      </c>
      <c r="D76" s="2275"/>
      <c r="E76" s="1890"/>
      <c r="F76" s="1890"/>
      <c r="G76" s="1890"/>
      <c r="H76" s="1890"/>
      <c r="I76" s="1890"/>
      <c r="J76" s="1890"/>
      <c r="K76" s="2302" t="str">
        <f>+'CO2 - Cálculos'!AC75</f>
        <v>Aterro controlado</v>
      </c>
      <c r="L76" s="2242">
        <f>+'CO2 - Cálculos'!AF75</f>
        <v>0</v>
      </c>
      <c r="M76" s="2275"/>
      <c r="N76" s="1890"/>
      <c r="O76" s="1890"/>
      <c r="P76" s="1890"/>
      <c r="Q76" s="1890"/>
      <c r="R76" s="1890"/>
      <c r="S76" s="1890"/>
      <c r="T76" s="1890"/>
    </row>
    <row r="77" spans="1:20" ht="18" customHeight="1" x14ac:dyDescent="0.25">
      <c r="A77" s="1890"/>
      <c r="B77" s="2300" t="str">
        <f>+'CO2 - Cálculos'!AC31</f>
        <v>Alumínio</v>
      </c>
      <c r="C77" s="2242">
        <f>+'CO2 - Cálculos'!AF31</f>
        <v>-1296.7096895999998</v>
      </c>
      <c r="D77" s="2275"/>
      <c r="E77" s="1890"/>
      <c r="F77" s="1890"/>
      <c r="G77" s="1890"/>
      <c r="H77" s="1890"/>
      <c r="I77" s="1890"/>
      <c r="J77" s="2362"/>
      <c r="K77" s="2302" t="str">
        <f>+'CO2 - Cálculos'!AC76</f>
        <v>Aterro sanitário</v>
      </c>
      <c r="L77" s="2242">
        <f>+'CO2 - Cálculos'!AF76</f>
        <v>0</v>
      </c>
      <c r="M77" s="2275"/>
      <c r="N77" s="1890"/>
      <c r="O77" s="1890"/>
      <c r="P77" s="1890"/>
      <c r="Q77" s="1890"/>
      <c r="R77" s="1890"/>
      <c r="S77" s="1890"/>
      <c r="T77" s="1890"/>
    </row>
    <row r="78" spans="1:20" ht="18" customHeight="1" x14ac:dyDescent="0.25">
      <c r="A78" s="1890"/>
      <c r="B78" s="2300" t="str">
        <f>+'CO2 - Cálculos'!AC32</f>
        <v>Têxteis</v>
      </c>
      <c r="C78" s="2242">
        <f>+'CO2 - Cálculos'!AF32</f>
        <v>0</v>
      </c>
      <c r="D78" s="2275"/>
      <c r="E78" s="1890"/>
      <c r="F78" s="1890"/>
      <c r="G78" s="1890"/>
      <c r="H78" s="1890"/>
      <c r="I78" s="1890"/>
      <c r="K78" s="2302" t="str">
        <f>+'CO2 - Cálculos'!AC77</f>
        <v>Trat. biol + cobertura at.</v>
      </c>
      <c r="L78" s="2242">
        <f>+'CO2 - Cálculos'!AF77</f>
        <v>0</v>
      </c>
      <c r="M78" s="2275"/>
      <c r="N78" s="1890"/>
      <c r="O78" s="1890"/>
      <c r="P78" s="1890"/>
      <c r="Q78" s="1890"/>
      <c r="R78" s="1890"/>
      <c r="S78" s="1890"/>
      <c r="T78" s="1890"/>
    </row>
    <row r="79" spans="1:20" ht="18" customHeight="1" x14ac:dyDescent="0.25">
      <c r="A79" s="1890"/>
      <c r="B79" s="2365" t="s">
        <v>1256</v>
      </c>
      <c r="C79" s="2275"/>
      <c r="D79" s="2240"/>
      <c r="E79" s="1890"/>
      <c r="F79" s="1890"/>
      <c r="G79" s="1890"/>
      <c r="H79" s="1890"/>
      <c r="I79" s="1890"/>
      <c r="J79" s="2362"/>
      <c r="K79" s="2302" t="str">
        <f>+'CO2 - Cálculos'!AC78</f>
        <v>CDR seco + rejeito aterro</v>
      </c>
      <c r="L79" s="2242">
        <f>+'CO2 - Cálculos'!AF78</f>
        <v>-1295.3249665304779</v>
      </c>
      <c r="M79" s="2275"/>
      <c r="N79" s="1890"/>
      <c r="O79" s="1890"/>
      <c r="P79" s="1890"/>
      <c r="Q79" s="1890"/>
      <c r="R79" s="1890"/>
      <c r="S79" s="1890"/>
      <c r="T79" s="1890"/>
    </row>
    <row r="80" spans="1:20" ht="18" customHeight="1" x14ac:dyDescent="0.25">
      <c r="A80" s="1890"/>
      <c r="B80" s="2365" t="s">
        <v>1257</v>
      </c>
      <c r="C80" s="2275"/>
      <c r="D80" s="2242">
        <f>SUM(C62:C69,C71:C78)</f>
        <v>-3353.3073752255996</v>
      </c>
      <c r="E80" s="1890"/>
      <c r="F80" s="1890"/>
      <c r="G80" s="1890"/>
      <c r="H80" s="1890"/>
      <c r="I80" s="1890"/>
      <c r="J80" s="1890"/>
      <c r="K80" s="2302" t="str">
        <f>+'CO2 - Cálculos'!AC79</f>
        <v>CDR seco + trat. biol.</v>
      </c>
      <c r="L80" s="2242">
        <f>+'CO2 - Cálculos'!AF79</f>
        <v>-6495.5388609106576</v>
      </c>
      <c r="M80" s="2275"/>
      <c r="N80" s="1890"/>
      <c r="O80" s="1890"/>
      <c r="P80" s="1890"/>
      <c r="Q80" s="1890"/>
      <c r="R80" s="1890"/>
      <c r="S80" s="1890"/>
      <c r="T80" s="1890"/>
    </row>
    <row r="81" spans="1:20" ht="14.25" x14ac:dyDescent="0.25">
      <c r="A81" s="1890"/>
      <c r="B81" s="1890"/>
      <c r="C81" s="1890"/>
      <c r="D81" s="1890"/>
      <c r="E81" s="1890"/>
      <c r="F81" s="1890"/>
      <c r="G81" s="1890"/>
      <c r="H81" s="1890"/>
      <c r="I81" s="1890"/>
      <c r="J81" s="1890"/>
      <c r="K81" s="2302" t="str">
        <f>+'CO2 - Cálculos'!AC80</f>
        <v>CDR seco + CDR org.</v>
      </c>
      <c r="L81" s="2242">
        <f>+'CO2 - Cálculos'!AF80</f>
        <v>0</v>
      </c>
      <c r="M81" s="2275"/>
      <c r="N81" s="1890"/>
      <c r="O81" s="1890"/>
      <c r="P81" s="1890"/>
      <c r="Q81" s="1890"/>
      <c r="R81" s="1890"/>
      <c r="S81" s="1890"/>
      <c r="T81" s="1890"/>
    </row>
    <row r="82" spans="1:20" ht="14.25" x14ac:dyDescent="0.25">
      <c r="A82" s="1890"/>
      <c r="B82" s="1890"/>
      <c r="C82" s="1890"/>
      <c r="D82" s="1890"/>
      <c r="E82" s="2267"/>
      <c r="F82" s="1890"/>
      <c r="G82" s="1890"/>
      <c r="H82" s="1890"/>
      <c r="I82" s="1890"/>
      <c r="J82" s="1890"/>
      <c r="K82" s="2302" t="str">
        <f>+'CO2 - Cálculos'!AC81</f>
        <v>Incineração</v>
      </c>
      <c r="L82" s="2242">
        <f>+'CO2 - Cálculos'!AF81</f>
        <v>0</v>
      </c>
      <c r="M82" s="2275"/>
      <c r="N82" s="1890"/>
      <c r="O82" s="1890"/>
      <c r="P82" s="1890"/>
      <c r="Q82" s="1890"/>
      <c r="R82" s="1890"/>
      <c r="S82" s="1890"/>
      <c r="T82" s="1890"/>
    </row>
    <row r="83" spans="1:20" ht="14.25" x14ac:dyDescent="0.25">
      <c r="A83" s="1890"/>
      <c r="B83" s="1890"/>
      <c r="C83" s="1890"/>
      <c r="D83" s="1890"/>
      <c r="E83" s="2267"/>
      <c r="F83" s="1890"/>
      <c r="G83" s="1890"/>
      <c r="H83" s="1890"/>
      <c r="I83" s="1890"/>
      <c r="J83" s="1890"/>
      <c r="K83" s="2304" t="s">
        <v>1256</v>
      </c>
      <c r="L83" s="2275"/>
      <c r="M83" s="2275"/>
      <c r="N83" s="1890"/>
      <c r="O83" s="1890"/>
      <c r="P83" s="1890"/>
      <c r="Q83" s="1890"/>
      <c r="R83" s="1890"/>
      <c r="S83" s="1890"/>
      <c r="T83" s="1890"/>
    </row>
    <row r="84" spans="1:20" ht="14.25" x14ac:dyDescent="0.25">
      <c r="A84" s="1890"/>
      <c r="B84" s="1890"/>
      <c r="C84" s="1890"/>
      <c r="D84" s="1890"/>
      <c r="E84" s="2267"/>
      <c r="F84" s="1890"/>
      <c r="G84" s="1890"/>
      <c r="H84" s="1890"/>
      <c r="I84" s="1890"/>
      <c r="J84" s="1890"/>
      <c r="K84" s="2304" t="s">
        <v>1257</v>
      </c>
      <c r="L84" s="2275"/>
      <c r="M84" s="2242">
        <f>SUM(L62:L71,L73:L82)</f>
        <v>3430.0688365436308</v>
      </c>
      <c r="N84" s="1890"/>
      <c r="O84" s="1890"/>
      <c r="P84" s="1890"/>
      <c r="Q84" s="1890"/>
      <c r="R84" s="1890"/>
      <c r="S84" s="1890"/>
      <c r="T84" s="1890"/>
    </row>
    <row r="85" spans="1:20" x14ac:dyDescent="0.2">
      <c r="A85" s="1890"/>
      <c r="B85" s="1890"/>
      <c r="C85" s="1890"/>
      <c r="D85" s="1890"/>
      <c r="E85" s="1890"/>
      <c r="F85" s="1890"/>
      <c r="G85" s="1890"/>
      <c r="H85" s="1890"/>
      <c r="I85" s="1890"/>
      <c r="J85" s="1890"/>
      <c r="K85" s="1890"/>
      <c r="L85" s="1890"/>
      <c r="M85" s="1890"/>
      <c r="N85" s="1890"/>
      <c r="O85" s="1890"/>
      <c r="P85" s="1890"/>
      <c r="Q85" s="1890"/>
      <c r="R85" s="1890"/>
      <c r="S85" s="1890"/>
      <c r="T85" s="1890"/>
    </row>
    <row r="86" spans="1:20" x14ac:dyDescent="0.2">
      <c r="A86" s="1890"/>
      <c r="B86" s="1890"/>
      <c r="C86" s="1890"/>
      <c r="D86" s="1890"/>
      <c r="E86" s="1890"/>
      <c r="F86" s="1890"/>
      <c r="G86" s="1890"/>
      <c r="H86" s="1890"/>
      <c r="I86" s="1890"/>
      <c r="J86" s="1890"/>
      <c r="K86" s="1890"/>
      <c r="L86" s="1890"/>
      <c r="M86" s="1890"/>
      <c r="N86" s="1890"/>
      <c r="O86" s="1890"/>
      <c r="P86" s="1890"/>
      <c r="Q86" s="1890"/>
      <c r="R86" s="1890"/>
      <c r="S86" s="1890"/>
      <c r="T86" s="1890"/>
    </row>
    <row r="87" spans="1:20" x14ac:dyDescent="0.2">
      <c r="A87" s="1890"/>
      <c r="B87" s="1890"/>
      <c r="C87" s="1890"/>
      <c r="D87" s="1890"/>
      <c r="E87" s="1890"/>
      <c r="F87" s="1890"/>
      <c r="G87" s="1890"/>
      <c r="H87" s="1890"/>
      <c r="I87" s="1890"/>
      <c r="J87" s="1890"/>
      <c r="K87" s="1890"/>
      <c r="L87" s="1890"/>
      <c r="M87" s="1890"/>
      <c r="N87" s="1890"/>
      <c r="O87" s="1890"/>
      <c r="P87" s="1890"/>
      <c r="Q87" s="1890"/>
      <c r="R87" s="1890"/>
      <c r="S87" s="1890"/>
      <c r="T87" s="1890"/>
    </row>
    <row r="88" spans="1:20" x14ac:dyDescent="0.2">
      <c r="A88" s="1890"/>
      <c r="B88" s="1890"/>
      <c r="C88" s="1890"/>
      <c r="D88" s="1890"/>
      <c r="E88" s="1890"/>
      <c r="F88" s="1890"/>
      <c r="G88" s="1890"/>
      <c r="H88" s="1890"/>
      <c r="I88" s="1890"/>
      <c r="J88" s="1890"/>
      <c r="K88" s="1890"/>
      <c r="L88" s="1890"/>
      <c r="M88" s="1890"/>
      <c r="N88" s="1890"/>
      <c r="O88" s="1890"/>
      <c r="P88" s="1890"/>
      <c r="Q88" s="1890"/>
      <c r="R88" s="1890"/>
      <c r="S88" s="1890"/>
      <c r="T88" s="1890"/>
    </row>
    <row r="89" spans="1:20" x14ac:dyDescent="0.2">
      <c r="A89" s="1890"/>
      <c r="B89" s="1890"/>
      <c r="C89" s="1890"/>
      <c r="D89" s="1890"/>
      <c r="E89" s="1890"/>
      <c r="F89" s="1890"/>
      <c r="G89" s="1890"/>
      <c r="H89" s="1890"/>
      <c r="I89" s="1890"/>
      <c r="J89" s="1890"/>
      <c r="K89" s="1890"/>
      <c r="L89" s="1890"/>
      <c r="M89" s="1890"/>
      <c r="N89" s="1890"/>
      <c r="O89" s="1890"/>
      <c r="P89" s="1890"/>
      <c r="Q89" s="1890"/>
      <c r="R89" s="1890"/>
      <c r="S89" s="1890"/>
      <c r="T89" s="1890"/>
    </row>
    <row r="90" spans="1:20" x14ac:dyDescent="0.2">
      <c r="A90" s="1890"/>
      <c r="B90" s="1890"/>
      <c r="C90" s="1890"/>
      <c r="D90" s="1890"/>
      <c r="E90" s="1890"/>
      <c r="F90" s="1890"/>
      <c r="G90" s="1890"/>
      <c r="H90" s="1890"/>
      <c r="I90" s="1890"/>
      <c r="J90" s="1890"/>
      <c r="K90" s="1890"/>
      <c r="L90" s="1890"/>
      <c r="M90" s="1890"/>
      <c r="N90" s="1890"/>
      <c r="O90" s="1890"/>
      <c r="P90" s="1890"/>
      <c r="Q90" s="1890"/>
      <c r="R90" s="1890"/>
      <c r="S90" s="1890"/>
      <c r="T90" s="1890"/>
    </row>
    <row r="91" spans="1:20" x14ac:dyDescent="0.2">
      <c r="A91" s="1890"/>
      <c r="B91" s="1890"/>
      <c r="C91" s="1890"/>
      <c r="D91" s="1890"/>
      <c r="E91" s="1890"/>
      <c r="F91" s="1890"/>
      <c r="G91" s="1890"/>
      <c r="H91" s="1890"/>
      <c r="I91" s="1890"/>
      <c r="J91" s="1890"/>
      <c r="K91" s="1890"/>
      <c r="L91" s="1890"/>
      <c r="M91" s="1890"/>
      <c r="N91" s="1890"/>
      <c r="O91" s="1890"/>
      <c r="P91" s="1890"/>
      <c r="Q91" s="1890"/>
      <c r="R91" s="1890"/>
      <c r="S91" s="1890"/>
      <c r="T91" s="1890"/>
    </row>
    <row r="92" spans="1:20" x14ac:dyDescent="0.2">
      <c r="A92" s="1890"/>
      <c r="B92" s="1890"/>
      <c r="C92" s="1890"/>
      <c r="D92" s="1890"/>
      <c r="E92" s="1890"/>
      <c r="F92" s="1890"/>
      <c r="G92" s="1890"/>
      <c r="H92" s="1890"/>
      <c r="I92" s="1890"/>
      <c r="J92" s="1890"/>
      <c r="K92" s="1890"/>
      <c r="L92" s="1890"/>
      <c r="M92" s="1890"/>
      <c r="N92" s="1890"/>
      <c r="O92" s="1890"/>
      <c r="P92" s="1890"/>
      <c r="Q92" s="1890"/>
      <c r="R92" s="1890"/>
      <c r="S92" s="1890"/>
      <c r="T92" s="1890"/>
    </row>
    <row r="93" spans="1:20" x14ac:dyDescent="0.2">
      <c r="A93" s="1890"/>
      <c r="B93" s="1890"/>
      <c r="C93" s="1890"/>
      <c r="D93" s="1890"/>
      <c r="E93" s="1890"/>
      <c r="F93" s="1890"/>
      <c r="G93" s="1890"/>
      <c r="H93" s="1890"/>
      <c r="I93" s="1890"/>
      <c r="J93" s="1890"/>
      <c r="K93" s="1890"/>
      <c r="L93" s="1890"/>
      <c r="M93" s="1890"/>
      <c r="N93" s="1890"/>
      <c r="O93" s="1890"/>
      <c r="P93" s="1890"/>
      <c r="Q93" s="1890"/>
      <c r="R93" s="1890"/>
      <c r="S93" s="1890"/>
      <c r="T93" s="1890"/>
    </row>
    <row r="94" spans="1:20" x14ac:dyDescent="0.2">
      <c r="A94" s="1890"/>
      <c r="B94" s="1890"/>
      <c r="C94" s="1890"/>
      <c r="D94" s="1890"/>
      <c r="E94" s="1890"/>
      <c r="F94" s="1890"/>
      <c r="G94" s="1890"/>
      <c r="H94" s="1890"/>
      <c r="I94" s="1890"/>
      <c r="J94" s="1890"/>
      <c r="K94" s="1890"/>
      <c r="L94" s="1890"/>
      <c r="M94" s="1890"/>
      <c r="N94" s="1890"/>
      <c r="O94" s="1890"/>
      <c r="P94" s="1890"/>
      <c r="Q94" s="1890"/>
      <c r="R94" s="1890"/>
      <c r="S94" s="1890"/>
      <c r="T94" s="1890"/>
    </row>
    <row r="95" spans="1:20" x14ac:dyDescent="0.2">
      <c r="A95" s="1890"/>
      <c r="B95" s="1890"/>
      <c r="C95" s="1890"/>
      <c r="D95" s="1890"/>
      <c r="E95" s="1890"/>
      <c r="F95" s="1890"/>
      <c r="G95" s="1890"/>
      <c r="H95" s="1890"/>
      <c r="I95" s="1890"/>
      <c r="J95" s="1890"/>
      <c r="K95" s="1890"/>
      <c r="L95" s="1890"/>
      <c r="M95" s="1890"/>
      <c r="N95" s="1890"/>
      <c r="O95" s="1890"/>
      <c r="P95" s="1890"/>
      <c r="Q95" s="1890"/>
      <c r="R95" s="1890"/>
      <c r="S95" s="1890"/>
      <c r="T95" s="1890"/>
    </row>
    <row r="96" spans="1:20" x14ac:dyDescent="0.2">
      <c r="A96" s="1890"/>
      <c r="B96" s="1890"/>
      <c r="C96" s="1890"/>
      <c r="D96" s="1890"/>
      <c r="E96" s="1890"/>
      <c r="F96" s="1890"/>
      <c r="G96" s="1890"/>
      <c r="H96" s="1890"/>
      <c r="I96" s="1890"/>
      <c r="J96" s="1890"/>
      <c r="K96" s="1890"/>
      <c r="L96" s="1890"/>
      <c r="M96" s="1890"/>
      <c r="N96" s="1890"/>
      <c r="O96" s="1890"/>
      <c r="P96" s="1890"/>
      <c r="Q96" s="1890"/>
      <c r="R96" s="1890"/>
      <c r="S96" s="1890"/>
      <c r="T96" s="1890"/>
    </row>
    <row r="97" spans="1:20" x14ac:dyDescent="0.2">
      <c r="A97" s="1890"/>
      <c r="B97" s="1890"/>
      <c r="C97" s="1890"/>
      <c r="D97" s="1890"/>
      <c r="E97" s="1890"/>
      <c r="F97" s="1890"/>
      <c r="G97" s="1890"/>
      <c r="H97" s="1890"/>
      <c r="I97" s="1890"/>
      <c r="J97" s="1890"/>
      <c r="K97" s="1890"/>
      <c r="L97" s="1890"/>
      <c r="M97" s="1890"/>
      <c r="N97" s="1890"/>
      <c r="O97" s="1890"/>
      <c r="P97" s="1890"/>
      <c r="Q97" s="1890"/>
      <c r="R97" s="1890"/>
      <c r="S97" s="1890"/>
      <c r="T97" s="1890"/>
    </row>
    <row r="98" spans="1:20" x14ac:dyDescent="0.2">
      <c r="A98" s="1890"/>
      <c r="B98" s="1890"/>
      <c r="C98" s="1890"/>
      <c r="D98" s="1890"/>
      <c r="E98" s="1890"/>
      <c r="F98" s="1890"/>
      <c r="G98" s="1890"/>
      <c r="H98" s="1890"/>
      <c r="I98" s="1890"/>
      <c r="J98" s="1890"/>
      <c r="K98" s="1890"/>
      <c r="L98" s="1890"/>
      <c r="M98" s="1890"/>
      <c r="N98" s="1890"/>
      <c r="O98" s="1890"/>
      <c r="P98" s="1890"/>
      <c r="Q98" s="1890"/>
      <c r="R98" s="1890"/>
      <c r="S98" s="1890"/>
      <c r="T98" s="1890"/>
    </row>
    <row r="99" spans="1:20" x14ac:dyDescent="0.2">
      <c r="A99" s="1890"/>
      <c r="B99" s="1890"/>
      <c r="C99" s="1890"/>
      <c r="D99" s="1890"/>
      <c r="E99" s="1890"/>
      <c r="F99" s="1890"/>
      <c r="G99" s="1890"/>
      <c r="H99" s="1890"/>
      <c r="I99" s="1890"/>
      <c r="J99" s="1890"/>
      <c r="K99" s="1890"/>
      <c r="L99" s="1890"/>
      <c r="M99" s="1890"/>
      <c r="N99" s="1890"/>
      <c r="O99" s="1890"/>
      <c r="P99" s="1890"/>
      <c r="Q99" s="1890"/>
      <c r="R99" s="1890"/>
      <c r="S99" s="1890"/>
      <c r="T99" s="1890"/>
    </row>
    <row r="100" spans="1:20" x14ac:dyDescent="0.2">
      <c r="A100" s="1890"/>
      <c r="B100" s="1890"/>
      <c r="C100" s="1890"/>
      <c r="D100" s="1890"/>
      <c r="E100" s="1890"/>
      <c r="F100" s="1890"/>
      <c r="G100" s="1890"/>
      <c r="H100" s="1890"/>
      <c r="I100" s="1890"/>
      <c r="J100" s="1890"/>
      <c r="K100" s="1890"/>
      <c r="L100" s="1890"/>
      <c r="M100" s="1890"/>
      <c r="N100" s="1890"/>
      <c r="O100" s="1890"/>
      <c r="P100" s="1890"/>
      <c r="Q100" s="1890"/>
      <c r="R100" s="1890"/>
      <c r="S100" s="1890"/>
      <c r="T100" s="1890"/>
    </row>
    <row r="101" spans="1:20" x14ac:dyDescent="0.2">
      <c r="A101" s="1890"/>
      <c r="B101" s="1890"/>
      <c r="C101" s="1890"/>
      <c r="D101" s="1890"/>
      <c r="E101" s="1890"/>
      <c r="F101" s="1890"/>
      <c r="G101" s="1890"/>
      <c r="H101" s="1890"/>
      <c r="I101" s="1890"/>
      <c r="J101" s="1890"/>
      <c r="K101" s="1890"/>
      <c r="L101" s="1890"/>
      <c r="M101" s="1890"/>
      <c r="N101" s="1890"/>
      <c r="O101" s="1890"/>
      <c r="P101" s="1890"/>
      <c r="Q101" s="1890"/>
      <c r="R101" s="1890"/>
      <c r="S101" s="1890"/>
      <c r="T101" s="1890"/>
    </row>
    <row r="102" spans="1:20" x14ac:dyDescent="0.2">
      <c r="A102" s="1890"/>
      <c r="B102" s="1890"/>
      <c r="C102" s="1890"/>
      <c r="D102" s="1890"/>
      <c r="E102" s="1890"/>
      <c r="F102" s="1890"/>
      <c r="G102" s="1890"/>
      <c r="H102" s="1890"/>
      <c r="I102" s="1890"/>
      <c r="J102" s="1890"/>
      <c r="K102" s="1890"/>
      <c r="L102" s="1890"/>
      <c r="M102" s="1890"/>
      <c r="N102" s="1890"/>
      <c r="O102" s="1890"/>
      <c r="P102" s="1890"/>
      <c r="Q102" s="1890"/>
      <c r="R102" s="1890"/>
      <c r="S102" s="1890"/>
      <c r="T102" s="1890"/>
    </row>
    <row r="103" spans="1:20" x14ac:dyDescent="0.2">
      <c r="A103" s="1890"/>
      <c r="B103" s="1890"/>
      <c r="C103" s="1890"/>
      <c r="D103" s="1890"/>
      <c r="E103" s="1890"/>
      <c r="F103" s="1890"/>
      <c r="G103" s="1890"/>
      <c r="H103" s="1890"/>
      <c r="I103" s="1890"/>
      <c r="J103" s="1890"/>
      <c r="K103" s="1890"/>
      <c r="L103" s="1890"/>
      <c r="M103" s="1890"/>
      <c r="N103" s="1890"/>
      <c r="O103" s="1890"/>
      <c r="P103" s="1890"/>
      <c r="Q103" s="1890"/>
      <c r="R103" s="1890"/>
      <c r="S103" s="1890"/>
      <c r="T103" s="1890"/>
    </row>
    <row r="104" spans="1:20" x14ac:dyDescent="0.2">
      <c r="A104" s="1890"/>
      <c r="B104" s="1890"/>
      <c r="C104" s="1890"/>
      <c r="D104" s="1890"/>
      <c r="E104" s="1890"/>
      <c r="F104" s="1890"/>
      <c r="G104" s="1890"/>
      <c r="H104" s="1890"/>
      <c r="I104" s="1890"/>
      <c r="J104" s="1890"/>
      <c r="K104" s="1890"/>
      <c r="L104" s="1890"/>
      <c r="M104" s="1890"/>
      <c r="N104" s="1890"/>
      <c r="O104" s="1890"/>
      <c r="P104" s="1890"/>
      <c r="Q104" s="1890"/>
      <c r="R104" s="1890"/>
      <c r="S104" s="1890"/>
      <c r="T104" s="1890"/>
    </row>
    <row r="105" spans="1:20" x14ac:dyDescent="0.2">
      <c r="A105" s="1890"/>
      <c r="B105" s="1890"/>
      <c r="C105" s="1890"/>
      <c r="D105" s="1890"/>
      <c r="E105" s="1890"/>
      <c r="F105" s="1890"/>
      <c r="G105" s="1890"/>
      <c r="H105" s="1890"/>
      <c r="I105" s="1890"/>
      <c r="J105" s="1890"/>
      <c r="K105" s="1890"/>
      <c r="L105" s="1890"/>
      <c r="M105" s="1890"/>
      <c r="N105" s="1890"/>
      <c r="O105" s="1890"/>
      <c r="P105" s="1890"/>
      <c r="Q105" s="1890"/>
      <c r="R105" s="1890"/>
      <c r="S105" s="1890"/>
      <c r="T105" s="1890"/>
    </row>
    <row r="106" spans="1:20" x14ac:dyDescent="0.2">
      <c r="A106" s="1890"/>
      <c r="B106" s="1890"/>
      <c r="C106" s="1890"/>
      <c r="D106" s="1890"/>
      <c r="E106" s="1890"/>
      <c r="F106" s="1890"/>
      <c r="G106" s="1890"/>
      <c r="H106" s="1890"/>
      <c r="I106" s="1890"/>
      <c r="J106" s="1890"/>
      <c r="K106" s="1890"/>
      <c r="L106" s="1890"/>
      <c r="M106" s="1890"/>
      <c r="N106" s="1890"/>
      <c r="O106" s="1890"/>
      <c r="P106" s="1890"/>
      <c r="Q106" s="1890"/>
      <c r="R106" s="1890"/>
      <c r="S106" s="1890"/>
      <c r="T106" s="1890"/>
    </row>
    <row r="107" spans="1:20" x14ac:dyDescent="0.2">
      <c r="A107" s="1890"/>
      <c r="B107" s="1890"/>
      <c r="C107" s="1890"/>
      <c r="D107" s="1890"/>
      <c r="E107" s="1890"/>
      <c r="F107" s="1890"/>
      <c r="G107" s="1890"/>
      <c r="H107" s="1890"/>
      <c r="I107" s="1890"/>
      <c r="J107" s="1890"/>
      <c r="K107" s="1890"/>
      <c r="L107" s="1890"/>
      <c r="M107" s="1890"/>
      <c r="N107" s="1890"/>
      <c r="O107" s="1890"/>
      <c r="P107" s="1890"/>
      <c r="Q107" s="1890"/>
      <c r="R107" s="1890"/>
      <c r="S107" s="1890"/>
      <c r="T107" s="1890"/>
    </row>
    <row r="108" spans="1:20" x14ac:dyDescent="0.2">
      <c r="A108" s="1890"/>
      <c r="B108" s="1890"/>
      <c r="C108" s="1890"/>
      <c r="D108" s="1890"/>
      <c r="E108" s="1890"/>
      <c r="F108" s="1890"/>
      <c r="G108" s="1890"/>
      <c r="H108" s="1890"/>
      <c r="I108" s="1890"/>
      <c r="J108" s="1890"/>
      <c r="K108" s="1890"/>
      <c r="L108" s="1890"/>
      <c r="M108" s="1890"/>
      <c r="N108" s="1890"/>
      <c r="O108" s="1890"/>
      <c r="P108" s="1890"/>
      <c r="Q108" s="1890"/>
      <c r="R108" s="1890"/>
      <c r="S108" s="1890"/>
      <c r="T108" s="1890"/>
    </row>
    <row r="109" spans="1:20" x14ac:dyDescent="0.2">
      <c r="A109" s="1890"/>
      <c r="B109" s="1890"/>
      <c r="C109" s="1890"/>
      <c r="D109" s="1890"/>
      <c r="E109" s="1890"/>
      <c r="F109" s="1890"/>
      <c r="G109" s="1890"/>
      <c r="H109" s="1890"/>
      <c r="I109" s="1890"/>
      <c r="J109" s="1890"/>
      <c r="K109" s="1890"/>
      <c r="L109" s="1890"/>
      <c r="M109" s="1890"/>
      <c r="N109" s="1890"/>
      <c r="O109" s="1890"/>
      <c r="P109" s="1890"/>
      <c r="Q109" s="1890"/>
      <c r="R109" s="1890"/>
      <c r="S109" s="1890"/>
      <c r="T109" s="1890"/>
    </row>
    <row r="110" spans="1:20" x14ac:dyDescent="0.2">
      <c r="A110" s="1890"/>
      <c r="B110" s="1890"/>
      <c r="C110" s="1890"/>
      <c r="D110" s="1890"/>
      <c r="E110" s="1890"/>
      <c r="F110" s="1890"/>
      <c r="G110" s="1890"/>
      <c r="H110" s="1890"/>
      <c r="I110" s="1890"/>
      <c r="J110" s="1890"/>
      <c r="K110" s="1890"/>
      <c r="L110" s="1890"/>
      <c r="M110" s="1890"/>
      <c r="N110" s="1890"/>
      <c r="O110" s="1890"/>
      <c r="P110" s="1890"/>
      <c r="Q110" s="1890"/>
      <c r="R110" s="1890"/>
      <c r="S110" s="1890"/>
      <c r="T110" s="1890"/>
    </row>
    <row r="111" spans="1:20" x14ac:dyDescent="0.2">
      <c r="A111" s="1890"/>
      <c r="B111" s="1890"/>
      <c r="C111" s="1890"/>
      <c r="D111" s="1890"/>
      <c r="E111" s="1890"/>
      <c r="F111" s="1890"/>
      <c r="G111" s="1890"/>
      <c r="H111" s="1890"/>
      <c r="I111" s="1890"/>
      <c r="J111" s="1890"/>
      <c r="K111" s="1890"/>
      <c r="L111" s="1890"/>
      <c r="M111" s="1890"/>
      <c r="N111" s="1890"/>
      <c r="O111" s="1890"/>
      <c r="P111" s="1890"/>
      <c r="Q111" s="1890"/>
      <c r="R111" s="1890"/>
      <c r="S111" s="1890"/>
      <c r="T111" s="1890"/>
    </row>
    <row r="112" spans="1:20" x14ac:dyDescent="0.2">
      <c r="A112" s="1890"/>
      <c r="B112" s="1890"/>
      <c r="C112" s="1890"/>
      <c r="D112" s="1890"/>
      <c r="E112" s="1890"/>
      <c r="F112" s="1890"/>
      <c r="G112" s="1890"/>
      <c r="H112" s="1890"/>
      <c r="I112" s="1890"/>
      <c r="J112" s="1890"/>
      <c r="K112" s="1890"/>
      <c r="L112" s="1890"/>
      <c r="M112" s="1890"/>
      <c r="N112" s="1890"/>
      <c r="O112" s="1890"/>
      <c r="P112" s="1890"/>
      <c r="Q112" s="1890"/>
      <c r="R112" s="1890"/>
      <c r="S112" s="1890"/>
      <c r="T112" s="1890"/>
    </row>
    <row r="113" spans="1:20" x14ac:dyDescent="0.2">
      <c r="A113" s="1890"/>
      <c r="B113" s="1890"/>
      <c r="C113" s="1890"/>
      <c r="D113" s="1890"/>
      <c r="E113" s="1890"/>
      <c r="F113" s="1890"/>
      <c r="G113" s="1890"/>
      <c r="H113" s="1890"/>
      <c r="I113" s="1890"/>
      <c r="J113" s="1890"/>
      <c r="K113" s="1890"/>
      <c r="L113" s="1890"/>
      <c r="M113" s="1890"/>
      <c r="N113" s="1890"/>
      <c r="O113" s="1890"/>
      <c r="P113" s="1890"/>
      <c r="Q113" s="1890"/>
      <c r="R113" s="1890"/>
      <c r="S113" s="1890"/>
      <c r="T113" s="1890"/>
    </row>
    <row r="114" spans="1:20" x14ac:dyDescent="0.2">
      <c r="A114" s="1890"/>
      <c r="B114" s="1890"/>
      <c r="C114" s="1890"/>
      <c r="D114" s="1890"/>
      <c r="E114" s="1890"/>
      <c r="F114" s="1890"/>
      <c r="G114" s="1890"/>
      <c r="H114" s="1890"/>
      <c r="I114" s="1890"/>
      <c r="J114" s="1890"/>
      <c r="K114" s="1890"/>
      <c r="L114" s="1890"/>
      <c r="M114" s="1890"/>
      <c r="N114" s="1890"/>
      <c r="O114" s="1890"/>
      <c r="P114" s="1890"/>
      <c r="Q114" s="1890"/>
      <c r="R114" s="1890"/>
      <c r="S114" s="1890"/>
      <c r="T114" s="1890"/>
    </row>
    <row r="115" spans="1:20" x14ac:dyDescent="0.2">
      <c r="A115" s="1890"/>
      <c r="B115" s="1890"/>
      <c r="C115" s="1890"/>
      <c r="D115" s="1890"/>
      <c r="E115" s="1890"/>
      <c r="F115" s="1890"/>
      <c r="G115" s="1890"/>
      <c r="H115" s="1890"/>
      <c r="I115" s="1890"/>
      <c r="J115" s="1890"/>
      <c r="K115" s="1890"/>
      <c r="L115" s="1890"/>
      <c r="M115" s="1890"/>
      <c r="N115" s="1890"/>
      <c r="O115" s="1890"/>
      <c r="P115" s="1890"/>
      <c r="Q115" s="1890"/>
      <c r="R115" s="1890"/>
      <c r="S115" s="1890"/>
      <c r="T115" s="1890"/>
    </row>
    <row r="116" spans="1:20" x14ac:dyDescent="0.2">
      <c r="A116" s="1890"/>
      <c r="B116" s="1890"/>
      <c r="C116" s="1890"/>
      <c r="D116" s="1890"/>
      <c r="E116" s="1890"/>
      <c r="F116" s="1890"/>
      <c r="G116" s="1890"/>
      <c r="H116" s="1890"/>
      <c r="I116" s="1890"/>
      <c r="J116" s="1890"/>
      <c r="K116" s="1890"/>
      <c r="L116" s="1890"/>
      <c r="M116" s="1890"/>
      <c r="N116" s="1890"/>
      <c r="O116" s="1890"/>
      <c r="P116" s="1890"/>
      <c r="Q116" s="1890"/>
      <c r="R116" s="1890"/>
      <c r="S116" s="1890"/>
      <c r="T116" s="1890"/>
    </row>
    <row r="117" spans="1:20" x14ac:dyDescent="0.2">
      <c r="A117" s="1890"/>
      <c r="B117" s="1890"/>
      <c r="C117" s="1890"/>
      <c r="D117" s="1890"/>
      <c r="E117" s="1890"/>
      <c r="F117" s="1890"/>
      <c r="G117" s="1890"/>
      <c r="H117" s="1890"/>
      <c r="I117" s="1890"/>
      <c r="J117" s="1890"/>
      <c r="K117" s="1890"/>
      <c r="L117" s="1890"/>
      <c r="M117" s="1890"/>
      <c r="N117" s="1890"/>
      <c r="O117" s="1890"/>
      <c r="P117" s="1890"/>
      <c r="Q117" s="1890"/>
      <c r="R117" s="1890"/>
      <c r="S117" s="1890"/>
      <c r="T117" s="1890"/>
    </row>
    <row r="118" spans="1:20" x14ac:dyDescent="0.2">
      <c r="A118" s="1890"/>
      <c r="B118" s="1890"/>
      <c r="C118" s="1890"/>
      <c r="D118" s="1890"/>
      <c r="E118" s="1890"/>
      <c r="F118" s="1890"/>
      <c r="G118" s="1890"/>
      <c r="H118" s="1890"/>
      <c r="I118" s="1890"/>
      <c r="J118" s="1890"/>
      <c r="K118" s="1890"/>
      <c r="L118" s="1890"/>
      <c r="M118" s="1890"/>
      <c r="N118" s="1890"/>
      <c r="O118" s="1890"/>
      <c r="P118" s="1890"/>
      <c r="Q118" s="1890"/>
      <c r="R118" s="1890"/>
      <c r="S118" s="1890"/>
      <c r="T118" s="1890"/>
    </row>
    <row r="119" spans="1:20" x14ac:dyDescent="0.2">
      <c r="A119" s="1890"/>
      <c r="B119" s="1890"/>
      <c r="C119" s="1890"/>
      <c r="D119" s="1890"/>
      <c r="E119" s="1890"/>
      <c r="F119" s="1890"/>
      <c r="G119" s="1890"/>
      <c r="H119" s="1890"/>
      <c r="I119" s="1890"/>
      <c r="J119" s="1890"/>
      <c r="K119" s="1890"/>
      <c r="L119" s="1890"/>
      <c r="M119" s="1890"/>
      <c r="N119" s="1890"/>
      <c r="O119" s="1890"/>
      <c r="P119" s="1890"/>
      <c r="Q119" s="1890"/>
      <c r="R119" s="1890"/>
      <c r="S119" s="1890"/>
      <c r="T119" s="1890"/>
    </row>
    <row r="120" spans="1:20" x14ac:dyDescent="0.2">
      <c r="A120" s="1890"/>
      <c r="B120" s="1890"/>
      <c r="C120" s="1890"/>
      <c r="D120" s="1890"/>
      <c r="E120" s="1890"/>
      <c r="F120" s="1890"/>
      <c r="G120" s="1890"/>
      <c r="H120" s="1890"/>
      <c r="I120" s="1890"/>
      <c r="J120" s="1890"/>
      <c r="K120" s="1890"/>
      <c r="L120" s="1890"/>
      <c r="M120" s="1890"/>
      <c r="N120" s="1890"/>
      <c r="O120" s="1890"/>
      <c r="P120" s="1890"/>
      <c r="Q120" s="1890"/>
      <c r="R120" s="1890"/>
      <c r="S120" s="1890"/>
      <c r="T120" s="1890"/>
    </row>
    <row r="121" spans="1:20" x14ac:dyDescent="0.2">
      <c r="A121" s="1890"/>
      <c r="B121" s="1890"/>
      <c r="C121" s="1890"/>
      <c r="D121" s="1890"/>
      <c r="E121" s="1890"/>
      <c r="F121" s="1890"/>
      <c r="G121" s="1890"/>
      <c r="H121" s="1890"/>
      <c r="I121" s="1890"/>
      <c r="J121" s="1890"/>
      <c r="K121" s="1890"/>
      <c r="L121" s="1890"/>
      <c r="M121" s="1890"/>
      <c r="N121" s="1890"/>
      <c r="O121" s="1890"/>
      <c r="P121" s="1890"/>
      <c r="Q121" s="1890"/>
      <c r="R121" s="1890"/>
      <c r="S121" s="1890"/>
      <c r="T121" s="1890"/>
    </row>
  </sheetData>
  <sheetProtection selectLockedCells="1" selectUnlockedCells="1"/>
  <mergeCells count="2">
    <mergeCell ref="O5:P5"/>
    <mergeCell ref="O6:P6"/>
  </mergeCells>
  <pageMargins left="0.78740157499999996" right="0.78740157499999996" top="0.984251969" bottom="0.984251969" header="0.4921259845" footer="0.4921259845"/>
  <pageSetup paperSize="9" orientation="portrait" r:id="rId1"/>
  <headerFooter alignWithMargins="0"/>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029CEB-CEC2-4A62-92C2-57AF1FDA777A}">
  <dimension ref="A1:Z121"/>
  <sheetViews>
    <sheetView zoomScale="70" zoomScaleNormal="70" zoomScalePageLayoutView="30" workbookViewId="0">
      <selection activeCell="L13" sqref="L13"/>
    </sheetView>
  </sheetViews>
  <sheetFormatPr defaultColWidth="11.42578125" defaultRowHeight="12.75" x14ac:dyDescent="0.2"/>
  <cols>
    <col min="1" max="1" width="8.42578125" style="1846" customWidth="1"/>
    <col min="2" max="2" width="37.42578125" style="1846" customWidth="1"/>
    <col min="3" max="3" width="17" style="1846" customWidth="1"/>
    <col min="4" max="4" width="15.42578125" style="1846" bestFit="1" customWidth="1"/>
    <col min="5" max="5" width="16.140625" style="1846" customWidth="1"/>
    <col min="6" max="7" width="11.42578125" style="1846"/>
    <col min="8" max="8" width="17.7109375" style="1846" bestFit="1" customWidth="1"/>
    <col min="9" max="9" width="22.85546875" style="1846" bestFit="1" customWidth="1"/>
    <col min="10" max="10" width="12" style="1846" customWidth="1"/>
    <col min="11" max="11" width="34.42578125" style="1846" customWidth="1"/>
    <col min="12" max="12" width="19.5703125" style="1846" bestFit="1" customWidth="1"/>
    <col min="13" max="13" width="10.85546875" style="1846" customWidth="1"/>
    <col min="14" max="16384" width="11.42578125" style="1846"/>
  </cols>
  <sheetData>
    <row r="1" spans="1:20" s="2229" customFormat="1" ht="26.1" customHeight="1" x14ac:dyDescent="0.2">
      <c r="A1" s="1912" t="s">
        <v>1235</v>
      </c>
      <c r="B1" s="1985"/>
      <c r="C1" s="1985"/>
      <c r="D1" s="1985"/>
      <c r="E1" s="1985"/>
      <c r="F1" s="2305"/>
      <c r="G1" s="2305"/>
      <c r="H1" s="2305"/>
      <c r="I1" s="2305"/>
      <c r="J1" s="2305"/>
      <c r="K1" s="2228"/>
      <c r="L1" s="2228"/>
      <c r="M1" s="2228"/>
      <c r="N1" s="2228"/>
      <c r="O1" s="2228"/>
      <c r="P1" s="2228"/>
      <c r="Q1" s="2228"/>
      <c r="R1" s="2228"/>
      <c r="S1" s="2228"/>
      <c r="T1" s="2228"/>
    </row>
    <row r="2" spans="1:20" ht="14.25" customHeight="1" x14ac:dyDescent="0.25">
      <c r="A2" s="2230"/>
      <c r="B2" s="2231"/>
      <c r="C2" s="2030"/>
      <c r="D2" s="2030"/>
      <c r="E2" s="2030"/>
      <c r="F2" s="2030"/>
      <c r="G2" s="2030"/>
      <c r="H2" s="2030"/>
      <c r="I2" s="2030"/>
      <c r="J2" s="2030"/>
      <c r="K2" s="1890"/>
      <c r="L2" s="1890"/>
      <c r="M2" s="1890"/>
      <c r="N2" s="1890"/>
      <c r="O2" s="1890"/>
      <c r="P2" s="1890"/>
      <c r="Q2" s="1890"/>
      <c r="R2" s="1890"/>
      <c r="S2" s="1890"/>
      <c r="T2" s="1890"/>
    </row>
    <row r="3" spans="1:20" ht="18" customHeight="1" x14ac:dyDescent="0.2">
      <c r="A3" s="1890"/>
      <c r="B3" s="2306" t="s">
        <v>1236</v>
      </c>
      <c r="C3" s="2307">
        <f>+'CO2 - Cálculos'!AE58</f>
        <v>23025.599999999999</v>
      </c>
      <c r="D3" s="2234"/>
      <c r="E3" s="2234"/>
      <c r="F3" s="1890"/>
      <c r="G3" s="1890"/>
      <c r="H3" s="1890"/>
      <c r="I3" s="1890"/>
      <c r="J3" s="1890"/>
      <c r="K3" s="1890"/>
      <c r="L3" s="1890"/>
      <c r="M3" s="1890"/>
      <c r="N3" s="1890"/>
      <c r="O3" s="1890"/>
      <c r="P3" s="1890"/>
      <c r="Q3" s="1890"/>
      <c r="R3" s="1890"/>
      <c r="S3" s="1890"/>
      <c r="T3" s="1890"/>
    </row>
    <row r="4" spans="1:20" ht="18" customHeight="1" x14ac:dyDescent="0.2">
      <c r="A4" s="1890"/>
      <c r="B4" s="1908"/>
      <c r="C4" s="2308"/>
      <c r="D4" s="2237"/>
      <c r="E4" s="2237"/>
      <c r="F4" s="1890"/>
      <c r="G4" s="1890"/>
      <c r="H4" s="1890"/>
      <c r="I4" s="1890"/>
      <c r="J4" s="1890"/>
      <c r="K4" s="1890"/>
      <c r="L4" s="1890"/>
      <c r="M4" s="2309"/>
      <c r="N4" s="2309"/>
      <c r="O4" s="2309"/>
      <c r="P4" s="2309"/>
      <c r="Q4" s="2309"/>
      <c r="R4" s="2309"/>
      <c r="S4" s="1890"/>
      <c r="T4" s="1890"/>
    </row>
    <row r="5" spans="1:20" ht="18" customHeight="1" x14ac:dyDescent="0.25">
      <c r="A5" s="1890"/>
      <c r="B5" s="2306" t="s">
        <v>1237</v>
      </c>
      <c r="C5" s="2307">
        <f>+'CO2 - Cálculos'!AE13</f>
        <v>2322.6613487999998</v>
      </c>
      <c r="D5" s="2234"/>
      <c r="E5" s="2234"/>
      <c r="F5" s="1890"/>
      <c r="G5" s="1890"/>
      <c r="H5" s="1890"/>
      <c r="I5" s="1890"/>
      <c r="J5" s="1890"/>
      <c r="K5" s="1890"/>
      <c r="L5" s="1957"/>
      <c r="M5" s="1957"/>
      <c r="N5" s="1957"/>
      <c r="O5" s="2973" t="s">
        <v>1262</v>
      </c>
      <c r="P5" s="2974"/>
      <c r="Q5" s="1957"/>
      <c r="R5" s="1957"/>
      <c r="S5" s="1890"/>
      <c r="T5" s="1890"/>
    </row>
    <row r="6" spans="1:20" ht="18" customHeight="1" x14ac:dyDescent="0.25">
      <c r="A6" s="1890"/>
      <c r="B6" s="2310"/>
      <c r="C6" s="2311"/>
      <c r="D6" s="2234"/>
      <c r="E6" s="2234"/>
      <c r="F6" s="1890"/>
      <c r="G6" s="1890"/>
      <c r="H6" s="1890"/>
      <c r="I6" s="1890"/>
      <c r="J6" s="1890"/>
      <c r="K6" s="1890"/>
      <c r="L6" s="1957"/>
      <c r="M6" s="1957"/>
      <c r="N6" s="1957"/>
      <c r="O6" s="2975">
        <f>+C3</f>
        <v>23025.599999999999</v>
      </c>
      <c r="P6" s="2976"/>
      <c r="Q6" s="1957"/>
      <c r="R6" s="1957"/>
      <c r="S6" s="1890"/>
      <c r="T6" s="1890"/>
    </row>
    <row r="7" spans="1:20" ht="18" customHeight="1" x14ac:dyDescent="0.25">
      <c r="A7" s="1890"/>
      <c r="B7" s="2226" t="s">
        <v>1106</v>
      </c>
      <c r="C7" s="2312">
        <f>+'CO2 - Cálculos'!AG5</f>
        <v>0</v>
      </c>
      <c r="D7" s="2234"/>
      <c r="E7" s="2234"/>
      <c r="F7" s="1890"/>
      <c r="G7" s="1890"/>
      <c r="H7" s="1890"/>
      <c r="I7" s="1890"/>
      <c r="J7" s="1890"/>
      <c r="K7" s="1890"/>
      <c r="L7" s="1957"/>
      <c r="M7" s="1977"/>
      <c r="N7" s="1957"/>
      <c r="O7" s="1957"/>
      <c r="P7" s="1957"/>
      <c r="Q7" s="1957"/>
      <c r="R7" s="1957"/>
      <c r="S7" s="1890"/>
      <c r="T7" s="1890"/>
    </row>
    <row r="8" spans="1:20" ht="18" customHeight="1" x14ac:dyDescent="0.2">
      <c r="A8" s="1890"/>
      <c r="B8" s="2226" t="s">
        <v>1107</v>
      </c>
      <c r="C8" s="2312">
        <f>+'CO2 - Cálculos'!AG6</f>
        <v>0</v>
      </c>
      <c r="D8" s="2234"/>
      <c r="E8" s="2234"/>
      <c r="F8" s="1890"/>
      <c r="G8" s="1890"/>
      <c r="H8" s="1890"/>
      <c r="I8" s="1890"/>
      <c r="J8" s="1890"/>
      <c r="K8" s="1890"/>
      <c r="L8" s="2313"/>
      <c r="M8" s="2313"/>
      <c r="N8" s="2313"/>
      <c r="O8" s="2313"/>
      <c r="P8" s="2313"/>
      <c r="Q8" s="2313"/>
      <c r="R8" s="2313"/>
      <c r="S8" s="1890"/>
      <c r="T8" s="1890"/>
    </row>
    <row r="9" spans="1:20" ht="18" customHeight="1" x14ac:dyDescent="0.2">
      <c r="A9" s="1890"/>
      <c r="B9" s="2226" t="s">
        <v>1108</v>
      </c>
      <c r="C9" s="2312">
        <f>+'CO2 - Cálculos'!AG7</f>
        <v>1004.4457488</v>
      </c>
      <c r="D9" s="2234"/>
      <c r="E9" s="2234"/>
      <c r="F9" s="1890"/>
      <c r="G9" s="1890"/>
      <c r="H9" s="1890"/>
      <c r="I9" s="1890"/>
      <c r="J9" s="1890"/>
      <c r="K9" s="1890"/>
      <c r="L9" s="2313"/>
      <c r="M9" s="1866" t="s">
        <v>1046</v>
      </c>
      <c r="N9" s="2314">
        <f>+C5</f>
        <v>2322.6613487999998</v>
      </c>
      <c r="O9" s="2315">
        <f>+N9/O6</f>
        <v>0.100873</v>
      </c>
      <c r="P9" s="2316">
        <f>+Q9/O6</f>
        <v>0.89912700000000001</v>
      </c>
      <c r="Q9" s="2317">
        <f>+C16</f>
        <v>20702.938651199998</v>
      </c>
      <c r="R9" s="2318" t="s">
        <v>1239</v>
      </c>
      <c r="S9" s="1890"/>
      <c r="T9" s="1890"/>
    </row>
    <row r="10" spans="1:20" ht="18" customHeight="1" x14ac:dyDescent="0.2">
      <c r="A10" s="1890"/>
      <c r="B10" s="2226" t="s">
        <v>1109</v>
      </c>
      <c r="C10" s="2312">
        <f>+'CO2 - Cálculos'!AG8</f>
        <v>683.86032</v>
      </c>
      <c r="D10" s="2234"/>
      <c r="E10" s="2234"/>
      <c r="F10" s="1890"/>
      <c r="G10" s="1890"/>
      <c r="H10" s="1890"/>
      <c r="I10" s="1890"/>
      <c r="J10" s="1890"/>
      <c r="K10" s="1890"/>
      <c r="L10" s="2313"/>
      <c r="M10" s="2319"/>
      <c r="N10" s="2320"/>
      <c r="O10" s="2313"/>
      <c r="P10" s="2313"/>
      <c r="Q10" s="2320"/>
      <c r="R10" s="2319"/>
      <c r="S10" s="1890"/>
      <c r="T10" s="1890"/>
    </row>
    <row r="11" spans="1:20" ht="18" customHeight="1" x14ac:dyDescent="0.2">
      <c r="A11" s="1890"/>
      <c r="B11" s="2226" t="s">
        <v>50</v>
      </c>
      <c r="C11" s="2312">
        <f>+'CO2 - Cálculos'!AG9</f>
        <v>0</v>
      </c>
      <c r="D11" s="2234"/>
      <c r="E11" s="2234"/>
      <c r="F11" s="1890"/>
      <c r="G11" s="1890"/>
      <c r="H11" s="1890"/>
      <c r="I11" s="1890"/>
      <c r="J11" s="1890"/>
      <c r="K11" s="1890"/>
      <c r="L11" s="2313"/>
      <c r="M11" s="1866" t="str">
        <f t="shared" ref="M11:N18" si="0">+B7</f>
        <v>Resíduos de alimentos</v>
      </c>
      <c r="N11" s="2321">
        <f t="shared" si="0"/>
        <v>0</v>
      </c>
      <c r="O11" s="2322">
        <f t="shared" ref="O11:O18" si="1">+N11/$N$9</f>
        <v>0</v>
      </c>
      <c r="P11" s="2323">
        <f t="shared" ref="P11:P19" si="2">+Q11/$Q$9</f>
        <v>0</v>
      </c>
      <c r="Q11" s="2324">
        <f t="shared" ref="Q11:Q19" si="3">+C18</f>
        <v>0</v>
      </c>
      <c r="R11" s="2318" t="str">
        <f t="shared" ref="R11:R19" si="4">+B18</f>
        <v>Resíduos dispersos</v>
      </c>
      <c r="S11" s="1890"/>
      <c r="T11" s="1890"/>
    </row>
    <row r="12" spans="1:20" ht="18" customHeight="1" x14ac:dyDescent="0.2">
      <c r="A12" s="1890"/>
      <c r="B12" s="2226" t="s">
        <v>1110</v>
      </c>
      <c r="C12" s="2312">
        <f>+'CO2 - Cálculos'!AG10</f>
        <v>503.10935999999998</v>
      </c>
      <c r="D12" s="2234"/>
      <c r="E12" s="2234"/>
      <c r="F12" s="1890"/>
      <c r="G12" s="1890"/>
      <c r="H12" s="1890"/>
      <c r="I12" s="1890"/>
      <c r="J12" s="1890"/>
      <c r="K12" s="1890"/>
      <c r="L12" s="2313"/>
      <c r="M12" s="1866" t="str">
        <f t="shared" si="0"/>
        <v>Resíduos de jardins e parques</v>
      </c>
      <c r="N12" s="2321">
        <f t="shared" si="0"/>
        <v>0</v>
      </c>
      <c r="O12" s="2322">
        <f t="shared" si="1"/>
        <v>0</v>
      </c>
      <c r="P12" s="2323">
        <f t="shared" si="2"/>
        <v>0</v>
      </c>
      <c r="Q12" s="2324">
        <f t="shared" si="3"/>
        <v>0</v>
      </c>
      <c r="R12" s="2318" t="str">
        <f t="shared" si="4"/>
        <v>Queima a céu aberto</v>
      </c>
      <c r="S12" s="1890"/>
      <c r="T12" s="1890"/>
    </row>
    <row r="13" spans="1:20" ht="18" customHeight="1" x14ac:dyDescent="0.2">
      <c r="A13" s="1890"/>
      <c r="B13" s="2226" t="s">
        <v>1111</v>
      </c>
      <c r="C13" s="2312">
        <f>+'CO2 - Cálculos'!AG11</f>
        <v>131.24591999999998</v>
      </c>
      <c r="D13" s="2234"/>
      <c r="E13" s="2234"/>
      <c r="F13" s="1890"/>
      <c r="G13" s="1890"/>
      <c r="H13" s="1890"/>
      <c r="I13" s="1890"/>
      <c r="J13" s="1890"/>
      <c r="K13" s="1890"/>
      <c r="L13" s="2313"/>
      <c r="M13" s="1866" t="str">
        <f t="shared" si="0"/>
        <v>Papel, papelão</v>
      </c>
      <c r="N13" s="2321">
        <f t="shared" si="0"/>
        <v>1004.4457488</v>
      </c>
      <c r="O13" s="2322">
        <f t="shared" si="1"/>
        <v>0.4324546707245745</v>
      </c>
      <c r="P13" s="2323">
        <f t="shared" si="2"/>
        <v>0</v>
      </c>
      <c r="Q13" s="2324">
        <f t="shared" si="3"/>
        <v>0</v>
      </c>
      <c r="R13" s="2318" t="str">
        <f t="shared" si="4"/>
        <v>Lixão não controlado</v>
      </c>
      <c r="S13" s="1890"/>
      <c r="T13" s="1890"/>
    </row>
    <row r="14" spans="1:20" ht="18" customHeight="1" x14ac:dyDescent="0.2">
      <c r="A14" s="1890"/>
      <c r="B14" s="2226" t="s">
        <v>1112</v>
      </c>
      <c r="C14" s="2312">
        <f>+'CO2 - Cálculos'!AG12</f>
        <v>0</v>
      </c>
      <c r="D14" s="2234"/>
      <c r="E14" s="2234"/>
      <c r="F14" s="1890"/>
      <c r="G14" s="1890"/>
      <c r="H14" s="1890"/>
      <c r="I14" s="1890"/>
      <c r="J14" s="1890"/>
      <c r="K14" s="1890"/>
      <c r="L14" s="2313"/>
      <c r="M14" s="1866" t="str">
        <f t="shared" si="0"/>
        <v>Plásticos</v>
      </c>
      <c r="N14" s="2321">
        <f t="shared" si="0"/>
        <v>683.86032</v>
      </c>
      <c r="O14" s="2322">
        <f t="shared" si="1"/>
        <v>0.29442962933589761</v>
      </c>
      <c r="P14" s="2323">
        <f t="shared" si="2"/>
        <v>0</v>
      </c>
      <c r="Q14" s="2324">
        <f t="shared" si="3"/>
        <v>0</v>
      </c>
      <c r="R14" s="2318" t="str">
        <f t="shared" si="4"/>
        <v>Aterro controlado</v>
      </c>
      <c r="S14" s="1890"/>
      <c r="T14" s="1890"/>
    </row>
    <row r="15" spans="1:20" ht="18" customHeight="1" x14ac:dyDescent="0.2">
      <c r="A15" s="1890"/>
      <c r="B15" s="1908"/>
      <c r="C15" s="2308"/>
      <c r="D15" s="2234"/>
      <c r="E15" s="2234"/>
      <c r="F15" s="1890"/>
      <c r="G15" s="1890"/>
      <c r="H15" s="1890"/>
      <c r="I15" s="1890"/>
      <c r="J15" s="1890"/>
      <c r="K15" s="1890"/>
      <c r="L15" s="2313"/>
      <c r="M15" s="1866" t="str">
        <f t="shared" si="0"/>
        <v>Vidros</v>
      </c>
      <c r="N15" s="2321">
        <f t="shared" si="0"/>
        <v>0</v>
      </c>
      <c r="O15" s="2322">
        <f t="shared" si="1"/>
        <v>0</v>
      </c>
      <c r="P15" s="2323">
        <f t="shared" si="2"/>
        <v>0.35</v>
      </c>
      <c r="Q15" s="2324">
        <f t="shared" si="3"/>
        <v>7246.0285279199989</v>
      </c>
      <c r="R15" s="2318" t="str">
        <f t="shared" si="4"/>
        <v>Aterro sanitário</v>
      </c>
      <c r="S15" s="1890"/>
      <c r="T15" s="1890"/>
    </row>
    <row r="16" spans="1:20" ht="18" customHeight="1" x14ac:dyDescent="0.2">
      <c r="A16" s="1890"/>
      <c r="B16" s="1979" t="s">
        <v>1263</v>
      </c>
      <c r="C16" s="2307">
        <f>+'CO2 - Cálculos'!AE57</f>
        <v>20702.938651199998</v>
      </c>
      <c r="D16" s="2234"/>
      <c r="E16" s="2234"/>
      <c r="F16" s="1890"/>
      <c r="G16" s="1890"/>
      <c r="H16" s="1890"/>
      <c r="I16" s="1890"/>
      <c r="J16" s="1890"/>
      <c r="K16" s="1890"/>
      <c r="L16" s="2313"/>
      <c r="M16" s="1866" t="str">
        <f t="shared" si="0"/>
        <v>Metais ferrosos</v>
      </c>
      <c r="N16" s="2321">
        <f t="shared" si="0"/>
        <v>503.10935999999998</v>
      </c>
      <c r="O16" s="2322">
        <f t="shared" si="1"/>
        <v>0.21660900340031525</v>
      </c>
      <c r="P16" s="2323">
        <f t="shared" si="2"/>
        <v>0</v>
      </c>
      <c r="Q16" s="2324">
        <f t="shared" si="3"/>
        <v>0</v>
      </c>
      <c r="R16" s="2318" t="str">
        <f t="shared" si="4"/>
        <v>Trat. biol + cobertura at.</v>
      </c>
      <c r="S16" s="1890"/>
      <c r="T16" s="1890"/>
    </row>
    <row r="17" spans="1:26" ht="18" customHeight="1" x14ac:dyDescent="0.2">
      <c r="A17" s="1890"/>
      <c r="B17" s="2310"/>
      <c r="C17" s="2311"/>
      <c r="D17" s="2234"/>
      <c r="E17" s="2234"/>
      <c r="F17" s="1890"/>
      <c r="G17" s="1890"/>
      <c r="H17" s="1890"/>
      <c r="I17" s="1890"/>
      <c r="J17" s="1890"/>
      <c r="K17" s="1890"/>
      <c r="L17" s="2313"/>
      <c r="M17" s="1866" t="str">
        <f t="shared" si="0"/>
        <v>Alumínio</v>
      </c>
      <c r="N17" s="2321">
        <f t="shared" si="0"/>
        <v>131.24591999999998</v>
      </c>
      <c r="O17" s="2322">
        <f t="shared" si="1"/>
        <v>5.650669653921267E-2</v>
      </c>
      <c r="P17" s="2323">
        <f t="shared" si="2"/>
        <v>0.125</v>
      </c>
      <c r="Q17" s="2324">
        <f t="shared" si="3"/>
        <v>2587.8673313999998</v>
      </c>
      <c r="R17" s="2318" t="str">
        <f t="shared" si="4"/>
        <v>CDR seco + rejeito aterro</v>
      </c>
      <c r="S17" s="1890"/>
      <c r="T17" s="1890"/>
    </row>
    <row r="18" spans="1:26" ht="18" customHeight="1" x14ac:dyDescent="0.2">
      <c r="A18" s="1890"/>
      <c r="B18" s="2226" t="s">
        <v>1241</v>
      </c>
      <c r="C18" s="2312">
        <f>+'CO2 - Cálculos'!AG47</f>
        <v>0</v>
      </c>
      <c r="D18" s="2234"/>
      <c r="E18" s="2234"/>
      <c r="F18" s="1890"/>
      <c r="G18" s="1890"/>
      <c r="H18" s="1890"/>
      <c r="I18" s="1890"/>
      <c r="J18" s="1890"/>
      <c r="K18" s="1890"/>
      <c r="L18" s="2313"/>
      <c r="M18" s="1866" t="str">
        <f t="shared" si="0"/>
        <v>Têxteis</v>
      </c>
      <c r="N18" s="2321">
        <f t="shared" si="0"/>
        <v>0</v>
      </c>
      <c r="O18" s="2322">
        <f t="shared" si="1"/>
        <v>0</v>
      </c>
      <c r="P18" s="2323">
        <f t="shared" si="2"/>
        <v>0.52500000000000002</v>
      </c>
      <c r="Q18" s="2324">
        <f t="shared" si="3"/>
        <v>10869.04279188</v>
      </c>
      <c r="R18" s="2318" t="str">
        <f t="shared" si="4"/>
        <v>CDR seco + trat. biol.</v>
      </c>
      <c r="S18" s="1890"/>
      <c r="T18" s="1890"/>
    </row>
    <row r="19" spans="1:26" ht="18" customHeight="1" x14ac:dyDescent="0.2">
      <c r="A19" s="1890"/>
      <c r="B19" s="2226" t="s">
        <v>1242</v>
      </c>
      <c r="C19" s="2312">
        <f>+'CO2 - Cálculos'!AG48</f>
        <v>0</v>
      </c>
      <c r="D19" s="2234"/>
      <c r="E19" s="2234"/>
      <c r="F19" s="1890"/>
      <c r="G19" s="1890"/>
      <c r="H19" s="1890"/>
      <c r="I19" s="1890"/>
      <c r="J19" s="1890"/>
      <c r="K19" s="1890"/>
      <c r="L19" s="2313"/>
      <c r="M19" s="2313"/>
      <c r="N19" s="2313"/>
      <c r="O19" s="2325"/>
      <c r="P19" s="2323">
        <f t="shared" si="2"/>
        <v>0</v>
      </c>
      <c r="Q19" s="2324">
        <f t="shared" si="3"/>
        <v>0</v>
      </c>
      <c r="R19" s="2318" t="str">
        <f t="shared" si="4"/>
        <v>CDR seco + CDR org.</v>
      </c>
      <c r="S19" s="1890"/>
      <c r="T19" s="1890"/>
    </row>
    <row r="20" spans="1:26" ht="18" customHeight="1" x14ac:dyDescent="0.2">
      <c r="A20" s="1890"/>
      <c r="B20" s="2226" t="s">
        <v>1243</v>
      </c>
      <c r="C20" s="2312">
        <f>+'CO2 - Cálculos'!AG49</f>
        <v>0</v>
      </c>
      <c r="D20" s="2234"/>
      <c r="E20" s="2234"/>
      <c r="F20" s="1890"/>
      <c r="G20" s="1890"/>
      <c r="H20" s="1890"/>
      <c r="I20" s="1890"/>
      <c r="J20" s="1890"/>
      <c r="K20" s="1890"/>
      <c r="L20" s="2313"/>
      <c r="M20" s="2313"/>
      <c r="N20" s="2313"/>
      <c r="O20" s="2313"/>
      <c r="P20" s="2323">
        <f>+Q20/$Q$9</f>
        <v>0</v>
      </c>
      <c r="Q20" s="2324">
        <f>+C27</f>
        <v>0</v>
      </c>
      <c r="R20" s="2318" t="str">
        <f>+B27</f>
        <v>Incineração</v>
      </c>
      <c r="S20" s="1890"/>
      <c r="T20" s="1890"/>
    </row>
    <row r="21" spans="1:26" ht="18" customHeight="1" x14ac:dyDescent="0.2">
      <c r="A21" s="1890"/>
      <c r="B21" s="2226" t="s">
        <v>1244</v>
      </c>
      <c r="C21" s="2312">
        <f>+'CO2 - Cálculos'!AG50</f>
        <v>0</v>
      </c>
      <c r="D21" s="2234"/>
      <c r="E21" s="2234"/>
      <c r="F21" s="1890"/>
      <c r="G21" s="1890"/>
      <c r="H21" s="1890"/>
      <c r="I21" s="1890"/>
      <c r="J21" s="1890"/>
      <c r="K21" s="1890"/>
      <c r="L21" s="1890"/>
      <c r="M21" s="1890"/>
      <c r="N21" s="1890"/>
      <c r="O21" s="1890"/>
      <c r="P21" s="1890"/>
      <c r="Q21" s="1890"/>
      <c r="R21" s="1890"/>
      <c r="S21" s="1890"/>
      <c r="T21" s="1890"/>
    </row>
    <row r="22" spans="1:26" ht="18" customHeight="1" x14ac:dyDescent="0.2">
      <c r="A22" s="1890"/>
      <c r="B22" s="2326" t="s">
        <v>64</v>
      </c>
      <c r="C22" s="2312">
        <f>+'CO2 - Cálculos'!AG51</f>
        <v>7246.0285279199989</v>
      </c>
      <c r="D22" s="2234"/>
      <c r="E22" s="2234"/>
      <c r="F22" s="1890"/>
      <c r="G22" s="1890"/>
      <c r="H22" s="1890"/>
      <c r="I22" s="1890"/>
      <c r="J22" s="1890"/>
      <c r="K22" s="1890"/>
      <c r="L22" s="1890"/>
      <c r="M22" s="1890"/>
      <c r="N22" s="1890"/>
      <c r="O22" s="1890"/>
      <c r="P22" s="1890"/>
      <c r="Q22" s="1890"/>
      <c r="R22" s="1890"/>
      <c r="S22" s="1890"/>
      <c r="T22" s="1890"/>
    </row>
    <row r="23" spans="1:26" ht="18" customHeight="1" x14ac:dyDescent="0.2">
      <c r="A23" s="1890"/>
      <c r="B23" s="2327" t="s">
        <v>1245</v>
      </c>
      <c r="C23" s="2328">
        <f>+'CO2 - Cálculos'!AG52</f>
        <v>0</v>
      </c>
      <c r="D23" s="2234"/>
      <c r="E23" s="2234"/>
      <c r="F23" s="1890"/>
      <c r="G23" s="1890"/>
      <c r="H23" s="1890"/>
      <c r="I23" s="1890"/>
      <c r="J23" s="1890"/>
      <c r="K23" s="1890"/>
      <c r="L23" s="1890"/>
      <c r="M23" s="1890"/>
      <c r="N23" s="1890"/>
      <c r="O23" s="1890"/>
      <c r="P23" s="1890"/>
      <c r="Q23" s="1890"/>
      <c r="R23" s="1890"/>
      <c r="S23" s="1890"/>
      <c r="T23" s="1890"/>
    </row>
    <row r="24" spans="1:26" ht="18" customHeight="1" x14ac:dyDescent="0.2">
      <c r="A24" s="1890"/>
      <c r="B24" s="2327" t="s">
        <v>1246</v>
      </c>
      <c r="C24" s="2312">
        <f>+'CO2 - Cálculos'!AG53</f>
        <v>2587.8673313999998</v>
      </c>
      <c r="D24" s="2234"/>
      <c r="E24" s="2234"/>
      <c r="F24" s="1890"/>
      <c r="G24" s="1890"/>
      <c r="H24" s="1890"/>
      <c r="I24" s="1890"/>
      <c r="J24" s="1890"/>
      <c r="K24" s="1890"/>
      <c r="L24" s="1890"/>
      <c r="M24" s="1890"/>
      <c r="N24" s="1890"/>
      <c r="O24" s="1890"/>
      <c r="P24" s="1890"/>
      <c r="Q24" s="1890"/>
      <c r="R24" s="1890"/>
      <c r="S24" s="1890"/>
      <c r="T24" s="1890"/>
    </row>
    <row r="25" spans="1:26" ht="18" customHeight="1" x14ac:dyDescent="0.2">
      <c r="A25" s="1890"/>
      <c r="B25" s="2327" t="s">
        <v>1247</v>
      </c>
      <c r="C25" s="2312">
        <f>+'CO2 - Cálculos'!AG54</f>
        <v>10869.04279188</v>
      </c>
      <c r="D25" s="2234"/>
      <c r="E25" s="2234"/>
      <c r="F25" s="1890"/>
      <c r="G25" s="1890"/>
      <c r="H25" s="1890"/>
      <c r="I25" s="1890"/>
      <c r="J25" s="1890"/>
      <c r="K25" s="1890"/>
      <c r="L25" s="1890"/>
      <c r="M25" s="1890"/>
      <c r="N25" s="1890"/>
      <c r="O25" s="1890"/>
      <c r="P25" s="1890"/>
      <c r="Q25" s="1890"/>
      <c r="R25" s="1890"/>
      <c r="S25" s="1890"/>
      <c r="T25" s="1890"/>
    </row>
    <row r="26" spans="1:26" ht="18" customHeight="1" x14ac:dyDescent="0.2">
      <c r="A26" s="1890"/>
      <c r="B26" s="2327" t="s">
        <v>1248</v>
      </c>
      <c r="C26" s="2312">
        <f>+'CO2 - Cálculos'!AG55</f>
        <v>0</v>
      </c>
      <c r="D26" s="2234"/>
      <c r="E26" s="2234"/>
      <c r="F26" s="1890"/>
      <c r="G26" s="1890"/>
      <c r="H26" s="1890"/>
      <c r="I26" s="1890"/>
      <c r="J26" s="1890"/>
      <c r="K26" s="1890"/>
      <c r="L26" s="1890"/>
      <c r="M26" s="1890"/>
      <c r="N26" s="1890"/>
      <c r="O26" s="1890"/>
      <c r="P26" s="1890"/>
      <c r="Q26" s="1890"/>
      <c r="R26" s="1890"/>
      <c r="S26" s="1890"/>
      <c r="T26" s="1890"/>
    </row>
    <row r="27" spans="1:26" ht="18" customHeight="1" x14ac:dyDescent="0.2">
      <c r="A27" s="1890"/>
      <c r="B27" s="2226" t="s">
        <v>63</v>
      </c>
      <c r="C27" s="2312">
        <f>+'CO2 - Cálculos'!AG56</f>
        <v>0</v>
      </c>
      <c r="D27" s="2234"/>
      <c r="E27" s="2234"/>
      <c r="F27" s="1890"/>
      <c r="G27" s="1890"/>
      <c r="H27" s="1890"/>
      <c r="I27" s="1890"/>
      <c r="J27" s="1890"/>
      <c r="K27" s="1890"/>
      <c r="L27" s="1890"/>
      <c r="M27" s="1890"/>
      <c r="N27" s="1890"/>
      <c r="O27" s="1890"/>
      <c r="P27" s="1890"/>
      <c r="Q27" s="1890"/>
      <c r="R27" s="1890"/>
      <c r="S27" s="1890"/>
      <c r="T27" s="1890"/>
    </row>
    <row r="28" spans="1:26" x14ac:dyDescent="0.2">
      <c r="A28" s="1890"/>
      <c r="B28" s="1890"/>
      <c r="C28" s="2234"/>
      <c r="D28" s="2234"/>
      <c r="E28" s="2234"/>
      <c r="F28" s="1890"/>
      <c r="G28" s="1890"/>
      <c r="H28" s="1890"/>
      <c r="I28" s="1890"/>
      <c r="J28" s="1890"/>
      <c r="K28" s="1890"/>
      <c r="L28" s="1890"/>
      <c r="M28" s="1890"/>
      <c r="N28" s="1890"/>
      <c r="O28" s="1890"/>
      <c r="P28" s="1890"/>
      <c r="Q28" s="1890"/>
      <c r="R28" s="1890"/>
      <c r="S28" s="1890"/>
      <c r="T28" s="1890"/>
    </row>
    <row r="29" spans="1:26" s="2229" customFormat="1" ht="26.1" customHeight="1" x14ac:dyDescent="0.2">
      <c r="A29" s="2063" t="s">
        <v>1264</v>
      </c>
      <c r="B29" s="2329"/>
      <c r="C29" s="2330"/>
      <c r="D29" s="2330"/>
      <c r="E29" s="2330"/>
      <c r="F29" s="2030"/>
      <c r="G29" s="2030"/>
      <c r="H29" s="2030"/>
      <c r="I29" s="2030"/>
      <c r="J29" s="2030"/>
      <c r="K29" s="2030"/>
      <c r="L29" s="2030"/>
      <c r="M29" s="2030"/>
      <c r="N29" s="2030"/>
      <c r="O29" s="2030"/>
      <c r="P29" s="2030"/>
      <c r="Q29" s="2030"/>
      <c r="R29" s="2030"/>
      <c r="S29" s="2030"/>
      <c r="T29" s="2030"/>
      <c r="U29" s="1845"/>
      <c r="V29" s="1845"/>
      <c r="W29" s="1845"/>
      <c r="X29" s="1845"/>
      <c r="Y29" s="1845"/>
      <c r="Z29" s="1845"/>
    </row>
    <row r="30" spans="1:26" x14ac:dyDescent="0.2">
      <c r="A30" s="1890"/>
      <c r="B30" s="1890"/>
      <c r="C30" s="1890"/>
      <c r="D30" s="1890"/>
      <c r="E30" s="1890"/>
      <c r="F30" s="1890"/>
      <c r="G30" s="2267"/>
      <c r="H30" s="1890"/>
      <c r="I30" s="1890"/>
      <c r="J30" s="1890"/>
      <c r="K30" s="1890"/>
      <c r="L30" s="1890"/>
      <c r="M30" s="1890"/>
      <c r="N30" s="1890"/>
      <c r="O30" s="1890"/>
      <c r="P30" s="1890"/>
      <c r="Q30" s="1890"/>
      <c r="R30" s="1890"/>
      <c r="S30" s="1890"/>
      <c r="T30" s="1890"/>
    </row>
    <row r="31" spans="1:26" ht="18" customHeight="1" x14ac:dyDescent="0.2">
      <c r="A31" s="1890"/>
      <c r="B31" s="2331"/>
      <c r="C31" s="2332" t="s">
        <v>1250</v>
      </c>
      <c r="D31" s="2079" t="s">
        <v>1251</v>
      </c>
      <c r="E31" s="2079" t="s">
        <v>1252</v>
      </c>
      <c r="F31" s="2333"/>
      <c r="G31" s="2333"/>
      <c r="H31" s="2334"/>
      <c r="I31" s="2333"/>
      <c r="J31" s="2333"/>
      <c r="K31" s="2333"/>
      <c r="L31" s="1890"/>
      <c r="M31" s="1890"/>
      <c r="N31" s="1890"/>
      <c r="O31" s="1890"/>
      <c r="P31" s="1890"/>
      <c r="Q31" s="1890"/>
      <c r="R31" s="1890"/>
      <c r="S31" s="1890"/>
      <c r="T31" s="1890"/>
    </row>
    <row r="32" spans="1:26" ht="18" customHeight="1" x14ac:dyDescent="0.2">
      <c r="A32" s="1890"/>
      <c r="B32" s="2335" t="s">
        <v>1237</v>
      </c>
      <c r="C32" s="2336"/>
      <c r="D32" s="2337"/>
      <c r="E32" s="2337"/>
      <c r="F32" s="2333"/>
      <c r="G32" s="2333"/>
      <c r="H32" s="2333"/>
      <c r="I32" s="2333"/>
      <c r="J32" s="2333"/>
      <c r="K32" s="2333"/>
      <c r="L32" s="1890"/>
      <c r="M32" s="1890"/>
      <c r="N32" s="1890"/>
      <c r="O32" s="1890"/>
      <c r="P32" s="1890"/>
      <c r="Q32" s="1890"/>
      <c r="R32" s="1890"/>
      <c r="S32" s="1890"/>
      <c r="T32" s="1890"/>
    </row>
    <row r="33" spans="1:20" ht="18" customHeight="1" x14ac:dyDescent="0.2">
      <c r="A33" s="1890"/>
      <c r="B33" s="2338"/>
      <c r="C33" s="2337"/>
      <c r="D33" s="2337"/>
      <c r="E33" s="2337"/>
      <c r="F33" s="2333"/>
      <c r="G33" s="2333"/>
      <c r="H33" s="2333"/>
      <c r="I33" s="2333"/>
      <c r="J33" s="2333"/>
      <c r="K33" s="2333"/>
      <c r="L33" s="1890"/>
      <c r="M33" s="1890"/>
      <c r="N33" s="1890"/>
      <c r="O33" s="1890"/>
      <c r="P33" s="1890"/>
      <c r="Q33" s="1890"/>
      <c r="R33" s="1890"/>
      <c r="S33" s="1890"/>
      <c r="T33" s="1890"/>
    </row>
    <row r="34" spans="1:20" ht="18" customHeight="1" x14ac:dyDescent="0.2">
      <c r="A34" s="1890"/>
      <c r="B34" s="2226" t="str">
        <f>B7</f>
        <v>Resíduos de alimentos</v>
      </c>
      <c r="C34" s="2339">
        <f t="shared" ref="C34:C41" si="5">+C62</f>
        <v>0</v>
      </c>
      <c r="D34" s="2339">
        <f t="shared" ref="D34:D41" si="6">+C71</f>
        <v>0</v>
      </c>
      <c r="E34" s="2339">
        <f t="shared" ref="E34:E41" si="7">+D34+C34</f>
        <v>0</v>
      </c>
      <c r="F34" s="2333"/>
      <c r="G34" s="2333"/>
      <c r="H34" s="2333"/>
      <c r="I34" s="2333"/>
      <c r="J34" s="2333"/>
      <c r="K34" s="2333"/>
      <c r="L34" s="1890"/>
      <c r="M34" s="1890"/>
      <c r="N34" s="1890"/>
      <c r="O34" s="1890"/>
      <c r="P34" s="1890"/>
      <c r="Q34" s="1890"/>
      <c r="R34" s="1890"/>
      <c r="S34" s="1890"/>
      <c r="T34" s="1890"/>
    </row>
    <row r="35" spans="1:20" ht="18" customHeight="1" x14ac:dyDescent="0.2">
      <c r="A35" s="1890"/>
      <c r="B35" s="2226" t="str">
        <f t="shared" ref="B35:B41" si="8">B8</f>
        <v>Resíduos de jardins e parques</v>
      </c>
      <c r="C35" s="2339">
        <f t="shared" si="5"/>
        <v>0</v>
      </c>
      <c r="D35" s="2339">
        <f t="shared" si="6"/>
        <v>0</v>
      </c>
      <c r="E35" s="2339">
        <f t="shared" si="7"/>
        <v>0</v>
      </c>
      <c r="F35" s="2333"/>
      <c r="G35" s="2333"/>
      <c r="H35" s="2333"/>
      <c r="I35" s="2333"/>
      <c r="J35" s="2333"/>
      <c r="K35" s="2333"/>
      <c r="L35" s="1890"/>
      <c r="M35" s="1890"/>
      <c r="N35" s="1890"/>
      <c r="O35" s="1890"/>
      <c r="P35" s="1890"/>
      <c r="Q35" s="1890"/>
      <c r="R35" s="1890"/>
      <c r="S35" s="1890"/>
      <c r="T35" s="1890"/>
    </row>
    <row r="36" spans="1:20" ht="18" customHeight="1" x14ac:dyDescent="0.2">
      <c r="A36" s="1890"/>
      <c r="B36" s="2226" t="str">
        <f t="shared" si="8"/>
        <v>Papel, papelão</v>
      </c>
      <c r="C36" s="2339">
        <f t="shared" si="5"/>
        <v>1261.5838604928001</v>
      </c>
      <c r="D36" s="2339">
        <f t="shared" si="6"/>
        <v>-1554.8820191423999</v>
      </c>
      <c r="E36" s="2339">
        <f t="shared" si="7"/>
        <v>-293.29815864959983</v>
      </c>
      <c r="F36" s="2333"/>
      <c r="G36" s="2333"/>
      <c r="H36" s="2333"/>
      <c r="I36" s="2333"/>
      <c r="J36" s="2333"/>
      <c r="K36" s="2333"/>
      <c r="L36" s="1890"/>
      <c r="M36" s="1890"/>
      <c r="N36" s="1890"/>
      <c r="O36" s="1890"/>
      <c r="P36" s="1890"/>
      <c r="Q36" s="1890"/>
      <c r="R36" s="1890"/>
      <c r="S36" s="1890"/>
      <c r="T36" s="1890"/>
    </row>
    <row r="37" spans="1:20" ht="18" customHeight="1" x14ac:dyDescent="0.2">
      <c r="A37" s="1890"/>
      <c r="B37" s="2226" t="str">
        <f t="shared" si="8"/>
        <v>Plásticos</v>
      </c>
      <c r="C37" s="2339">
        <f t="shared" si="5"/>
        <v>280.38273119999997</v>
      </c>
      <c r="D37" s="2339">
        <f t="shared" si="6"/>
        <v>-1306.0364391359999</v>
      </c>
      <c r="E37" s="2339">
        <f t="shared" si="7"/>
        <v>-1025.653707936</v>
      </c>
      <c r="F37" s="2333"/>
      <c r="G37" s="2333"/>
      <c r="H37" s="2333"/>
      <c r="I37" s="2333"/>
      <c r="J37" s="2333"/>
      <c r="K37" s="2333"/>
      <c r="L37" s="1890"/>
      <c r="M37" s="1890"/>
      <c r="N37" s="1890"/>
      <c r="O37" s="1890"/>
      <c r="P37" s="1890"/>
      <c r="Q37" s="1890"/>
      <c r="R37" s="1890"/>
      <c r="S37" s="1890"/>
      <c r="T37" s="1890"/>
    </row>
    <row r="38" spans="1:20" ht="18" customHeight="1" x14ac:dyDescent="0.2">
      <c r="A38" s="1890"/>
      <c r="B38" s="2226" t="str">
        <f t="shared" si="8"/>
        <v>Vidros</v>
      </c>
      <c r="C38" s="2339">
        <f t="shared" si="5"/>
        <v>0</v>
      </c>
      <c r="D38" s="2339">
        <f t="shared" si="6"/>
        <v>0</v>
      </c>
      <c r="E38" s="2339">
        <f t="shared" si="7"/>
        <v>0</v>
      </c>
      <c r="F38" s="2333"/>
      <c r="G38" s="2333"/>
      <c r="H38" s="2333"/>
      <c r="I38" s="2333"/>
      <c r="J38" s="2333"/>
      <c r="K38" s="2333"/>
      <c r="L38" s="1890"/>
      <c r="M38" s="1890"/>
      <c r="N38" s="1890"/>
      <c r="O38" s="1890"/>
      <c r="P38" s="1890"/>
      <c r="Q38" s="1890"/>
      <c r="R38" s="1890"/>
      <c r="S38" s="1890"/>
      <c r="T38" s="1890"/>
    </row>
    <row r="39" spans="1:20" ht="18" customHeight="1" x14ac:dyDescent="0.2">
      <c r="A39" s="1890"/>
      <c r="B39" s="2226" t="str">
        <f t="shared" si="8"/>
        <v>Metais ferrosos</v>
      </c>
      <c r="C39" s="2339">
        <f t="shared" si="5"/>
        <v>32.198999039999997</v>
      </c>
      <c r="D39" s="2339">
        <f t="shared" si="6"/>
        <v>-861.32322431999989</v>
      </c>
      <c r="E39" s="2339">
        <f t="shared" si="7"/>
        <v>-829.12422527999991</v>
      </c>
      <c r="F39" s="2333"/>
      <c r="G39" s="2333"/>
      <c r="H39" s="2333"/>
      <c r="I39" s="2333"/>
      <c r="J39" s="2333"/>
      <c r="K39" s="2333"/>
      <c r="L39" s="1890"/>
      <c r="M39" s="1890"/>
      <c r="N39" s="1890"/>
      <c r="O39" s="1890"/>
      <c r="P39" s="1890"/>
      <c r="Q39" s="1890"/>
      <c r="R39" s="1890"/>
      <c r="S39" s="1890"/>
      <c r="T39" s="1890"/>
    </row>
    <row r="40" spans="1:20" ht="18" customHeight="1" x14ac:dyDescent="0.2">
      <c r="A40" s="1890"/>
      <c r="B40" s="2226" t="str">
        <f t="shared" si="8"/>
        <v>Alumínio</v>
      </c>
      <c r="C40" s="2339">
        <f t="shared" si="5"/>
        <v>91.478406239999984</v>
      </c>
      <c r="D40" s="2339">
        <f t="shared" si="6"/>
        <v>-1296.7096895999998</v>
      </c>
      <c r="E40" s="2339">
        <f t="shared" si="7"/>
        <v>-1205.2312833599999</v>
      </c>
      <c r="F40" s="2333"/>
      <c r="G40" s="2333"/>
      <c r="H40" s="2333"/>
      <c r="I40" s="2333"/>
      <c r="J40" s="2333"/>
      <c r="K40" s="2333"/>
      <c r="L40" s="1890"/>
      <c r="M40" s="1890"/>
      <c r="N40" s="1890"/>
      <c r="O40" s="1890"/>
      <c r="P40" s="1890"/>
      <c r="Q40" s="1890"/>
      <c r="R40" s="1890"/>
      <c r="S40" s="1890"/>
      <c r="T40" s="1890"/>
    </row>
    <row r="41" spans="1:20" ht="18" customHeight="1" x14ac:dyDescent="0.2">
      <c r="A41" s="1890"/>
      <c r="B41" s="2226" t="str">
        <f t="shared" si="8"/>
        <v>Têxteis</v>
      </c>
      <c r="C41" s="2339">
        <f t="shared" si="5"/>
        <v>0</v>
      </c>
      <c r="D41" s="2339">
        <f t="shared" si="6"/>
        <v>0</v>
      </c>
      <c r="E41" s="2339">
        <f t="shared" si="7"/>
        <v>0</v>
      </c>
      <c r="F41" s="2333"/>
      <c r="G41" s="2333"/>
      <c r="H41" s="2333"/>
      <c r="I41" s="2333"/>
      <c r="J41" s="2333"/>
      <c r="K41" s="2333"/>
      <c r="L41" s="1890"/>
      <c r="M41" s="1890"/>
      <c r="N41" s="1890"/>
      <c r="O41" s="1890"/>
      <c r="P41" s="1890"/>
      <c r="Q41" s="1890"/>
      <c r="R41" s="1890"/>
      <c r="S41" s="1890"/>
      <c r="T41" s="1890"/>
    </row>
    <row r="42" spans="1:20" ht="18" customHeight="1" x14ac:dyDescent="0.2">
      <c r="A42" s="1890"/>
      <c r="B42" s="2340"/>
      <c r="C42" s="2341"/>
      <c r="D42" s="2342"/>
      <c r="E42" s="2341"/>
      <c r="F42" s="2333"/>
      <c r="G42" s="2333"/>
      <c r="H42" s="2333"/>
      <c r="I42" s="2333"/>
      <c r="J42" s="2333"/>
      <c r="K42" s="2333"/>
      <c r="L42" s="1890"/>
      <c r="M42" s="1890"/>
      <c r="N42" s="1890"/>
      <c r="O42" s="1890"/>
      <c r="P42" s="1890"/>
      <c r="Q42" s="1890"/>
      <c r="R42" s="1890"/>
      <c r="S42" s="1890"/>
      <c r="T42" s="1890"/>
    </row>
    <row r="43" spans="1:20" ht="18" customHeight="1" x14ac:dyDescent="0.2">
      <c r="A43" s="1890"/>
      <c r="B43" s="2343" t="s">
        <v>1263</v>
      </c>
      <c r="C43" s="2344"/>
      <c r="D43" s="2345"/>
      <c r="E43" s="2345"/>
      <c r="F43" s="2333"/>
      <c r="G43" s="2333"/>
      <c r="H43" s="2333"/>
      <c r="I43" s="2333"/>
      <c r="J43" s="2333"/>
      <c r="K43" s="2333"/>
      <c r="L43" s="1890"/>
      <c r="M43" s="1890"/>
      <c r="N43" s="1890"/>
      <c r="O43" s="1890"/>
      <c r="P43" s="1890"/>
      <c r="Q43" s="1890"/>
      <c r="R43" s="1890"/>
      <c r="S43" s="1890"/>
      <c r="T43" s="1890"/>
    </row>
    <row r="44" spans="1:20" ht="18" customHeight="1" x14ac:dyDescent="0.2">
      <c r="A44" s="1890"/>
      <c r="B44" s="2338"/>
      <c r="C44" s="2336"/>
      <c r="D44" s="2336"/>
      <c r="E44" s="2336"/>
      <c r="F44" s="2333"/>
      <c r="G44" s="2333"/>
      <c r="H44" s="2333"/>
      <c r="I44" s="2333"/>
      <c r="J44" s="2333"/>
      <c r="K44" s="2333"/>
      <c r="L44" s="1890"/>
      <c r="M44" s="1890"/>
      <c r="N44" s="1890"/>
      <c r="O44" s="1890"/>
      <c r="P44" s="1890"/>
      <c r="Q44" s="1890"/>
      <c r="R44" s="1890"/>
      <c r="S44" s="1890"/>
      <c r="T44" s="1890"/>
    </row>
    <row r="45" spans="1:20" ht="18" customHeight="1" x14ac:dyDescent="0.2">
      <c r="A45" s="1890"/>
      <c r="B45" s="2226" t="str">
        <f>B18</f>
        <v>Resíduos dispersos</v>
      </c>
      <c r="C45" s="2339">
        <f t="shared" ref="C45:C53" si="9">+L62</f>
        <v>0</v>
      </c>
      <c r="D45" s="2339">
        <f t="shared" ref="D45:D54" si="10">+L73</f>
        <v>0</v>
      </c>
      <c r="E45" s="2339">
        <f t="shared" ref="E45:E53" si="11">+D45+C45</f>
        <v>0</v>
      </c>
      <c r="F45" s="2333"/>
      <c r="G45" s="2333"/>
      <c r="H45" s="2333"/>
      <c r="I45" s="2333"/>
      <c r="J45" s="2333"/>
      <c r="K45" s="2333"/>
      <c r="L45" s="1890"/>
      <c r="M45" s="1890"/>
      <c r="N45" s="1890"/>
      <c r="O45" s="1890"/>
      <c r="P45" s="1890"/>
      <c r="Q45" s="1890"/>
      <c r="R45" s="1890"/>
      <c r="S45" s="1890"/>
      <c r="T45" s="1890"/>
    </row>
    <row r="46" spans="1:20" ht="18" customHeight="1" x14ac:dyDescent="0.2">
      <c r="A46" s="1890"/>
      <c r="B46" s="2226" t="str">
        <f t="shared" ref="B46:B54" si="12">B19</f>
        <v>Queima a céu aberto</v>
      </c>
      <c r="C46" s="2339">
        <f t="shared" si="9"/>
        <v>0</v>
      </c>
      <c r="D46" s="2339">
        <f t="shared" si="10"/>
        <v>0</v>
      </c>
      <c r="E46" s="2339">
        <f t="shared" si="11"/>
        <v>0</v>
      </c>
      <c r="F46" s="2333"/>
      <c r="G46" s="2333"/>
      <c r="H46" s="2333"/>
      <c r="I46" s="2333"/>
      <c r="J46" s="2333"/>
      <c r="K46" s="2333"/>
      <c r="L46" s="1890"/>
      <c r="M46" s="1890"/>
      <c r="N46" s="1890"/>
      <c r="O46" s="1890"/>
      <c r="P46" s="1890"/>
      <c r="Q46" s="1890"/>
      <c r="R46" s="1890"/>
      <c r="S46" s="1890"/>
      <c r="T46" s="1890"/>
    </row>
    <row r="47" spans="1:20" ht="18" customHeight="1" x14ac:dyDescent="0.2">
      <c r="A47" s="1890"/>
      <c r="B47" s="2226" t="str">
        <f t="shared" si="12"/>
        <v>Lixão não controlado</v>
      </c>
      <c r="C47" s="2339">
        <f t="shared" si="9"/>
        <v>0</v>
      </c>
      <c r="D47" s="2339">
        <f t="shared" si="10"/>
        <v>0</v>
      </c>
      <c r="E47" s="2339">
        <f t="shared" si="11"/>
        <v>0</v>
      </c>
      <c r="F47" s="2333"/>
      <c r="G47" s="2333"/>
      <c r="H47" s="2333"/>
      <c r="I47" s="2333"/>
      <c r="J47" s="2333"/>
      <c r="K47" s="2333"/>
      <c r="L47" s="1890"/>
      <c r="M47" s="1890"/>
      <c r="N47" s="1890"/>
      <c r="O47" s="1890"/>
      <c r="P47" s="1890"/>
      <c r="Q47" s="1890"/>
      <c r="R47" s="1890"/>
      <c r="S47" s="1890"/>
      <c r="T47" s="1890"/>
    </row>
    <row r="48" spans="1:20" ht="18" customHeight="1" x14ac:dyDescent="0.2">
      <c r="A48" s="1890"/>
      <c r="B48" s="2226" t="str">
        <f t="shared" si="12"/>
        <v>Aterro controlado</v>
      </c>
      <c r="C48" s="2339">
        <f t="shared" si="9"/>
        <v>0</v>
      </c>
      <c r="D48" s="2339">
        <f t="shared" si="10"/>
        <v>0</v>
      </c>
      <c r="E48" s="2339">
        <f t="shared" si="11"/>
        <v>0</v>
      </c>
      <c r="F48" s="2333"/>
      <c r="G48" s="2333"/>
      <c r="H48" s="2333"/>
      <c r="I48" s="2333"/>
      <c r="J48" s="2333"/>
      <c r="K48" s="2333"/>
      <c r="L48" s="1890"/>
      <c r="M48" s="1890"/>
      <c r="N48" s="1890"/>
      <c r="O48" s="1890"/>
      <c r="P48" s="1890"/>
      <c r="Q48" s="1890"/>
      <c r="R48" s="1890"/>
      <c r="S48" s="1890"/>
      <c r="T48" s="1890"/>
    </row>
    <row r="49" spans="1:21" ht="18" customHeight="1" x14ac:dyDescent="0.2">
      <c r="A49" s="1890"/>
      <c r="B49" s="2226" t="str">
        <f t="shared" si="12"/>
        <v>Aterro sanitário</v>
      </c>
      <c r="C49" s="2339">
        <f t="shared" si="9"/>
        <v>8513.3129213582743</v>
      </c>
      <c r="D49" s="2339">
        <f t="shared" si="10"/>
        <v>0</v>
      </c>
      <c r="E49" s="2339">
        <f t="shared" si="11"/>
        <v>8513.3129213582743</v>
      </c>
      <c r="F49" s="2333"/>
      <c r="G49" s="2333"/>
      <c r="H49" s="2333"/>
      <c r="I49" s="2333"/>
      <c r="J49" s="2333"/>
      <c r="K49" s="2333"/>
      <c r="L49" s="1890"/>
      <c r="M49" s="1890"/>
      <c r="N49" s="1890"/>
      <c r="O49" s="1890"/>
      <c r="P49" s="1890"/>
      <c r="Q49" s="1890"/>
      <c r="R49" s="1890"/>
      <c r="S49" s="1890"/>
      <c r="T49" s="1890"/>
    </row>
    <row r="50" spans="1:21" ht="18" customHeight="1" x14ac:dyDescent="0.2">
      <c r="A50" s="1890"/>
      <c r="B50" s="2226" t="str">
        <f t="shared" si="12"/>
        <v>Trat. biol + cobertura at.</v>
      </c>
      <c r="C50" s="2339">
        <f t="shared" si="9"/>
        <v>0</v>
      </c>
      <c r="D50" s="2339">
        <f t="shared" si="10"/>
        <v>0</v>
      </c>
      <c r="E50" s="2339">
        <f t="shared" si="11"/>
        <v>0</v>
      </c>
      <c r="F50" s="2333"/>
      <c r="G50" s="2333"/>
      <c r="H50" s="2333"/>
      <c r="I50" s="2333"/>
      <c r="J50" s="2333"/>
      <c r="K50" s="2333"/>
      <c r="L50" s="1890"/>
      <c r="M50" s="1890"/>
      <c r="N50" s="1890"/>
      <c r="O50" s="1890"/>
      <c r="P50" s="1890"/>
      <c r="Q50" s="1890"/>
      <c r="R50" s="1890"/>
      <c r="S50" s="1890"/>
      <c r="T50" s="1890"/>
    </row>
    <row r="51" spans="1:21" ht="18" customHeight="1" x14ac:dyDescent="0.2">
      <c r="A51" s="1890"/>
      <c r="B51" s="2226" t="str">
        <f t="shared" si="12"/>
        <v>CDR seco + rejeito aterro</v>
      </c>
      <c r="C51" s="2339">
        <f t="shared" si="9"/>
        <v>1557.9926977483726</v>
      </c>
      <c r="D51" s="2339">
        <f t="shared" si="10"/>
        <v>-1295.3249665304779</v>
      </c>
      <c r="E51" s="2339">
        <f t="shared" si="11"/>
        <v>262.6677312178947</v>
      </c>
      <c r="F51" s="2333"/>
      <c r="G51" s="2346"/>
      <c r="H51" s="2347"/>
      <c r="I51" s="2347"/>
      <c r="J51" s="2347"/>
      <c r="K51" s="2333"/>
      <c r="L51" s="1890"/>
      <c r="M51" s="1890"/>
      <c r="N51" s="1890"/>
      <c r="O51" s="1890"/>
      <c r="P51" s="1890"/>
      <c r="Q51" s="1890"/>
      <c r="R51" s="1890"/>
      <c r="S51" s="1890"/>
      <c r="T51" s="1890"/>
    </row>
    <row r="52" spans="1:21" ht="18" customHeight="1" x14ac:dyDescent="0.2">
      <c r="A52" s="1890"/>
      <c r="B52" s="2226" t="str">
        <f t="shared" si="12"/>
        <v>CDR seco + trat. biol.</v>
      </c>
      <c r="C52" s="2339">
        <f t="shared" si="9"/>
        <v>1094.0904253692274</v>
      </c>
      <c r="D52" s="2339">
        <f t="shared" si="10"/>
        <v>-5440.3648594280085</v>
      </c>
      <c r="E52" s="2339">
        <f t="shared" si="11"/>
        <v>-4346.2744340587815</v>
      </c>
      <c r="F52" s="2333"/>
      <c r="G52" s="2348"/>
      <c r="H52" s="2349" t="s">
        <v>1253</v>
      </c>
      <c r="I52" s="2350" t="s">
        <v>1265</v>
      </c>
      <c r="J52" s="2350" t="s">
        <v>1254</v>
      </c>
      <c r="K52" s="2333"/>
      <c r="L52" s="1890"/>
      <c r="M52" s="1890"/>
      <c r="N52" s="1890"/>
      <c r="O52" s="1890"/>
      <c r="P52" s="1890"/>
      <c r="Q52" s="1890"/>
      <c r="R52" s="1890"/>
      <c r="S52" s="1890"/>
      <c r="T52" s="1890"/>
    </row>
    <row r="53" spans="1:21" ht="18" customHeight="1" x14ac:dyDescent="0.2">
      <c r="A53" s="1890"/>
      <c r="B53" s="2226" t="str">
        <f t="shared" si="12"/>
        <v>CDR seco + CDR org.</v>
      </c>
      <c r="C53" s="2339">
        <f t="shared" si="9"/>
        <v>0</v>
      </c>
      <c r="D53" s="2339">
        <f t="shared" si="10"/>
        <v>0</v>
      </c>
      <c r="E53" s="2339">
        <f t="shared" si="11"/>
        <v>0</v>
      </c>
      <c r="F53" s="2333"/>
      <c r="G53" s="2351" t="s">
        <v>1255</v>
      </c>
      <c r="H53" s="2352">
        <f>SUM(C34:C41)</f>
        <v>1665.6439969728001</v>
      </c>
      <c r="I53" s="2352">
        <f>SUM(C45:C54)</f>
        <v>11165.396044475874</v>
      </c>
      <c r="J53" s="2352">
        <f>+I53+H53</f>
        <v>12831.040041448674</v>
      </c>
      <c r="K53" s="2333"/>
      <c r="L53" s="1890"/>
      <c r="M53" s="1890"/>
      <c r="N53" s="1890"/>
      <c r="O53" s="1890"/>
      <c r="P53" s="1890"/>
      <c r="Q53" s="1890"/>
      <c r="R53" s="1890"/>
      <c r="S53" s="1890"/>
      <c r="T53" s="1890"/>
    </row>
    <row r="54" spans="1:21" ht="18" customHeight="1" x14ac:dyDescent="0.2">
      <c r="A54" s="1890"/>
      <c r="B54" s="2226" t="str">
        <f t="shared" si="12"/>
        <v>Incineração</v>
      </c>
      <c r="C54" s="2339">
        <f>+L71</f>
        <v>0</v>
      </c>
      <c r="D54" s="2339">
        <f t="shared" si="10"/>
        <v>0</v>
      </c>
      <c r="E54" s="2339">
        <f>+D54+C54</f>
        <v>0</v>
      </c>
      <c r="F54" s="2333"/>
      <c r="G54" s="2351" t="s">
        <v>1256</v>
      </c>
      <c r="H54" s="2352">
        <f>SUM(D34:D41)</f>
        <v>-5018.9513721984003</v>
      </c>
      <c r="I54" s="2352">
        <f>SUM(D45:D54)</f>
        <v>-6735.6898259584868</v>
      </c>
      <c r="J54" s="2352">
        <f>+I54+H54</f>
        <v>-11754.641198156887</v>
      </c>
      <c r="K54" s="2333"/>
      <c r="L54" s="1890"/>
      <c r="M54" s="1890"/>
      <c r="N54" s="1890"/>
      <c r="O54" s="1890"/>
      <c r="P54" s="1890"/>
      <c r="Q54" s="1890"/>
      <c r="R54" s="1890"/>
      <c r="S54" s="1890"/>
      <c r="T54" s="1890"/>
    </row>
    <row r="55" spans="1:21" ht="18" customHeight="1" x14ac:dyDescent="0.2">
      <c r="A55" s="1890"/>
      <c r="B55" s="2340"/>
      <c r="C55" s="2353"/>
      <c r="D55" s="2354"/>
      <c r="E55" s="2353"/>
      <c r="F55" s="2333"/>
      <c r="G55" s="2351" t="s">
        <v>1257</v>
      </c>
      <c r="H55" s="2352">
        <f>+H53+H54</f>
        <v>-3353.3073752256005</v>
      </c>
      <c r="I55" s="2352">
        <f>+I53+I54</f>
        <v>4429.7062185173872</v>
      </c>
      <c r="J55" s="2352">
        <f>+I55+H55</f>
        <v>1076.3988432917868</v>
      </c>
      <c r="K55" s="2333"/>
      <c r="L55" s="1890"/>
      <c r="M55" s="1890"/>
      <c r="N55" s="1890"/>
      <c r="O55" s="1890"/>
      <c r="P55" s="1890"/>
      <c r="Q55" s="1890"/>
      <c r="R55" s="1890"/>
      <c r="S55" s="1890"/>
      <c r="T55" s="1890"/>
    </row>
    <row r="56" spans="1:21" ht="18" customHeight="1" x14ac:dyDescent="0.2">
      <c r="A56" s="1890"/>
      <c r="B56" s="2343" t="s">
        <v>52</v>
      </c>
      <c r="C56" s="2355">
        <f>SUM(C34:C54)</f>
        <v>12831.040041448674</v>
      </c>
      <c r="D56" s="2355">
        <f>SUM(D34:D54)</f>
        <v>-11754.641198156885</v>
      </c>
      <c r="E56" s="2355">
        <f>+D56+C56</f>
        <v>1076.3988432917886</v>
      </c>
      <c r="F56" s="2333"/>
      <c r="G56" s="2346"/>
      <c r="H56" s="2356"/>
      <c r="I56" s="2356"/>
      <c r="J56" s="2356"/>
      <c r="K56" s="2333"/>
      <c r="L56" s="1890"/>
      <c r="M56" s="1890"/>
      <c r="N56" s="1890"/>
      <c r="O56" s="1890"/>
      <c r="P56" s="1890"/>
      <c r="Q56" s="1890"/>
      <c r="R56" s="1890"/>
      <c r="S56" s="1890"/>
      <c r="T56" s="1890"/>
    </row>
    <row r="57" spans="1:21" x14ac:dyDescent="0.2">
      <c r="A57" s="1890"/>
      <c r="B57" s="1890"/>
      <c r="C57" s="1890"/>
      <c r="D57" s="1890"/>
      <c r="E57" s="1890"/>
      <c r="F57" s="1890"/>
      <c r="G57" s="2281"/>
      <c r="H57" s="2282"/>
      <c r="I57" s="2282"/>
      <c r="J57" s="2290"/>
      <c r="K57" s="2234"/>
      <c r="L57" s="1890"/>
      <c r="M57" s="1890"/>
      <c r="N57" s="1890"/>
      <c r="O57" s="1890"/>
      <c r="P57" s="1890"/>
      <c r="Q57" s="1890"/>
      <c r="R57" s="1890"/>
      <c r="S57" s="1890"/>
      <c r="T57" s="1890"/>
    </row>
    <row r="58" spans="1:21" x14ac:dyDescent="0.2">
      <c r="A58" s="1890"/>
      <c r="B58" s="1890"/>
      <c r="C58" s="1890"/>
      <c r="D58" s="1890"/>
      <c r="E58" s="1890"/>
      <c r="F58" s="1890"/>
      <c r="G58" s="2281"/>
      <c r="H58" s="2282"/>
      <c r="I58" s="2282"/>
      <c r="J58" s="2290"/>
      <c r="K58" s="2234"/>
      <c r="L58" s="1890"/>
      <c r="M58" s="1890"/>
      <c r="N58" s="1890"/>
      <c r="O58" s="1890"/>
      <c r="P58" s="1890"/>
      <c r="Q58" s="1890"/>
      <c r="R58" s="1890"/>
      <c r="S58" s="1890"/>
      <c r="T58" s="1890"/>
    </row>
    <row r="59" spans="1:21" s="2229" customFormat="1" ht="26.1" customHeight="1" x14ac:dyDescent="0.25">
      <c r="A59" s="2291" t="s">
        <v>1258</v>
      </c>
      <c r="B59" s="2357"/>
      <c r="C59" s="2357"/>
      <c r="D59" s="2357"/>
      <c r="E59" s="2357"/>
      <c r="F59" s="2228"/>
      <c r="G59" s="1940"/>
      <c r="H59" s="1985"/>
      <c r="I59" s="1985"/>
      <c r="J59" s="1985"/>
      <c r="K59" s="1912" t="s">
        <v>1266</v>
      </c>
      <c r="L59" s="1985"/>
      <c r="M59" s="1985"/>
      <c r="N59" s="1985"/>
      <c r="O59" s="1985"/>
      <c r="P59" s="1940"/>
      <c r="Q59" s="1940"/>
      <c r="R59" s="1940"/>
      <c r="S59" s="1940"/>
      <c r="T59" s="1940"/>
      <c r="U59" s="2358"/>
    </row>
    <row r="60" spans="1:21" ht="18" x14ac:dyDescent="0.25">
      <c r="A60" s="2293"/>
      <c r="B60" s="1890"/>
      <c r="C60" s="1890"/>
      <c r="D60" s="1890"/>
      <c r="E60" s="1890"/>
      <c r="F60" s="1890"/>
      <c r="G60" s="1890"/>
      <c r="H60" s="1890"/>
      <c r="I60" s="1890"/>
      <c r="J60" s="1890"/>
      <c r="K60" s="1890"/>
      <c r="L60" s="1890"/>
      <c r="M60" s="1890"/>
      <c r="N60" s="1890"/>
      <c r="O60" s="1890"/>
      <c r="P60" s="1890"/>
      <c r="Q60" s="1890"/>
      <c r="R60" s="1890"/>
      <c r="S60" s="1890"/>
      <c r="T60" s="1890"/>
    </row>
    <row r="61" spans="1:21" ht="18" customHeight="1" x14ac:dyDescent="0.25">
      <c r="A61" s="1890"/>
      <c r="B61" s="2294"/>
      <c r="C61" s="2359" t="s">
        <v>1237</v>
      </c>
      <c r="D61" s="2359" t="s">
        <v>1257</v>
      </c>
      <c r="E61" s="1890"/>
      <c r="F61" s="1890"/>
      <c r="G61" s="1890"/>
      <c r="H61" s="1890"/>
      <c r="I61" s="1890"/>
      <c r="J61" s="1890"/>
      <c r="K61" s="2360"/>
      <c r="L61" s="2361" t="s">
        <v>1265</v>
      </c>
      <c r="M61" s="2359" t="s">
        <v>1257</v>
      </c>
      <c r="N61" s="1890"/>
      <c r="O61" s="1890"/>
      <c r="P61" s="1890"/>
      <c r="Q61" s="1890"/>
      <c r="R61" s="1890"/>
      <c r="S61" s="1890"/>
      <c r="T61" s="1890"/>
    </row>
    <row r="62" spans="1:21" ht="18" customHeight="1" x14ac:dyDescent="0.25">
      <c r="A62" s="1890"/>
      <c r="B62" s="2303" t="str">
        <f>+'CO2 - Cálculos'!AC16</f>
        <v>Resíduos de alimentos</v>
      </c>
      <c r="C62" s="2242">
        <f>+'CO2 - Cálculos'!AG16</f>
        <v>0</v>
      </c>
      <c r="D62" s="2275"/>
      <c r="E62" s="1890"/>
      <c r="F62" s="1890"/>
      <c r="G62" s="1890"/>
      <c r="H62" s="1890"/>
      <c r="I62" s="1890"/>
      <c r="J62" s="1890"/>
      <c r="K62" s="2302" t="str">
        <f>+'CO2 - Cálculos'!AC61</f>
        <v>Resíduos dispersos</v>
      </c>
      <c r="L62" s="2242">
        <f>+'CO2 - Cálculos'!AG61</f>
        <v>0</v>
      </c>
      <c r="M62" s="2275"/>
      <c r="N62" s="1890"/>
      <c r="O62" s="1890"/>
      <c r="P62" s="1890"/>
      <c r="Q62" s="1890"/>
      <c r="R62" s="1890"/>
      <c r="S62" s="1890"/>
      <c r="T62" s="1890"/>
    </row>
    <row r="63" spans="1:21" ht="18" customHeight="1" x14ac:dyDescent="0.25">
      <c r="A63" s="1890"/>
      <c r="B63" s="2303" t="str">
        <f>+'CO2 - Cálculos'!AC17</f>
        <v>Resíduos de jardins e parques</v>
      </c>
      <c r="C63" s="2242">
        <f>+'CO2 - Cálculos'!AG17</f>
        <v>0</v>
      </c>
      <c r="D63" s="2275"/>
      <c r="E63" s="1890"/>
      <c r="F63" s="1890"/>
      <c r="G63" s="1890"/>
      <c r="H63" s="1890"/>
      <c r="I63" s="1890"/>
      <c r="J63" s="1890"/>
      <c r="K63" s="2302" t="str">
        <f>+'CO2 - Cálculos'!AC62</f>
        <v>Queima a céu aberto</v>
      </c>
      <c r="L63" s="2242">
        <f>+'CO2 - Cálculos'!AG62</f>
        <v>0</v>
      </c>
      <c r="M63" s="2275"/>
      <c r="N63" s="1890"/>
      <c r="O63" s="1890"/>
      <c r="P63" s="1890"/>
      <c r="Q63" s="1890"/>
      <c r="R63" s="1890"/>
      <c r="S63" s="1890"/>
      <c r="T63" s="1890"/>
    </row>
    <row r="64" spans="1:21" ht="18" customHeight="1" x14ac:dyDescent="0.25">
      <c r="A64" s="1890"/>
      <c r="B64" s="2303" t="str">
        <f>+'CO2 - Cálculos'!AC18</f>
        <v>Papel, papelão</v>
      </c>
      <c r="C64" s="2242">
        <f>+'CO2 - Cálculos'!AG18</f>
        <v>1261.5838604928001</v>
      </c>
      <c r="D64" s="2275"/>
      <c r="E64" s="1890"/>
      <c r="F64" s="1890"/>
      <c r="G64" s="1890"/>
      <c r="H64" s="1890"/>
      <c r="I64" s="1890"/>
      <c r="J64" s="1890"/>
      <c r="K64" s="2302" t="str">
        <f>+'CO2 - Cálculos'!AC63</f>
        <v>Lixão não controlado</v>
      </c>
      <c r="L64" s="2242">
        <f>+'CO2 - Cálculos'!AG63</f>
        <v>0</v>
      </c>
      <c r="M64" s="2275"/>
      <c r="N64" s="1890"/>
      <c r="O64" s="1890"/>
      <c r="P64" s="1890"/>
      <c r="Q64" s="1890"/>
      <c r="R64" s="1890"/>
      <c r="S64" s="1890"/>
      <c r="T64" s="1890"/>
    </row>
    <row r="65" spans="1:20" ht="18" customHeight="1" x14ac:dyDescent="0.25">
      <c r="A65" s="1890"/>
      <c r="B65" s="2303" t="str">
        <f>+'CO2 - Cálculos'!AC19</f>
        <v>Plásticos</v>
      </c>
      <c r="C65" s="2242">
        <f>+'CO2 - Cálculos'!AG19</f>
        <v>280.38273119999997</v>
      </c>
      <c r="D65" s="2275"/>
      <c r="E65" s="1890"/>
      <c r="F65" s="1890"/>
      <c r="G65" s="1890"/>
      <c r="H65" s="1890"/>
      <c r="I65" s="1890"/>
      <c r="J65" s="1890"/>
      <c r="K65" s="2302" t="str">
        <f>+'CO2 - Cálculos'!AC64</f>
        <v>Aterro controlado</v>
      </c>
      <c r="L65" s="2242">
        <f>+'CO2 - Cálculos'!AG64</f>
        <v>0</v>
      </c>
      <c r="M65" s="2275"/>
      <c r="N65" s="1890"/>
      <c r="O65" s="1890"/>
      <c r="P65" s="1890"/>
      <c r="Q65" s="1890"/>
      <c r="R65" s="1890"/>
      <c r="S65" s="1890"/>
      <c r="T65" s="1890"/>
    </row>
    <row r="66" spans="1:20" ht="18" customHeight="1" x14ac:dyDescent="0.25">
      <c r="A66" s="1890"/>
      <c r="B66" s="2303" t="str">
        <f>+'CO2 - Cálculos'!AC20</f>
        <v>Vidros</v>
      </c>
      <c r="C66" s="2242">
        <f>+'CO2 - Cálculos'!AG20</f>
        <v>0</v>
      </c>
      <c r="D66" s="2275"/>
      <c r="E66" s="1890"/>
      <c r="F66" s="1890"/>
      <c r="G66" s="1890"/>
      <c r="H66" s="1890"/>
      <c r="I66" s="1890"/>
      <c r="J66" s="1890"/>
      <c r="K66" s="2302" t="str">
        <f>+'CO2 - Cálculos'!AC65</f>
        <v>Aterro sanitário</v>
      </c>
      <c r="L66" s="2242">
        <f>+'CO2 - Cálculos'!AG65</f>
        <v>8513.3129213582743</v>
      </c>
      <c r="M66" s="2275"/>
      <c r="N66" s="1890"/>
      <c r="O66" s="1890"/>
      <c r="P66" s="1890"/>
      <c r="Q66" s="1890"/>
      <c r="R66" s="1890"/>
      <c r="S66" s="1890"/>
      <c r="T66" s="1890"/>
    </row>
    <row r="67" spans="1:20" ht="18" customHeight="1" x14ac:dyDescent="0.25">
      <c r="A67" s="1890"/>
      <c r="B67" s="2303" t="str">
        <f>+'CO2 - Cálculos'!AC21</f>
        <v>Metais ferrosos</v>
      </c>
      <c r="C67" s="2242">
        <f>+'CO2 - Cálculos'!AG21</f>
        <v>32.198999039999997</v>
      </c>
      <c r="D67" s="2275"/>
      <c r="E67" s="1890"/>
      <c r="F67" s="1890"/>
      <c r="G67" s="1890"/>
      <c r="H67" s="1890"/>
      <c r="I67" s="1890"/>
      <c r="J67" s="2362"/>
      <c r="K67" s="2302" t="str">
        <f>+'CO2 - Cálculos'!AC66</f>
        <v>Trat. biol + cobertura at.</v>
      </c>
      <c r="L67" s="2242">
        <f>+'CO2 - Cálculos'!AG66</f>
        <v>0</v>
      </c>
      <c r="M67" s="2275"/>
      <c r="N67" s="1890"/>
      <c r="O67" s="1890"/>
      <c r="P67" s="1890"/>
      <c r="Q67" s="1890"/>
      <c r="R67" s="1890"/>
      <c r="S67" s="1890"/>
      <c r="T67" s="1890"/>
    </row>
    <row r="68" spans="1:20" ht="18" customHeight="1" x14ac:dyDescent="0.25">
      <c r="A68" s="1890"/>
      <c r="B68" s="2303" t="str">
        <f>+'CO2 - Cálculos'!AC22</f>
        <v>Alumínio</v>
      </c>
      <c r="C68" s="2242">
        <f>+'CO2 - Cálculos'!AG22</f>
        <v>91.478406239999984</v>
      </c>
      <c r="D68" s="2275"/>
      <c r="E68" s="1890"/>
      <c r="F68" s="1890"/>
      <c r="G68" s="1890"/>
      <c r="H68" s="1890"/>
      <c r="I68" s="1890"/>
      <c r="J68" s="2362"/>
      <c r="K68" s="2302" t="str">
        <f>+'CO2 - Cálculos'!AC67</f>
        <v>CDR seco + rejeito aterro</v>
      </c>
      <c r="L68" s="2242">
        <f>+'CO2 - Cálculos'!AG67</f>
        <v>1557.9926977483726</v>
      </c>
      <c r="M68" s="2275"/>
      <c r="N68" s="1890"/>
      <c r="O68" s="1890"/>
      <c r="P68" s="1890"/>
      <c r="Q68" s="1890"/>
      <c r="R68" s="1890"/>
      <c r="S68" s="1890"/>
      <c r="T68" s="1890"/>
    </row>
    <row r="69" spans="1:20" ht="18" customHeight="1" x14ac:dyDescent="0.25">
      <c r="A69" s="2234"/>
      <c r="B69" s="2303" t="str">
        <f>+'CO2 - Cálculos'!AC23</f>
        <v>Têxteis</v>
      </c>
      <c r="C69" s="2242">
        <f>+'CO2 - Cálculos'!AG23</f>
        <v>0</v>
      </c>
      <c r="D69" s="2275"/>
      <c r="E69" s="1890"/>
      <c r="F69" s="1890"/>
      <c r="G69" s="1890"/>
      <c r="H69" s="1890"/>
      <c r="I69" s="1890"/>
      <c r="J69" s="2362"/>
      <c r="K69" s="2302" t="str">
        <f>+'CO2 - Cálculos'!AC68</f>
        <v>CDR seco + trat. biol.</v>
      </c>
      <c r="L69" s="2242">
        <f>+'CO2 - Cálculos'!AG68</f>
        <v>1094.0904253692274</v>
      </c>
      <c r="M69" s="2275"/>
      <c r="N69" s="1890"/>
      <c r="O69" s="1890"/>
      <c r="P69" s="1890"/>
      <c r="Q69" s="1890"/>
      <c r="R69" s="1890"/>
      <c r="S69" s="1890"/>
      <c r="T69" s="1890"/>
    </row>
    <row r="70" spans="1:20" ht="18" customHeight="1" x14ac:dyDescent="0.25">
      <c r="A70" s="1890"/>
      <c r="B70" s="2363" t="s">
        <v>1255</v>
      </c>
      <c r="C70" s="2275"/>
      <c r="D70" s="2240"/>
      <c r="E70" s="1890"/>
      <c r="F70" s="1890"/>
      <c r="G70" s="1890"/>
      <c r="H70" s="1890"/>
      <c r="I70" s="1890"/>
      <c r="J70" s="1890"/>
      <c r="K70" s="2302" t="str">
        <f>+'CO2 - Cálculos'!AC69</f>
        <v>CDR seco + CDR org.</v>
      </c>
      <c r="L70" s="2242">
        <f>+'CO2 - Cálculos'!AG69</f>
        <v>0</v>
      </c>
      <c r="M70" s="2275"/>
      <c r="N70" s="1890"/>
      <c r="O70" s="1890"/>
      <c r="P70" s="1890"/>
      <c r="Q70" s="1890"/>
      <c r="R70" s="1890"/>
      <c r="S70" s="1890"/>
      <c r="T70" s="1890"/>
    </row>
    <row r="71" spans="1:20" ht="18" customHeight="1" x14ac:dyDescent="0.25">
      <c r="A71" s="1890"/>
      <c r="B71" s="2300" t="str">
        <f>+'CO2 - Cálculos'!AC25</f>
        <v>Resíduos de alimentos</v>
      </c>
      <c r="C71" s="2242">
        <f>+'CO2 - Cálculos'!AG25</f>
        <v>0</v>
      </c>
      <c r="D71" s="2275"/>
      <c r="E71" s="1890"/>
      <c r="F71" s="1890"/>
      <c r="G71" s="1890"/>
      <c r="H71" s="1890"/>
      <c r="I71" s="1890"/>
      <c r="J71" s="1890"/>
      <c r="K71" s="2302" t="str">
        <f>+'CO2 - Cálculos'!AC70</f>
        <v>Incineração</v>
      </c>
      <c r="L71" s="2242">
        <f>+'CO2 - Cálculos'!AG70</f>
        <v>0</v>
      </c>
      <c r="M71" s="2275"/>
      <c r="N71" s="1890"/>
      <c r="O71" s="1890"/>
      <c r="P71" s="1890"/>
      <c r="Q71" s="1890"/>
      <c r="R71" s="1890"/>
      <c r="S71" s="1890"/>
      <c r="T71" s="1890"/>
    </row>
    <row r="72" spans="1:20" ht="18" customHeight="1" x14ac:dyDescent="0.25">
      <c r="A72" s="1890"/>
      <c r="B72" s="2300" t="str">
        <f>+'CO2 - Cálculos'!AC26</f>
        <v>Resíduos de jardins e parques</v>
      </c>
      <c r="C72" s="2242">
        <f>+'CO2 - Cálculos'!AG26</f>
        <v>0</v>
      </c>
      <c r="D72" s="2275"/>
      <c r="E72" s="1890"/>
      <c r="F72" s="1890"/>
      <c r="G72" s="1890"/>
      <c r="H72" s="1890"/>
      <c r="I72" s="1890"/>
      <c r="J72" s="1890"/>
      <c r="K72" s="2364" t="s">
        <v>1255</v>
      </c>
      <c r="L72" s="2275"/>
      <c r="M72" s="2275"/>
      <c r="N72" s="1890"/>
      <c r="O72" s="1890"/>
      <c r="P72" s="1890"/>
      <c r="Q72" s="1890"/>
      <c r="R72" s="1890"/>
      <c r="S72" s="1890"/>
      <c r="T72" s="1890"/>
    </row>
    <row r="73" spans="1:20" ht="18" customHeight="1" x14ac:dyDescent="0.25">
      <c r="A73" s="1890"/>
      <c r="B73" s="2300" t="str">
        <f>+'CO2 - Cálculos'!AC27</f>
        <v>Papel, papelão</v>
      </c>
      <c r="C73" s="2242">
        <f>+'CO2 - Cálculos'!AG27</f>
        <v>-1554.8820191423999</v>
      </c>
      <c r="D73" s="2275"/>
      <c r="E73" s="1890"/>
      <c r="F73" s="1890"/>
      <c r="G73" s="1890"/>
      <c r="H73" s="1890"/>
      <c r="I73" s="1890"/>
      <c r="J73" s="1890"/>
      <c r="K73" s="2302" t="str">
        <f>+'CO2 - Cálculos'!AC72</f>
        <v>Resíduos dispersos</v>
      </c>
      <c r="L73" s="2242">
        <f>+'CO2 - Cálculos'!AG72</f>
        <v>0</v>
      </c>
      <c r="M73" s="2275"/>
      <c r="N73" s="1890"/>
      <c r="O73" s="1890"/>
      <c r="P73" s="1890"/>
      <c r="Q73" s="1890"/>
      <c r="R73" s="1890"/>
      <c r="S73" s="1890"/>
      <c r="T73" s="1890"/>
    </row>
    <row r="74" spans="1:20" ht="18" customHeight="1" x14ac:dyDescent="0.25">
      <c r="A74" s="1890"/>
      <c r="B74" s="2300" t="str">
        <f>+'CO2 - Cálculos'!AC28</f>
        <v>Plásticos</v>
      </c>
      <c r="C74" s="2242">
        <f>+'CO2 - Cálculos'!AG28</f>
        <v>-1306.0364391359999</v>
      </c>
      <c r="D74" s="2275"/>
      <c r="E74" s="1890"/>
      <c r="F74" s="1890"/>
      <c r="G74" s="1890"/>
      <c r="H74" s="1890"/>
      <c r="I74" s="1890"/>
      <c r="J74" s="1890"/>
      <c r="K74" s="2302" t="str">
        <f>+'CO2 - Cálculos'!AC73</f>
        <v>Queima a céu aberto</v>
      </c>
      <c r="L74" s="2242">
        <f>+'CO2 - Cálculos'!AG73</f>
        <v>0</v>
      </c>
      <c r="M74" s="2275"/>
      <c r="N74" s="1890"/>
      <c r="O74" s="1890"/>
      <c r="P74" s="1890"/>
      <c r="Q74" s="1890"/>
      <c r="R74" s="1890"/>
      <c r="S74" s="1890"/>
      <c r="T74" s="1890"/>
    </row>
    <row r="75" spans="1:20" ht="18" customHeight="1" x14ac:dyDescent="0.25">
      <c r="A75" s="1890"/>
      <c r="B75" s="2300" t="str">
        <f>+'CO2 - Cálculos'!AC29</f>
        <v>Vidros</v>
      </c>
      <c r="C75" s="2242">
        <f>+'CO2 - Cálculos'!AG29</f>
        <v>0</v>
      </c>
      <c r="D75" s="2275"/>
      <c r="E75" s="1890"/>
      <c r="F75" s="1890"/>
      <c r="G75" s="1890"/>
      <c r="H75" s="1890"/>
      <c r="I75" s="1890"/>
      <c r="J75" s="1890"/>
      <c r="K75" s="2302" t="str">
        <f>+'CO2 - Cálculos'!AC74</f>
        <v>Lixão não controlado</v>
      </c>
      <c r="L75" s="2242">
        <f>+'CO2 - Cálculos'!AG74</f>
        <v>0</v>
      </c>
      <c r="M75" s="2275"/>
      <c r="N75" s="1890"/>
      <c r="O75" s="1890"/>
      <c r="P75" s="1890"/>
      <c r="Q75" s="1890"/>
      <c r="R75" s="1890"/>
      <c r="S75" s="1890"/>
      <c r="T75" s="1890"/>
    </row>
    <row r="76" spans="1:20" ht="18" customHeight="1" x14ac:dyDescent="0.25">
      <c r="A76" s="1890"/>
      <c r="B76" s="2300" t="str">
        <f>+'CO2 - Cálculos'!AC30</f>
        <v>Metais ferrosos</v>
      </c>
      <c r="C76" s="2242">
        <f>+'CO2 - Cálculos'!AG30</f>
        <v>-861.32322431999989</v>
      </c>
      <c r="D76" s="2275"/>
      <c r="E76" s="1890"/>
      <c r="F76" s="1890"/>
      <c r="G76" s="1890"/>
      <c r="H76" s="1890"/>
      <c r="I76" s="1890"/>
      <c r="J76" s="1890"/>
      <c r="K76" s="2302" t="str">
        <f>+'CO2 - Cálculos'!AC75</f>
        <v>Aterro controlado</v>
      </c>
      <c r="L76" s="2242">
        <f>+'CO2 - Cálculos'!AG75</f>
        <v>0</v>
      </c>
      <c r="M76" s="2275"/>
      <c r="N76" s="1890"/>
      <c r="O76" s="1890"/>
      <c r="P76" s="1890"/>
      <c r="Q76" s="1890"/>
      <c r="R76" s="1890"/>
      <c r="S76" s="1890"/>
      <c r="T76" s="1890"/>
    </row>
    <row r="77" spans="1:20" ht="18" customHeight="1" x14ac:dyDescent="0.25">
      <c r="A77" s="1890"/>
      <c r="B77" s="2300" t="str">
        <f>+'CO2 - Cálculos'!AC31</f>
        <v>Alumínio</v>
      </c>
      <c r="C77" s="2242">
        <f>+'CO2 - Cálculos'!AG31</f>
        <v>-1296.7096895999998</v>
      </c>
      <c r="D77" s="2275"/>
      <c r="E77" s="1890"/>
      <c r="F77" s="1890"/>
      <c r="G77" s="1890"/>
      <c r="H77" s="1890"/>
      <c r="I77" s="1890"/>
      <c r="J77" s="2362"/>
      <c r="K77" s="2302" t="str">
        <f>+'CO2 - Cálculos'!AC76</f>
        <v>Aterro sanitário</v>
      </c>
      <c r="L77" s="2242">
        <f>+'CO2 - Cálculos'!AG76</f>
        <v>0</v>
      </c>
      <c r="M77" s="2275"/>
      <c r="N77" s="1890"/>
      <c r="O77" s="1890"/>
      <c r="P77" s="1890"/>
      <c r="Q77" s="1890"/>
      <c r="R77" s="1890"/>
      <c r="S77" s="1890"/>
      <c r="T77" s="1890"/>
    </row>
    <row r="78" spans="1:20" ht="18" customHeight="1" x14ac:dyDescent="0.25">
      <c r="A78" s="1890"/>
      <c r="B78" s="2300" t="str">
        <f>+'CO2 - Cálculos'!AC32</f>
        <v>Têxteis</v>
      </c>
      <c r="C78" s="2242">
        <f>+'CO2 - Cálculos'!AG32</f>
        <v>0</v>
      </c>
      <c r="D78" s="2275"/>
      <c r="E78" s="1890"/>
      <c r="F78" s="1890"/>
      <c r="G78" s="1890"/>
      <c r="H78" s="1890"/>
      <c r="I78" s="1890"/>
      <c r="K78" s="2302" t="str">
        <f>+'CO2 - Cálculos'!AC77</f>
        <v>Trat. biol + cobertura at.</v>
      </c>
      <c r="L78" s="2242">
        <f>+'CO2 - Cálculos'!AG77</f>
        <v>0</v>
      </c>
      <c r="M78" s="2275"/>
      <c r="N78" s="1890"/>
      <c r="O78" s="1890"/>
      <c r="P78" s="1890"/>
      <c r="Q78" s="1890"/>
      <c r="R78" s="1890"/>
      <c r="S78" s="1890"/>
      <c r="T78" s="1890"/>
    </row>
    <row r="79" spans="1:20" ht="18" customHeight="1" x14ac:dyDescent="0.25">
      <c r="A79" s="1890"/>
      <c r="B79" s="2365" t="s">
        <v>1256</v>
      </c>
      <c r="C79" s="2275"/>
      <c r="D79" s="2240"/>
      <c r="E79" s="1890"/>
      <c r="F79" s="1890"/>
      <c r="G79" s="1890"/>
      <c r="H79" s="1890"/>
      <c r="I79" s="1890"/>
      <c r="J79" s="2362"/>
      <c r="K79" s="2302" t="str">
        <f>+'CO2 - Cálculos'!AC78</f>
        <v>CDR seco + rejeito aterro</v>
      </c>
      <c r="L79" s="2242">
        <f>+'CO2 - Cálculos'!AG78</f>
        <v>-1295.3249665304779</v>
      </c>
      <c r="M79" s="2275"/>
      <c r="N79" s="1890"/>
      <c r="O79" s="1890"/>
      <c r="P79" s="1890"/>
      <c r="Q79" s="1890"/>
      <c r="R79" s="1890"/>
      <c r="S79" s="1890"/>
      <c r="T79" s="1890"/>
    </row>
    <row r="80" spans="1:20" ht="18" customHeight="1" x14ac:dyDescent="0.25">
      <c r="A80" s="1890"/>
      <c r="B80" s="2365" t="s">
        <v>1257</v>
      </c>
      <c r="C80" s="2275"/>
      <c r="D80" s="2242">
        <f>SUM(C62:C69,C71:C78)</f>
        <v>-3353.3073752255996</v>
      </c>
      <c r="E80" s="1890"/>
      <c r="F80" s="1890"/>
      <c r="G80" s="1890"/>
      <c r="H80" s="1890"/>
      <c r="I80" s="1890"/>
      <c r="J80" s="1890"/>
      <c r="K80" s="2302" t="str">
        <f>+'CO2 - Cálculos'!AC79</f>
        <v>CDR seco + trat. biol.</v>
      </c>
      <c r="L80" s="2242">
        <f>+'CO2 - Cálculos'!AG79</f>
        <v>-5440.3648594280085</v>
      </c>
      <c r="M80" s="2275"/>
      <c r="N80" s="1890"/>
      <c r="O80" s="1890"/>
      <c r="P80" s="1890"/>
      <c r="Q80" s="1890"/>
      <c r="R80" s="1890"/>
      <c r="S80" s="1890"/>
      <c r="T80" s="1890"/>
    </row>
    <row r="81" spans="1:20" ht="14.25" x14ac:dyDescent="0.25">
      <c r="A81" s="1890"/>
      <c r="B81" s="1890"/>
      <c r="C81" s="1890"/>
      <c r="D81" s="1890"/>
      <c r="E81" s="1890"/>
      <c r="F81" s="1890"/>
      <c r="G81" s="1890"/>
      <c r="H81" s="1890"/>
      <c r="I81" s="1890"/>
      <c r="J81" s="1890"/>
      <c r="K81" s="2302" t="str">
        <f>+'CO2 - Cálculos'!AC80</f>
        <v>CDR seco + CDR org.</v>
      </c>
      <c r="L81" s="2242">
        <f>+'CO2 - Cálculos'!AG80</f>
        <v>0</v>
      </c>
      <c r="M81" s="2275"/>
      <c r="N81" s="1890"/>
      <c r="O81" s="1890"/>
      <c r="P81" s="1890"/>
      <c r="Q81" s="1890"/>
      <c r="R81" s="1890"/>
      <c r="S81" s="1890"/>
      <c r="T81" s="1890"/>
    </row>
    <row r="82" spans="1:20" ht="14.25" x14ac:dyDescent="0.25">
      <c r="A82" s="1890"/>
      <c r="B82" s="1890"/>
      <c r="C82" s="1890"/>
      <c r="D82" s="1890"/>
      <c r="E82" s="2267"/>
      <c r="F82" s="1890"/>
      <c r="G82" s="1890"/>
      <c r="H82" s="1890"/>
      <c r="I82" s="1890"/>
      <c r="J82" s="1890"/>
      <c r="K82" s="2302" t="str">
        <f>+'CO2 - Cálculos'!AC81</f>
        <v>Incineração</v>
      </c>
      <c r="L82" s="2242">
        <f>+'CO2 - Cálculos'!AG81</f>
        <v>0</v>
      </c>
      <c r="M82" s="2275"/>
      <c r="N82" s="1890"/>
      <c r="O82" s="1890"/>
      <c r="P82" s="1890"/>
      <c r="Q82" s="1890"/>
      <c r="R82" s="1890"/>
      <c r="S82" s="1890"/>
      <c r="T82" s="1890"/>
    </row>
    <row r="83" spans="1:20" ht="14.25" x14ac:dyDescent="0.25">
      <c r="A83" s="1890"/>
      <c r="B83" s="1890"/>
      <c r="C83" s="1890"/>
      <c r="D83" s="1890"/>
      <c r="E83" s="2267"/>
      <c r="F83" s="1890"/>
      <c r="G83" s="1890"/>
      <c r="H83" s="1890"/>
      <c r="I83" s="1890"/>
      <c r="J83" s="1890"/>
      <c r="K83" s="2304" t="s">
        <v>1256</v>
      </c>
      <c r="L83" s="2275"/>
      <c r="M83" s="2275"/>
      <c r="N83" s="1890"/>
      <c r="O83" s="1890"/>
      <c r="P83" s="1890"/>
      <c r="Q83" s="1890"/>
      <c r="R83" s="1890"/>
      <c r="S83" s="1890"/>
      <c r="T83" s="1890"/>
    </row>
    <row r="84" spans="1:20" ht="14.25" x14ac:dyDescent="0.25">
      <c r="A84" s="1890"/>
      <c r="B84" s="1890"/>
      <c r="C84" s="1890"/>
      <c r="D84" s="1890"/>
      <c r="E84" s="2267"/>
      <c r="F84" s="1890"/>
      <c r="G84" s="1890"/>
      <c r="H84" s="1890"/>
      <c r="I84" s="1890"/>
      <c r="J84" s="1890"/>
      <c r="K84" s="2304" t="s">
        <v>1257</v>
      </c>
      <c r="L84" s="2275"/>
      <c r="M84" s="2242">
        <f>SUM(L62:L71,L73:L82)</f>
        <v>4429.7062185173882</v>
      </c>
      <c r="N84" s="1890"/>
      <c r="O84" s="1890"/>
      <c r="P84" s="1890"/>
      <c r="Q84" s="1890"/>
      <c r="R84" s="1890"/>
      <c r="S84" s="1890"/>
      <c r="T84" s="1890"/>
    </row>
    <row r="85" spans="1:20" x14ac:dyDescent="0.2">
      <c r="A85" s="1890"/>
      <c r="B85" s="1890"/>
      <c r="C85" s="1890"/>
      <c r="D85" s="1890"/>
      <c r="E85" s="1890"/>
      <c r="F85" s="1890"/>
      <c r="G85" s="1890"/>
      <c r="H85" s="1890"/>
      <c r="I85" s="1890"/>
      <c r="J85" s="1890"/>
      <c r="K85" s="1890"/>
      <c r="L85" s="1890"/>
      <c r="M85" s="1890"/>
      <c r="N85" s="1890"/>
      <c r="O85" s="1890"/>
      <c r="P85" s="1890"/>
      <c r="Q85" s="1890"/>
      <c r="R85" s="1890"/>
      <c r="S85" s="1890"/>
      <c r="T85" s="1890"/>
    </row>
    <row r="86" spans="1:20" x14ac:dyDescent="0.2">
      <c r="A86" s="1890"/>
      <c r="B86" s="1890"/>
      <c r="C86" s="1890"/>
      <c r="D86" s="1890"/>
      <c r="E86" s="1890"/>
      <c r="F86" s="1890"/>
      <c r="G86" s="1890"/>
      <c r="H86" s="1890"/>
      <c r="I86" s="1890"/>
      <c r="J86" s="1890"/>
      <c r="K86" s="1890"/>
      <c r="L86" s="1890"/>
      <c r="M86" s="1890"/>
      <c r="N86" s="1890"/>
      <c r="O86" s="1890"/>
      <c r="P86" s="1890"/>
      <c r="Q86" s="1890"/>
      <c r="R86" s="1890"/>
      <c r="S86" s="1890"/>
      <c r="T86" s="1890"/>
    </row>
    <row r="87" spans="1:20" x14ac:dyDescent="0.2">
      <c r="A87" s="1890"/>
      <c r="B87" s="1890"/>
      <c r="C87" s="1890"/>
      <c r="D87" s="1890"/>
      <c r="E87" s="1890"/>
      <c r="F87" s="1890"/>
      <c r="G87" s="1890"/>
      <c r="H87" s="1890"/>
      <c r="I87" s="1890"/>
      <c r="J87" s="1890"/>
      <c r="K87" s="1890"/>
      <c r="L87" s="1890"/>
      <c r="M87" s="1890"/>
      <c r="N87" s="1890"/>
      <c r="O87" s="1890"/>
      <c r="P87" s="1890"/>
      <c r="Q87" s="1890"/>
      <c r="R87" s="1890"/>
      <c r="S87" s="1890"/>
      <c r="T87" s="1890"/>
    </row>
    <row r="88" spans="1:20" x14ac:dyDescent="0.2">
      <c r="A88" s="1890"/>
      <c r="B88" s="1890"/>
      <c r="C88" s="1890"/>
      <c r="D88" s="1890"/>
      <c r="E88" s="1890"/>
      <c r="F88" s="1890"/>
      <c r="G88" s="1890"/>
      <c r="H88" s="1890"/>
      <c r="I88" s="1890"/>
      <c r="J88" s="1890"/>
      <c r="K88" s="1890"/>
      <c r="L88" s="1890"/>
      <c r="M88" s="1890"/>
      <c r="N88" s="1890"/>
      <c r="O88" s="1890"/>
      <c r="P88" s="1890"/>
      <c r="Q88" s="1890"/>
      <c r="R88" s="1890"/>
      <c r="S88" s="1890"/>
      <c r="T88" s="1890"/>
    </row>
    <row r="89" spans="1:20" x14ac:dyDescent="0.2">
      <c r="A89" s="1890"/>
      <c r="B89" s="1890"/>
      <c r="C89" s="1890"/>
      <c r="D89" s="1890"/>
      <c r="E89" s="1890"/>
      <c r="F89" s="1890"/>
      <c r="G89" s="1890"/>
      <c r="H89" s="1890"/>
      <c r="I89" s="1890"/>
      <c r="J89" s="1890"/>
      <c r="K89" s="1890"/>
      <c r="L89" s="1890"/>
      <c r="M89" s="1890"/>
      <c r="N89" s="1890"/>
      <c r="O89" s="1890"/>
      <c r="P89" s="1890"/>
      <c r="Q89" s="1890"/>
      <c r="R89" s="1890"/>
      <c r="S89" s="1890"/>
      <c r="T89" s="1890"/>
    </row>
    <row r="90" spans="1:20" x14ac:dyDescent="0.2">
      <c r="A90" s="1890"/>
      <c r="B90" s="1890"/>
      <c r="C90" s="1890"/>
      <c r="D90" s="1890"/>
      <c r="E90" s="1890"/>
      <c r="F90" s="1890"/>
      <c r="G90" s="1890"/>
      <c r="H90" s="1890"/>
      <c r="I90" s="1890"/>
      <c r="J90" s="1890"/>
      <c r="K90" s="1890"/>
      <c r="L90" s="1890"/>
      <c r="M90" s="1890"/>
      <c r="N90" s="1890"/>
      <c r="O90" s="1890"/>
      <c r="P90" s="1890"/>
      <c r="Q90" s="1890"/>
      <c r="R90" s="1890"/>
      <c r="S90" s="1890"/>
      <c r="T90" s="1890"/>
    </row>
    <row r="91" spans="1:20" x14ac:dyDescent="0.2">
      <c r="A91" s="1890"/>
      <c r="B91" s="1890"/>
      <c r="C91" s="1890"/>
      <c r="D91" s="1890"/>
      <c r="E91" s="1890"/>
      <c r="F91" s="1890"/>
      <c r="G91" s="1890"/>
      <c r="H91" s="1890"/>
      <c r="I91" s="1890"/>
      <c r="J91" s="1890"/>
      <c r="K91" s="1890"/>
      <c r="L91" s="1890"/>
      <c r="M91" s="1890"/>
      <c r="N91" s="1890"/>
      <c r="O91" s="1890"/>
      <c r="P91" s="1890"/>
      <c r="Q91" s="1890"/>
      <c r="R91" s="1890"/>
      <c r="S91" s="1890"/>
      <c r="T91" s="1890"/>
    </row>
    <row r="92" spans="1:20" x14ac:dyDescent="0.2">
      <c r="A92" s="1890"/>
      <c r="B92" s="1890"/>
      <c r="C92" s="1890"/>
      <c r="D92" s="1890"/>
      <c r="E92" s="1890"/>
      <c r="F92" s="1890"/>
      <c r="G92" s="1890"/>
      <c r="H92" s="1890"/>
      <c r="I92" s="1890"/>
      <c r="J92" s="1890"/>
      <c r="K92" s="1890"/>
      <c r="L92" s="1890"/>
      <c r="M92" s="1890"/>
      <c r="N92" s="1890"/>
      <c r="O92" s="1890"/>
      <c r="P92" s="1890"/>
      <c r="Q92" s="1890"/>
      <c r="R92" s="1890"/>
      <c r="S92" s="1890"/>
      <c r="T92" s="1890"/>
    </row>
    <row r="93" spans="1:20" x14ac:dyDescent="0.2">
      <c r="A93" s="1890"/>
      <c r="B93" s="1890"/>
      <c r="C93" s="1890"/>
      <c r="D93" s="1890"/>
      <c r="E93" s="1890"/>
      <c r="F93" s="1890"/>
      <c r="G93" s="1890"/>
      <c r="H93" s="1890"/>
      <c r="I93" s="1890"/>
      <c r="J93" s="1890"/>
      <c r="K93" s="1890"/>
      <c r="L93" s="1890"/>
      <c r="M93" s="1890"/>
      <c r="N93" s="1890"/>
      <c r="O93" s="1890"/>
      <c r="P93" s="1890"/>
      <c r="Q93" s="1890"/>
      <c r="R93" s="1890"/>
      <c r="S93" s="1890"/>
      <c r="T93" s="1890"/>
    </row>
    <row r="94" spans="1:20" x14ac:dyDescent="0.2">
      <c r="A94" s="1890"/>
      <c r="B94" s="1890"/>
      <c r="C94" s="1890"/>
      <c r="D94" s="1890"/>
      <c r="E94" s="1890"/>
      <c r="F94" s="1890"/>
      <c r="G94" s="1890"/>
      <c r="H94" s="1890"/>
      <c r="I94" s="1890"/>
      <c r="J94" s="1890"/>
      <c r="K94" s="1890"/>
      <c r="L94" s="1890"/>
      <c r="M94" s="1890"/>
      <c r="N94" s="1890"/>
      <c r="O94" s="1890"/>
      <c r="P94" s="1890"/>
      <c r="Q94" s="1890"/>
      <c r="R94" s="1890"/>
      <c r="S94" s="1890"/>
      <c r="T94" s="1890"/>
    </row>
    <row r="95" spans="1:20" x14ac:dyDescent="0.2">
      <c r="A95" s="1890"/>
      <c r="B95" s="1890"/>
      <c r="C95" s="1890"/>
      <c r="D95" s="1890"/>
      <c r="E95" s="1890"/>
      <c r="F95" s="1890"/>
      <c r="G95" s="1890"/>
      <c r="H95" s="1890"/>
      <c r="I95" s="1890"/>
      <c r="J95" s="1890"/>
      <c r="K95" s="1890"/>
      <c r="L95" s="1890"/>
      <c r="M95" s="1890"/>
      <c r="N95" s="1890"/>
      <c r="O95" s="1890"/>
      <c r="P95" s="1890"/>
      <c r="Q95" s="1890"/>
      <c r="R95" s="1890"/>
      <c r="S95" s="1890"/>
      <c r="T95" s="1890"/>
    </row>
    <row r="96" spans="1:20" x14ac:dyDescent="0.2">
      <c r="A96" s="1890"/>
      <c r="B96" s="1890"/>
      <c r="C96" s="1890"/>
      <c r="D96" s="1890"/>
      <c r="E96" s="1890"/>
      <c r="F96" s="1890"/>
      <c r="G96" s="1890"/>
      <c r="H96" s="1890"/>
      <c r="I96" s="1890"/>
      <c r="J96" s="1890"/>
      <c r="K96" s="1890"/>
      <c r="L96" s="1890"/>
      <c r="M96" s="1890"/>
      <c r="N96" s="1890"/>
      <c r="O96" s="1890"/>
      <c r="P96" s="1890"/>
      <c r="Q96" s="1890"/>
      <c r="R96" s="1890"/>
      <c r="S96" s="1890"/>
      <c r="T96" s="1890"/>
    </row>
    <row r="97" spans="1:20" x14ac:dyDescent="0.2">
      <c r="A97" s="1890"/>
      <c r="B97" s="1890"/>
      <c r="C97" s="1890"/>
      <c r="D97" s="1890"/>
      <c r="E97" s="1890"/>
      <c r="F97" s="1890"/>
      <c r="G97" s="1890"/>
      <c r="H97" s="1890"/>
      <c r="I97" s="1890"/>
      <c r="J97" s="1890"/>
      <c r="K97" s="1890"/>
      <c r="L97" s="1890"/>
      <c r="M97" s="1890"/>
      <c r="N97" s="1890"/>
      <c r="O97" s="1890"/>
      <c r="P97" s="1890"/>
      <c r="Q97" s="1890"/>
      <c r="R97" s="1890"/>
      <c r="S97" s="1890"/>
      <c r="T97" s="1890"/>
    </row>
    <row r="98" spans="1:20" x14ac:dyDescent="0.2">
      <c r="A98" s="1890"/>
      <c r="B98" s="1890"/>
      <c r="C98" s="1890"/>
      <c r="D98" s="1890"/>
      <c r="E98" s="1890"/>
      <c r="F98" s="1890"/>
      <c r="G98" s="1890"/>
      <c r="H98" s="1890"/>
      <c r="I98" s="1890"/>
      <c r="J98" s="1890"/>
      <c r="K98" s="1890"/>
      <c r="L98" s="1890"/>
      <c r="M98" s="1890"/>
      <c r="N98" s="1890"/>
      <c r="O98" s="1890"/>
      <c r="P98" s="1890"/>
      <c r="Q98" s="1890"/>
      <c r="R98" s="1890"/>
      <c r="S98" s="1890"/>
      <c r="T98" s="1890"/>
    </row>
    <row r="99" spans="1:20" x14ac:dyDescent="0.2">
      <c r="A99" s="1890"/>
      <c r="B99" s="1890"/>
      <c r="C99" s="1890"/>
      <c r="D99" s="1890"/>
      <c r="E99" s="1890"/>
      <c r="F99" s="1890"/>
      <c r="G99" s="1890"/>
      <c r="H99" s="1890"/>
      <c r="I99" s="1890"/>
      <c r="J99" s="1890"/>
      <c r="K99" s="1890"/>
      <c r="L99" s="1890"/>
      <c r="M99" s="1890"/>
      <c r="N99" s="1890"/>
      <c r="O99" s="1890"/>
      <c r="P99" s="1890"/>
      <c r="Q99" s="1890"/>
      <c r="R99" s="1890"/>
      <c r="S99" s="1890"/>
      <c r="T99" s="1890"/>
    </row>
    <row r="100" spans="1:20" x14ac:dyDescent="0.2">
      <c r="A100" s="1890"/>
      <c r="B100" s="1890"/>
      <c r="C100" s="1890"/>
      <c r="D100" s="1890"/>
      <c r="E100" s="1890"/>
      <c r="F100" s="1890"/>
      <c r="G100" s="1890"/>
      <c r="H100" s="1890"/>
      <c r="I100" s="1890"/>
      <c r="J100" s="1890"/>
      <c r="K100" s="1890"/>
      <c r="L100" s="1890"/>
      <c r="M100" s="1890"/>
      <c r="N100" s="1890"/>
      <c r="O100" s="1890"/>
      <c r="P100" s="1890"/>
      <c r="Q100" s="1890"/>
      <c r="R100" s="1890"/>
      <c r="S100" s="1890"/>
      <c r="T100" s="1890"/>
    </row>
    <row r="101" spans="1:20" x14ac:dyDescent="0.2">
      <c r="A101" s="1890"/>
      <c r="B101" s="1890"/>
      <c r="C101" s="1890"/>
      <c r="D101" s="1890"/>
      <c r="E101" s="1890"/>
      <c r="F101" s="1890"/>
      <c r="G101" s="1890"/>
      <c r="H101" s="1890"/>
      <c r="I101" s="1890"/>
      <c r="J101" s="1890"/>
      <c r="K101" s="1890"/>
      <c r="L101" s="1890"/>
      <c r="M101" s="1890"/>
      <c r="N101" s="1890"/>
      <c r="O101" s="1890"/>
      <c r="P101" s="1890"/>
      <c r="Q101" s="1890"/>
      <c r="R101" s="1890"/>
      <c r="S101" s="1890"/>
      <c r="T101" s="1890"/>
    </row>
    <row r="102" spans="1:20" x14ac:dyDescent="0.2">
      <c r="A102" s="1890"/>
      <c r="B102" s="1890"/>
      <c r="C102" s="1890"/>
      <c r="D102" s="1890"/>
      <c r="E102" s="1890"/>
      <c r="F102" s="1890"/>
      <c r="G102" s="1890"/>
      <c r="H102" s="1890"/>
      <c r="I102" s="1890"/>
      <c r="J102" s="1890"/>
      <c r="K102" s="1890"/>
      <c r="L102" s="1890"/>
      <c r="M102" s="1890"/>
      <c r="N102" s="1890"/>
      <c r="O102" s="1890"/>
      <c r="P102" s="1890"/>
      <c r="Q102" s="1890"/>
      <c r="R102" s="1890"/>
      <c r="S102" s="1890"/>
      <c r="T102" s="1890"/>
    </row>
    <row r="103" spans="1:20" x14ac:dyDescent="0.2">
      <c r="A103" s="1890"/>
      <c r="B103" s="1890"/>
      <c r="C103" s="1890"/>
      <c r="D103" s="1890"/>
      <c r="E103" s="1890"/>
      <c r="F103" s="1890"/>
      <c r="G103" s="1890"/>
      <c r="H103" s="1890"/>
      <c r="I103" s="1890"/>
      <c r="J103" s="1890"/>
      <c r="K103" s="1890"/>
      <c r="L103" s="1890"/>
      <c r="M103" s="1890"/>
      <c r="N103" s="1890"/>
      <c r="O103" s="1890"/>
      <c r="P103" s="1890"/>
      <c r="Q103" s="1890"/>
      <c r="R103" s="1890"/>
      <c r="S103" s="1890"/>
      <c r="T103" s="1890"/>
    </row>
    <row r="104" spans="1:20" x14ac:dyDescent="0.2">
      <c r="A104" s="1890"/>
      <c r="B104" s="1890"/>
      <c r="C104" s="1890"/>
      <c r="D104" s="1890"/>
      <c r="E104" s="1890"/>
      <c r="F104" s="1890"/>
      <c r="G104" s="1890"/>
      <c r="H104" s="1890"/>
      <c r="I104" s="1890"/>
      <c r="J104" s="1890"/>
      <c r="K104" s="1890"/>
      <c r="L104" s="1890"/>
      <c r="M104" s="1890"/>
      <c r="N104" s="1890"/>
      <c r="O104" s="1890"/>
      <c r="P104" s="1890"/>
      <c r="Q104" s="1890"/>
      <c r="R104" s="1890"/>
      <c r="S104" s="1890"/>
      <c r="T104" s="1890"/>
    </row>
    <row r="105" spans="1:20" x14ac:dyDescent="0.2">
      <c r="A105" s="1890"/>
      <c r="B105" s="1890"/>
      <c r="C105" s="1890"/>
      <c r="D105" s="1890"/>
      <c r="E105" s="1890"/>
      <c r="F105" s="1890"/>
      <c r="G105" s="1890"/>
      <c r="H105" s="1890"/>
      <c r="I105" s="1890"/>
      <c r="J105" s="1890"/>
      <c r="K105" s="1890"/>
      <c r="L105" s="1890"/>
      <c r="M105" s="1890"/>
      <c r="N105" s="1890"/>
      <c r="O105" s="1890"/>
      <c r="P105" s="1890"/>
      <c r="Q105" s="1890"/>
      <c r="R105" s="1890"/>
      <c r="S105" s="1890"/>
      <c r="T105" s="1890"/>
    </row>
    <row r="106" spans="1:20" x14ac:dyDescent="0.2">
      <c r="A106" s="1890"/>
      <c r="B106" s="1890"/>
      <c r="C106" s="1890"/>
      <c r="D106" s="1890"/>
      <c r="E106" s="1890"/>
      <c r="F106" s="1890"/>
      <c r="G106" s="1890"/>
      <c r="H106" s="1890"/>
      <c r="I106" s="1890"/>
      <c r="J106" s="1890"/>
      <c r="K106" s="1890"/>
      <c r="L106" s="1890"/>
      <c r="M106" s="1890"/>
      <c r="N106" s="1890"/>
      <c r="O106" s="1890"/>
      <c r="P106" s="1890"/>
      <c r="Q106" s="1890"/>
      <c r="R106" s="1890"/>
      <c r="S106" s="1890"/>
      <c r="T106" s="1890"/>
    </row>
    <row r="107" spans="1:20" x14ac:dyDescent="0.2">
      <c r="A107" s="1890"/>
      <c r="B107" s="1890"/>
      <c r="C107" s="1890"/>
      <c r="D107" s="1890"/>
      <c r="E107" s="1890"/>
      <c r="F107" s="1890"/>
      <c r="G107" s="1890"/>
      <c r="H107" s="1890"/>
      <c r="I107" s="1890"/>
      <c r="J107" s="1890"/>
      <c r="K107" s="1890"/>
      <c r="L107" s="1890"/>
      <c r="M107" s="1890"/>
      <c r="N107" s="1890"/>
      <c r="O107" s="1890"/>
      <c r="P107" s="1890"/>
      <c r="Q107" s="1890"/>
      <c r="R107" s="1890"/>
      <c r="S107" s="1890"/>
      <c r="T107" s="1890"/>
    </row>
    <row r="108" spans="1:20" x14ac:dyDescent="0.2">
      <c r="A108" s="1890"/>
      <c r="B108" s="1890"/>
      <c r="C108" s="1890"/>
      <c r="D108" s="1890"/>
      <c r="E108" s="1890"/>
      <c r="F108" s="1890"/>
      <c r="G108" s="1890"/>
      <c r="H108" s="1890"/>
      <c r="I108" s="1890"/>
      <c r="J108" s="1890"/>
      <c r="K108" s="1890"/>
      <c r="L108" s="1890"/>
      <c r="M108" s="1890"/>
      <c r="N108" s="1890"/>
      <c r="O108" s="1890"/>
      <c r="P108" s="1890"/>
      <c r="Q108" s="1890"/>
      <c r="R108" s="1890"/>
      <c r="S108" s="1890"/>
      <c r="T108" s="1890"/>
    </row>
    <row r="109" spans="1:20" x14ac:dyDescent="0.2">
      <c r="A109" s="1890"/>
      <c r="B109" s="1890"/>
      <c r="C109" s="1890"/>
      <c r="D109" s="1890"/>
      <c r="E109" s="1890"/>
      <c r="F109" s="1890"/>
      <c r="G109" s="1890"/>
      <c r="H109" s="1890"/>
      <c r="I109" s="1890"/>
      <c r="J109" s="1890"/>
      <c r="K109" s="1890"/>
      <c r="L109" s="1890"/>
      <c r="M109" s="1890"/>
      <c r="N109" s="1890"/>
      <c r="O109" s="1890"/>
      <c r="P109" s="1890"/>
      <c r="Q109" s="1890"/>
      <c r="R109" s="1890"/>
      <c r="S109" s="1890"/>
      <c r="T109" s="1890"/>
    </row>
    <row r="110" spans="1:20" x14ac:dyDescent="0.2">
      <c r="A110" s="1890"/>
      <c r="B110" s="1890"/>
      <c r="C110" s="1890"/>
      <c r="D110" s="1890"/>
      <c r="E110" s="1890"/>
      <c r="F110" s="1890"/>
      <c r="G110" s="1890"/>
      <c r="H110" s="1890"/>
      <c r="I110" s="1890"/>
      <c r="J110" s="1890"/>
      <c r="K110" s="1890"/>
      <c r="L110" s="1890"/>
      <c r="M110" s="1890"/>
      <c r="N110" s="1890"/>
      <c r="O110" s="1890"/>
      <c r="P110" s="1890"/>
      <c r="Q110" s="1890"/>
      <c r="R110" s="1890"/>
      <c r="S110" s="1890"/>
      <c r="T110" s="1890"/>
    </row>
    <row r="111" spans="1:20" x14ac:dyDescent="0.2">
      <c r="A111" s="1890"/>
      <c r="B111" s="1890"/>
      <c r="C111" s="1890"/>
      <c r="D111" s="1890"/>
      <c r="E111" s="1890"/>
      <c r="F111" s="1890"/>
      <c r="G111" s="1890"/>
      <c r="H111" s="1890"/>
      <c r="I111" s="1890"/>
      <c r="J111" s="1890"/>
      <c r="K111" s="1890"/>
      <c r="L111" s="1890"/>
      <c r="M111" s="1890"/>
      <c r="N111" s="1890"/>
      <c r="O111" s="1890"/>
      <c r="P111" s="1890"/>
      <c r="Q111" s="1890"/>
      <c r="R111" s="1890"/>
      <c r="S111" s="1890"/>
      <c r="T111" s="1890"/>
    </row>
    <row r="112" spans="1:20" x14ac:dyDescent="0.2">
      <c r="A112" s="1890"/>
      <c r="B112" s="1890"/>
      <c r="C112" s="1890"/>
      <c r="D112" s="1890"/>
      <c r="E112" s="1890"/>
      <c r="F112" s="1890"/>
      <c r="G112" s="1890"/>
      <c r="H112" s="1890"/>
      <c r="I112" s="1890"/>
      <c r="J112" s="1890"/>
      <c r="K112" s="1890"/>
      <c r="L112" s="1890"/>
      <c r="M112" s="1890"/>
      <c r="N112" s="1890"/>
      <c r="O112" s="1890"/>
      <c r="P112" s="1890"/>
      <c r="Q112" s="1890"/>
      <c r="R112" s="1890"/>
      <c r="S112" s="1890"/>
      <c r="T112" s="1890"/>
    </row>
    <row r="113" spans="1:20" x14ac:dyDescent="0.2">
      <c r="A113" s="1890"/>
      <c r="B113" s="1890"/>
      <c r="C113" s="1890"/>
      <c r="D113" s="1890"/>
      <c r="E113" s="1890"/>
      <c r="F113" s="1890"/>
      <c r="G113" s="1890"/>
      <c r="H113" s="1890"/>
      <c r="I113" s="1890"/>
      <c r="J113" s="1890"/>
      <c r="K113" s="1890"/>
      <c r="L113" s="1890"/>
      <c r="M113" s="1890"/>
      <c r="N113" s="1890"/>
      <c r="O113" s="1890"/>
      <c r="P113" s="1890"/>
      <c r="Q113" s="1890"/>
      <c r="R113" s="1890"/>
      <c r="S113" s="1890"/>
      <c r="T113" s="1890"/>
    </row>
    <row r="114" spans="1:20" x14ac:dyDescent="0.2">
      <c r="A114" s="1890"/>
      <c r="B114" s="1890"/>
      <c r="C114" s="1890"/>
      <c r="D114" s="1890"/>
      <c r="E114" s="1890"/>
      <c r="F114" s="1890"/>
      <c r="G114" s="1890"/>
      <c r="H114" s="1890"/>
      <c r="I114" s="1890"/>
      <c r="J114" s="1890"/>
      <c r="K114" s="1890"/>
      <c r="L114" s="1890"/>
      <c r="M114" s="1890"/>
      <c r="N114" s="1890"/>
      <c r="O114" s="1890"/>
      <c r="P114" s="1890"/>
      <c r="Q114" s="1890"/>
      <c r="R114" s="1890"/>
      <c r="S114" s="1890"/>
      <c r="T114" s="1890"/>
    </row>
    <row r="115" spans="1:20" x14ac:dyDescent="0.2">
      <c r="A115" s="1890"/>
      <c r="B115" s="1890"/>
      <c r="C115" s="1890"/>
      <c r="D115" s="1890"/>
      <c r="E115" s="1890"/>
      <c r="F115" s="1890"/>
      <c r="G115" s="1890"/>
      <c r="H115" s="1890"/>
      <c r="I115" s="1890"/>
      <c r="J115" s="1890"/>
      <c r="K115" s="1890"/>
      <c r="L115" s="1890"/>
      <c r="M115" s="1890"/>
      <c r="N115" s="1890"/>
      <c r="O115" s="1890"/>
      <c r="P115" s="1890"/>
      <c r="Q115" s="1890"/>
      <c r="R115" s="1890"/>
      <c r="S115" s="1890"/>
      <c r="T115" s="1890"/>
    </row>
    <row r="116" spans="1:20" x14ac:dyDescent="0.2">
      <c r="A116" s="1890"/>
      <c r="B116" s="1890"/>
      <c r="C116" s="1890"/>
      <c r="D116" s="1890"/>
      <c r="E116" s="1890"/>
      <c r="F116" s="1890"/>
      <c r="G116" s="1890"/>
      <c r="H116" s="1890"/>
      <c r="I116" s="1890"/>
      <c r="J116" s="1890"/>
      <c r="K116" s="1890"/>
      <c r="L116" s="1890"/>
      <c r="M116" s="1890"/>
      <c r="N116" s="1890"/>
      <c r="O116" s="1890"/>
      <c r="P116" s="1890"/>
      <c r="Q116" s="1890"/>
      <c r="R116" s="1890"/>
      <c r="S116" s="1890"/>
      <c r="T116" s="1890"/>
    </row>
    <row r="117" spans="1:20" x14ac:dyDescent="0.2">
      <c r="A117" s="1890"/>
      <c r="B117" s="1890"/>
      <c r="C117" s="1890"/>
      <c r="D117" s="1890"/>
      <c r="E117" s="1890"/>
      <c r="F117" s="1890"/>
      <c r="G117" s="1890"/>
      <c r="H117" s="1890"/>
      <c r="I117" s="1890"/>
      <c r="J117" s="1890"/>
      <c r="K117" s="1890"/>
      <c r="L117" s="1890"/>
      <c r="M117" s="1890"/>
      <c r="N117" s="1890"/>
      <c r="O117" s="1890"/>
      <c r="P117" s="1890"/>
      <c r="Q117" s="1890"/>
      <c r="R117" s="1890"/>
      <c r="S117" s="1890"/>
      <c r="T117" s="1890"/>
    </row>
    <row r="118" spans="1:20" x14ac:dyDescent="0.2">
      <c r="A118" s="1890"/>
      <c r="B118" s="1890"/>
      <c r="C118" s="1890"/>
      <c r="D118" s="1890"/>
      <c r="E118" s="1890"/>
      <c r="F118" s="1890"/>
      <c r="G118" s="1890"/>
      <c r="H118" s="1890"/>
      <c r="I118" s="1890"/>
      <c r="J118" s="1890"/>
      <c r="K118" s="1890"/>
      <c r="L118" s="1890"/>
      <c r="M118" s="1890"/>
      <c r="N118" s="1890"/>
      <c r="O118" s="1890"/>
      <c r="P118" s="1890"/>
      <c r="Q118" s="1890"/>
      <c r="R118" s="1890"/>
      <c r="S118" s="1890"/>
      <c r="T118" s="1890"/>
    </row>
    <row r="119" spans="1:20" x14ac:dyDescent="0.2">
      <c r="A119" s="1890"/>
      <c r="B119" s="1890"/>
      <c r="C119" s="1890"/>
      <c r="D119" s="1890"/>
      <c r="E119" s="1890"/>
      <c r="F119" s="1890"/>
      <c r="G119" s="1890"/>
      <c r="H119" s="1890"/>
      <c r="I119" s="1890"/>
      <c r="J119" s="1890"/>
      <c r="K119" s="1890"/>
      <c r="L119" s="1890"/>
      <c r="M119" s="1890"/>
      <c r="N119" s="1890"/>
      <c r="O119" s="1890"/>
      <c r="P119" s="1890"/>
      <c r="Q119" s="1890"/>
      <c r="R119" s="1890"/>
      <c r="S119" s="1890"/>
      <c r="T119" s="1890"/>
    </row>
    <row r="120" spans="1:20" x14ac:dyDescent="0.2">
      <c r="A120" s="1890"/>
      <c r="B120" s="1890"/>
      <c r="C120" s="1890"/>
      <c r="D120" s="1890"/>
      <c r="E120" s="1890"/>
      <c r="F120" s="1890"/>
      <c r="G120" s="1890"/>
      <c r="H120" s="1890"/>
      <c r="I120" s="1890"/>
      <c r="J120" s="1890"/>
      <c r="K120" s="1890"/>
      <c r="L120" s="1890"/>
      <c r="M120" s="1890"/>
      <c r="N120" s="1890"/>
      <c r="O120" s="1890"/>
      <c r="P120" s="1890"/>
      <c r="Q120" s="1890"/>
      <c r="R120" s="1890"/>
      <c r="S120" s="1890"/>
      <c r="T120" s="1890"/>
    </row>
    <row r="121" spans="1:20" x14ac:dyDescent="0.2">
      <c r="A121" s="1890"/>
      <c r="B121" s="1890"/>
      <c r="C121" s="1890"/>
      <c r="D121" s="1890"/>
      <c r="E121" s="1890"/>
      <c r="F121" s="1890"/>
      <c r="G121" s="1890"/>
      <c r="H121" s="1890"/>
      <c r="I121" s="1890"/>
      <c r="J121" s="1890"/>
      <c r="K121" s="1890"/>
      <c r="L121" s="1890"/>
      <c r="M121" s="1890"/>
      <c r="N121" s="1890"/>
      <c r="O121" s="1890"/>
      <c r="P121" s="1890"/>
      <c r="Q121" s="1890"/>
      <c r="R121" s="1890"/>
      <c r="S121" s="1890"/>
      <c r="T121" s="1890"/>
    </row>
  </sheetData>
  <sheetProtection selectLockedCells="1" selectUnlockedCells="1"/>
  <mergeCells count="2">
    <mergeCell ref="O5:P5"/>
    <mergeCell ref="O6:P6"/>
  </mergeCells>
  <pageMargins left="0.78740157499999996" right="0.78740157499999996" top="0.984251969" bottom="0.984251969" header="0.4921259845" footer="0.4921259845"/>
  <pageSetup paperSize="9" orientation="portrait" r:id="rId1"/>
  <headerFooter alignWithMargins="0"/>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07373E-44CA-464F-ABA4-BE0FCF2CD606}">
  <dimension ref="A1:BD121"/>
  <sheetViews>
    <sheetView zoomScale="80" zoomScaleNormal="80" workbookViewId="0">
      <selection activeCell="L13" sqref="L13"/>
    </sheetView>
  </sheetViews>
  <sheetFormatPr defaultColWidth="11.42578125" defaultRowHeight="12.75" x14ac:dyDescent="0.2"/>
  <cols>
    <col min="1" max="1" width="8.42578125" style="1846" customWidth="1"/>
    <col min="2" max="2" width="37.42578125" style="1846" customWidth="1"/>
    <col min="3" max="3" width="16.140625" style="1846" customWidth="1"/>
    <col min="4" max="4" width="15.42578125" style="1846" bestFit="1" customWidth="1"/>
    <col min="5" max="5" width="17.42578125" style="1846" customWidth="1"/>
    <col min="6" max="7" width="11.42578125" style="1846"/>
    <col min="8" max="8" width="14.7109375" style="1846" bestFit="1" customWidth="1"/>
    <col min="9" max="9" width="19.140625" style="1846" bestFit="1" customWidth="1"/>
    <col min="10" max="10" width="11.42578125" style="1846"/>
    <col min="11" max="11" width="23.42578125" style="1846" customWidth="1"/>
    <col min="12" max="12" width="19.140625" style="1846" bestFit="1" customWidth="1"/>
    <col min="13" max="13" width="10.42578125" style="1846" customWidth="1"/>
    <col min="14" max="14" width="12.140625" style="1846" customWidth="1"/>
    <col min="15" max="16384" width="11.42578125" style="1846"/>
  </cols>
  <sheetData>
    <row r="1" spans="1:20" s="2229" customFormat="1" ht="26.1" customHeight="1" x14ac:dyDescent="0.2">
      <c r="A1" s="2366" t="s">
        <v>1267</v>
      </c>
      <c r="B1" s="2367"/>
      <c r="C1" s="2367"/>
      <c r="D1" s="2367"/>
      <c r="E1" s="2367"/>
      <c r="F1" s="2228"/>
      <c r="G1" s="2228"/>
      <c r="H1" s="2228"/>
      <c r="I1" s="2228"/>
      <c r="J1" s="2228"/>
      <c r="K1" s="2228"/>
      <c r="L1" s="2228"/>
      <c r="M1" s="2228"/>
      <c r="N1" s="2228"/>
      <c r="O1" s="2228"/>
      <c r="P1" s="2228"/>
      <c r="Q1" s="2228"/>
      <c r="R1" s="2228"/>
      <c r="S1" s="2228"/>
      <c r="T1" s="2228"/>
    </row>
    <row r="2" spans="1:20" ht="14.25" customHeight="1" x14ac:dyDescent="0.25">
      <c r="A2" s="2230"/>
      <c r="B2" s="2231"/>
      <c r="C2" s="2030"/>
      <c r="D2" s="2030"/>
      <c r="E2" s="2030"/>
      <c r="F2" s="1890"/>
      <c r="G2" s="1890"/>
      <c r="H2" s="1890"/>
      <c r="I2" s="1890"/>
      <c r="J2" s="1890"/>
      <c r="K2" s="1890"/>
      <c r="L2" s="1890"/>
      <c r="M2" s="1890"/>
      <c r="N2" s="1890"/>
      <c r="O2" s="1890"/>
      <c r="P2" s="1890"/>
      <c r="Q2" s="1890"/>
      <c r="R2" s="1890"/>
      <c r="S2" s="1890"/>
      <c r="T2" s="1890"/>
    </row>
    <row r="3" spans="1:20" ht="18" customHeight="1" x14ac:dyDescent="0.2">
      <c r="A3" s="1890"/>
      <c r="B3" s="2272" t="s">
        <v>1236</v>
      </c>
      <c r="C3" s="2368">
        <f>+'CO2 - Cálculos'!AH58</f>
        <v>23025.599999999999</v>
      </c>
      <c r="D3" s="2234"/>
      <c r="E3" s="2234"/>
      <c r="F3" s="1890"/>
      <c r="G3" s="1890"/>
      <c r="H3" s="1890"/>
      <c r="I3" s="1890"/>
      <c r="J3" s="1890"/>
      <c r="K3" s="1890"/>
      <c r="L3" s="1890"/>
      <c r="M3" s="1890"/>
      <c r="N3" s="1890"/>
      <c r="O3" s="1890"/>
      <c r="P3" s="1890"/>
      <c r="Q3" s="1890"/>
      <c r="R3" s="1890"/>
      <c r="S3" s="1890"/>
      <c r="T3" s="1890"/>
    </row>
    <row r="4" spans="1:20" ht="18" customHeight="1" x14ac:dyDescent="0.25">
      <c r="A4" s="1890"/>
      <c r="B4" s="1890"/>
      <c r="C4" s="2369"/>
      <c r="D4" s="2237"/>
      <c r="E4" s="2237"/>
      <c r="F4" s="1890"/>
      <c r="G4" s="1890"/>
      <c r="H4" s="1890"/>
      <c r="I4" s="1890"/>
      <c r="J4" s="1890"/>
      <c r="K4" s="1890"/>
      <c r="L4" s="1957"/>
      <c r="M4" s="1957"/>
      <c r="N4" s="1957"/>
      <c r="O4" s="1957"/>
      <c r="P4" s="1957"/>
      <c r="Q4" s="1957"/>
      <c r="R4" s="1957"/>
      <c r="S4" s="1957"/>
      <c r="T4" s="1890"/>
    </row>
    <row r="5" spans="1:20" ht="18" customHeight="1" x14ac:dyDescent="0.25">
      <c r="A5" s="1890"/>
      <c r="B5" s="2272" t="s">
        <v>1237</v>
      </c>
      <c r="C5" s="2368">
        <f>+'CO2 - Cálculos'!AH13</f>
        <v>2322.6613487999998</v>
      </c>
      <c r="D5" s="2234"/>
      <c r="E5" s="2234"/>
      <c r="F5" s="1890"/>
      <c r="G5" s="1890"/>
      <c r="H5" s="1890"/>
      <c r="I5" s="1890"/>
      <c r="J5" s="1890"/>
      <c r="K5" s="1890"/>
      <c r="L5" s="1957"/>
      <c r="M5" s="1957"/>
      <c r="N5" s="1957"/>
      <c r="O5" s="2973" t="s">
        <v>1262</v>
      </c>
      <c r="P5" s="2974"/>
      <c r="Q5" s="1957"/>
      <c r="R5" s="1957"/>
      <c r="S5" s="1957"/>
      <c r="T5" s="1890"/>
    </row>
    <row r="6" spans="1:20" ht="18" customHeight="1" x14ac:dyDescent="0.25">
      <c r="A6" s="1890"/>
      <c r="B6" s="2310"/>
      <c r="C6" s="2301"/>
      <c r="D6" s="2234"/>
      <c r="E6" s="2234"/>
      <c r="F6" s="1890"/>
      <c r="G6" s="1890"/>
      <c r="H6" s="1890"/>
      <c r="I6" s="1890"/>
      <c r="J6" s="1890"/>
      <c r="K6" s="1890"/>
      <c r="L6" s="1957"/>
      <c r="M6" s="1957"/>
      <c r="N6" s="1957"/>
      <c r="O6" s="2977">
        <f>+C3</f>
        <v>23025.599999999999</v>
      </c>
      <c r="P6" s="2978"/>
      <c r="Q6" s="1957"/>
      <c r="R6" s="1957"/>
      <c r="S6" s="1957"/>
      <c r="T6" s="1890"/>
    </row>
    <row r="7" spans="1:20" ht="18" customHeight="1" x14ac:dyDescent="0.25">
      <c r="A7" s="1890"/>
      <c r="B7" s="2226" t="s">
        <v>1106</v>
      </c>
      <c r="C7" s="2299">
        <f>+'CO2 - Cálculos'!AH5</f>
        <v>0</v>
      </c>
      <c r="D7" s="2234"/>
      <c r="E7" s="2234"/>
      <c r="F7" s="1890"/>
      <c r="G7" s="1890"/>
      <c r="H7" s="1890"/>
      <c r="I7" s="1890"/>
      <c r="J7" s="1890"/>
      <c r="K7" s="1890"/>
      <c r="L7" s="1957"/>
      <c r="M7" s="1977"/>
      <c r="N7" s="1957"/>
      <c r="O7" s="1957"/>
      <c r="P7" s="1957"/>
      <c r="Q7" s="1957"/>
      <c r="R7" s="1957"/>
      <c r="S7" s="1957"/>
      <c r="T7" s="1890"/>
    </row>
    <row r="8" spans="1:20" ht="18" customHeight="1" x14ac:dyDescent="0.25">
      <c r="A8" s="1890"/>
      <c r="B8" s="2226" t="s">
        <v>1107</v>
      </c>
      <c r="C8" s="2299">
        <f>+'CO2 - Cálculos'!AH6</f>
        <v>0</v>
      </c>
      <c r="D8" s="2234"/>
      <c r="E8" s="2234"/>
      <c r="F8" s="1890"/>
      <c r="G8" s="1890"/>
      <c r="H8" s="1890"/>
      <c r="I8" s="1890"/>
      <c r="J8" s="1890"/>
      <c r="K8" s="1890"/>
      <c r="L8" s="1957"/>
      <c r="M8" s="1957"/>
      <c r="N8" s="1957"/>
      <c r="O8" s="1957"/>
      <c r="P8" s="1957"/>
      <c r="Q8" s="1957"/>
      <c r="R8" s="1957"/>
      <c r="S8" s="1957"/>
      <c r="T8" s="1890"/>
    </row>
    <row r="9" spans="1:20" ht="18" customHeight="1" x14ac:dyDescent="0.25">
      <c r="A9" s="1890"/>
      <c r="B9" s="2226" t="s">
        <v>1108</v>
      </c>
      <c r="C9" s="2299">
        <f>+'CO2 - Cálculos'!AH7</f>
        <v>1004.4457488</v>
      </c>
      <c r="D9" s="2234"/>
      <c r="E9" s="2234"/>
      <c r="F9" s="1890"/>
      <c r="G9" s="1890"/>
      <c r="H9" s="1890"/>
      <c r="I9" s="1890"/>
      <c r="J9" s="1890"/>
      <c r="K9" s="1890"/>
      <c r="L9" s="1957"/>
      <c r="M9" s="1866" t="s">
        <v>1046</v>
      </c>
      <c r="N9" s="2314">
        <f>+C5</f>
        <v>2322.6613487999998</v>
      </c>
      <c r="O9" s="2370">
        <f>+N9/O6</f>
        <v>0.100873</v>
      </c>
      <c r="P9" s="2316">
        <f>+Q9/O6</f>
        <v>0.89912700000000001</v>
      </c>
      <c r="Q9" s="2317">
        <f>+C16</f>
        <v>20702.938651199998</v>
      </c>
      <c r="R9" s="2318" t="s">
        <v>1239</v>
      </c>
      <c r="S9" s="1957"/>
      <c r="T9" s="1890"/>
    </row>
    <row r="10" spans="1:20" ht="18" customHeight="1" x14ac:dyDescent="0.25">
      <c r="A10" s="1890"/>
      <c r="B10" s="2226" t="s">
        <v>1109</v>
      </c>
      <c r="C10" s="2299">
        <f>+'CO2 - Cálculos'!AH8</f>
        <v>683.86032</v>
      </c>
      <c r="D10" s="2234"/>
      <c r="E10" s="2234"/>
      <c r="F10" s="1890"/>
      <c r="G10" s="1890"/>
      <c r="H10" s="1890"/>
      <c r="I10" s="1890"/>
      <c r="J10" s="1890"/>
      <c r="K10" s="1890"/>
      <c r="L10" s="1957"/>
      <c r="M10" s="2319"/>
      <c r="N10" s="2320"/>
      <c r="O10" s="1957"/>
      <c r="P10" s="2313"/>
      <c r="Q10" s="2320"/>
      <c r="R10" s="2319"/>
      <c r="S10" s="1957"/>
      <c r="T10" s="1890"/>
    </row>
    <row r="11" spans="1:20" ht="18" customHeight="1" x14ac:dyDescent="0.25">
      <c r="A11" s="1890"/>
      <c r="B11" s="2226" t="s">
        <v>50</v>
      </c>
      <c r="C11" s="2299">
        <f>+'CO2 - Cálculos'!AH9</f>
        <v>0</v>
      </c>
      <c r="D11" s="2234"/>
      <c r="E11" s="2234"/>
      <c r="F11" s="1890"/>
      <c r="G11" s="1890"/>
      <c r="H11" s="1890"/>
      <c r="I11" s="1890"/>
      <c r="J11" s="1890"/>
      <c r="K11" s="1890"/>
      <c r="L11" s="1957"/>
      <c r="M11" s="1866" t="str">
        <f t="shared" ref="M11:N18" si="0">+B7</f>
        <v>Resíduos de alimentos</v>
      </c>
      <c r="N11" s="2321">
        <f t="shared" si="0"/>
        <v>0</v>
      </c>
      <c r="O11" s="2371">
        <f t="shared" ref="O11:O18" si="1">+N11/$N$9</f>
        <v>0</v>
      </c>
      <c r="P11" s="2323">
        <f t="shared" ref="P11:P19" si="2">+Q11/$Q$9</f>
        <v>0</v>
      </c>
      <c r="Q11" s="2324">
        <f t="shared" ref="Q11:Q19" si="3">+C18</f>
        <v>0</v>
      </c>
      <c r="R11" s="2318" t="str">
        <f t="shared" ref="R11:R19" si="4">+B18</f>
        <v>Resíduos dispersos</v>
      </c>
      <c r="S11" s="1957"/>
      <c r="T11" s="1890"/>
    </row>
    <row r="12" spans="1:20" ht="18" customHeight="1" x14ac:dyDescent="0.25">
      <c r="A12" s="1890"/>
      <c r="B12" s="2226" t="s">
        <v>1110</v>
      </c>
      <c r="C12" s="2299">
        <f>+'CO2 - Cálculos'!AH10</f>
        <v>503.10935999999998</v>
      </c>
      <c r="D12" s="2234"/>
      <c r="E12" s="2234"/>
      <c r="F12" s="1890"/>
      <c r="G12" s="1890"/>
      <c r="H12" s="1890"/>
      <c r="I12" s="1890"/>
      <c r="J12" s="1890"/>
      <c r="K12" s="1890"/>
      <c r="L12" s="1957"/>
      <c r="M12" s="1866" t="str">
        <f t="shared" si="0"/>
        <v>Resíduos de jardins e parques</v>
      </c>
      <c r="N12" s="2321">
        <f t="shared" si="0"/>
        <v>0</v>
      </c>
      <c r="O12" s="2371">
        <f t="shared" si="1"/>
        <v>0</v>
      </c>
      <c r="P12" s="2323">
        <f t="shared" si="2"/>
        <v>0</v>
      </c>
      <c r="Q12" s="2324">
        <f t="shared" si="3"/>
        <v>0</v>
      </c>
      <c r="R12" s="2318" t="str">
        <f t="shared" si="4"/>
        <v>Queima a céu aberto</v>
      </c>
      <c r="S12" s="1957"/>
      <c r="T12" s="1890"/>
    </row>
    <row r="13" spans="1:20" ht="18" customHeight="1" x14ac:dyDescent="0.25">
      <c r="A13" s="1890"/>
      <c r="B13" s="2226" t="s">
        <v>1111</v>
      </c>
      <c r="C13" s="2299">
        <f>+'CO2 - Cálculos'!AH11</f>
        <v>131.24591999999998</v>
      </c>
      <c r="D13" s="2234"/>
      <c r="E13" s="2234"/>
      <c r="F13" s="1890"/>
      <c r="G13" s="1890"/>
      <c r="H13" s="1890"/>
      <c r="I13" s="1890"/>
      <c r="J13" s="1890"/>
      <c r="K13" s="1890"/>
      <c r="L13" s="1957"/>
      <c r="M13" s="1866" t="str">
        <f t="shared" si="0"/>
        <v>Papel, papelão</v>
      </c>
      <c r="N13" s="2321">
        <f t="shared" si="0"/>
        <v>1004.4457488</v>
      </c>
      <c r="O13" s="2371">
        <f t="shared" si="1"/>
        <v>0.4324546707245745</v>
      </c>
      <c r="P13" s="2323">
        <f t="shared" si="2"/>
        <v>0</v>
      </c>
      <c r="Q13" s="2324">
        <f t="shared" si="3"/>
        <v>0</v>
      </c>
      <c r="R13" s="2318" t="str">
        <f t="shared" si="4"/>
        <v>Lixão não controlado</v>
      </c>
      <c r="S13" s="1957"/>
      <c r="T13" s="1890"/>
    </row>
    <row r="14" spans="1:20" ht="18" customHeight="1" x14ac:dyDescent="0.25">
      <c r="A14" s="1890"/>
      <c r="B14" s="2226" t="s">
        <v>1112</v>
      </c>
      <c r="C14" s="2299">
        <f>+'CO2 - Cálculos'!AH12</f>
        <v>0</v>
      </c>
      <c r="D14" s="2234"/>
      <c r="E14" s="2234"/>
      <c r="F14" s="1890"/>
      <c r="G14" s="1890"/>
      <c r="H14" s="1890"/>
      <c r="I14" s="1890"/>
      <c r="J14" s="1890"/>
      <c r="K14" s="1890"/>
      <c r="L14" s="1957"/>
      <c r="M14" s="1866" t="str">
        <f t="shared" si="0"/>
        <v>Plásticos</v>
      </c>
      <c r="N14" s="2321">
        <f t="shared" si="0"/>
        <v>683.86032</v>
      </c>
      <c r="O14" s="2371">
        <f t="shared" si="1"/>
        <v>0.29442962933589761</v>
      </c>
      <c r="P14" s="2323">
        <f t="shared" si="2"/>
        <v>0</v>
      </c>
      <c r="Q14" s="2324">
        <f t="shared" si="3"/>
        <v>0</v>
      </c>
      <c r="R14" s="2318" t="str">
        <f t="shared" si="4"/>
        <v>Aterro controlado</v>
      </c>
      <c r="S14" s="1957"/>
      <c r="T14" s="1890"/>
    </row>
    <row r="15" spans="1:20" ht="18" customHeight="1" x14ac:dyDescent="0.25">
      <c r="A15" s="1890"/>
      <c r="B15" s="2369"/>
      <c r="C15" s="2372"/>
      <c r="D15" s="2234"/>
      <c r="E15" s="2234"/>
      <c r="F15" s="1890"/>
      <c r="G15" s="1890"/>
      <c r="H15" s="1890"/>
      <c r="I15" s="1890"/>
      <c r="J15" s="1890"/>
      <c r="K15" s="1890"/>
      <c r="L15" s="1957"/>
      <c r="M15" s="1866" t="str">
        <f t="shared" si="0"/>
        <v>Vidros</v>
      </c>
      <c r="N15" s="2321">
        <f t="shared" si="0"/>
        <v>0</v>
      </c>
      <c r="O15" s="2371">
        <f t="shared" si="1"/>
        <v>0</v>
      </c>
      <c r="P15" s="2323">
        <f t="shared" si="2"/>
        <v>0.375</v>
      </c>
      <c r="Q15" s="2324">
        <f t="shared" si="3"/>
        <v>7763.6019941999994</v>
      </c>
      <c r="R15" s="2318" t="str">
        <f t="shared" si="4"/>
        <v>Aterro sanitário</v>
      </c>
      <c r="S15" s="1957"/>
      <c r="T15" s="2234"/>
    </row>
    <row r="16" spans="1:20" ht="18" customHeight="1" x14ac:dyDescent="0.25">
      <c r="A16" s="1890"/>
      <c r="B16" s="2278" t="s">
        <v>1263</v>
      </c>
      <c r="C16" s="2368">
        <f>+'CO2 - Cálculos'!AH57</f>
        <v>20702.938651199998</v>
      </c>
      <c r="D16" s="2234"/>
      <c r="E16" s="2234"/>
      <c r="F16" s="1890"/>
      <c r="G16" s="1890"/>
      <c r="H16" s="1890"/>
      <c r="I16" s="1890"/>
      <c r="J16" s="1890"/>
      <c r="K16" s="1890"/>
      <c r="L16" s="1957"/>
      <c r="M16" s="1866" t="str">
        <f t="shared" si="0"/>
        <v>Metais ferrosos</v>
      </c>
      <c r="N16" s="2321">
        <f t="shared" si="0"/>
        <v>503.10935999999998</v>
      </c>
      <c r="O16" s="2371">
        <f t="shared" si="1"/>
        <v>0.21660900340031525</v>
      </c>
      <c r="P16" s="2323">
        <f t="shared" si="2"/>
        <v>0.625</v>
      </c>
      <c r="Q16" s="2324">
        <f t="shared" si="3"/>
        <v>12939.336657</v>
      </c>
      <c r="R16" s="2318" t="str">
        <f t="shared" si="4"/>
        <v>Trat. biol + cobertura at.</v>
      </c>
      <c r="S16" s="1957"/>
      <c r="T16" s="2234"/>
    </row>
    <row r="17" spans="1:33" ht="18" customHeight="1" x14ac:dyDescent="0.25">
      <c r="A17" s="1890"/>
      <c r="B17" s="2310"/>
      <c r="C17" s="2301"/>
      <c r="D17" s="2234"/>
      <c r="E17" s="2234"/>
      <c r="F17" s="1890"/>
      <c r="G17" s="1890"/>
      <c r="H17" s="1890"/>
      <c r="I17" s="1890"/>
      <c r="J17" s="1890"/>
      <c r="K17" s="1890"/>
      <c r="L17" s="1957"/>
      <c r="M17" s="1866" t="str">
        <f t="shared" si="0"/>
        <v>Alumínio</v>
      </c>
      <c r="N17" s="2321">
        <f t="shared" si="0"/>
        <v>131.24591999999998</v>
      </c>
      <c r="O17" s="2371">
        <f t="shared" si="1"/>
        <v>5.650669653921267E-2</v>
      </c>
      <c r="P17" s="2323">
        <f t="shared" si="2"/>
        <v>0</v>
      </c>
      <c r="Q17" s="2324">
        <f t="shared" si="3"/>
        <v>0</v>
      </c>
      <c r="R17" s="2318" t="str">
        <f t="shared" si="4"/>
        <v>CDR seco + rejeito aterro</v>
      </c>
      <c r="S17" s="1957"/>
      <c r="T17" s="1890"/>
    </row>
    <row r="18" spans="1:33" ht="18" customHeight="1" x14ac:dyDescent="0.25">
      <c r="A18" s="1890"/>
      <c r="B18" s="2226" t="s">
        <v>1241</v>
      </c>
      <c r="C18" s="2299">
        <f>+'CO2 - Cálculos'!AH47</f>
        <v>0</v>
      </c>
      <c r="D18" s="2234"/>
      <c r="E18" s="2234"/>
      <c r="F18" s="1890"/>
      <c r="G18" s="1890"/>
      <c r="H18" s="1890"/>
      <c r="I18" s="1890"/>
      <c r="J18" s="1890"/>
      <c r="K18" s="1890"/>
      <c r="L18" s="1957"/>
      <c r="M18" s="1866" t="str">
        <f t="shared" si="0"/>
        <v>Têxteis</v>
      </c>
      <c r="N18" s="2321">
        <f t="shared" si="0"/>
        <v>0</v>
      </c>
      <c r="O18" s="2371">
        <f t="shared" si="1"/>
        <v>0</v>
      </c>
      <c r="P18" s="2323">
        <f t="shared" si="2"/>
        <v>0</v>
      </c>
      <c r="Q18" s="2324">
        <f t="shared" si="3"/>
        <v>0</v>
      </c>
      <c r="R18" s="2318" t="str">
        <f t="shared" si="4"/>
        <v>CDR seco + trat. biol.</v>
      </c>
      <c r="S18" s="1957"/>
      <c r="T18" s="1890"/>
    </row>
    <row r="19" spans="1:33" ht="18" customHeight="1" x14ac:dyDescent="0.25">
      <c r="A19" s="1890"/>
      <c r="B19" s="2226" t="s">
        <v>1242</v>
      </c>
      <c r="C19" s="2299">
        <f>+'CO2 - Cálculos'!AH48</f>
        <v>0</v>
      </c>
      <c r="D19" s="2234"/>
      <c r="E19" s="2234"/>
      <c r="F19" s="1890"/>
      <c r="G19" s="1890"/>
      <c r="H19" s="1890"/>
      <c r="I19" s="1890"/>
      <c r="J19" s="1890"/>
      <c r="K19" s="1890"/>
      <c r="L19" s="1957"/>
      <c r="M19" s="1957"/>
      <c r="N19" s="2373"/>
      <c r="O19" s="2374"/>
      <c r="P19" s="2323">
        <f t="shared" si="2"/>
        <v>0</v>
      </c>
      <c r="Q19" s="2324">
        <f t="shared" si="3"/>
        <v>0</v>
      </c>
      <c r="R19" s="2318" t="str">
        <f t="shared" si="4"/>
        <v>CDR seco + CDR org.</v>
      </c>
      <c r="S19" s="1957"/>
      <c r="T19" s="1890"/>
    </row>
    <row r="20" spans="1:33" ht="18" customHeight="1" x14ac:dyDescent="0.25">
      <c r="A20" s="1890"/>
      <c r="B20" s="2226" t="s">
        <v>1243</v>
      </c>
      <c r="C20" s="2299">
        <f>+'CO2 - Cálculos'!AH49</f>
        <v>0</v>
      </c>
      <c r="D20" s="2234"/>
      <c r="E20" s="2234"/>
      <c r="F20" s="1890"/>
      <c r="G20" s="1890"/>
      <c r="H20" s="1890"/>
      <c r="I20" s="1890"/>
      <c r="J20" s="1890"/>
      <c r="K20" s="1890"/>
      <c r="L20" s="1957"/>
      <c r="M20" s="1957"/>
      <c r="N20" s="2373"/>
      <c r="O20" s="1957"/>
      <c r="P20" s="2323">
        <f>+Q20/$Q$9</f>
        <v>0</v>
      </c>
      <c r="Q20" s="2324">
        <f>+C27</f>
        <v>0</v>
      </c>
      <c r="R20" s="2318" t="str">
        <f>+B27</f>
        <v>Incineração</v>
      </c>
      <c r="S20" s="1957"/>
      <c r="T20" s="1890"/>
    </row>
    <row r="21" spans="1:33" ht="18" customHeight="1" x14ac:dyDescent="0.25">
      <c r="A21" s="1890"/>
      <c r="B21" s="2226" t="s">
        <v>1244</v>
      </c>
      <c r="C21" s="2299">
        <f>+'CO2 - Cálculos'!AH50</f>
        <v>0</v>
      </c>
      <c r="D21" s="2234"/>
      <c r="E21" s="2234"/>
      <c r="F21" s="1890"/>
      <c r="G21" s="1890"/>
      <c r="H21" s="1890"/>
      <c r="I21" s="1890"/>
      <c r="J21" s="1890"/>
      <c r="K21" s="1890"/>
      <c r="L21" s="1957"/>
      <c r="M21" s="1957"/>
      <c r="N21" s="1957"/>
      <c r="O21" s="1957"/>
      <c r="P21" s="1957"/>
      <c r="Q21" s="2375"/>
      <c r="R21" s="1957"/>
      <c r="S21" s="1957"/>
      <c r="T21" s="1890"/>
    </row>
    <row r="22" spans="1:33" ht="18" customHeight="1" x14ac:dyDescent="0.2">
      <c r="A22" s="1890"/>
      <c r="B22" s="2326" t="s">
        <v>64</v>
      </c>
      <c r="C22" s="2299">
        <f>+'CO2 - Cálculos'!AH51</f>
        <v>7763.6019941999994</v>
      </c>
      <c r="D22" s="2234"/>
      <c r="E22" s="2234"/>
      <c r="F22" s="1890"/>
      <c r="G22" s="1890"/>
      <c r="H22" s="1890"/>
      <c r="I22" s="1890"/>
      <c r="J22" s="1890"/>
      <c r="K22" s="1890"/>
      <c r="L22" s="1890"/>
      <c r="M22" s="1890"/>
      <c r="N22" s="1890"/>
      <c r="O22" s="1890"/>
      <c r="P22" s="1890"/>
      <c r="Q22" s="2016"/>
      <c r="R22" s="1890"/>
      <c r="S22" s="1890"/>
      <c r="T22" s="1890"/>
    </row>
    <row r="23" spans="1:33" ht="18" customHeight="1" x14ac:dyDescent="0.2">
      <c r="A23" s="1890"/>
      <c r="B23" s="2327" t="s">
        <v>1245</v>
      </c>
      <c r="C23" s="2376">
        <f>+'CO2 - Cálculos'!AH52</f>
        <v>12939.336657</v>
      </c>
      <c r="D23" s="2234"/>
      <c r="E23" s="2234"/>
      <c r="F23" s="1890"/>
      <c r="G23" s="1890"/>
      <c r="H23" s="1890"/>
      <c r="I23" s="1890"/>
      <c r="J23" s="1890"/>
      <c r="K23" s="1890"/>
      <c r="L23" s="1890"/>
      <c r="M23" s="1890"/>
      <c r="N23" s="1890"/>
      <c r="O23" s="1890"/>
      <c r="P23" s="1890"/>
      <c r="Q23" s="1890"/>
      <c r="R23" s="1890"/>
      <c r="S23" s="1890"/>
      <c r="T23" s="1890"/>
    </row>
    <row r="24" spans="1:33" ht="18" customHeight="1" x14ac:dyDescent="0.2">
      <c r="A24" s="1890"/>
      <c r="B24" s="2327" t="s">
        <v>1246</v>
      </c>
      <c r="C24" s="2299">
        <f>+'CO2 - Cálculos'!AH53</f>
        <v>0</v>
      </c>
      <c r="D24" s="2234"/>
      <c r="E24" s="2234"/>
      <c r="F24" s="1890"/>
      <c r="G24" s="1890"/>
      <c r="H24" s="1890"/>
      <c r="I24" s="1890"/>
      <c r="J24" s="1890"/>
      <c r="K24" s="1890"/>
      <c r="L24" s="1890"/>
      <c r="M24" s="1890"/>
      <c r="N24" s="1890"/>
      <c r="O24" s="1890"/>
      <c r="P24" s="1890"/>
      <c r="Q24" s="1890"/>
      <c r="R24" s="1890"/>
      <c r="S24" s="1890"/>
      <c r="T24" s="1890"/>
    </row>
    <row r="25" spans="1:33" ht="18" customHeight="1" x14ac:dyDescent="0.2">
      <c r="A25" s="1890"/>
      <c r="B25" s="2327" t="s">
        <v>1247</v>
      </c>
      <c r="C25" s="2299">
        <f>+'CO2 - Cálculos'!AH54</f>
        <v>0</v>
      </c>
      <c r="D25" s="2234"/>
      <c r="E25" s="2234"/>
      <c r="F25" s="1890"/>
      <c r="G25" s="1890"/>
      <c r="H25" s="1890"/>
      <c r="I25" s="1890"/>
      <c r="J25" s="1890"/>
      <c r="K25" s="1890"/>
      <c r="L25" s="1890"/>
      <c r="M25" s="1890"/>
      <c r="N25" s="1890"/>
      <c r="O25" s="1890"/>
      <c r="P25" s="1890"/>
      <c r="Q25" s="1890"/>
      <c r="R25" s="1890"/>
      <c r="S25" s="1890"/>
      <c r="T25" s="1890"/>
    </row>
    <row r="26" spans="1:33" ht="18" customHeight="1" x14ac:dyDescent="0.2">
      <c r="A26" s="1890"/>
      <c r="B26" s="2327" t="s">
        <v>1248</v>
      </c>
      <c r="C26" s="2299">
        <f>+'CO2 - Cálculos'!AH55</f>
        <v>0</v>
      </c>
      <c r="D26" s="2234"/>
      <c r="E26" s="2234"/>
      <c r="F26" s="1890"/>
      <c r="G26" s="1890"/>
      <c r="H26" s="1890"/>
      <c r="I26" s="1890"/>
      <c r="J26" s="1890"/>
      <c r="K26" s="1890"/>
      <c r="L26" s="1890"/>
      <c r="M26" s="1890"/>
      <c r="N26" s="1890"/>
      <c r="O26" s="1890"/>
      <c r="P26" s="1890"/>
      <c r="Q26" s="1890"/>
      <c r="R26" s="1890"/>
      <c r="S26" s="1890"/>
      <c r="T26" s="1890"/>
    </row>
    <row r="27" spans="1:33" ht="18" customHeight="1" x14ac:dyDescent="0.2">
      <c r="A27" s="1890"/>
      <c r="B27" s="2226" t="s">
        <v>63</v>
      </c>
      <c r="C27" s="2299">
        <f>+'CO2 - Cálculos'!AH56</f>
        <v>0</v>
      </c>
      <c r="D27" s="2234"/>
      <c r="E27" s="2234"/>
      <c r="F27" s="1890"/>
      <c r="G27" s="1890"/>
      <c r="H27" s="1890"/>
      <c r="I27" s="1890"/>
      <c r="J27" s="1890"/>
      <c r="K27" s="1890"/>
      <c r="L27" s="1890"/>
      <c r="M27" s="1890"/>
      <c r="N27" s="1890"/>
      <c r="O27" s="1890"/>
      <c r="P27" s="1890"/>
      <c r="Q27" s="1890"/>
      <c r="R27" s="1890"/>
      <c r="S27" s="1890"/>
      <c r="T27" s="1890"/>
    </row>
    <row r="28" spans="1:33" x14ac:dyDescent="0.2">
      <c r="A28" s="1890"/>
      <c r="B28" s="1890"/>
      <c r="C28" s="2234"/>
      <c r="D28" s="2234"/>
      <c r="E28" s="2234"/>
      <c r="F28" s="2030"/>
      <c r="G28" s="2030"/>
      <c r="H28" s="2030"/>
      <c r="I28" s="2030"/>
      <c r="J28" s="2030"/>
      <c r="K28" s="2030"/>
      <c r="L28" s="2030"/>
      <c r="M28" s="2030"/>
      <c r="N28" s="2030"/>
      <c r="O28" s="2030"/>
      <c r="P28" s="2030"/>
      <c r="Q28" s="2030"/>
      <c r="R28" s="2030"/>
      <c r="S28" s="2030"/>
      <c r="T28" s="2030"/>
      <c r="U28" s="1845"/>
      <c r="V28" s="1845"/>
      <c r="W28" s="1845"/>
      <c r="X28" s="1845"/>
      <c r="Y28" s="1845"/>
      <c r="Z28" s="1845"/>
      <c r="AA28" s="1845"/>
      <c r="AB28" s="1845"/>
      <c r="AC28" s="1845"/>
      <c r="AD28" s="1845"/>
      <c r="AE28" s="1845"/>
      <c r="AF28" s="1845"/>
      <c r="AG28" s="1845"/>
    </row>
    <row r="29" spans="1:33" s="2229" customFormat="1" ht="26.1" customHeight="1" x14ac:dyDescent="0.2">
      <c r="A29" s="2063" t="s">
        <v>1264</v>
      </c>
      <c r="B29" s="2266"/>
      <c r="C29" s="1985"/>
      <c r="D29" s="1985"/>
      <c r="E29" s="1985"/>
      <c r="F29" s="2030"/>
      <c r="G29" s="2030"/>
      <c r="H29" s="2030"/>
      <c r="I29" s="2030"/>
      <c r="J29" s="2030"/>
      <c r="K29" s="2030"/>
      <c r="L29" s="2030"/>
      <c r="M29" s="2030"/>
      <c r="N29" s="2030"/>
      <c r="O29" s="2030"/>
      <c r="P29" s="2030"/>
      <c r="Q29" s="2030"/>
      <c r="R29" s="2030"/>
      <c r="S29" s="2030"/>
      <c r="T29" s="2030"/>
      <c r="U29" s="1845"/>
      <c r="V29" s="1845"/>
      <c r="W29" s="1845"/>
      <c r="X29" s="1845"/>
      <c r="Y29" s="1845"/>
      <c r="Z29" s="1845"/>
      <c r="AA29" s="1845"/>
      <c r="AB29" s="1845"/>
      <c r="AC29" s="1845"/>
      <c r="AD29" s="1845"/>
      <c r="AE29" s="1845"/>
      <c r="AF29" s="1845"/>
      <c r="AG29" s="1845"/>
    </row>
    <row r="30" spans="1:33" x14ac:dyDescent="0.2">
      <c r="A30" s="1890"/>
      <c r="B30" s="1890"/>
      <c r="C30" s="1890"/>
      <c r="D30" s="1890"/>
      <c r="E30" s="1890"/>
      <c r="F30" s="1890"/>
      <c r="G30" s="2267"/>
      <c r="H30" s="1890"/>
      <c r="I30" s="1890"/>
      <c r="J30" s="1890"/>
      <c r="K30" s="1890"/>
      <c r="L30" s="1890"/>
      <c r="M30" s="1890"/>
      <c r="N30" s="1890"/>
      <c r="O30" s="1890"/>
      <c r="P30" s="1890"/>
      <c r="Q30" s="1890"/>
      <c r="R30" s="1890"/>
      <c r="S30" s="1890"/>
      <c r="T30" s="1890"/>
    </row>
    <row r="31" spans="1:33" s="2225" customFormat="1" ht="18" customHeight="1" x14ac:dyDescent="0.25">
      <c r="A31" s="2140"/>
      <c r="B31" s="2151"/>
      <c r="C31" s="2377" t="s">
        <v>1250</v>
      </c>
      <c r="D31" s="2306" t="s">
        <v>1251</v>
      </c>
      <c r="E31" s="2306" t="s">
        <v>1252</v>
      </c>
      <c r="F31" s="2140"/>
      <c r="G31" s="2140"/>
      <c r="H31" s="2378"/>
      <c r="I31" s="2140"/>
      <c r="J31" s="2140"/>
      <c r="K31" s="2140"/>
      <c r="L31" s="2140"/>
      <c r="M31" s="2140"/>
      <c r="N31" s="2140"/>
      <c r="O31" s="2140"/>
      <c r="P31" s="2140"/>
      <c r="Q31" s="2140"/>
      <c r="R31" s="2140"/>
      <c r="S31" s="2140"/>
      <c r="T31" s="2140"/>
    </row>
    <row r="32" spans="1:33" s="2225" customFormat="1" ht="18" customHeight="1" x14ac:dyDescent="0.25">
      <c r="A32" s="2140"/>
      <c r="B32" s="2306" t="s">
        <v>1237</v>
      </c>
      <c r="C32" s="2311"/>
      <c r="D32" s="2379"/>
      <c r="E32" s="2379"/>
      <c r="F32" s="2140"/>
      <c r="G32" s="2140"/>
      <c r="H32" s="2140"/>
      <c r="I32" s="2140"/>
      <c r="J32" s="2140"/>
      <c r="K32" s="2140"/>
      <c r="L32" s="2140"/>
      <c r="M32" s="2140"/>
      <c r="N32" s="2140"/>
      <c r="O32" s="2140"/>
      <c r="P32" s="2140"/>
      <c r="Q32" s="2140"/>
      <c r="R32" s="2140"/>
      <c r="S32" s="2140"/>
      <c r="T32" s="2140"/>
    </row>
    <row r="33" spans="1:20" s="2225" customFormat="1" ht="18" customHeight="1" x14ac:dyDescent="0.25">
      <c r="A33" s="2140"/>
      <c r="B33" s="2380"/>
      <c r="C33" s="2379"/>
      <c r="D33" s="2379"/>
      <c r="E33" s="2379"/>
      <c r="F33" s="2140"/>
      <c r="G33" s="2140"/>
      <c r="H33" s="2140"/>
      <c r="I33" s="2140"/>
      <c r="J33" s="2140"/>
      <c r="K33" s="2140"/>
      <c r="L33" s="2140"/>
      <c r="M33" s="2140"/>
      <c r="N33" s="2140"/>
      <c r="O33" s="2140"/>
      <c r="P33" s="2140"/>
      <c r="Q33" s="2140"/>
      <c r="R33" s="2140"/>
      <c r="S33" s="2140"/>
      <c r="T33" s="2140"/>
    </row>
    <row r="34" spans="1:20" s="2225" customFormat="1" ht="18" customHeight="1" x14ac:dyDescent="0.25">
      <c r="A34" s="2140"/>
      <c r="B34" s="2303" t="str">
        <f>B7</f>
        <v>Resíduos de alimentos</v>
      </c>
      <c r="C34" s="2312">
        <f t="shared" ref="C34:C41" si="5">+C62</f>
        <v>0</v>
      </c>
      <c r="D34" s="2312">
        <f t="shared" ref="D34:D41" si="6">+C71</f>
        <v>0</v>
      </c>
      <c r="E34" s="2312">
        <f t="shared" ref="E34:E41" si="7">+D34+C34</f>
        <v>0</v>
      </c>
      <c r="F34" s="2140"/>
      <c r="G34" s="2140"/>
      <c r="H34" s="2140"/>
      <c r="I34" s="2140"/>
      <c r="J34" s="2140"/>
      <c r="K34" s="2140"/>
      <c r="L34" s="2140"/>
      <c r="M34" s="2140"/>
      <c r="N34" s="2140"/>
      <c r="O34" s="2140"/>
      <c r="P34" s="2140"/>
      <c r="Q34" s="2140"/>
      <c r="R34" s="2140"/>
      <c r="S34" s="2140"/>
      <c r="T34" s="2140"/>
    </row>
    <row r="35" spans="1:20" s="2225" customFormat="1" ht="18" customHeight="1" x14ac:dyDescent="0.25">
      <c r="A35" s="2140"/>
      <c r="B35" s="2303" t="str">
        <f t="shared" ref="B35:B41" si="8">B8</f>
        <v>Resíduos de jardins e parques</v>
      </c>
      <c r="C35" s="2312">
        <f t="shared" si="5"/>
        <v>0</v>
      </c>
      <c r="D35" s="2312">
        <f t="shared" si="6"/>
        <v>0</v>
      </c>
      <c r="E35" s="2312">
        <f t="shared" si="7"/>
        <v>0</v>
      </c>
      <c r="F35" s="2140"/>
      <c r="G35" s="2140"/>
      <c r="H35" s="2140"/>
      <c r="I35" s="2140"/>
      <c r="J35" s="2140"/>
      <c r="K35" s="2140"/>
      <c r="L35" s="2140"/>
      <c r="M35" s="2140"/>
      <c r="N35" s="2140"/>
      <c r="O35" s="2140"/>
      <c r="P35" s="2140"/>
      <c r="Q35" s="2140"/>
      <c r="R35" s="2140"/>
      <c r="S35" s="2140"/>
      <c r="T35" s="2140"/>
    </row>
    <row r="36" spans="1:20" s="2225" customFormat="1" ht="18" customHeight="1" x14ac:dyDescent="0.25">
      <c r="A36" s="2140"/>
      <c r="B36" s="2303" t="str">
        <f t="shared" si="8"/>
        <v>Papel, papelão</v>
      </c>
      <c r="C36" s="2312">
        <f t="shared" si="5"/>
        <v>1261.5838604928001</v>
      </c>
      <c r="D36" s="2312">
        <f t="shared" si="6"/>
        <v>-1554.8820191423999</v>
      </c>
      <c r="E36" s="2312">
        <f t="shared" si="7"/>
        <v>-293.29815864959983</v>
      </c>
      <c r="F36" s="2140"/>
      <c r="G36" s="2140"/>
      <c r="H36" s="2140"/>
      <c r="I36" s="2140"/>
      <c r="J36" s="2140"/>
      <c r="K36" s="2140"/>
      <c r="L36" s="2140"/>
      <c r="M36" s="2140"/>
      <c r="N36" s="2140"/>
      <c r="O36" s="2140"/>
      <c r="P36" s="2140"/>
      <c r="Q36" s="2140"/>
      <c r="R36" s="2140"/>
      <c r="S36" s="2140"/>
      <c r="T36" s="2140"/>
    </row>
    <row r="37" spans="1:20" s="2225" customFormat="1" ht="18" customHeight="1" x14ac:dyDescent="0.25">
      <c r="A37" s="2140"/>
      <c r="B37" s="2303" t="str">
        <f t="shared" si="8"/>
        <v>Plásticos</v>
      </c>
      <c r="C37" s="2312">
        <f t="shared" si="5"/>
        <v>280.38273119999997</v>
      </c>
      <c r="D37" s="2312">
        <f t="shared" si="6"/>
        <v>-1306.0364391359999</v>
      </c>
      <c r="E37" s="2312">
        <f t="shared" si="7"/>
        <v>-1025.653707936</v>
      </c>
      <c r="F37" s="2140"/>
      <c r="G37" s="2140"/>
      <c r="H37" s="2140"/>
      <c r="I37" s="2140"/>
      <c r="J37" s="2140"/>
      <c r="K37" s="2140"/>
      <c r="L37" s="2140"/>
      <c r="M37" s="2140"/>
      <c r="N37" s="2140"/>
      <c r="O37" s="2140"/>
      <c r="P37" s="2140"/>
      <c r="Q37" s="2140"/>
      <c r="R37" s="2140"/>
      <c r="S37" s="2140"/>
      <c r="T37" s="2140"/>
    </row>
    <row r="38" spans="1:20" s="2225" customFormat="1" ht="18" customHeight="1" x14ac:dyDescent="0.25">
      <c r="A38" s="2140"/>
      <c r="B38" s="2303" t="str">
        <f t="shared" si="8"/>
        <v>Vidros</v>
      </c>
      <c r="C38" s="2312">
        <f t="shared" si="5"/>
        <v>0</v>
      </c>
      <c r="D38" s="2312">
        <f t="shared" si="6"/>
        <v>0</v>
      </c>
      <c r="E38" s="2312">
        <f t="shared" si="7"/>
        <v>0</v>
      </c>
      <c r="F38" s="2140"/>
      <c r="G38" s="2140"/>
      <c r="H38" s="2140"/>
      <c r="I38" s="2140"/>
      <c r="J38" s="2140"/>
      <c r="K38" s="2140"/>
      <c r="L38" s="2140"/>
      <c r="M38" s="2140"/>
      <c r="N38" s="2140"/>
      <c r="O38" s="2140"/>
      <c r="P38" s="2140"/>
      <c r="Q38" s="2140"/>
      <c r="R38" s="2140"/>
      <c r="S38" s="2140"/>
      <c r="T38" s="2140"/>
    </row>
    <row r="39" spans="1:20" s="2225" customFormat="1" ht="18" customHeight="1" x14ac:dyDescent="0.25">
      <c r="A39" s="2140"/>
      <c r="B39" s="2303" t="str">
        <f t="shared" si="8"/>
        <v>Metais ferrosos</v>
      </c>
      <c r="C39" s="2312">
        <f t="shared" si="5"/>
        <v>32.198999039999997</v>
      </c>
      <c r="D39" s="2312">
        <f t="shared" si="6"/>
        <v>-861.32322431999989</v>
      </c>
      <c r="E39" s="2312">
        <f t="shared" si="7"/>
        <v>-829.12422527999991</v>
      </c>
      <c r="F39" s="2140"/>
      <c r="G39" s="2140"/>
      <c r="H39" s="2140"/>
      <c r="I39" s="2140"/>
      <c r="J39" s="2140"/>
      <c r="K39" s="2140"/>
      <c r="L39" s="2140"/>
      <c r="M39" s="2140"/>
      <c r="N39" s="2140"/>
      <c r="O39" s="2140"/>
      <c r="P39" s="2140"/>
      <c r="Q39" s="2140"/>
      <c r="R39" s="2140"/>
      <c r="S39" s="2140"/>
      <c r="T39" s="2140"/>
    </row>
    <row r="40" spans="1:20" s="2225" customFormat="1" ht="18" customHeight="1" x14ac:dyDescent="0.25">
      <c r="A40" s="2140"/>
      <c r="B40" s="2303" t="str">
        <f t="shared" si="8"/>
        <v>Alumínio</v>
      </c>
      <c r="C40" s="2312">
        <f t="shared" si="5"/>
        <v>91.478406239999984</v>
      </c>
      <c r="D40" s="2312">
        <f t="shared" si="6"/>
        <v>-1296.7096895999998</v>
      </c>
      <c r="E40" s="2312">
        <f t="shared" si="7"/>
        <v>-1205.2312833599999</v>
      </c>
      <c r="F40" s="2140"/>
      <c r="G40" s="2140"/>
      <c r="H40" s="2140"/>
      <c r="I40" s="2140"/>
      <c r="J40" s="2140"/>
      <c r="K40" s="2140"/>
      <c r="L40" s="2140"/>
      <c r="M40" s="2140"/>
      <c r="N40" s="2140"/>
      <c r="O40" s="2140"/>
      <c r="P40" s="2140"/>
      <c r="Q40" s="2140"/>
      <c r="R40" s="2140"/>
      <c r="S40" s="2140"/>
      <c r="T40" s="2140"/>
    </row>
    <row r="41" spans="1:20" s="2225" customFormat="1" ht="18" customHeight="1" x14ac:dyDescent="0.25">
      <c r="A41" s="2140"/>
      <c r="B41" s="2303" t="str">
        <f t="shared" si="8"/>
        <v>Têxteis</v>
      </c>
      <c r="C41" s="2312">
        <f t="shared" si="5"/>
        <v>0</v>
      </c>
      <c r="D41" s="2312">
        <f t="shared" si="6"/>
        <v>0</v>
      </c>
      <c r="E41" s="2312">
        <f t="shared" si="7"/>
        <v>0</v>
      </c>
      <c r="F41" s="2140"/>
      <c r="G41" s="2140"/>
      <c r="H41" s="2140"/>
      <c r="I41" s="2140"/>
      <c r="J41" s="2140"/>
      <c r="K41" s="2140"/>
      <c r="L41" s="2140"/>
      <c r="M41" s="2140"/>
      <c r="N41" s="2140"/>
      <c r="O41" s="2140"/>
      <c r="P41" s="2140"/>
      <c r="Q41" s="2140"/>
      <c r="R41" s="2140"/>
      <c r="S41" s="2140"/>
      <c r="T41" s="2140"/>
    </row>
    <row r="42" spans="1:20" s="2225" customFormat="1" ht="18" customHeight="1" x14ac:dyDescent="0.25">
      <c r="A42" s="2140"/>
      <c r="B42" s="1908"/>
      <c r="C42" s="2381"/>
      <c r="D42" s="2381"/>
      <c r="E42" s="2381"/>
      <c r="F42" s="2140"/>
      <c r="G42" s="2140"/>
      <c r="H42" s="2140"/>
      <c r="I42" s="2140"/>
      <c r="J42" s="2140"/>
      <c r="K42" s="2140"/>
      <c r="L42" s="2140"/>
      <c r="M42" s="2140"/>
      <c r="N42" s="2140"/>
      <c r="O42" s="2140"/>
      <c r="P42" s="2140"/>
      <c r="Q42" s="2140"/>
      <c r="R42" s="2140"/>
      <c r="S42" s="2140"/>
      <c r="T42" s="2140"/>
    </row>
    <row r="43" spans="1:20" s="2225" customFormat="1" ht="18" customHeight="1" x14ac:dyDescent="0.25">
      <c r="A43" s="2140"/>
      <c r="B43" s="1979" t="s">
        <v>1263</v>
      </c>
      <c r="C43" s="2382"/>
      <c r="D43" s="2383"/>
      <c r="E43" s="2383"/>
      <c r="F43" s="2140"/>
      <c r="G43" s="2140"/>
      <c r="H43" s="2140"/>
      <c r="I43" s="2140"/>
      <c r="J43" s="2140"/>
      <c r="K43" s="2140"/>
      <c r="L43" s="2140"/>
      <c r="M43" s="2140"/>
      <c r="N43" s="2140"/>
      <c r="O43" s="2140"/>
      <c r="P43" s="2140"/>
      <c r="Q43" s="2140"/>
      <c r="R43" s="2140"/>
      <c r="S43" s="2140"/>
      <c r="T43" s="2140"/>
    </row>
    <row r="44" spans="1:20" s="2225" customFormat="1" ht="18" customHeight="1" x14ac:dyDescent="0.25">
      <c r="A44" s="2140"/>
      <c r="B44" s="2380"/>
      <c r="C44" s="2311"/>
      <c r="D44" s="2311"/>
      <c r="E44" s="2311"/>
      <c r="F44" s="2140"/>
      <c r="G44" s="2140"/>
      <c r="H44" s="2140"/>
      <c r="I44" s="2140"/>
      <c r="J44" s="2140"/>
      <c r="K44" s="2140"/>
      <c r="L44" s="2140"/>
      <c r="M44" s="2140"/>
      <c r="N44" s="2140"/>
      <c r="O44" s="2140"/>
      <c r="P44" s="2140"/>
      <c r="Q44" s="2140"/>
      <c r="R44" s="2140"/>
      <c r="S44" s="2140"/>
      <c r="T44" s="2140"/>
    </row>
    <row r="45" spans="1:20" s="2225" customFormat="1" ht="18" customHeight="1" x14ac:dyDescent="0.25">
      <c r="A45" s="2140"/>
      <c r="B45" s="2303" t="str">
        <f>B18</f>
        <v>Resíduos dispersos</v>
      </c>
      <c r="C45" s="2312">
        <f t="shared" ref="C45:C53" si="9">+L62</f>
        <v>0</v>
      </c>
      <c r="D45" s="2312">
        <f t="shared" ref="D45:D54" si="10">+L73</f>
        <v>0</v>
      </c>
      <c r="E45" s="2312">
        <f t="shared" ref="E45:E53" si="11">+D45+C45</f>
        <v>0</v>
      </c>
      <c r="F45" s="2140"/>
      <c r="G45" s="2140"/>
      <c r="H45" s="2140"/>
      <c r="I45" s="2140"/>
      <c r="J45" s="2140"/>
      <c r="K45" s="2140"/>
      <c r="L45" s="2140"/>
      <c r="M45" s="2140"/>
      <c r="N45" s="2140"/>
      <c r="O45" s="2140"/>
      <c r="P45" s="2140"/>
      <c r="Q45" s="2140"/>
      <c r="R45" s="2140"/>
      <c r="S45" s="2140"/>
      <c r="T45" s="2140"/>
    </row>
    <row r="46" spans="1:20" s="2225" customFormat="1" ht="18" customHeight="1" x14ac:dyDescent="0.25">
      <c r="A46" s="2140"/>
      <c r="B46" s="2303" t="str">
        <f t="shared" ref="B46:B54" si="12">B19</f>
        <v>Queima a céu aberto</v>
      </c>
      <c r="C46" s="2312">
        <f t="shared" si="9"/>
        <v>0</v>
      </c>
      <c r="D46" s="2312">
        <f t="shared" si="10"/>
        <v>0</v>
      </c>
      <c r="E46" s="2312">
        <f t="shared" si="11"/>
        <v>0</v>
      </c>
      <c r="F46" s="2140"/>
      <c r="G46" s="2140"/>
      <c r="H46" s="2140"/>
      <c r="I46" s="2140"/>
      <c r="J46" s="2140"/>
      <c r="K46" s="2140"/>
      <c r="L46" s="2140"/>
      <c r="M46" s="2140"/>
      <c r="N46" s="2140"/>
      <c r="O46" s="2140"/>
      <c r="P46" s="2140"/>
      <c r="Q46" s="2140"/>
      <c r="R46" s="2140"/>
      <c r="S46" s="2140"/>
      <c r="T46" s="2140"/>
    </row>
    <row r="47" spans="1:20" s="2225" customFormat="1" ht="18" customHeight="1" x14ac:dyDescent="0.25">
      <c r="A47" s="2140"/>
      <c r="B47" s="2303" t="str">
        <f t="shared" si="12"/>
        <v>Lixão não controlado</v>
      </c>
      <c r="C47" s="2312">
        <f t="shared" si="9"/>
        <v>0</v>
      </c>
      <c r="D47" s="2312">
        <f t="shared" si="10"/>
        <v>0</v>
      </c>
      <c r="E47" s="2312">
        <f t="shared" si="11"/>
        <v>0</v>
      </c>
      <c r="F47" s="2140"/>
      <c r="G47" s="2140"/>
      <c r="H47" s="2140"/>
      <c r="I47" s="2140"/>
      <c r="J47" s="2140"/>
      <c r="K47" s="2140"/>
      <c r="L47" s="2140"/>
      <c r="M47" s="2140"/>
      <c r="N47" s="2140"/>
      <c r="O47" s="2140"/>
      <c r="P47" s="2140"/>
      <c r="Q47" s="2140"/>
      <c r="R47" s="2140"/>
      <c r="S47" s="2140"/>
      <c r="T47" s="2140"/>
    </row>
    <row r="48" spans="1:20" s="2225" customFormat="1" ht="18" customHeight="1" x14ac:dyDescent="0.25">
      <c r="A48" s="2140"/>
      <c r="B48" s="2303" t="str">
        <f t="shared" si="12"/>
        <v>Aterro controlado</v>
      </c>
      <c r="C48" s="2312">
        <f t="shared" si="9"/>
        <v>0</v>
      </c>
      <c r="D48" s="2312">
        <f t="shared" si="10"/>
        <v>0</v>
      </c>
      <c r="E48" s="2312">
        <f t="shared" si="11"/>
        <v>0</v>
      </c>
      <c r="F48" s="2140"/>
      <c r="G48" s="2140"/>
      <c r="H48" s="2140"/>
      <c r="I48" s="2140"/>
      <c r="J48" s="2140"/>
      <c r="K48" s="2140"/>
      <c r="L48" s="2140"/>
      <c r="M48" s="2140"/>
      <c r="N48" s="2140"/>
      <c r="O48" s="2140"/>
      <c r="P48" s="2140"/>
      <c r="Q48" s="2140"/>
      <c r="R48" s="2140"/>
      <c r="S48" s="2140"/>
      <c r="T48" s="2140"/>
    </row>
    <row r="49" spans="1:56" s="2225" customFormat="1" ht="18" customHeight="1" x14ac:dyDescent="0.25">
      <c r="A49" s="2140"/>
      <c r="B49" s="2303" t="str">
        <f t="shared" si="12"/>
        <v>Aterro sanitário</v>
      </c>
      <c r="C49" s="2312">
        <f t="shared" si="9"/>
        <v>9121.4067014552929</v>
      </c>
      <c r="D49" s="2312">
        <f t="shared" si="10"/>
        <v>0</v>
      </c>
      <c r="E49" s="2312">
        <f t="shared" si="11"/>
        <v>9121.4067014552929</v>
      </c>
      <c r="F49" s="2140"/>
      <c r="G49" s="2140"/>
      <c r="H49" s="2140"/>
      <c r="I49" s="2140"/>
      <c r="J49" s="2140"/>
      <c r="K49" s="2140"/>
      <c r="L49" s="2140"/>
      <c r="M49" s="2140"/>
      <c r="N49" s="2140"/>
      <c r="O49" s="2140"/>
      <c r="P49" s="2140"/>
      <c r="Q49" s="2140"/>
      <c r="R49" s="2140"/>
      <c r="S49" s="2140"/>
      <c r="T49" s="2140"/>
    </row>
    <row r="50" spans="1:56" s="2225" customFormat="1" ht="18" customHeight="1" x14ac:dyDescent="0.25">
      <c r="A50" s="2140"/>
      <c r="B50" s="2303" t="str">
        <f t="shared" si="12"/>
        <v>Trat. biol + cobertura at.</v>
      </c>
      <c r="C50" s="2312">
        <f t="shared" si="9"/>
        <v>456.29923754077652</v>
      </c>
      <c r="D50" s="2312">
        <f t="shared" si="10"/>
        <v>0</v>
      </c>
      <c r="E50" s="2312">
        <f t="shared" si="11"/>
        <v>456.29923754077652</v>
      </c>
      <c r="F50" s="2140"/>
      <c r="G50" s="2140"/>
      <c r="H50" s="2140"/>
      <c r="I50" s="2140"/>
      <c r="J50" s="2140"/>
      <c r="K50" s="2140"/>
      <c r="L50" s="2140"/>
      <c r="M50" s="2140"/>
      <c r="N50" s="2140"/>
      <c r="O50" s="2140"/>
      <c r="P50" s="2140"/>
      <c r="Q50" s="2140"/>
      <c r="R50" s="2140"/>
      <c r="S50" s="2140"/>
      <c r="T50" s="2140"/>
    </row>
    <row r="51" spans="1:56" s="2225" customFormat="1" ht="18" customHeight="1" x14ac:dyDescent="0.25">
      <c r="A51" s="2140"/>
      <c r="B51" s="2303" t="str">
        <f t="shared" si="12"/>
        <v>CDR seco + rejeito aterro</v>
      </c>
      <c r="C51" s="2312">
        <f t="shared" si="9"/>
        <v>0</v>
      </c>
      <c r="D51" s="2312">
        <f t="shared" si="10"/>
        <v>0</v>
      </c>
      <c r="E51" s="2312">
        <f t="shared" si="11"/>
        <v>0</v>
      </c>
      <c r="F51" s="2140"/>
      <c r="G51" s="2384"/>
      <c r="H51" s="2385"/>
      <c r="I51" s="2385"/>
      <c r="J51" s="2385"/>
      <c r="K51" s="2313"/>
      <c r="L51" s="2140"/>
      <c r="M51" s="2140"/>
      <c r="N51" s="2140"/>
      <c r="O51" s="2140"/>
      <c r="P51" s="2140"/>
      <c r="Q51" s="2140"/>
      <c r="R51" s="2140"/>
      <c r="S51" s="2140"/>
      <c r="T51" s="2140"/>
    </row>
    <row r="52" spans="1:56" s="2225" customFormat="1" ht="18" customHeight="1" x14ac:dyDescent="0.25">
      <c r="A52" s="2140"/>
      <c r="B52" s="2303" t="str">
        <f t="shared" si="12"/>
        <v>CDR seco + trat. biol.</v>
      </c>
      <c r="C52" s="2312">
        <f t="shared" si="9"/>
        <v>0</v>
      </c>
      <c r="D52" s="2312">
        <f t="shared" si="10"/>
        <v>0</v>
      </c>
      <c r="E52" s="2312">
        <f t="shared" si="11"/>
        <v>0</v>
      </c>
      <c r="F52" s="2140"/>
      <c r="G52" s="2386"/>
      <c r="H52" s="2387" t="s">
        <v>1253</v>
      </c>
      <c r="I52" s="2270" t="s">
        <v>1268</v>
      </c>
      <c r="J52" s="2270" t="s">
        <v>1254</v>
      </c>
      <c r="K52" s="2313"/>
      <c r="L52" s="2140"/>
      <c r="M52" s="2140"/>
      <c r="N52" s="2140"/>
      <c r="O52" s="2140"/>
      <c r="P52" s="2140"/>
      <c r="Q52" s="2140"/>
      <c r="R52" s="2140"/>
      <c r="S52" s="2140"/>
      <c r="T52" s="2140"/>
    </row>
    <row r="53" spans="1:56" s="2225" customFormat="1" ht="18" customHeight="1" x14ac:dyDescent="0.25">
      <c r="A53" s="2140"/>
      <c r="B53" s="2303" t="str">
        <f t="shared" si="12"/>
        <v>CDR seco + CDR org.</v>
      </c>
      <c r="C53" s="2312">
        <f t="shared" si="9"/>
        <v>0</v>
      </c>
      <c r="D53" s="2312">
        <f t="shared" si="10"/>
        <v>0</v>
      </c>
      <c r="E53" s="2312">
        <f t="shared" si="11"/>
        <v>0</v>
      </c>
      <c r="F53" s="2140"/>
      <c r="G53" s="1967" t="s">
        <v>1255</v>
      </c>
      <c r="H53" s="2299">
        <f>SUM(C34:C41)</f>
        <v>1665.6439969728001</v>
      </c>
      <c r="I53" s="2299">
        <f>SUM(C45:C54)</f>
        <v>9577.7059389960687</v>
      </c>
      <c r="J53" s="2299">
        <f>+I53+H53</f>
        <v>11243.349935968869</v>
      </c>
      <c r="K53" s="2313"/>
      <c r="L53" s="2140"/>
      <c r="M53" s="2140"/>
      <c r="N53" s="2140"/>
      <c r="O53" s="2140"/>
      <c r="P53" s="2140"/>
      <c r="Q53" s="2140"/>
      <c r="R53" s="2140"/>
      <c r="S53" s="2140"/>
      <c r="T53" s="2140"/>
    </row>
    <row r="54" spans="1:56" s="2225" customFormat="1" ht="18" customHeight="1" x14ac:dyDescent="0.25">
      <c r="A54" s="2140"/>
      <c r="B54" s="2303" t="str">
        <f t="shared" si="12"/>
        <v>Incineração</v>
      </c>
      <c r="C54" s="2312">
        <f>+L71</f>
        <v>0</v>
      </c>
      <c r="D54" s="2312">
        <f t="shared" si="10"/>
        <v>0</v>
      </c>
      <c r="E54" s="2312">
        <f>+D54+C54</f>
        <v>0</v>
      </c>
      <c r="F54" s="2140"/>
      <c r="G54" s="1967" t="s">
        <v>1256</v>
      </c>
      <c r="H54" s="2299">
        <f>SUM(D34:D41)</f>
        <v>-5018.9513721984003</v>
      </c>
      <c r="I54" s="2299">
        <f>SUM(D45:D54)</f>
        <v>0</v>
      </c>
      <c r="J54" s="2299">
        <f>+I54+H54</f>
        <v>-5018.9513721984003</v>
      </c>
      <c r="K54" s="2313"/>
      <c r="L54" s="2140"/>
      <c r="M54" s="2140"/>
      <c r="N54" s="2140"/>
      <c r="O54" s="2140"/>
      <c r="P54" s="2140"/>
      <c r="Q54" s="2140"/>
      <c r="R54" s="2140"/>
      <c r="S54" s="2140"/>
      <c r="T54" s="2140"/>
    </row>
    <row r="55" spans="1:56" s="2225" customFormat="1" ht="18" customHeight="1" x14ac:dyDescent="0.25">
      <c r="A55" s="2140"/>
      <c r="B55" s="1908"/>
      <c r="C55" s="2308"/>
      <c r="D55" s="2308"/>
      <c r="E55" s="2308"/>
      <c r="F55" s="2140"/>
      <c r="G55" s="1967" t="s">
        <v>1257</v>
      </c>
      <c r="H55" s="2299">
        <f>+H53+H54</f>
        <v>-3353.3073752256005</v>
      </c>
      <c r="I55" s="2299">
        <f>+I53+I54</f>
        <v>9577.7059389960687</v>
      </c>
      <c r="J55" s="2299">
        <f>+I55+H55</f>
        <v>6224.3985637704682</v>
      </c>
      <c r="K55" s="2313"/>
      <c r="L55" s="2140"/>
      <c r="M55" s="2140"/>
      <c r="N55" s="2140"/>
      <c r="O55" s="2140"/>
      <c r="P55" s="2140"/>
      <c r="Q55" s="2140"/>
      <c r="R55" s="2140"/>
      <c r="S55" s="2140"/>
      <c r="T55" s="2140"/>
    </row>
    <row r="56" spans="1:56" s="2225" customFormat="1" ht="18" customHeight="1" x14ac:dyDescent="0.25">
      <c r="A56" s="2140"/>
      <c r="B56" s="1979" t="s">
        <v>52</v>
      </c>
      <c r="C56" s="2332">
        <f>SUM(C34:C54)</f>
        <v>11243.349935968869</v>
      </c>
      <c r="D56" s="2332">
        <f>SUM(D34:D54)</f>
        <v>-5018.9513721984003</v>
      </c>
      <c r="E56" s="2332">
        <f>+D56+C56</f>
        <v>6224.3985637704682</v>
      </c>
      <c r="F56" s="2140"/>
      <c r="G56" s="2388"/>
      <c r="H56" s="2389"/>
      <c r="I56" s="2389"/>
      <c r="J56" s="2389"/>
      <c r="K56" s="2140"/>
      <c r="L56" s="2140"/>
      <c r="M56" s="2140"/>
      <c r="N56" s="2140"/>
      <c r="O56" s="2140"/>
      <c r="P56" s="2140"/>
      <c r="Q56" s="2140"/>
      <c r="R56" s="2140"/>
      <c r="S56" s="2140"/>
      <c r="T56" s="2140"/>
    </row>
    <row r="57" spans="1:56" x14ac:dyDescent="0.2">
      <c r="A57" s="1890"/>
      <c r="B57" s="1890"/>
      <c r="C57" s="1890"/>
      <c r="D57" s="1890"/>
      <c r="E57" s="1890"/>
      <c r="F57" s="1890"/>
      <c r="G57" s="2281"/>
      <c r="H57" s="2282"/>
      <c r="I57" s="2282"/>
      <c r="J57" s="2290"/>
      <c r="K57" s="2234"/>
      <c r="L57" s="1890"/>
      <c r="M57" s="1890"/>
      <c r="N57" s="1890"/>
      <c r="O57" s="1890"/>
      <c r="P57" s="1890"/>
      <c r="Q57" s="1890"/>
      <c r="R57" s="1890"/>
      <c r="S57" s="1890"/>
      <c r="T57" s="1890"/>
    </row>
    <row r="58" spans="1:56" x14ac:dyDescent="0.2">
      <c r="A58" s="1890"/>
      <c r="B58" s="1890"/>
      <c r="C58" s="1890"/>
      <c r="D58" s="1890"/>
      <c r="E58" s="1890"/>
      <c r="F58" s="1890"/>
      <c r="G58" s="2281"/>
      <c r="H58" s="2282"/>
      <c r="I58" s="2282"/>
      <c r="J58" s="2290"/>
      <c r="K58" s="2234"/>
      <c r="L58" s="1890"/>
      <c r="M58" s="1890"/>
      <c r="N58" s="1890"/>
      <c r="O58" s="1890"/>
      <c r="P58" s="1890"/>
      <c r="Q58" s="1890"/>
      <c r="R58" s="1890"/>
      <c r="S58" s="1890"/>
      <c r="T58" s="1890"/>
    </row>
    <row r="59" spans="1:56" s="2394" customFormat="1" ht="26.1" customHeight="1" x14ac:dyDescent="0.25">
      <c r="A59" s="2291" t="s">
        <v>1258</v>
      </c>
      <c r="B59" s="2390"/>
      <c r="C59" s="2390"/>
      <c r="D59" s="2390"/>
      <c r="E59" s="2390"/>
      <c r="F59" s="2391"/>
      <c r="G59" s="2390"/>
      <c r="H59" s="2390"/>
      <c r="I59" s="2390"/>
      <c r="J59" s="2390"/>
      <c r="K59" s="1912" t="s">
        <v>1269</v>
      </c>
      <c r="L59" s="2390"/>
      <c r="M59" s="2390"/>
      <c r="N59" s="2390"/>
      <c r="O59" s="2390"/>
      <c r="P59" s="2390"/>
      <c r="Q59" s="2390"/>
      <c r="R59" s="2390"/>
      <c r="S59" s="2390"/>
      <c r="T59" s="2390"/>
      <c r="U59" s="2392"/>
      <c r="V59" s="2393"/>
      <c r="W59" s="2393"/>
      <c r="X59" s="2393"/>
      <c r="Y59" s="2393"/>
      <c r="Z59" s="2393"/>
      <c r="AA59" s="2393"/>
      <c r="AB59" s="2393"/>
      <c r="AC59" s="2393"/>
      <c r="AD59" s="2393"/>
      <c r="AE59" s="2393"/>
      <c r="AF59" s="2393"/>
      <c r="AG59" s="2393"/>
      <c r="AH59" s="2393"/>
      <c r="AI59" s="2393"/>
      <c r="AJ59" s="2393"/>
      <c r="AK59" s="2393"/>
      <c r="AL59" s="2393"/>
      <c r="AM59" s="2393"/>
      <c r="AN59" s="2393"/>
      <c r="AO59" s="2393"/>
      <c r="AP59" s="2393"/>
      <c r="AQ59" s="2393"/>
      <c r="AR59" s="2393"/>
      <c r="AS59" s="2393"/>
      <c r="AT59" s="2393"/>
      <c r="AU59" s="2393"/>
      <c r="AV59" s="2393"/>
      <c r="AW59" s="2393"/>
      <c r="AX59" s="2393"/>
      <c r="AY59" s="2393"/>
      <c r="AZ59" s="2393"/>
      <c r="BA59" s="2393"/>
      <c r="BB59" s="2393"/>
      <c r="BC59" s="2393"/>
      <c r="BD59" s="2393"/>
    </row>
    <row r="60" spans="1:56" ht="18" x14ac:dyDescent="0.25">
      <c r="A60" s="2293"/>
      <c r="B60" s="1890"/>
      <c r="C60" s="1890"/>
      <c r="D60" s="1890"/>
      <c r="E60" s="1890"/>
      <c r="F60" s="1890"/>
      <c r="G60" s="1890"/>
      <c r="H60" s="1890"/>
      <c r="I60" s="1890"/>
      <c r="J60" s="1890"/>
      <c r="K60" s="1890"/>
      <c r="L60" s="1890"/>
      <c r="M60" s="1890"/>
      <c r="N60" s="1890"/>
      <c r="O60" s="1890"/>
      <c r="P60" s="1890"/>
      <c r="Q60" s="1890"/>
      <c r="R60" s="1890"/>
      <c r="S60" s="1890"/>
      <c r="T60" s="1890"/>
    </row>
    <row r="61" spans="1:56" ht="18" customHeight="1" x14ac:dyDescent="0.2">
      <c r="A61" s="1890"/>
      <c r="B61" s="2395"/>
      <c r="C61" s="2270" t="s">
        <v>1237</v>
      </c>
      <c r="D61" s="2270" t="s">
        <v>1257</v>
      </c>
      <c r="E61" s="1890"/>
      <c r="F61" s="1890"/>
      <c r="G61" s="1890"/>
      <c r="H61" s="1890"/>
      <c r="I61" s="1890"/>
      <c r="J61" s="1890"/>
      <c r="K61" s="2396"/>
      <c r="L61" s="2270" t="s">
        <v>1265</v>
      </c>
      <c r="M61" s="2270" t="s">
        <v>1257</v>
      </c>
      <c r="N61" s="1890"/>
      <c r="O61" s="1890"/>
      <c r="P61" s="1890"/>
      <c r="Q61" s="1890"/>
      <c r="R61" s="1890"/>
      <c r="S61" s="1890"/>
      <c r="T61" s="1890"/>
    </row>
    <row r="62" spans="1:56" ht="18" customHeight="1" x14ac:dyDescent="0.2">
      <c r="A62" s="1890"/>
      <c r="B62" s="2303" t="str">
        <f>+'CO2 - Cálculos'!AC16</f>
        <v>Resíduos de alimentos</v>
      </c>
      <c r="C62" s="2299">
        <f>+'CO2 - Cálculos'!AH16</f>
        <v>0</v>
      </c>
      <c r="D62" s="2024"/>
      <c r="E62" s="1890"/>
      <c r="F62" s="1890"/>
      <c r="G62" s="1890"/>
      <c r="H62" s="1890"/>
      <c r="I62" s="1890"/>
      <c r="J62" s="1890"/>
      <c r="K62" s="2300" t="str">
        <f>+'CO2 - Cálculos'!AC61</f>
        <v>Resíduos dispersos</v>
      </c>
      <c r="L62" s="2299">
        <f>+'CO2 - Cálculos'!AH61</f>
        <v>0</v>
      </c>
      <c r="M62" s="2024"/>
      <c r="N62" s="1890"/>
      <c r="O62" s="1890"/>
      <c r="P62" s="1890"/>
      <c r="Q62" s="1890"/>
      <c r="R62" s="1890"/>
      <c r="S62" s="1890"/>
      <c r="T62" s="1890"/>
    </row>
    <row r="63" spans="1:56" ht="18" customHeight="1" x14ac:dyDescent="0.2">
      <c r="A63" s="1890"/>
      <c r="B63" s="2303" t="str">
        <f>+'CO2 - Cálculos'!AC17</f>
        <v>Resíduos de jardins e parques</v>
      </c>
      <c r="C63" s="2299">
        <f>+'CO2 - Cálculos'!AH17</f>
        <v>0</v>
      </c>
      <c r="D63" s="2024"/>
      <c r="E63" s="1890"/>
      <c r="F63" s="1890"/>
      <c r="G63" s="1890"/>
      <c r="H63" s="1890"/>
      <c r="I63" s="1890"/>
      <c r="J63" s="1890"/>
      <c r="K63" s="2300" t="str">
        <f>+'CO2 - Cálculos'!AC62</f>
        <v>Queima a céu aberto</v>
      </c>
      <c r="L63" s="2299">
        <f>+'CO2 - Cálculos'!AH62</f>
        <v>0</v>
      </c>
      <c r="M63" s="2024"/>
      <c r="N63" s="1890"/>
      <c r="O63" s="1890"/>
      <c r="P63" s="1890"/>
      <c r="Q63" s="1890"/>
      <c r="R63" s="1890"/>
      <c r="S63" s="1890"/>
      <c r="T63" s="1890"/>
    </row>
    <row r="64" spans="1:56" ht="18" customHeight="1" x14ac:dyDescent="0.2">
      <c r="A64" s="1890"/>
      <c r="B64" s="2303" t="str">
        <f>+'CO2 - Cálculos'!AC18</f>
        <v>Papel, papelão</v>
      </c>
      <c r="C64" s="2299">
        <f>+'CO2 - Cálculos'!AH18</f>
        <v>1261.5838604928001</v>
      </c>
      <c r="D64" s="2024"/>
      <c r="E64" s="1890"/>
      <c r="F64" s="1890"/>
      <c r="G64" s="1890"/>
      <c r="H64" s="1890"/>
      <c r="I64" s="1890"/>
      <c r="J64" s="1890"/>
      <c r="K64" s="2300" t="str">
        <f>+'CO2 - Cálculos'!AC63</f>
        <v>Lixão não controlado</v>
      </c>
      <c r="L64" s="2299">
        <f>+'CO2 - Cálculos'!AH63</f>
        <v>0</v>
      </c>
      <c r="M64" s="2024"/>
      <c r="N64" s="1890"/>
      <c r="O64" s="1890"/>
      <c r="P64" s="1890"/>
      <c r="Q64" s="1890"/>
      <c r="R64" s="1890"/>
      <c r="S64" s="1890"/>
      <c r="T64" s="1890"/>
    </row>
    <row r="65" spans="1:20" ht="18" customHeight="1" x14ac:dyDescent="0.2">
      <c r="A65" s="1890"/>
      <c r="B65" s="2303" t="str">
        <f>+'CO2 - Cálculos'!AC19</f>
        <v>Plásticos</v>
      </c>
      <c r="C65" s="2299">
        <f>+'CO2 - Cálculos'!AH19</f>
        <v>280.38273119999997</v>
      </c>
      <c r="D65" s="2024"/>
      <c r="E65" s="1890"/>
      <c r="F65" s="1890"/>
      <c r="G65" s="1890"/>
      <c r="H65" s="1890"/>
      <c r="I65" s="1890"/>
      <c r="J65" s="1890"/>
      <c r="K65" s="2300" t="str">
        <f>+'CO2 - Cálculos'!AC64</f>
        <v>Aterro controlado</v>
      </c>
      <c r="L65" s="2299">
        <f>+'CO2 - Cálculos'!AH64</f>
        <v>0</v>
      </c>
      <c r="M65" s="2024"/>
      <c r="N65" s="1890"/>
      <c r="O65" s="1890"/>
      <c r="P65" s="1890"/>
      <c r="Q65" s="1890"/>
      <c r="R65" s="1890"/>
      <c r="S65" s="1890"/>
      <c r="T65" s="1890"/>
    </row>
    <row r="66" spans="1:20" ht="18" customHeight="1" x14ac:dyDescent="0.2">
      <c r="A66" s="1890"/>
      <c r="B66" s="2303" t="str">
        <f>+'CO2 - Cálculos'!AC20</f>
        <v>Vidros</v>
      </c>
      <c r="C66" s="2299">
        <f>+'CO2 - Cálculos'!AH20</f>
        <v>0</v>
      </c>
      <c r="D66" s="2024"/>
      <c r="E66" s="1890"/>
      <c r="F66" s="1890"/>
      <c r="G66" s="1890"/>
      <c r="H66" s="1890"/>
      <c r="I66" s="1890"/>
      <c r="J66" s="1890"/>
      <c r="K66" s="2300" t="str">
        <f>+'CO2 - Cálculos'!AC65</f>
        <v>Aterro sanitário</v>
      </c>
      <c r="L66" s="2299">
        <f>+'CO2 - Cálculos'!AH65</f>
        <v>9121.4067014552929</v>
      </c>
      <c r="M66" s="2024"/>
      <c r="N66" s="1890"/>
      <c r="O66" s="1890"/>
      <c r="P66" s="1890"/>
      <c r="Q66" s="1890"/>
      <c r="R66" s="1890"/>
      <c r="S66" s="1890"/>
      <c r="T66" s="1890"/>
    </row>
    <row r="67" spans="1:20" ht="18" customHeight="1" x14ac:dyDescent="0.2">
      <c r="A67" s="1890"/>
      <c r="B67" s="2303" t="str">
        <f>+'CO2 - Cálculos'!AC21</f>
        <v>Metais ferrosos</v>
      </c>
      <c r="C67" s="2299">
        <f>+'CO2 - Cálculos'!AH21</f>
        <v>32.198999039999997</v>
      </c>
      <c r="D67" s="2024"/>
      <c r="E67" s="1890"/>
      <c r="F67" s="1890"/>
      <c r="G67" s="1890"/>
      <c r="H67" s="1890"/>
      <c r="I67" s="1890"/>
      <c r="J67" s="2362"/>
      <c r="K67" s="2300" t="str">
        <f>+'CO2 - Cálculos'!AC66</f>
        <v>Trat. biol + cobertura at.</v>
      </c>
      <c r="L67" s="2299">
        <f>+'CO2 - Cálculos'!AH66</f>
        <v>456.29923754077652</v>
      </c>
      <c r="M67" s="2024"/>
      <c r="N67" s="1890"/>
      <c r="O67" s="1890"/>
      <c r="P67" s="1890"/>
      <c r="Q67" s="1890"/>
      <c r="R67" s="1890"/>
      <c r="S67" s="1890"/>
      <c r="T67" s="1890"/>
    </row>
    <row r="68" spans="1:20" ht="18" customHeight="1" x14ac:dyDescent="0.2">
      <c r="A68" s="1890"/>
      <c r="B68" s="2303" t="str">
        <f>+'CO2 - Cálculos'!AC22</f>
        <v>Alumínio</v>
      </c>
      <c r="C68" s="2299">
        <f>+'CO2 - Cálculos'!AH22</f>
        <v>91.478406239999984</v>
      </c>
      <c r="D68" s="2024"/>
      <c r="E68" s="1890"/>
      <c r="F68" s="1890"/>
      <c r="G68" s="1890"/>
      <c r="H68" s="1890"/>
      <c r="I68" s="1890"/>
      <c r="J68" s="2397"/>
      <c r="K68" s="2300" t="str">
        <f>+'CO2 - Cálculos'!AC67</f>
        <v>CDR seco + rejeito aterro</v>
      </c>
      <c r="L68" s="2299">
        <f>+'CO2 - Cálculos'!AH67</f>
        <v>0</v>
      </c>
      <c r="M68" s="2024"/>
      <c r="N68" s="1890"/>
      <c r="O68" s="1890"/>
      <c r="P68" s="1890"/>
      <c r="Q68" s="1890"/>
      <c r="R68" s="1890"/>
      <c r="S68" s="1890"/>
      <c r="T68" s="1890"/>
    </row>
    <row r="69" spans="1:20" ht="18" customHeight="1" x14ac:dyDescent="0.2">
      <c r="A69" s="2234"/>
      <c r="B69" s="2303" t="str">
        <f>+'CO2 - Cálculos'!AC23</f>
        <v>Têxteis</v>
      </c>
      <c r="C69" s="2299">
        <f>+'CO2 - Cálculos'!AH23</f>
        <v>0</v>
      </c>
      <c r="D69" s="2024"/>
      <c r="E69" s="1890"/>
      <c r="F69" s="1890"/>
      <c r="G69" s="1890"/>
      <c r="H69" s="1890"/>
      <c r="I69" s="1890"/>
      <c r="J69" s="2362"/>
      <c r="K69" s="2300" t="str">
        <f>+'CO2 - Cálculos'!AC68</f>
        <v>CDR seco + trat. biol.</v>
      </c>
      <c r="L69" s="2299">
        <f>+'CO2 - Cálculos'!AH68</f>
        <v>0</v>
      </c>
      <c r="M69" s="2024"/>
      <c r="N69" s="1890"/>
      <c r="O69" s="1890"/>
      <c r="P69" s="1890"/>
      <c r="Q69" s="1890"/>
      <c r="R69" s="1890"/>
      <c r="S69" s="1890"/>
      <c r="T69" s="1890"/>
    </row>
    <row r="70" spans="1:20" ht="18" customHeight="1" x14ac:dyDescent="0.2">
      <c r="A70" s="1890"/>
      <c r="B70" s="2363" t="s">
        <v>1255</v>
      </c>
      <c r="C70" s="2024"/>
      <c r="D70" s="2301"/>
      <c r="E70" s="1890"/>
      <c r="F70" s="1890"/>
      <c r="G70" s="1890"/>
      <c r="H70" s="1890"/>
      <c r="I70" s="1890"/>
      <c r="J70" s="2398"/>
      <c r="K70" s="2300" t="str">
        <f>+'CO2 - Cálculos'!AC69</f>
        <v>CDR seco + CDR org.</v>
      </c>
      <c r="L70" s="2299">
        <f>+'CO2 - Cálculos'!AH69</f>
        <v>0</v>
      </c>
      <c r="M70" s="2024"/>
      <c r="N70" s="1890"/>
      <c r="O70" s="1890"/>
      <c r="P70" s="1890"/>
      <c r="Q70" s="1890"/>
      <c r="R70" s="1890"/>
      <c r="S70" s="1890"/>
      <c r="T70" s="1890"/>
    </row>
    <row r="71" spans="1:20" ht="18" customHeight="1" x14ac:dyDescent="0.2">
      <c r="A71" s="1890"/>
      <c r="B71" s="2300" t="str">
        <f>+'CO2 - Cálculos'!AC25</f>
        <v>Resíduos de alimentos</v>
      </c>
      <c r="C71" s="2299">
        <f>+'CO2 - Cálculos'!AH25</f>
        <v>0</v>
      </c>
      <c r="D71" s="2024"/>
      <c r="E71" s="1890"/>
      <c r="F71" s="1890"/>
      <c r="G71" s="1890"/>
      <c r="H71" s="1890"/>
      <c r="I71" s="1890"/>
      <c r="J71" s="1890"/>
      <c r="K71" s="2300" t="str">
        <f>+'CO2 - Cálculos'!AC70</f>
        <v>Incineração</v>
      </c>
      <c r="L71" s="2299">
        <f>+'CO2 - Cálculos'!AH70</f>
        <v>0</v>
      </c>
      <c r="M71" s="2024"/>
      <c r="N71" s="1890"/>
      <c r="O71" s="1890"/>
      <c r="P71" s="1890"/>
      <c r="Q71" s="1890"/>
      <c r="R71" s="1890"/>
      <c r="S71" s="1890"/>
      <c r="T71" s="1890"/>
    </row>
    <row r="72" spans="1:20" ht="18" customHeight="1" x14ac:dyDescent="0.2">
      <c r="A72" s="1890"/>
      <c r="B72" s="2300" t="str">
        <f>+'CO2 - Cálculos'!AC26</f>
        <v>Resíduos de jardins e parques</v>
      </c>
      <c r="C72" s="2299">
        <f>+'CO2 - Cálculos'!AH26</f>
        <v>0</v>
      </c>
      <c r="D72" s="2024"/>
      <c r="E72" s="1890"/>
      <c r="F72" s="1890"/>
      <c r="G72" s="1890"/>
      <c r="H72" s="1890"/>
      <c r="I72" s="1890"/>
      <c r="J72" s="1890"/>
      <c r="K72" s="2363" t="s">
        <v>1255</v>
      </c>
      <c r="L72" s="2024"/>
      <c r="M72" s="2024"/>
      <c r="N72" s="1890"/>
      <c r="O72" s="1890"/>
      <c r="P72" s="1890"/>
      <c r="Q72" s="1890"/>
      <c r="R72" s="1890"/>
      <c r="S72" s="1890"/>
      <c r="T72" s="1890"/>
    </row>
    <row r="73" spans="1:20" ht="18" customHeight="1" x14ac:dyDescent="0.2">
      <c r="A73" s="1890"/>
      <c r="B73" s="2300" t="str">
        <f>+'CO2 - Cálculos'!AC27</f>
        <v>Papel, papelão</v>
      </c>
      <c r="C73" s="2299">
        <f>+'CO2 - Cálculos'!AH27</f>
        <v>-1554.8820191423999</v>
      </c>
      <c r="D73" s="2024"/>
      <c r="E73" s="1890"/>
      <c r="F73" s="1890"/>
      <c r="G73" s="1890"/>
      <c r="H73" s="1890"/>
      <c r="I73" s="1890"/>
      <c r="J73" s="1890"/>
      <c r="K73" s="2300" t="str">
        <f>+'CO2 - Cálculos'!AC72</f>
        <v>Resíduos dispersos</v>
      </c>
      <c r="L73" s="2299">
        <f>+'CO2 - Cálculos'!AH72</f>
        <v>0</v>
      </c>
      <c r="M73" s="2024"/>
      <c r="N73" s="1890"/>
      <c r="O73" s="1890"/>
      <c r="P73" s="1890"/>
      <c r="Q73" s="1890"/>
      <c r="R73" s="1890"/>
      <c r="S73" s="1890"/>
      <c r="T73" s="1890"/>
    </row>
    <row r="74" spans="1:20" ht="18" customHeight="1" x14ac:dyDescent="0.2">
      <c r="A74" s="1890"/>
      <c r="B74" s="2300" t="str">
        <f>+'CO2 - Cálculos'!AC28</f>
        <v>Plásticos</v>
      </c>
      <c r="C74" s="2299">
        <f>+'CO2 - Cálculos'!AH28</f>
        <v>-1306.0364391359999</v>
      </c>
      <c r="D74" s="2024"/>
      <c r="E74" s="1890"/>
      <c r="F74" s="1890"/>
      <c r="G74" s="1890"/>
      <c r="H74" s="1890"/>
      <c r="I74" s="1890"/>
      <c r="J74" s="1890"/>
      <c r="K74" s="2300" t="str">
        <f>+'CO2 - Cálculos'!AC73</f>
        <v>Queima a céu aberto</v>
      </c>
      <c r="L74" s="2299">
        <f>+'CO2 - Cálculos'!AH73</f>
        <v>0</v>
      </c>
      <c r="M74" s="2024"/>
      <c r="N74" s="1890"/>
      <c r="O74" s="1890"/>
      <c r="P74" s="1890"/>
      <c r="Q74" s="1890"/>
      <c r="R74" s="1890"/>
      <c r="S74" s="1890"/>
      <c r="T74" s="1890"/>
    </row>
    <row r="75" spans="1:20" ht="18" customHeight="1" x14ac:dyDescent="0.2">
      <c r="A75" s="1890"/>
      <c r="B75" s="2300" t="str">
        <f>+'CO2 - Cálculos'!AC29</f>
        <v>Vidros</v>
      </c>
      <c r="C75" s="2299">
        <f>+'CO2 - Cálculos'!AH29</f>
        <v>0</v>
      </c>
      <c r="D75" s="2024"/>
      <c r="E75" s="1890"/>
      <c r="F75" s="1890"/>
      <c r="G75" s="1890"/>
      <c r="H75" s="1890"/>
      <c r="I75" s="1890"/>
      <c r="J75" s="1890"/>
      <c r="K75" s="2300" t="str">
        <f>+'CO2 - Cálculos'!AC74</f>
        <v>Lixão não controlado</v>
      </c>
      <c r="L75" s="2299">
        <f>+'CO2 - Cálculos'!AH74</f>
        <v>0</v>
      </c>
      <c r="M75" s="2024"/>
      <c r="N75" s="1890"/>
      <c r="O75" s="1890"/>
      <c r="P75" s="1890"/>
      <c r="Q75" s="1890"/>
      <c r="R75" s="1890"/>
      <c r="S75" s="1890"/>
      <c r="T75" s="1890"/>
    </row>
    <row r="76" spans="1:20" ht="18" customHeight="1" x14ac:dyDescent="0.2">
      <c r="A76" s="1890"/>
      <c r="B76" s="2300" t="str">
        <f>+'CO2 - Cálculos'!AC30</f>
        <v>Metais ferrosos</v>
      </c>
      <c r="C76" s="2299">
        <f>+'CO2 - Cálculos'!AH30</f>
        <v>-861.32322431999989</v>
      </c>
      <c r="D76" s="2024"/>
      <c r="E76" s="1890"/>
      <c r="F76" s="1890"/>
      <c r="G76" s="1890"/>
      <c r="H76" s="1890"/>
      <c r="I76" s="1890"/>
      <c r="J76" s="1890"/>
      <c r="K76" s="2300" t="str">
        <f>+'CO2 - Cálculos'!AC75</f>
        <v>Aterro controlado</v>
      </c>
      <c r="L76" s="2299">
        <f>+'CO2 - Cálculos'!AH75</f>
        <v>0</v>
      </c>
      <c r="M76" s="2024"/>
      <c r="N76" s="1890"/>
      <c r="O76" s="1890"/>
      <c r="P76" s="1890"/>
      <c r="Q76" s="1890"/>
      <c r="R76" s="1890"/>
      <c r="S76" s="1890"/>
      <c r="T76" s="1890"/>
    </row>
    <row r="77" spans="1:20" ht="18" customHeight="1" x14ac:dyDescent="0.2">
      <c r="A77" s="1890"/>
      <c r="B77" s="2300" t="str">
        <f>+'CO2 - Cálculos'!AC31</f>
        <v>Alumínio</v>
      </c>
      <c r="C77" s="2299">
        <f>+'CO2 - Cálculos'!AH31</f>
        <v>-1296.7096895999998</v>
      </c>
      <c r="D77" s="2024"/>
      <c r="E77" s="1890"/>
      <c r="F77" s="1890"/>
      <c r="G77" s="1890"/>
      <c r="H77" s="1890"/>
      <c r="I77" s="1890"/>
      <c r="J77" s="2362"/>
      <c r="K77" s="2300" t="str">
        <f>+'CO2 - Cálculos'!AC76</f>
        <v>Aterro sanitário</v>
      </c>
      <c r="L77" s="2299">
        <f>+'CO2 - Cálculos'!AH76</f>
        <v>0</v>
      </c>
      <c r="M77" s="2024"/>
      <c r="N77" s="1890"/>
      <c r="O77" s="1890"/>
      <c r="P77" s="1890"/>
      <c r="Q77" s="1890"/>
      <c r="R77" s="1890"/>
      <c r="S77" s="1890"/>
      <c r="T77" s="1890"/>
    </row>
    <row r="78" spans="1:20" ht="18" customHeight="1" x14ac:dyDescent="0.2">
      <c r="A78" s="1890"/>
      <c r="B78" s="2300" t="str">
        <f>+'CO2 - Cálculos'!AC32</f>
        <v>Têxteis</v>
      </c>
      <c r="C78" s="2299">
        <f>+'CO2 - Cálculos'!AH32</f>
        <v>0</v>
      </c>
      <c r="D78" s="2024"/>
      <c r="E78" s="1890"/>
      <c r="F78" s="1890"/>
      <c r="G78" s="1890"/>
      <c r="H78" s="1890"/>
      <c r="I78" s="1890"/>
      <c r="K78" s="2300" t="str">
        <f>+'CO2 - Cálculos'!AC77</f>
        <v>Trat. biol + cobertura at.</v>
      </c>
      <c r="L78" s="2299">
        <f>+'CO2 - Cálculos'!AH77</f>
        <v>0</v>
      </c>
      <c r="M78" s="2024"/>
      <c r="N78" s="1890"/>
      <c r="O78" s="1890"/>
      <c r="P78" s="1890"/>
      <c r="Q78" s="1890"/>
      <c r="R78" s="1890"/>
      <c r="S78" s="1890"/>
      <c r="T78" s="1890"/>
    </row>
    <row r="79" spans="1:20" ht="18" customHeight="1" x14ac:dyDescent="0.2">
      <c r="A79" s="1890"/>
      <c r="B79" s="2365" t="s">
        <v>1256</v>
      </c>
      <c r="C79" s="2024"/>
      <c r="D79" s="2301"/>
      <c r="E79" s="1890"/>
      <c r="F79" s="1890"/>
      <c r="G79" s="1890"/>
      <c r="H79" s="1890"/>
      <c r="I79" s="1890"/>
      <c r="J79" s="2362"/>
      <c r="K79" s="2300" t="str">
        <f>+'CO2 - Cálculos'!AC78</f>
        <v>CDR seco + rejeito aterro</v>
      </c>
      <c r="L79" s="2299">
        <f>+'CO2 - Cálculos'!AH78</f>
        <v>0</v>
      </c>
      <c r="M79" s="2024"/>
      <c r="N79" s="1890"/>
      <c r="O79" s="1890"/>
      <c r="P79" s="1890"/>
      <c r="Q79" s="1890"/>
      <c r="R79" s="1890"/>
      <c r="S79" s="1890"/>
      <c r="T79" s="1890"/>
    </row>
    <row r="80" spans="1:20" ht="18" customHeight="1" x14ac:dyDescent="0.2">
      <c r="A80" s="1890"/>
      <c r="B80" s="2365" t="s">
        <v>1257</v>
      </c>
      <c r="C80" s="2024"/>
      <c r="D80" s="2299">
        <f>SUM(C62:C69,C71:C78)</f>
        <v>-3353.3073752255996</v>
      </c>
      <c r="E80" s="1890"/>
      <c r="F80" s="1890"/>
      <c r="G80" s="1890"/>
      <c r="H80" s="1890"/>
      <c r="I80" s="1890"/>
      <c r="J80" s="1890"/>
      <c r="K80" s="2300" t="str">
        <f>+'CO2 - Cálculos'!AC79</f>
        <v>CDR seco + trat. biol.</v>
      </c>
      <c r="L80" s="2299">
        <f>+'CO2 - Cálculos'!AH79</f>
        <v>0</v>
      </c>
      <c r="M80" s="2024"/>
      <c r="N80" s="1890"/>
      <c r="O80" s="1890"/>
      <c r="P80" s="1890"/>
      <c r="Q80" s="1890"/>
      <c r="R80" s="1890"/>
      <c r="S80" s="1890"/>
      <c r="T80" s="1890"/>
    </row>
    <row r="81" spans="1:20" ht="14.25" x14ac:dyDescent="0.2">
      <c r="A81" s="1890"/>
      <c r="B81" s="1890"/>
      <c r="C81" s="2399"/>
      <c r="D81" s="2399"/>
      <c r="E81" s="1890"/>
      <c r="F81" s="1890"/>
      <c r="G81" s="1890"/>
      <c r="H81" s="1890"/>
      <c r="I81" s="1890"/>
      <c r="J81" s="1890"/>
      <c r="K81" s="2300" t="str">
        <f>+'CO2 - Cálculos'!AC80</f>
        <v>CDR seco + CDR org.</v>
      </c>
      <c r="L81" s="2299">
        <f>+'CO2 - Cálculos'!AH80</f>
        <v>0</v>
      </c>
      <c r="M81" s="2024"/>
      <c r="N81" s="1890"/>
      <c r="O81" s="1890"/>
      <c r="P81" s="1890"/>
      <c r="Q81" s="1890"/>
      <c r="R81" s="1890"/>
      <c r="S81" s="1890"/>
      <c r="T81" s="1890"/>
    </row>
    <row r="82" spans="1:20" ht="14.25" x14ac:dyDescent="0.2">
      <c r="A82" s="1890"/>
      <c r="B82" s="1890"/>
      <c r="C82" s="1890"/>
      <c r="D82" s="1890"/>
      <c r="E82" s="2267"/>
      <c r="F82" s="1890"/>
      <c r="G82" s="1890"/>
      <c r="H82" s="1890"/>
      <c r="I82" s="1890"/>
      <c r="J82" s="1890"/>
      <c r="K82" s="2300" t="str">
        <f>+'CO2 - Cálculos'!AC81</f>
        <v>Incineração</v>
      </c>
      <c r="L82" s="2299">
        <f>+'CO2 - Cálculos'!AH81</f>
        <v>0</v>
      </c>
      <c r="M82" s="2024"/>
      <c r="N82" s="1890"/>
      <c r="O82" s="1890"/>
      <c r="P82" s="1890"/>
      <c r="Q82" s="1890"/>
      <c r="R82" s="1890"/>
      <c r="S82" s="1890"/>
      <c r="T82" s="1890"/>
    </row>
    <row r="83" spans="1:20" ht="14.25" x14ac:dyDescent="0.2">
      <c r="A83" s="1890"/>
      <c r="B83" s="1890"/>
      <c r="C83" s="1890"/>
      <c r="D83" s="1890"/>
      <c r="E83" s="2267"/>
      <c r="F83" s="1890"/>
      <c r="G83" s="1890"/>
      <c r="H83" s="1890"/>
      <c r="I83" s="1890"/>
      <c r="J83" s="1890"/>
      <c r="K83" s="2365" t="s">
        <v>1256</v>
      </c>
      <c r="L83" s="2024"/>
      <c r="M83" s="2024"/>
      <c r="N83" s="1890"/>
      <c r="O83" s="1890"/>
      <c r="P83" s="1890"/>
      <c r="Q83" s="1890"/>
      <c r="R83" s="1890"/>
      <c r="S83" s="1890"/>
      <c r="T83" s="1890"/>
    </row>
    <row r="84" spans="1:20" ht="14.25" x14ac:dyDescent="0.2">
      <c r="A84" s="1890"/>
      <c r="B84" s="1890"/>
      <c r="C84" s="1890"/>
      <c r="D84" s="1890"/>
      <c r="E84" s="2267"/>
      <c r="F84" s="1890"/>
      <c r="G84" s="1890"/>
      <c r="H84" s="1890"/>
      <c r="I84" s="1890"/>
      <c r="J84" s="1890"/>
      <c r="K84" s="2365" t="s">
        <v>1257</v>
      </c>
      <c r="L84" s="2024"/>
      <c r="M84" s="2299">
        <f>SUM(L62:L71,L73:L82)</f>
        <v>9577.7059389960687</v>
      </c>
      <c r="N84" s="1890"/>
      <c r="O84" s="1890"/>
      <c r="P84" s="1890"/>
      <c r="Q84" s="1890"/>
      <c r="R84" s="1890"/>
      <c r="S84" s="1890"/>
      <c r="T84" s="1890"/>
    </row>
    <row r="85" spans="1:20" x14ac:dyDescent="0.2">
      <c r="A85" s="1890"/>
      <c r="B85" s="1890"/>
      <c r="C85" s="1890"/>
      <c r="D85" s="1890"/>
      <c r="E85" s="1890"/>
      <c r="F85" s="1890"/>
      <c r="G85" s="1890"/>
      <c r="H85" s="1890"/>
      <c r="I85" s="1890"/>
      <c r="J85" s="1890"/>
      <c r="K85" s="1890"/>
      <c r="L85" s="2399"/>
      <c r="M85" s="2399"/>
      <c r="N85" s="1890"/>
      <c r="O85" s="1890"/>
      <c r="P85" s="1890"/>
      <c r="Q85" s="1890"/>
      <c r="R85" s="1890"/>
      <c r="S85" s="1890"/>
      <c r="T85" s="1890"/>
    </row>
    <row r="86" spans="1:20" x14ac:dyDescent="0.2">
      <c r="A86" s="1890"/>
      <c r="B86" s="1890"/>
      <c r="C86" s="1890"/>
      <c r="D86" s="1890"/>
      <c r="E86" s="1890"/>
      <c r="F86" s="1890"/>
      <c r="G86" s="1890"/>
      <c r="H86" s="1890"/>
      <c r="I86" s="1890"/>
      <c r="J86" s="1890"/>
      <c r="K86" s="1890"/>
      <c r="L86" s="1890"/>
      <c r="M86" s="1890"/>
      <c r="N86" s="1890"/>
      <c r="O86" s="1890"/>
      <c r="P86" s="1890"/>
      <c r="Q86" s="1890"/>
      <c r="R86" s="1890"/>
      <c r="S86" s="1890"/>
      <c r="T86" s="1890"/>
    </row>
    <row r="87" spans="1:20" x14ac:dyDescent="0.2">
      <c r="A87" s="1890"/>
      <c r="B87" s="1890"/>
      <c r="C87" s="1890"/>
      <c r="D87" s="1890"/>
      <c r="E87" s="1890"/>
      <c r="F87" s="1890"/>
      <c r="G87" s="1890"/>
      <c r="H87" s="1890"/>
      <c r="I87" s="1890"/>
      <c r="J87" s="1890"/>
      <c r="K87" s="1890"/>
      <c r="L87" s="1890"/>
      <c r="M87" s="1890"/>
      <c r="N87" s="1890"/>
      <c r="O87" s="1890"/>
      <c r="P87" s="1890"/>
      <c r="Q87" s="1890"/>
      <c r="R87" s="1890"/>
      <c r="S87" s="1890"/>
      <c r="T87" s="1890"/>
    </row>
    <row r="88" spans="1:20" x14ac:dyDescent="0.2">
      <c r="A88" s="1890"/>
      <c r="B88" s="1890"/>
      <c r="C88" s="1890"/>
      <c r="D88" s="1890"/>
      <c r="E88" s="1890"/>
      <c r="F88" s="1890"/>
      <c r="G88" s="1890"/>
      <c r="H88" s="1890"/>
      <c r="I88" s="1890"/>
      <c r="J88" s="1890"/>
      <c r="K88" s="1890"/>
      <c r="L88" s="1890"/>
      <c r="M88" s="1890"/>
      <c r="N88" s="1890"/>
      <c r="O88" s="1890"/>
      <c r="P88" s="1890"/>
      <c r="Q88" s="1890"/>
      <c r="R88" s="1890"/>
      <c r="S88" s="1890"/>
      <c r="T88" s="1890"/>
    </row>
    <row r="89" spans="1:20" x14ac:dyDescent="0.2">
      <c r="A89" s="1890"/>
      <c r="B89" s="1890"/>
      <c r="C89" s="1890"/>
      <c r="D89" s="1890"/>
      <c r="E89" s="1890"/>
      <c r="F89" s="1890"/>
      <c r="G89" s="1890"/>
      <c r="H89" s="1890"/>
      <c r="I89" s="1890"/>
      <c r="J89" s="1890"/>
      <c r="K89" s="1890"/>
      <c r="L89" s="1890"/>
      <c r="M89" s="1890"/>
      <c r="N89" s="1890"/>
      <c r="O89" s="1890"/>
      <c r="P89" s="1890"/>
      <c r="Q89" s="1890"/>
      <c r="R89" s="1890"/>
      <c r="S89" s="1890"/>
      <c r="T89" s="1890"/>
    </row>
    <row r="90" spans="1:20" x14ac:dyDescent="0.2">
      <c r="A90" s="1890"/>
      <c r="B90" s="1890"/>
      <c r="C90" s="1890"/>
      <c r="D90" s="1890"/>
      <c r="E90" s="1890"/>
      <c r="F90" s="1890"/>
      <c r="G90" s="1890"/>
      <c r="H90" s="1890"/>
      <c r="I90" s="1890"/>
      <c r="J90" s="1890"/>
      <c r="K90" s="1890"/>
      <c r="L90" s="1890"/>
      <c r="M90" s="1890"/>
      <c r="N90" s="1890"/>
      <c r="O90" s="1890"/>
      <c r="P90" s="1890"/>
      <c r="Q90" s="1890"/>
      <c r="R90" s="1890"/>
      <c r="S90" s="1890"/>
      <c r="T90" s="1890"/>
    </row>
    <row r="91" spans="1:20" x14ac:dyDescent="0.2">
      <c r="A91" s="1890"/>
      <c r="B91" s="1890"/>
      <c r="C91" s="1890"/>
      <c r="D91" s="1890"/>
      <c r="E91" s="1890"/>
      <c r="F91" s="1890"/>
      <c r="G91" s="1890"/>
      <c r="H91" s="1890"/>
      <c r="I91" s="1890"/>
      <c r="J91" s="1890"/>
      <c r="K91" s="1890"/>
      <c r="L91" s="1890"/>
      <c r="M91" s="1890"/>
      <c r="N91" s="1890"/>
      <c r="O91" s="1890"/>
      <c r="P91" s="1890"/>
      <c r="Q91" s="1890"/>
      <c r="R91" s="1890"/>
      <c r="S91" s="1890"/>
      <c r="T91" s="1890"/>
    </row>
    <row r="92" spans="1:20" x14ac:dyDescent="0.2">
      <c r="A92" s="1890"/>
      <c r="B92" s="1890"/>
      <c r="C92" s="1890"/>
      <c r="D92" s="1890"/>
      <c r="E92" s="1890"/>
      <c r="F92" s="1890"/>
      <c r="G92" s="1890"/>
      <c r="H92" s="1890"/>
      <c r="I92" s="1890"/>
      <c r="J92" s="1890"/>
      <c r="K92" s="1890"/>
      <c r="L92" s="1890"/>
      <c r="M92" s="1890"/>
      <c r="N92" s="1890"/>
      <c r="O92" s="1890"/>
      <c r="P92" s="1890"/>
      <c r="Q92" s="1890"/>
      <c r="R92" s="1890"/>
      <c r="S92" s="1890"/>
      <c r="T92" s="1890"/>
    </row>
    <row r="93" spans="1:20" x14ac:dyDescent="0.2">
      <c r="A93" s="1890"/>
      <c r="B93" s="1890"/>
      <c r="C93" s="1890"/>
      <c r="D93" s="1890"/>
      <c r="E93" s="1890"/>
      <c r="F93" s="1890"/>
      <c r="G93" s="1890"/>
      <c r="H93" s="1890"/>
      <c r="I93" s="1890"/>
      <c r="J93" s="1890"/>
      <c r="K93" s="1890"/>
      <c r="L93" s="1890"/>
      <c r="M93" s="1890"/>
      <c r="N93" s="1890"/>
      <c r="O93" s="1890"/>
      <c r="P93" s="1890"/>
      <c r="Q93" s="1890"/>
      <c r="R93" s="1890"/>
      <c r="S93" s="1890"/>
      <c r="T93" s="1890"/>
    </row>
    <row r="94" spans="1:20" x14ac:dyDescent="0.2">
      <c r="A94" s="1890"/>
      <c r="B94" s="1890"/>
      <c r="C94" s="1890"/>
      <c r="D94" s="1890"/>
      <c r="E94" s="1890"/>
      <c r="F94" s="1890"/>
      <c r="G94" s="1890"/>
      <c r="H94" s="1890"/>
      <c r="I94" s="1890"/>
      <c r="J94" s="1890"/>
      <c r="K94" s="1890"/>
      <c r="L94" s="1890"/>
      <c r="M94" s="1890"/>
      <c r="N94" s="1890"/>
      <c r="O94" s="1890"/>
      <c r="P94" s="1890"/>
      <c r="Q94" s="1890"/>
      <c r="R94" s="1890"/>
      <c r="S94" s="1890"/>
      <c r="T94" s="1890"/>
    </row>
    <row r="95" spans="1:20" x14ac:dyDescent="0.2">
      <c r="A95" s="1890"/>
      <c r="B95" s="1890"/>
      <c r="C95" s="1890"/>
      <c r="D95" s="1890"/>
      <c r="E95" s="1890"/>
      <c r="F95" s="1890"/>
      <c r="G95" s="1890"/>
      <c r="H95" s="1890"/>
      <c r="I95" s="1890"/>
      <c r="J95" s="1890"/>
      <c r="K95" s="1890"/>
      <c r="L95" s="1890"/>
      <c r="M95" s="1890"/>
      <c r="N95" s="1890"/>
      <c r="O95" s="1890"/>
      <c r="P95" s="1890"/>
      <c r="Q95" s="1890"/>
      <c r="R95" s="1890"/>
      <c r="S95" s="1890"/>
      <c r="T95" s="1890"/>
    </row>
    <row r="96" spans="1:20" x14ac:dyDescent="0.2">
      <c r="A96" s="1890"/>
      <c r="B96" s="1890"/>
      <c r="C96" s="1890"/>
      <c r="D96" s="1890"/>
      <c r="E96" s="1890"/>
      <c r="F96" s="1890"/>
      <c r="G96" s="1890"/>
      <c r="H96" s="1890"/>
      <c r="I96" s="1890"/>
      <c r="J96" s="1890"/>
      <c r="K96" s="1890"/>
      <c r="L96" s="1890"/>
      <c r="M96" s="1890"/>
      <c r="N96" s="1890"/>
      <c r="O96" s="1890"/>
      <c r="P96" s="1890"/>
      <c r="Q96" s="1890"/>
      <c r="R96" s="1890"/>
      <c r="S96" s="1890"/>
      <c r="T96" s="1890"/>
    </row>
    <row r="97" spans="1:20" x14ac:dyDescent="0.2">
      <c r="A97" s="1890"/>
      <c r="B97" s="1890"/>
      <c r="C97" s="1890"/>
      <c r="D97" s="1890"/>
      <c r="E97" s="1890"/>
      <c r="F97" s="1890"/>
      <c r="G97" s="1890"/>
      <c r="H97" s="1890"/>
      <c r="I97" s="1890"/>
      <c r="J97" s="1890"/>
      <c r="K97" s="1890"/>
      <c r="L97" s="1890"/>
      <c r="M97" s="1890"/>
      <c r="N97" s="1890"/>
      <c r="O97" s="1890"/>
      <c r="P97" s="1890"/>
      <c r="Q97" s="1890"/>
      <c r="R97" s="1890"/>
      <c r="S97" s="1890"/>
      <c r="T97" s="1890"/>
    </row>
    <row r="98" spans="1:20" x14ac:dyDescent="0.2">
      <c r="A98" s="1890"/>
      <c r="B98" s="1890"/>
      <c r="C98" s="1890"/>
      <c r="D98" s="1890"/>
      <c r="E98" s="1890"/>
      <c r="F98" s="1890"/>
      <c r="G98" s="1890"/>
      <c r="H98" s="1890"/>
      <c r="I98" s="1890"/>
      <c r="J98" s="1890"/>
      <c r="K98" s="1890"/>
      <c r="L98" s="1890"/>
      <c r="M98" s="1890"/>
      <c r="N98" s="1890"/>
      <c r="O98" s="1890"/>
      <c r="P98" s="1890"/>
      <c r="Q98" s="1890"/>
      <c r="R98" s="1890"/>
      <c r="S98" s="1890"/>
      <c r="T98" s="1890"/>
    </row>
    <row r="99" spans="1:20" x14ac:dyDescent="0.2">
      <c r="A99" s="1890"/>
      <c r="B99" s="1890"/>
      <c r="C99" s="1890"/>
      <c r="D99" s="1890"/>
      <c r="E99" s="1890"/>
      <c r="F99" s="1890"/>
      <c r="G99" s="1890"/>
      <c r="H99" s="1890"/>
      <c r="I99" s="1890"/>
      <c r="J99" s="1890"/>
      <c r="K99" s="1890"/>
      <c r="L99" s="1890"/>
      <c r="M99" s="1890"/>
      <c r="N99" s="1890"/>
      <c r="O99" s="1890"/>
      <c r="P99" s="1890"/>
      <c r="Q99" s="1890"/>
      <c r="R99" s="1890"/>
      <c r="S99" s="1890"/>
      <c r="T99" s="1890"/>
    </row>
    <row r="100" spans="1:20" x14ac:dyDescent="0.2">
      <c r="A100" s="1890"/>
      <c r="B100" s="1890"/>
      <c r="C100" s="1890"/>
      <c r="D100" s="1890"/>
      <c r="E100" s="1890"/>
      <c r="F100" s="1890"/>
      <c r="G100" s="1890"/>
      <c r="H100" s="1890"/>
      <c r="I100" s="1890"/>
      <c r="J100" s="1890"/>
      <c r="K100" s="1890"/>
      <c r="L100" s="1890"/>
      <c r="M100" s="1890"/>
      <c r="N100" s="1890"/>
      <c r="O100" s="1890"/>
      <c r="P100" s="1890"/>
      <c r="Q100" s="1890"/>
      <c r="R100" s="1890"/>
      <c r="S100" s="1890"/>
      <c r="T100" s="1890"/>
    </row>
    <row r="101" spans="1:20" x14ac:dyDescent="0.2">
      <c r="A101" s="1890"/>
      <c r="B101" s="1890"/>
      <c r="C101" s="1890"/>
      <c r="D101" s="1890"/>
      <c r="E101" s="1890"/>
      <c r="F101" s="1890"/>
      <c r="G101" s="1890"/>
      <c r="H101" s="1890"/>
      <c r="I101" s="1890"/>
      <c r="J101" s="1890"/>
      <c r="K101" s="1890"/>
      <c r="L101" s="1890"/>
      <c r="M101" s="1890"/>
      <c r="N101" s="1890"/>
      <c r="O101" s="1890"/>
      <c r="P101" s="1890"/>
      <c r="Q101" s="1890"/>
      <c r="R101" s="1890"/>
      <c r="S101" s="1890"/>
      <c r="T101" s="1890"/>
    </row>
    <row r="102" spans="1:20" x14ac:dyDescent="0.2">
      <c r="A102" s="1890"/>
      <c r="B102" s="1890"/>
      <c r="C102" s="1890"/>
      <c r="D102" s="1890"/>
      <c r="E102" s="1890"/>
      <c r="F102" s="1890"/>
      <c r="G102" s="1890"/>
      <c r="H102" s="1890"/>
      <c r="I102" s="1890"/>
      <c r="J102" s="1890"/>
      <c r="K102" s="1890"/>
      <c r="L102" s="1890"/>
      <c r="M102" s="1890"/>
      <c r="N102" s="1890"/>
      <c r="O102" s="1890"/>
      <c r="P102" s="1890"/>
      <c r="Q102" s="1890"/>
      <c r="R102" s="1890"/>
      <c r="S102" s="1890"/>
      <c r="T102" s="1890"/>
    </row>
    <row r="103" spans="1:20" x14ac:dyDescent="0.2">
      <c r="A103" s="1890"/>
      <c r="B103" s="1890"/>
      <c r="C103" s="1890"/>
      <c r="D103" s="1890"/>
      <c r="E103" s="1890"/>
      <c r="F103" s="1890"/>
      <c r="G103" s="1890"/>
      <c r="H103" s="1890"/>
      <c r="I103" s="1890"/>
      <c r="J103" s="1890"/>
      <c r="K103" s="1890"/>
      <c r="L103" s="1890"/>
      <c r="M103" s="1890"/>
      <c r="N103" s="1890"/>
      <c r="O103" s="1890"/>
      <c r="P103" s="1890"/>
      <c r="Q103" s="1890"/>
      <c r="R103" s="1890"/>
      <c r="S103" s="1890"/>
      <c r="T103" s="1890"/>
    </row>
    <row r="104" spans="1:20" x14ac:dyDescent="0.2">
      <c r="A104" s="1890"/>
      <c r="B104" s="1890"/>
      <c r="C104" s="1890"/>
      <c r="D104" s="1890"/>
      <c r="E104" s="1890"/>
      <c r="F104" s="1890"/>
      <c r="G104" s="1890"/>
      <c r="H104" s="1890"/>
      <c r="I104" s="1890"/>
      <c r="J104" s="1890"/>
      <c r="K104" s="1890"/>
      <c r="L104" s="1890"/>
      <c r="M104" s="1890"/>
      <c r="N104" s="1890"/>
      <c r="O104" s="1890"/>
      <c r="P104" s="1890"/>
      <c r="Q104" s="1890"/>
      <c r="R104" s="1890"/>
      <c r="S104" s="1890"/>
      <c r="T104" s="1890"/>
    </row>
    <row r="105" spans="1:20" x14ac:dyDescent="0.2">
      <c r="A105" s="1890"/>
      <c r="B105" s="1890"/>
      <c r="C105" s="1890"/>
      <c r="D105" s="1890"/>
      <c r="E105" s="1890"/>
      <c r="F105" s="1890"/>
      <c r="G105" s="1890"/>
      <c r="H105" s="1890"/>
      <c r="I105" s="1890"/>
      <c r="J105" s="1890"/>
      <c r="K105" s="1890"/>
      <c r="L105" s="1890"/>
      <c r="M105" s="1890"/>
      <c r="N105" s="1890"/>
      <c r="O105" s="1890"/>
      <c r="P105" s="1890"/>
      <c r="Q105" s="1890"/>
      <c r="R105" s="1890"/>
      <c r="S105" s="1890"/>
      <c r="T105" s="1890"/>
    </row>
    <row r="106" spans="1:20" x14ac:dyDescent="0.2">
      <c r="A106" s="1890"/>
      <c r="B106" s="1890"/>
      <c r="C106" s="1890"/>
      <c r="D106" s="1890"/>
      <c r="E106" s="1890"/>
      <c r="F106" s="1890"/>
      <c r="G106" s="1890"/>
      <c r="H106" s="1890"/>
      <c r="I106" s="1890"/>
      <c r="J106" s="1890"/>
      <c r="K106" s="1890"/>
      <c r="L106" s="1890"/>
      <c r="M106" s="1890"/>
      <c r="N106" s="1890"/>
      <c r="O106" s="1890"/>
      <c r="P106" s="1890"/>
      <c r="Q106" s="1890"/>
      <c r="R106" s="1890"/>
      <c r="S106" s="1890"/>
      <c r="T106" s="1890"/>
    </row>
    <row r="107" spans="1:20" x14ac:dyDescent="0.2">
      <c r="A107" s="1890"/>
      <c r="B107" s="1890"/>
      <c r="C107" s="1890"/>
      <c r="D107" s="1890"/>
      <c r="E107" s="1890"/>
      <c r="F107" s="1890"/>
      <c r="G107" s="1890"/>
      <c r="H107" s="1890"/>
      <c r="I107" s="1890"/>
      <c r="J107" s="1890"/>
      <c r="K107" s="1890"/>
      <c r="L107" s="1890"/>
      <c r="M107" s="1890"/>
      <c r="N107" s="1890"/>
      <c r="O107" s="1890"/>
      <c r="P107" s="1890"/>
      <c r="Q107" s="1890"/>
      <c r="R107" s="1890"/>
      <c r="S107" s="1890"/>
      <c r="T107" s="1890"/>
    </row>
    <row r="108" spans="1:20" x14ac:dyDescent="0.2">
      <c r="A108" s="1890"/>
      <c r="B108" s="1890"/>
      <c r="C108" s="1890"/>
      <c r="D108" s="1890"/>
      <c r="E108" s="1890"/>
      <c r="F108" s="1890"/>
      <c r="G108" s="1890"/>
      <c r="H108" s="1890"/>
      <c r="I108" s="1890"/>
      <c r="J108" s="1890"/>
      <c r="K108" s="1890"/>
      <c r="L108" s="1890"/>
      <c r="M108" s="1890"/>
      <c r="N108" s="1890"/>
      <c r="O108" s="1890"/>
      <c r="P108" s="1890"/>
      <c r="Q108" s="1890"/>
      <c r="R108" s="1890"/>
      <c r="S108" s="1890"/>
      <c r="T108" s="1890"/>
    </row>
    <row r="109" spans="1:20" x14ac:dyDescent="0.2">
      <c r="A109" s="1890"/>
      <c r="B109" s="1890"/>
      <c r="C109" s="1890"/>
      <c r="D109" s="1890"/>
      <c r="E109" s="1890"/>
      <c r="F109" s="1890"/>
      <c r="G109" s="1890"/>
      <c r="H109" s="1890"/>
      <c r="I109" s="1890"/>
      <c r="J109" s="1890"/>
      <c r="K109" s="1890"/>
      <c r="L109" s="1890"/>
      <c r="M109" s="1890"/>
      <c r="N109" s="1890"/>
      <c r="O109" s="1890"/>
      <c r="P109" s="1890"/>
      <c r="Q109" s="1890"/>
      <c r="R109" s="1890"/>
      <c r="S109" s="1890"/>
      <c r="T109" s="1890"/>
    </row>
    <row r="110" spans="1:20" x14ac:dyDescent="0.2">
      <c r="A110" s="1890"/>
      <c r="B110" s="1890"/>
      <c r="C110" s="1890"/>
      <c r="D110" s="1890"/>
      <c r="E110" s="1890"/>
      <c r="F110" s="1890"/>
      <c r="G110" s="1890"/>
      <c r="H110" s="1890"/>
      <c r="I110" s="1890"/>
      <c r="J110" s="1890"/>
      <c r="K110" s="1890"/>
      <c r="L110" s="1890"/>
      <c r="M110" s="1890"/>
      <c r="N110" s="1890"/>
      <c r="O110" s="1890"/>
      <c r="P110" s="1890"/>
      <c r="Q110" s="1890"/>
      <c r="R110" s="1890"/>
      <c r="S110" s="1890"/>
      <c r="T110" s="1890"/>
    </row>
    <row r="111" spans="1:20" x14ac:dyDescent="0.2">
      <c r="A111" s="1890"/>
      <c r="B111" s="1890"/>
      <c r="C111" s="1890"/>
      <c r="D111" s="1890"/>
      <c r="E111" s="1890"/>
      <c r="F111" s="1890"/>
      <c r="G111" s="1890"/>
      <c r="H111" s="1890"/>
      <c r="I111" s="1890"/>
      <c r="J111" s="1890"/>
      <c r="K111" s="1890"/>
      <c r="L111" s="1890"/>
      <c r="M111" s="1890"/>
      <c r="N111" s="1890"/>
      <c r="O111" s="1890"/>
      <c r="P111" s="1890"/>
      <c r="Q111" s="1890"/>
      <c r="R111" s="1890"/>
      <c r="S111" s="1890"/>
      <c r="T111" s="1890"/>
    </row>
    <row r="112" spans="1:20" x14ac:dyDescent="0.2">
      <c r="A112" s="1890"/>
      <c r="B112" s="1890"/>
      <c r="C112" s="1890"/>
      <c r="D112" s="1890"/>
      <c r="E112" s="1890"/>
      <c r="F112" s="1890"/>
      <c r="G112" s="1890"/>
      <c r="H112" s="1890"/>
      <c r="I112" s="1890"/>
      <c r="J112" s="1890"/>
      <c r="K112" s="1890"/>
      <c r="L112" s="1890"/>
      <c r="M112" s="1890"/>
      <c r="N112" s="1890"/>
      <c r="O112" s="1890"/>
      <c r="P112" s="1890"/>
      <c r="Q112" s="1890"/>
      <c r="R112" s="1890"/>
      <c r="S112" s="1890"/>
      <c r="T112" s="1890"/>
    </row>
    <row r="113" spans="1:20" x14ac:dyDescent="0.2">
      <c r="A113" s="1890"/>
      <c r="B113" s="1890"/>
      <c r="C113" s="1890"/>
      <c r="D113" s="1890"/>
      <c r="E113" s="1890"/>
      <c r="F113" s="1890"/>
      <c r="G113" s="1890"/>
      <c r="H113" s="1890"/>
      <c r="I113" s="1890"/>
      <c r="J113" s="1890"/>
      <c r="K113" s="1890"/>
      <c r="L113" s="1890"/>
      <c r="M113" s="1890"/>
      <c r="N113" s="1890"/>
      <c r="O113" s="1890"/>
      <c r="P113" s="1890"/>
      <c r="Q113" s="1890"/>
      <c r="R113" s="1890"/>
      <c r="S113" s="1890"/>
      <c r="T113" s="1890"/>
    </row>
    <row r="114" spans="1:20" x14ac:dyDescent="0.2">
      <c r="A114" s="1890"/>
      <c r="B114" s="1890"/>
      <c r="C114" s="1890"/>
      <c r="D114" s="1890"/>
      <c r="E114" s="1890"/>
      <c r="F114" s="1890"/>
      <c r="G114" s="1890"/>
      <c r="H114" s="1890"/>
      <c r="I114" s="1890"/>
      <c r="J114" s="1890"/>
      <c r="K114" s="1890"/>
      <c r="L114" s="1890"/>
      <c r="M114" s="1890"/>
      <c r="N114" s="1890"/>
      <c r="O114" s="1890"/>
      <c r="P114" s="1890"/>
      <c r="Q114" s="1890"/>
      <c r="R114" s="1890"/>
      <c r="S114" s="1890"/>
      <c r="T114" s="1890"/>
    </row>
    <row r="115" spans="1:20" x14ac:dyDescent="0.2">
      <c r="A115" s="1890"/>
      <c r="B115" s="1890"/>
      <c r="C115" s="1890"/>
      <c r="D115" s="1890"/>
      <c r="E115" s="1890"/>
      <c r="F115" s="1890"/>
      <c r="G115" s="1890"/>
      <c r="H115" s="1890"/>
      <c r="I115" s="1890"/>
      <c r="J115" s="1890"/>
      <c r="K115" s="1890"/>
      <c r="L115" s="1890"/>
      <c r="M115" s="1890"/>
      <c r="N115" s="1890"/>
      <c r="O115" s="1890"/>
      <c r="P115" s="1890"/>
      <c r="Q115" s="1890"/>
      <c r="R115" s="1890"/>
      <c r="S115" s="1890"/>
      <c r="T115" s="1890"/>
    </row>
    <row r="116" spans="1:20" x14ac:dyDescent="0.2">
      <c r="A116" s="1890"/>
      <c r="B116" s="1890"/>
      <c r="C116" s="1890"/>
      <c r="D116" s="1890"/>
      <c r="E116" s="1890"/>
      <c r="F116" s="1890"/>
      <c r="G116" s="1890"/>
      <c r="H116" s="1890"/>
      <c r="I116" s="1890"/>
      <c r="J116" s="1890"/>
      <c r="K116" s="1890"/>
      <c r="L116" s="1890"/>
      <c r="M116" s="1890"/>
      <c r="N116" s="1890"/>
      <c r="O116" s="1890"/>
      <c r="P116" s="1890"/>
      <c r="Q116" s="1890"/>
      <c r="R116" s="1890"/>
      <c r="S116" s="1890"/>
      <c r="T116" s="1890"/>
    </row>
    <row r="117" spans="1:20" x14ac:dyDescent="0.2">
      <c r="A117" s="1890"/>
      <c r="B117" s="1890"/>
      <c r="C117" s="1890"/>
      <c r="D117" s="1890"/>
      <c r="E117" s="1890"/>
      <c r="F117" s="1890"/>
      <c r="G117" s="1890"/>
      <c r="H117" s="1890"/>
      <c r="I117" s="1890"/>
      <c r="J117" s="1890"/>
      <c r="K117" s="1890"/>
      <c r="L117" s="1890"/>
      <c r="M117" s="1890"/>
      <c r="N117" s="1890"/>
      <c r="O117" s="1890"/>
      <c r="P117" s="1890"/>
      <c r="Q117" s="1890"/>
      <c r="R117" s="1890"/>
      <c r="S117" s="1890"/>
      <c r="T117" s="1890"/>
    </row>
    <row r="118" spans="1:20" x14ac:dyDescent="0.2">
      <c r="A118" s="1890"/>
      <c r="B118" s="1890"/>
      <c r="C118" s="1890"/>
      <c r="D118" s="1890"/>
      <c r="E118" s="1890"/>
      <c r="F118" s="1890"/>
      <c r="G118" s="1890"/>
      <c r="H118" s="1890"/>
      <c r="I118" s="1890"/>
      <c r="J118" s="1890"/>
      <c r="K118" s="1890"/>
      <c r="L118" s="1890"/>
      <c r="M118" s="1890"/>
      <c r="N118" s="1890"/>
      <c r="O118" s="1890"/>
      <c r="P118" s="1890"/>
      <c r="Q118" s="1890"/>
      <c r="R118" s="1890"/>
      <c r="S118" s="1890"/>
      <c r="T118" s="1890"/>
    </row>
    <row r="119" spans="1:20" x14ac:dyDescent="0.2">
      <c r="A119" s="1890"/>
      <c r="B119" s="1890"/>
      <c r="C119" s="1890"/>
      <c r="D119" s="1890"/>
      <c r="E119" s="1890"/>
      <c r="F119" s="1890"/>
      <c r="G119" s="1890"/>
      <c r="H119" s="1890"/>
      <c r="I119" s="1890"/>
      <c r="J119" s="1890"/>
      <c r="K119" s="1890"/>
      <c r="L119" s="1890"/>
      <c r="M119" s="1890"/>
      <c r="N119" s="1890"/>
      <c r="O119" s="1890"/>
      <c r="P119" s="1890"/>
      <c r="Q119" s="1890"/>
      <c r="R119" s="1890"/>
      <c r="S119" s="1890"/>
      <c r="T119" s="1890"/>
    </row>
    <row r="120" spans="1:20" x14ac:dyDescent="0.2">
      <c r="A120" s="1890"/>
      <c r="B120" s="1890"/>
      <c r="C120" s="1890"/>
      <c r="D120" s="1890"/>
      <c r="E120" s="1890"/>
      <c r="F120" s="1890"/>
      <c r="G120" s="1890"/>
      <c r="H120" s="1890"/>
      <c r="I120" s="1890"/>
      <c r="J120" s="1890"/>
      <c r="K120" s="1890"/>
      <c r="L120" s="1890"/>
      <c r="M120" s="1890"/>
      <c r="N120" s="1890"/>
      <c r="O120" s="1890"/>
      <c r="P120" s="1890"/>
      <c r="Q120" s="1890"/>
      <c r="R120" s="1890"/>
      <c r="S120" s="1890"/>
      <c r="T120" s="1890"/>
    </row>
    <row r="121" spans="1:20" x14ac:dyDescent="0.2">
      <c r="A121" s="1890"/>
      <c r="B121" s="1890"/>
      <c r="C121" s="1890"/>
      <c r="D121" s="1890"/>
      <c r="E121" s="1890"/>
      <c r="F121" s="1890"/>
      <c r="G121" s="1890"/>
      <c r="H121" s="1890"/>
      <c r="I121" s="1890"/>
      <c r="J121" s="1890"/>
      <c r="K121" s="1890"/>
      <c r="L121" s="1890"/>
      <c r="M121" s="1890"/>
      <c r="N121" s="1890"/>
      <c r="O121" s="1890"/>
      <c r="P121" s="1890"/>
      <c r="Q121" s="1890"/>
      <c r="R121" s="1890"/>
      <c r="S121" s="1890"/>
      <c r="T121" s="1890"/>
    </row>
  </sheetData>
  <sheetProtection selectLockedCells="1" selectUnlockedCells="1"/>
  <mergeCells count="2">
    <mergeCell ref="O5:P5"/>
    <mergeCell ref="O6:P6"/>
  </mergeCells>
  <pageMargins left="0.78740157499999996" right="0.78740157499999996" top="0.984251969" bottom="0.984251969" header="0.4921259845" footer="0.4921259845"/>
  <pageSetup paperSize="9" orientation="portrait" r:id="rId1"/>
  <headerFooter alignWithMargins="0"/>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16A87B-695C-4722-8A86-6FD8D2AA5E91}">
  <dimension ref="A1:AU120"/>
  <sheetViews>
    <sheetView zoomScale="78" zoomScaleNormal="78" workbookViewId="0">
      <selection activeCell="L13" sqref="L13"/>
    </sheetView>
  </sheetViews>
  <sheetFormatPr defaultColWidth="11.42578125" defaultRowHeight="12.75" x14ac:dyDescent="0.2"/>
  <cols>
    <col min="1" max="1" width="8.42578125" style="1846" customWidth="1"/>
    <col min="2" max="2" width="37.42578125" style="1846" customWidth="1"/>
    <col min="3" max="3" width="17.140625" style="1846" customWidth="1"/>
    <col min="4" max="4" width="15.42578125" style="1846" bestFit="1" customWidth="1"/>
    <col min="5" max="5" width="16.42578125" style="1846" customWidth="1"/>
    <col min="6" max="7" width="11.42578125" style="1846"/>
    <col min="8" max="8" width="14.85546875" style="1846" bestFit="1" customWidth="1"/>
    <col min="9" max="9" width="18.5703125" style="1846" bestFit="1" customWidth="1"/>
    <col min="10" max="10" width="16.42578125" style="1846" customWidth="1"/>
    <col min="11" max="11" width="15.42578125" style="1846" customWidth="1"/>
    <col min="12" max="12" width="19.42578125" style="1846" bestFit="1" customWidth="1"/>
    <col min="13" max="13" width="11" style="1846" customWidth="1"/>
    <col min="14" max="14" width="11.85546875" style="1846" customWidth="1"/>
    <col min="15" max="16384" width="11.42578125" style="1846"/>
  </cols>
  <sheetData>
    <row r="1" spans="1:45" s="2229" customFormat="1" ht="26.1" customHeight="1" x14ac:dyDescent="0.2">
      <c r="A1" s="2291" t="s">
        <v>1267</v>
      </c>
      <c r="B1" s="2400"/>
      <c r="C1" s="2400"/>
      <c r="D1" s="2400"/>
      <c r="E1" s="2400"/>
      <c r="F1" s="2030"/>
      <c r="G1" s="2030"/>
      <c r="H1" s="2030"/>
      <c r="I1" s="2030"/>
      <c r="J1" s="2030"/>
      <c r="K1" s="2030"/>
      <c r="L1" s="2030"/>
      <c r="M1" s="2030"/>
      <c r="N1" s="2030"/>
      <c r="O1" s="2030"/>
      <c r="P1" s="2030"/>
      <c r="Q1" s="2030"/>
      <c r="R1" s="2030"/>
      <c r="S1" s="2030"/>
      <c r="T1" s="2030"/>
      <c r="U1" s="1845"/>
      <c r="V1" s="1845"/>
      <c r="W1" s="1845"/>
      <c r="X1" s="1845"/>
      <c r="Y1" s="1845"/>
      <c r="Z1" s="1845"/>
      <c r="AA1" s="1845"/>
      <c r="AB1" s="1845"/>
      <c r="AC1" s="1845"/>
      <c r="AD1" s="1845"/>
      <c r="AE1" s="1845"/>
      <c r="AF1" s="1845"/>
      <c r="AG1" s="1845"/>
      <c r="AH1" s="1845"/>
      <c r="AI1" s="1845"/>
      <c r="AJ1" s="1845"/>
      <c r="AK1" s="1845"/>
      <c r="AL1" s="1845"/>
      <c r="AM1" s="1845"/>
      <c r="AN1" s="1845"/>
      <c r="AO1" s="1845"/>
      <c r="AP1" s="1845"/>
      <c r="AQ1" s="1845"/>
      <c r="AR1" s="1845"/>
      <c r="AS1" s="1845"/>
    </row>
    <row r="2" spans="1:45" ht="14.25" customHeight="1" x14ac:dyDescent="0.25">
      <c r="A2" s="2401"/>
      <c r="B2" s="2402"/>
      <c r="C2" s="1890"/>
      <c r="D2" s="1890"/>
      <c r="E2" s="1890"/>
      <c r="F2" s="1890"/>
      <c r="G2" s="1890"/>
      <c r="H2" s="1890"/>
      <c r="I2" s="1890"/>
      <c r="J2" s="1890"/>
      <c r="K2" s="1890"/>
      <c r="L2" s="1890"/>
      <c r="M2" s="1890"/>
      <c r="N2" s="1890"/>
      <c r="O2" s="1890"/>
      <c r="P2" s="1890"/>
      <c r="Q2" s="1890"/>
      <c r="R2" s="1890"/>
      <c r="S2" s="1890"/>
      <c r="T2" s="1890"/>
    </row>
    <row r="3" spans="1:45" ht="18" customHeight="1" x14ac:dyDescent="0.25">
      <c r="A3" s="1890"/>
      <c r="B3" s="2232" t="s">
        <v>1236</v>
      </c>
      <c r="C3" s="2233">
        <f>+'CO2 - Cálculos'!AI58</f>
        <v>23025.599999999999</v>
      </c>
      <c r="D3" s="2234"/>
      <c r="E3" s="2234"/>
      <c r="F3" s="1890"/>
      <c r="G3" s="1890"/>
      <c r="H3" s="1890"/>
      <c r="I3" s="1890"/>
      <c r="J3" s="1890"/>
      <c r="K3" s="1890"/>
      <c r="L3" s="1890"/>
      <c r="M3" s="1890"/>
      <c r="N3" s="1890"/>
      <c r="O3" s="1890"/>
      <c r="P3" s="1890"/>
      <c r="Q3" s="1890"/>
      <c r="R3" s="1890"/>
      <c r="S3" s="1890"/>
      <c r="T3" s="1890"/>
    </row>
    <row r="4" spans="1:45" ht="18" customHeight="1" x14ac:dyDescent="0.25">
      <c r="A4" s="1890"/>
      <c r="B4" s="2287"/>
      <c r="C4" s="2403"/>
      <c r="D4" s="2237"/>
      <c r="E4" s="2237"/>
      <c r="F4" s="1890"/>
      <c r="G4" s="1890"/>
      <c r="H4" s="1890"/>
      <c r="I4" s="1890"/>
      <c r="J4" s="1890"/>
      <c r="K4" s="1890"/>
      <c r="L4" s="1890"/>
      <c r="M4" s="2309"/>
      <c r="N4" s="2309"/>
      <c r="O4" s="2309"/>
      <c r="P4" s="2309"/>
      <c r="Q4" s="2309"/>
      <c r="R4" s="2309"/>
      <c r="S4" s="1890"/>
      <c r="T4" s="1890"/>
    </row>
    <row r="5" spans="1:45" ht="18" customHeight="1" x14ac:dyDescent="0.25">
      <c r="A5" s="1890"/>
      <c r="B5" s="2232" t="s">
        <v>1237</v>
      </c>
      <c r="C5" s="2233">
        <f>+'CO2 - Cálculos'!AI13</f>
        <v>2322.6613487999998</v>
      </c>
      <c r="D5" s="2234"/>
      <c r="E5" s="2234"/>
      <c r="F5" s="1890"/>
      <c r="G5" s="1890"/>
      <c r="H5" s="1890"/>
      <c r="I5" s="1890"/>
      <c r="J5" s="1890"/>
      <c r="K5" s="1890"/>
      <c r="L5" s="1890"/>
      <c r="M5" s="2309"/>
      <c r="N5" s="2309"/>
      <c r="O5" s="2973" t="s">
        <v>1262</v>
      </c>
      <c r="P5" s="2974"/>
      <c r="Q5" s="2309"/>
      <c r="R5" s="2309"/>
      <c r="S5" s="1890"/>
      <c r="T5" s="1890"/>
    </row>
    <row r="6" spans="1:45" ht="18" customHeight="1" x14ac:dyDescent="0.25">
      <c r="A6" s="1890"/>
      <c r="B6" s="2404"/>
      <c r="C6" s="2240"/>
      <c r="D6" s="2234"/>
      <c r="E6" s="2234"/>
      <c r="F6" s="1890"/>
      <c r="G6" s="1890"/>
      <c r="H6" s="1890"/>
      <c r="I6" s="1890"/>
      <c r="J6" s="1890"/>
      <c r="K6" s="1890"/>
      <c r="L6" s="1890"/>
      <c r="M6" s="2309"/>
      <c r="N6" s="2309"/>
      <c r="O6" s="2975">
        <f>+C3</f>
        <v>23025.599999999999</v>
      </c>
      <c r="P6" s="2976"/>
      <c r="Q6" s="2309"/>
      <c r="R6" s="2309"/>
      <c r="S6" s="1890"/>
      <c r="T6" s="1890"/>
    </row>
    <row r="7" spans="1:45" ht="18" customHeight="1" x14ac:dyDescent="0.25">
      <c r="A7" s="1890"/>
      <c r="B7" s="2241" t="s">
        <v>1106</v>
      </c>
      <c r="C7" s="2242">
        <f>+'CO2 - Cálculos'!AI5</f>
        <v>0</v>
      </c>
      <c r="D7" s="2234"/>
      <c r="E7" s="2234"/>
      <c r="F7" s="1890"/>
      <c r="G7" s="1890"/>
      <c r="H7" s="1890"/>
      <c r="I7" s="1890"/>
      <c r="J7" s="1890"/>
      <c r="K7" s="1890"/>
      <c r="L7" s="1890"/>
      <c r="M7" s="2405"/>
      <c r="N7" s="2309"/>
      <c r="O7" s="2309"/>
      <c r="P7" s="2309"/>
      <c r="Q7" s="2309"/>
      <c r="R7" s="2309"/>
      <c r="S7" s="1890"/>
      <c r="T7" s="1890"/>
    </row>
    <row r="8" spans="1:45" ht="18" customHeight="1" x14ac:dyDescent="0.25">
      <c r="A8" s="1890"/>
      <c r="B8" s="2241" t="s">
        <v>1107</v>
      </c>
      <c r="C8" s="2242">
        <f>+'CO2 - Cálculos'!AI6</f>
        <v>0</v>
      </c>
      <c r="D8" s="2234"/>
      <c r="E8" s="2234"/>
      <c r="F8" s="1890"/>
      <c r="G8" s="1890"/>
      <c r="H8" s="1890"/>
      <c r="I8" s="1890"/>
      <c r="J8" s="1890"/>
      <c r="K8" s="1890"/>
      <c r="L8" s="1890"/>
      <c r="M8" s="2309"/>
      <c r="N8" s="2309"/>
      <c r="O8" s="2309"/>
      <c r="P8" s="2309"/>
      <c r="Q8" s="2309"/>
      <c r="R8" s="2309"/>
      <c r="S8" s="1890"/>
      <c r="T8" s="1890"/>
    </row>
    <row r="9" spans="1:45" ht="18" customHeight="1" x14ac:dyDescent="0.25">
      <c r="A9" s="1890"/>
      <c r="B9" s="2241" t="s">
        <v>1108</v>
      </c>
      <c r="C9" s="2242">
        <f>+'CO2 - Cálculos'!AI7</f>
        <v>1004.4457488</v>
      </c>
      <c r="D9" s="2234"/>
      <c r="E9" s="2234"/>
      <c r="F9" s="1890"/>
      <c r="G9" s="1890"/>
      <c r="H9" s="1890"/>
      <c r="I9" s="1890"/>
      <c r="J9" s="1890"/>
      <c r="K9" s="1890"/>
      <c r="L9" s="2313"/>
      <c r="M9" s="1866" t="s">
        <v>1046</v>
      </c>
      <c r="N9" s="2314">
        <f>+C5</f>
        <v>2322.6613487999998</v>
      </c>
      <c r="O9" s="2315">
        <f>+N9/O6</f>
        <v>0.100873</v>
      </c>
      <c r="P9" s="2316">
        <f>+Q9/O6</f>
        <v>0.89912700000000001</v>
      </c>
      <c r="Q9" s="2317">
        <f>+C16</f>
        <v>20702.938651199998</v>
      </c>
      <c r="R9" s="2318" t="s">
        <v>1239</v>
      </c>
      <c r="S9" s="1957"/>
      <c r="T9" s="1890"/>
    </row>
    <row r="10" spans="1:45" ht="18" customHeight="1" x14ac:dyDescent="0.25">
      <c r="A10" s="1890"/>
      <c r="B10" s="2241" t="s">
        <v>1109</v>
      </c>
      <c r="C10" s="2242">
        <f>+'CO2 - Cálculos'!AI8</f>
        <v>683.86032</v>
      </c>
      <c r="D10" s="2234"/>
      <c r="E10" s="2234"/>
      <c r="F10" s="1890"/>
      <c r="G10" s="1890"/>
      <c r="H10" s="1890"/>
      <c r="I10" s="1890"/>
      <c r="J10" s="1890"/>
      <c r="K10" s="1890"/>
      <c r="L10" s="2313"/>
      <c r="M10" s="2319"/>
      <c r="N10" s="2320"/>
      <c r="O10" s="2313"/>
      <c r="P10" s="2313"/>
      <c r="Q10" s="2320"/>
      <c r="R10" s="2319"/>
      <c r="S10" s="1957"/>
      <c r="T10" s="1890"/>
    </row>
    <row r="11" spans="1:45" ht="18" customHeight="1" x14ac:dyDescent="0.25">
      <c r="A11" s="1890"/>
      <c r="B11" s="2241" t="s">
        <v>50</v>
      </c>
      <c r="C11" s="2242">
        <f>+'CO2 - Cálculos'!AI9</f>
        <v>0</v>
      </c>
      <c r="D11" s="2234"/>
      <c r="E11" s="2234"/>
      <c r="F11" s="1890"/>
      <c r="G11" s="1890"/>
      <c r="H11" s="1890"/>
      <c r="I11" s="1890"/>
      <c r="J11" s="1890"/>
      <c r="K11" s="1890"/>
      <c r="L11" s="2313"/>
      <c r="M11" s="1866" t="str">
        <f t="shared" ref="M11:N18" si="0">+B7</f>
        <v>Resíduos de alimentos</v>
      </c>
      <c r="N11" s="2406">
        <f t="shared" si="0"/>
        <v>0</v>
      </c>
      <c r="O11" s="2322">
        <f t="shared" ref="O11:O18" si="1">+N11/$N$9</f>
        <v>0</v>
      </c>
      <c r="P11" s="2323">
        <f t="shared" ref="P11:P19" si="2">+Q11/$Q$9</f>
        <v>0</v>
      </c>
      <c r="Q11" s="2324">
        <f t="shared" ref="Q11:Q19" si="3">+C18</f>
        <v>0</v>
      </c>
      <c r="R11" s="2318" t="str">
        <f t="shared" ref="R11:R19" si="4">+B18</f>
        <v>Resíduos dispersos</v>
      </c>
      <c r="S11" s="1957"/>
      <c r="T11" s="1890"/>
    </row>
    <row r="12" spans="1:45" ht="18" customHeight="1" x14ac:dyDescent="0.25">
      <c r="A12" s="1890"/>
      <c r="B12" s="2241" t="s">
        <v>1110</v>
      </c>
      <c r="C12" s="2242">
        <f>+'CO2 - Cálculos'!AI10</f>
        <v>503.10935999999998</v>
      </c>
      <c r="D12" s="2234"/>
      <c r="E12" s="2234"/>
      <c r="F12" s="1890"/>
      <c r="G12" s="1890"/>
      <c r="H12" s="1890"/>
      <c r="I12" s="1890"/>
      <c r="J12" s="1890"/>
      <c r="K12" s="1890"/>
      <c r="L12" s="2313"/>
      <c r="M12" s="1866" t="str">
        <f t="shared" si="0"/>
        <v>Resíduos de jardins e parques</v>
      </c>
      <c r="N12" s="2406">
        <f t="shared" si="0"/>
        <v>0</v>
      </c>
      <c r="O12" s="2322">
        <f t="shared" si="1"/>
        <v>0</v>
      </c>
      <c r="P12" s="2323">
        <f t="shared" si="2"/>
        <v>0</v>
      </c>
      <c r="Q12" s="2324">
        <f t="shared" si="3"/>
        <v>0</v>
      </c>
      <c r="R12" s="2318" t="str">
        <f t="shared" si="4"/>
        <v>Queima a céu aberto</v>
      </c>
      <c r="S12" s="1957"/>
      <c r="T12" s="1890"/>
    </row>
    <row r="13" spans="1:45" ht="18" customHeight="1" x14ac:dyDescent="0.25">
      <c r="A13" s="1890"/>
      <c r="B13" s="2241" t="s">
        <v>1111</v>
      </c>
      <c r="C13" s="2242">
        <f>+'CO2 - Cálculos'!AI11</f>
        <v>131.24591999999998</v>
      </c>
      <c r="D13" s="2234"/>
      <c r="E13" s="2234"/>
      <c r="F13" s="1890"/>
      <c r="G13" s="1890"/>
      <c r="H13" s="1890"/>
      <c r="I13" s="1890"/>
      <c r="J13" s="1890"/>
      <c r="K13" s="1890"/>
      <c r="L13" s="2313"/>
      <c r="M13" s="1866" t="str">
        <f t="shared" si="0"/>
        <v>Papel, papelão</v>
      </c>
      <c r="N13" s="2406">
        <f t="shared" si="0"/>
        <v>1004.4457488</v>
      </c>
      <c r="O13" s="2322">
        <f t="shared" si="1"/>
        <v>0.4324546707245745</v>
      </c>
      <c r="P13" s="2323">
        <f t="shared" si="2"/>
        <v>0</v>
      </c>
      <c r="Q13" s="2324">
        <f t="shared" si="3"/>
        <v>0</v>
      </c>
      <c r="R13" s="2318" t="str">
        <f t="shared" si="4"/>
        <v>Lixão não controlado</v>
      </c>
      <c r="S13" s="1957"/>
      <c r="T13" s="1890"/>
    </row>
    <row r="14" spans="1:45" ht="18" customHeight="1" x14ac:dyDescent="0.25">
      <c r="A14" s="1890"/>
      <c r="B14" s="2241" t="s">
        <v>1112</v>
      </c>
      <c r="C14" s="2242">
        <f>+'CO2 - Cálculos'!AI12</f>
        <v>0</v>
      </c>
      <c r="D14" s="2234"/>
      <c r="E14" s="2234"/>
      <c r="F14" s="1890"/>
      <c r="G14" s="1890"/>
      <c r="H14" s="1890"/>
      <c r="I14" s="1890"/>
      <c r="J14" s="1890"/>
      <c r="K14" s="1890"/>
      <c r="L14" s="2313"/>
      <c r="M14" s="1866" t="str">
        <f t="shared" si="0"/>
        <v>Plásticos</v>
      </c>
      <c r="N14" s="2406">
        <f t="shared" si="0"/>
        <v>683.86032</v>
      </c>
      <c r="O14" s="2322">
        <f t="shared" si="1"/>
        <v>0.29442962933589761</v>
      </c>
      <c r="P14" s="2323">
        <f t="shared" si="2"/>
        <v>0.3</v>
      </c>
      <c r="Q14" s="2324">
        <f t="shared" si="3"/>
        <v>6210.8815953599997</v>
      </c>
      <c r="R14" s="2318" t="str">
        <f t="shared" si="4"/>
        <v>Aterro controlado</v>
      </c>
      <c r="S14" s="1957"/>
      <c r="T14" s="1890"/>
    </row>
    <row r="15" spans="1:45" ht="18" customHeight="1" x14ac:dyDescent="0.25">
      <c r="A15" s="1890"/>
      <c r="B15" s="2287"/>
      <c r="C15" s="2403"/>
      <c r="D15" s="2234"/>
      <c r="E15" s="2234"/>
      <c r="F15" s="1890"/>
      <c r="G15" s="1890"/>
      <c r="H15" s="1890"/>
      <c r="I15" s="1890"/>
      <c r="J15" s="1890"/>
      <c r="K15" s="1890"/>
      <c r="L15" s="2313"/>
      <c r="M15" s="1866" t="str">
        <f t="shared" si="0"/>
        <v>Vidros</v>
      </c>
      <c r="N15" s="2406">
        <f t="shared" si="0"/>
        <v>0</v>
      </c>
      <c r="O15" s="2322">
        <f t="shared" si="1"/>
        <v>0</v>
      </c>
      <c r="P15" s="2323">
        <f t="shared" si="2"/>
        <v>0</v>
      </c>
      <c r="Q15" s="2324">
        <f t="shared" si="3"/>
        <v>0</v>
      </c>
      <c r="R15" s="2318" t="str">
        <f t="shared" si="4"/>
        <v>Aterro sanitário</v>
      </c>
      <c r="S15" s="1957"/>
      <c r="T15" s="1890"/>
    </row>
    <row r="16" spans="1:45" ht="18" customHeight="1" x14ac:dyDescent="0.25">
      <c r="A16" s="1890"/>
      <c r="B16" s="2260" t="s">
        <v>1263</v>
      </c>
      <c r="C16" s="2233">
        <f>+'CO2 - Cálculos'!AI57</f>
        <v>20702.938651199998</v>
      </c>
      <c r="D16" s="2234"/>
      <c r="E16" s="2234"/>
      <c r="F16" s="1890"/>
      <c r="G16" s="1890"/>
      <c r="H16" s="1890"/>
      <c r="I16" s="1890"/>
      <c r="J16" s="1890"/>
      <c r="K16" s="1890"/>
      <c r="L16" s="2313"/>
      <c r="M16" s="1866" t="str">
        <f t="shared" si="0"/>
        <v>Metais ferrosos</v>
      </c>
      <c r="N16" s="2406">
        <f t="shared" si="0"/>
        <v>503.10935999999998</v>
      </c>
      <c r="O16" s="2322">
        <f t="shared" si="1"/>
        <v>0.21660900340031525</v>
      </c>
      <c r="P16" s="2323">
        <f t="shared" si="2"/>
        <v>0</v>
      </c>
      <c r="Q16" s="2324">
        <f t="shared" si="3"/>
        <v>0</v>
      </c>
      <c r="R16" s="2318" t="str">
        <f t="shared" si="4"/>
        <v>Trat. biol + cobertura at.</v>
      </c>
      <c r="S16" s="1957"/>
      <c r="T16" s="1890"/>
    </row>
    <row r="17" spans="1:47" ht="18" customHeight="1" x14ac:dyDescent="0.25">
      <c r="A17" s="1890"/>
      <c r="B17" s="2404"/>
      <c r="C17" s="2240"/>
      <c r="D17" s="2234"/>
      <c r="E17" s="2234"/>
      <c r="F17" s="1890"/>
      <c r="G17" s="1890"/>
      <c r="H17" s="1890"/>
      <c r="I17" s="1890"/>
      <c r="J17" s="1890"/>
      <c r="K17" s="1890"/>
      <c r="L17" s="2313"/>
      <c r="M17" s="1866" t="str">
        <f t="shared" si="0"/>
        <v>Alumínio</v>
      </c>
      <c r="N17" s="2406">
        <f t="shared" si="0"/>
        <v>131.24591999999998</v>
      </c>
      <c r="O17" s="2322">
        <f t="shared" si="1"/>
        <v>5.650669653921267E-2</v>
      </c>
      <c r="P17" s="2323">
        <f t="shared" si="2"/>
        <v>0</v>
      </c>
      <c r="Q17" s="2324">
        <f t="shared" si="3"/>
        <v>0</v>
      </c>
      <c r="R17" s="2318" t="str">
        <f t="shared" si="4"/>
        <v>CDR seco + rejeito aterro</v>
      </c>
      <c r="S17" s="1957"/>
      <c r="T17" s="1890"/>
    </row>
    <row r="18" spans="1:47" ht="18" customHeight="1" x14ac:dyDescent="0.25">
      <c r="A18" s="1890"/>
      <c r="B18" s="2241" t="s">
        <v>1241</v>
      </c>
      <c r="C18" s="2242">
        <f>+'CO2 - Cálculos'!AI47</f>
        <v>0</v>
      </c>
      <c r="D18" s="2234"/>
      <c r="E18" s="2234"/>
      <c r="F18" s="1890"/>
      <c r="G18" s="1890"/>
      <c r="H18" s="1890"/>
      <c r="I18" s="1890"/>
      <c r="J18" s="1890"/>
      <c r="K18" s="1890"/>
      <c r="L18" s="2313"/>
      <c r="M18" s="1866" t="str">
        <f t="shared" si="0"/>
        <v>Têxteis</v>
      </c>
      <c r="N18" s="2406">
        <f t="shared" si="0"/>
        <v>0</v>
      </c>
      <c r="O18" s="2322">
        <f t="shared" si="1"/>
        <v>0</v>
      </c>
      <c r="P18" s="2323">
        <f t="shared" si="2"/>
        <v>0</v>
      </c>
      <c r="Q18" s="2324">
        <f t="shared" si="3"/>
        <v>0</v>
      </c>
      <c r="R18" s="2318" t="str">
        <f t="shared" si="4"/>
        <v>CDR seco + trat. biol.</v>
      </c>
      <c r="S18" s="1957"/>
      <c r="T18" s="1890"/>
    </row>
    <row r="19" spans="1:47" ht="18" customHeight="1" x14ac:dyDescent="0.25">
      <c r="A19" s="1890"/>
      <c r="B19" s="2241" t="s">
        <v>1242</v>
      </c>
      <c r="C19" s="2242">
        <f>+'CO2 - Cálculos'!AI48</f>
        <v>0</v>
      </c>
      <c r="D19" s="2234"/>
      <c r="E19" s="2234"/>
      <c r="F19" s="1890"/>
      <c r="G19" s="1890"/>
      <c r="H19" s="1890"/>
      <c r="I19" s="1890"/>
      <c r="J19" s="1890"/>
      <c r="K19" s="1890"/>
      <c r="L19" s="2313"/>
      <c r="M19" s="2313"/>
      <c r="N19" s="2373"/>
      <c r="O19" s="2325"/>
      <c r="P19" s="2323">
        <f t="shared" si="2"/>
        <v>0.7</v>
      </c>
      <c r="Q19" s="2324">
        <f t="shared" si="3"/>
        <v>14492.057055839998</v>
      </c>
      <c r="R19" s="2318" t="str">
        <f t="shared" si="4"/>
        <v>CDR seco + CDR org.</v>
      </c>
      <c r="S19" s="1957"/>
      <c r="T19" s="1890"/>
    </row>
    <row r="20" spans="1:47" ht="18" customHeight="1" x14ac:dyDescent="0.25">
      <c r="A20" s="1890"/>
      <c r="B20" s="2241" t="s">
        <v>1243</v>
      </c>
      <c r="C20" s="2242">
        <f>+'CO2 - Cálculos'!AI49</f>
        <v>0</v>
      </c>
      <c r="D20" s="2234"/>
      <c r="E20" s="2234"/>
      <c r="F20" s="1890"/>
      <c r="G20" s="1890"/>
      <c r="H20" s="1890"/>
      <c r="I20" s="1890"/>
      <c r="J20" s="1890"/>
      <c r="K20" s="1890"/>
      <c r="L20" s="2313"/>
      <c r="M20" s="2313"/>
      <c r="N20" s="2313"/>
      <c r="O20" s="2313"/>
      <c r="P20" s="2323">
        <f>+Q20/$Q$9</f>
        <v>0</v>
      </c>
      <c r="Q20" s="2324">
        <f>+C27</f>
        <v>0</v>
      </c>
      <c r="R20" s="2318" t="str">
        <f>+B27</f>
        <v>Incineração</v>
      </c>
      <c r="S20" s="1957"/>
      <c r="T20" s="1890"/>
    </row>
    <row r="21" spans="1:47" ht="18" customHeight="1" x14ac:dyDescent="0.25">
      <c r="A21" s="1890"/>
      <c r="B21" s="2241" t="s">
        <v>1244</v>
      </c>
      <c r="C21" s="2242">
        <f>+'CO2 - Cálculos'!AI50</f>
        <v>6210.8815953599997</v>
      </c>
      <c r="D21" s="2234"/>
      <c r="E21" s="2234"/>
      <c r="F21" s="1890"/>
      <c r="G21" s="1890"/>
      <c r="H21" s="1890"/>
      <c r="I21" s="1890"/>
      <c r="J21" s="1890"/>
      <c r="K21" s="1890"/>
      <c r="L21" s="1890"/>
      <c r="M21" s="1890"/>
      <c r="N21" s="1890"/>
      <c r="O21" s="1890"/>
      <c r="P21" s="1890"/>
      <c r="Q21" s="2016"/>
      <c r="R21" s="1890"/>
      <c r="S21" s="1890"/>
      <c r="T21" s="1890"/>
    </row>
    <row r="22" spans="1:47" ht="18" customHeight="1" x14ac:dyDescent="0.25">
      <c r="A22" s="1890"/>
      <c r="B22" s="2263" t="s">
        <v>64</v>
      </c>
      <c r="C22" s="2242">
        <f>+'CO2 - Cálculos'!AI51</f>
        <v>0</v>
      </c>
      <c r="D22" s="2234"/>
      <c r="E22" s="2234"/>
      <c r="F22" s="1890"/>
      <c r="G22" s="1890"/>
      <c r="H22" s="1890"/>
      <c r="I22" s="1890"/>
      <c r="J22" s="1890"/>
      <c r="K22" s="1890"/>
      <c r="L22" s="1890"/>
      <c r="M22" s="1890"/>
      <c r="N22" s="1890"/>
      <c r="O22" s="1890"/>
      <c r="P22" s="1890"/>
      <c r="Q22" s="2016"/>
      <c r="R22" s="1890"/>
      <c r="S22" s="1890"/>
      <c r="T22" s="1890"/>
    </row>
    <row r="23" spans="1:47" ht="18" customHeight="1" x14ac:dyDescent="0.25">
      <c r="A23" s="1890"/>
      <c r="B23" s="2264" t="s">
        <v>1245</v>
      </c>
      <c r="C23" s="2265">
        <f>+'CO2 - Cálculos'!AI52</f>
        <v>0</v>
      </c>
      <c r="D23" s="2234"/>
      <c r="E23" s="2234"/>
      <c r="F23" s="1890"/>
      <c r="G23" s="1890"/>
      <c r="H23" s="1890"/>
      <c r="I23" s="1890"/>
      <c r="J23" s="1890"/>
      <c r="K23" s="1890"/>
      <c r="L23" s="1890"/>
      <c r="M23" s="1890"/>
      <c r="N23" s="1890"/>
      <c r="O23" s="1890"/>
      <c r="P23" s="1890"/>
      <c r="Q23" s="1890"/>
      <c r="R23" s="1890"/>
      <c r="S23" s="1890"/>
      <c r="T23" s="1890"/>
    </row>
    <row r="24" spans="1:47" ht="18" customHeight="1" x14ac:dyDescent="0.25">
      <c r="A24" s="1890"/>
      <c r="B24" s="2264" t="s">
        <v>1246</v>
      </c>
      <c r="C24" s="2242">
        <f>+'CO2 - Cálculos'!AI53</f>
        <v>0</v>
      </c>
      <c r="D24" s="2234"/>
      <c r="E24" s="2234"/>
      <c r="F24" s="1890"/>
      <c r="G24" s="1890"/>
      <c r="H24" s="1890"/>
      <c r="I24" s="1890"/>
      <c r="J24" s="1890"/>
      <c r="K24" s="1890"/>
      <c r="L24" s="1890"/>
      <c r="M24" s="1890"/>
      <c r="N24" s="1890"/>
      <c r="O24" s="1890"/>
      <c r="P24" s="1890"/>
      <c r="Q24" s="1890"/>
      <c r="R24" s="1890"/>
      <c r="S24" s="1890"/>
      <c r="T24" s="1890"/>
    </row>
    <row r="25" spans="1:47" ht="18" customHeight="1" x14ac:dyDescent="0.25">
      <c r="A25" s="1890"/>
      <c r="B25" s="2264" t="s">
        <v>1247</v>
      </c>
      <c r="C25" s="2242">
        <f>+'CO2 - Cálculos'!AI54</f>
        <v>0</v>
      </c>
      <c r="D25" s="2234"/>
      <c r="E25" s="2234"/>
      <c r="F25" s="1890"/>
      <c r="G25" s="1890"/>
      <c r="H25" s="1890"/>
      <c r="I25" s="1890"/>
      <c r="J25" s="1890"/>
      <c r="K25" s="1890"/>
      <c r="L25" s="1890"/>
      <c r="M25" s="1890"/>
      <c r="N25" s="1890"/>
      <c r="O25" s="1890"/>
      <c r="P25" s="1890"/>
      <c r="Q25" s="1890"/>
      <c r="R25" s="1890"/>
      <c r="S25" s="1890"/>
      <c r="T25" s="1890"/>
    </row>
    <row r="26" spans="1:47" ht="18" customHeight="1" x14ac:dyDescent="0.25">
      <c r="A26" s="1890"/>
      <c r="B26" s="2264" t="s">
        <v>1248</v>
      </c>
      <c r="C26" s="2242">
        <f>+'CO2 - Cálculos'!AI55</f>
        <v>14492.057055839998</v>
      </c>
      <c r="D26" s="2234"/>
      <c r="E26" s="2234"/>
      <c r="F26" s="1890"/>
      <c r="G26" s="1890"/>
      <c r="H26" s="1890"/>
      <c r="I26" s="1890"/>
      <c r="J26" s="1890"/>
      <c r="K26" s="1890"/>
      <c r="L26" s="1890"/>
      <c r="M26" s="1890"/>
      <c r="N26" s="1890"/>
      <c r="O26" s="1890"/>
      <c r="P26" s="1890"/>
      <c r="Q26" s="1890"/>
      <c r="R26" s="1890"/>
      <c r="S26" s="1890"/>
      <c r="T26" s="1890"/>
    </row>
    <row r="27" spans="1:47" ht="18" customHeight="1" x14ac:dyDescent="0.25">
      <c r="A27" s="1890"/>
      <c r="B27" s="2241" t="s">
        <v>63</v>
      </c>
      <c r="C27" s="2242">
        <f>+'CO2 - Cálculos'!AI56</f>
        <v>0</v>
      </c>
      <c r="D27" s="2234"/>
      <c r="E27" s="2234"/>
      <c r="F27" s="1890"/>
      <c r="G27" s="1890"/>
      <c r="H27" s="1890"/>
      <c r="I27" s="1890"/>
      <c r="J27" s="1890"/>
      <c r="K27" s="1890"/>
      <c r="L27" s="1890"/>
      <c r="M27" s="1890"/>
      <c r="N27" s="1890"/>
      <c r="O27" s="1890"/>
      <c r="P27" s="1890"/>
      <c r="Q27" s="1890"/>
      <c r="R27" s="1890"/>
      <c r="S27" s="1890"/>
      <c r="T27" s="1890"/>
    </row>
    <row r="28" spans="1:47" x14ac:dyDescent="0.2">
      <c r="A28" s="1890"/>
      <c r="B28" s="1890"/>
      <c r="C28" s="2234"/>
      <c r="D28" s="2234"/>
      <c r="E28" s="2234"/>
      <c r="F28" s="1890"/>
      <c r="G28" s="1890"/>
      <c r="H28" s="1890"/>
      <c r="I28" s="1890"/>
      <c r="J28" s="1890"/>
      <c r="K28" s="1890"/>
      <c r="L28" s="1890"/>
      <c r="M28" s="1890"/>
      <c r="N28" s="1890"/>
      <c r="O28" s="1890"/>
      <c r="P28" s="1890"/>
      <c r="Q28" s="1890"/>
      <c r="R28" s="1890"/>
      <c r="S28" s="1890"/>
      <c r="T28" s="1890"/>
    </row>
    <row r="29" spans="1:47" s="2229" customFormat="1" ht="26.1" customHeight="1" x14ac:dyDescent="0.2">
      <c r="A29" s="2063" t="s">
        <v>1264</v>
      </c>
      <c r="B29" s="2407"/>
      <c r="C29" s="2408"/>
      <c r="D29" s="2408"/>
      <c r="E29" s="2408"/>
      <c r="F29" s="2030"/>
      <c r="G29" s="2030"/>
      <c r="H29" s="2030"/>
      <c r="I29" s="2030"/>
      <c r="J29" s="2030"/>
      <c r="K29" s="2030"/>
      <c r="L29" s="2030"/>
      <c r="M29" s="2030"/>
      <c r="N29" s="2030"/>
      <c r="O29" s="2030"/>
      <c r="P29" s="2030"/>
      <c r="Q29" s="2030"/>
      <c r="R29" s="2030"/>
      <c r="S29" s="2030"/>
      <c r="T29" s="2030"/>
      <c r="U29" s="1845"/>
      <c r="V29" s="1845"/>
      <c r="W29" s="1845"/>
      <c r="X29" s="1845"/>
      <c r="Y29" s="1845"/>
      <c r="Z29" s="1845"/>
      <c r="AA29" s="1845"/>
      <c r="AB29" s="1845"/>
      <c r="AC29" s="1845"/>
      <c r="AD29" s="1845"/>
      <c r="AE29" s="1845"/>
      <c r="AF29" s="1845"/>
      <c r="AG29" s="1845"/>
      <c r="AH29" s="1845"/>
      <c r="AI29" s="1845"/>
      <c r="AJ29" s="1845"/>
      <c r="AK29" s="1845"/>
      <c r="AL29" s="1845"/>
      <c r="AM29" s="1845"/>
      <c r="AN29" s="1845"/>
      <c r="AO29" s="1845"/>
      <c r="AP29" s="1845"/>
      <c r="AQ29" s="1845"/>
      <c r="AR29" s="1845"/>
      <c r="AS29" s="1845"/>
      <c r="AT29" s="1845"/>
      <c r="AU29" s="1845"/>
    </row>
    <row r="30" spans="1:47" x14ac:dyDescent="0.2">
      <c r="A30" s="1890"/>
      <c r="B30" s="1890"/>
      <c r="C30" s="1890"/>
      <c r="D30" s="1890"/>
      <c r="E30" s="1890"/>
      <c r="F30" s="1890"/>
      <c r="G30" s="2267"/>
      <c r="H30" s="1890"/>
      <c r="I30" s="1890"/>
      <c r="J30" s="1890"/>
      <c r="K30" s="1890"/>
      <c r="L30" s="1890"/>
      <c r="M30" s="1890"/>
      <c r="N30" s="1890"/>
      <c r="O30" s="1890"/>
      <c r="P30" s="1890"/>
      <c r="Q30" s="1890"/>
      <c r="R30" s="1890"/>
      <c r="S30" s="1890"/>
      <c r="T30" s="1890"/>
    </row>
    <row r="31" spans="1:47" ht="18" customHeight="1" x14ac:dyDescent="0.25">
      <c r="A31" s="1890"/>
      <c r="B31" s="2151"/>
      <c r="C31" s="2332" t="s">
        <v>1250</v>
      </c>
      <c r="D31" s="2079" t="s">
        <v>1251</v>
      </c>
      <c r="E31" s="2079" t="s">
        <v>1252</v>
      </c>
      <c r="F31" s="1890"/>
      <c r="G31" s="1890"/>
      <c r="H31" s="2271"/>
      <c r="I31" s="1890"/>
      <c r="J31" s="1890"/>
      <c r="K31" s="1890"/>
      <c r="L31" s="1890"/>
      <c r="M31" s="1890"/>
      <c r="N31" s="1890"/>
      <c r="O31" s="1890"/>
      <c r="P31" s="1890"/>
      <c r="Q31" s="1890"/>
      <c r="R31" s="1890"/>
      <c r="S31" s="1890"/>
      <c r="T31" s="1890"/>
    </row>
    <row r="32" spans="1:47" ht="18" customHeight="1" x14ac:dyDescent="0.2">
      <c r="A32" s="1890"/>
      <c r="B32" s="2306" t="s">
        <v>1237</v>
      </c>
      <c r="C32" s="2311"/>
      <c r="D32" s="2379"/>
      <c r="E32" s="2379"/>
      <c r="F32" s="1890"/>
      <c r="G32" s="1890"/>
      <c r="H32" s="1890"/>
      <c r="I32" s="1890"/>
      <c r="J32" s="1890"/>
      <c r="K32" s="1890"/>
      <c r="L32" s="1890"/>
      <c r="M32" s="1890"/>
      <c r="N32" s="1890"/>
      <c r="O32" s="1890"/>
      <c r="P32" s="1890"/>
      <c r="Q32" s="1890"/>
      <c r="R32" s="1890"/>
      <c r="S32" s="1890"/>
      <c r="T32" s="1890"/>
    </row>
    <row r="33" spans="1:20" ht="18" customHeight="1" x14ac:dyDescent="0.2">
      <c r="A33" s="1890"/>
      <c r="B33" s="2380"/>
      <c r="C33" s="2379"/>
      <c r="D33" s="2379"/>
      <c r="E33" s="2379"/>
      <c r="F33" s="1890"/>
      <c r="G33" s="1890"/>
      <c r="H33" s="1890"/>
      <c r="I33" s="1890"/>
      <c r="J33" s="1890"/>
      <c r="K33" s="1890"/>
      <c r="L33" s="1890"/>
      <c r="M33" s="1890"/>
      <c r="N33" s="1890"/>
      <c r="O33" s="1890"/>
      <c r="P33" s="1890"/>
      <c r="Q33" s="1890"/>
      <c r="R33" s="1890"/>
      <c r="S33" s="1890"/>
      <c r="T33" s="1890"/>
    </row>
    <row r="34" spans="1:20" ht="18" customHeight="1" x14ac:dyDescent="0.2">
      <c r="A34" s="1890"/>
      <c r="B34" s="2226" t="str">
        <f>B7</f>
        <v>Resíduos de alimentos</v>
      </c>
      <c r="C34" s="2312">
        <f t="shared" ref="C34:C41" si="5">+C62</f>
        <v>0</v>
      </c>
      <c r="D34" s="2312">
        <f t="shared" ref="D34:D41" si="6">+C71</f>
        <v>0</v>
      </c>
      <c r="E34" s="2312">
        <f t="shared" ref="E34:E41" si="7">+D34+C34</f>
        <v>0</v>
      </c>
      <c r="F34" s="1890"/>
      <c r="G34" s="1890"/>
      <c r="H34" s="1890"/>
      <c r="I34" s="1890"/>
      <c r="J34" s="1890"/>
      <c r="K34" s="1890"/>
      <c r="L34" s="1890"/>
      <c r="M34" s="1890"/>
      <c r="N34" s="1890"/>
      <c r="O34" s="1890"/>
      <c r="P34" s="1890"/>
      <c r="Q34" s="1890"/>
      <c r="R34" s="1890"/>
      <c r="S34" s="1890"/>
      <c r="T34" s="1890"/>
    </row>
    <row r="35" spans="1:20" ht="18" customHeight="1" x14ac:dyDescent="0.2">
      <c r="A35" s="1890"/>
      <c r="B35" s="2226" t="str">
        <f t="shared" ref="B35:B41" si="8">B8</f>
        <v>Resíduos de jardins e parques</v>
      </c>
      <c r="C35" s="2312">
        <f t="shared" si="5"/>
        <v>0</v>
      </c>
      <c r="D35" s="2312">
        <f t="shared" si="6"/>
        <v>0</v>
      </c>
      <c r="E35" s="2312">
        <f t="shared" si="7"/>
        <v>0</v>
      </c>
      <c r="F35" s="1890"/>
      <c r="G35" s="1890"/>
      <c r="H35" s="1890"/>
      <c r="I35" s="1890"/>
      <c r="J35" s="1890"/>
      <c r="K35" s="1890"/>
      <c r="L35" s="1890"/>
      <c r="M35" s="1890"/>
      <c r="N35" s="1890"/>
      <c r="O35" s="1890"/>
      <c r="P35" s="1890"/>
      <c r="Q35" s="1890"/>
      <c r="R35" s="1890"/>
      <c r="S35" s="1890"/>
      <c r="T35" s="1890"/>
    </row>
    <row r="36" spans="1:20" ht="18" customHeight="1" x14ac:dyDescent="0.2">
      <c r="A36" s="1890"/>
      <c r="B36" s="2226" t="str">
        <f t="shared" si="8"/>
        <v>Papel, papelão</v>
      </c>
      <c r="C36" s="2312">
        <f t="shared" si="5"/>
        <v>1261.5838604928001</v>
      </c>
      <c r="D36" s="2312">
        <f t="shared" si="6"/>
        <v>-1554.8820191423999</v>
      </c>
      <c r="E36" s="2312">
        <f t="shared" si="7"/>
        <v>-293.29815864959983</v>
      </c>
      <c r="F36" s="1890"/>
      <c r="G36" s="1890"/>
      <c r="H36" s="1890"/>
      <c r="I36" s="1890"/>
      <c r="J36" s="1890"/>
      <c r="K36" s="1890"/>
      <c r="L36" s="1890"/>
      <c r="M36" s="1890"/>
      <c r="N36" s="1890"/>
      <c r="O36" s="1890"/>
      <c r="P36" s="1890"/>
      <c r="Q36" s="1890"/>
      <c r="R36" s="1890"/>
      <c r="S36" s="1890"/>
      <c r="T36" s="1890"/>
    </row>
    <row r="37" spans="1:20" ht="18" customHeight="1" x14ac:dyDescent="0.2">
      <c r="A37" s="1890"/>
      <c r="B37" s="2226" t="str">
        <f t="shared" si="8"/>
        <v>Plásticos</v>
      </c>
      <c r="C37" s="2312">
        <f t="shared" si="5"/>
        <v>280.38273119999997</v>
      </c>
      <c r="D37" s="2312">
        <f t="shared" si="6"/>
        <v>-1306.0364391359999</v>
      </c>
      <c r="E37" s="2312">
        <f t="shared" si="7"/>
        <v>-1025.653707936</v>
      </c>
      <c r="F37" s="1890"/>
      <c r="G37" s="1890"/>
      <c r="H37" s="1890"/>
      <c r="I37" s="1890"/>
      <c r="J37" s="1890"/>
      <c r="K37" s="1890"/>
      <c r="L37" s="1890"/>
      <c r="M37" s="1890"/>
      <c r="N37" s="1890"/>
      <c r="O37" s="1890"/>
      <c r="P37" s="1890"/>
      <c r="Q37" s="1890"/>
      <c r="R37" s="1890"/>
      <c r="S37" s="1890"/>
      <c r="T37" s="1890"/>
    </row>
    <row r="38" spans="1:20" ht="18" customHeight="1" x14ac:dyDescent="0.2">
      <c r="A38" s="1890"/>
      <c r="B38" s="2226" t="str">
        <f t="shared" si="8"/>
        <v>Vidros</v>
      </c>
      <c r="C38" s="2312">
        <f t="shared" si="5"/>
        <v>0</v>
      </c>
      <c r="D38" s="2312">
        <f t="shared" si="6"/>
        <v>0</v>
      </c>
      <c r="E38" s="2312">
        <f t="shared" si="7"/>
        <v>0</v>
      </c>
      <c r="F38" s="1890"/>
      <c r="G38" s="1890"/>
      <c r="H38" s="1890"/>
      <c r="I38" s="1890"/>
      <c r="J38" s="1890"/>
      <c r="K38" s="1890"/>
      <c r="L38" s="1890"/>
      <c r="M38" s="1890"/>
      <c r="N38" s="1890"/>
      <c r="O38" s="1890"/>
      <c r="P38" s="1890"/>
      <c r="Q38" s="1890"/>
      <c r="R38" s="1890"/>
      <c r="S38" s="1890"/>
      <c r="T38" s="1890"/>
    </row>
    <row r="39" spans="1:20" ht="18" customHeight="1" x14ac:dyDescent="0.2">
      <c r="A39" s="1890"/>
      <c r="B39" s="2226" t="str">
        <f t="shared" si="8"/>
        <v>Metais ferrosos</v>
      </c>
      <c r="C39" s="2312">
        <f t="shared" si="5"/>
        <v>32.198999039999997</v>
      </c>
      <c r="D39" s="2312">
        <f t="shared" si="6"/>
        <v>-861.32322431999989</v>
      </c>
      <c r="E39" s="2312">
        <f t="shared" si="7"/>
        <v>-829.12422527999991</v>
      </c>
      <c r="F39" s="1890"/>
      <c r="G39" s="1890"/>
      <c r="H39" s="1890"/>
      <c r="I39" s="1890"/>
      <c r="J39" s="1890"/>
      <c r="K39" s="1890"/>
      <c r="L39" s="1890"/>
      <c r="M39" s="1890"/>
      <c r="N39" s="1890"/>
      <c r="O39" s="1890"/>
      <c r="P39" s="1890"/>
      <c r="Q39" s="1890"/>
      <c r="R39" s="1890"/>
      <c r="S39" s="1890"/>
      <c r="T39" s="1890"/>
    </row>
    <row r="40" spans="1:20" ht="18" customHeight="1" x14ac:dyDescent="0.2">
      <c r="A40" s="1890"/>
      <c r="B40" s="2226" t="str">
        <f t="shared" si="8"/>
        <v>Alumínio</v>
      </c>
      <c r="C40" s="2312">
        <f t="shared" si="5"/>
        <v>91.478406239999984</v>
      </c>
      <c r="D40" s="2312">
        <f t="shared" si="6"/>
        <v>-1296.7096895999998</v>
      </c>
      <c r="E40" s="2312">
        <f t="shared" si="7"/>
        <v>-1205.2312833599999</v>
      </c>
      <c r="F40" s="1890"/>
      <c r="G40" s="1890"/>
      <c r="H40" s="1890"/>
      <c r="I40" s="1890"/>
      <c r="J40" s="1890"/>
      <c r="K40" s="1890"/>
      <c r="L40" s="1890"/>
      <c r="M40" s="1890"/>
      <c r="N40" s="1890"/>
      <c r="O40" s="1890"/>
      <c r="P40" s="1890"/>
      <c r="Q40" s="1890"/>
      <c r="R40" s="1890"/>
      <c r="S40" s="1890"/>
      <c r="T40" s="1890"/>
    </row>
    <row r="41" spans="1:20" ht="18" customHeight="1" x14ac:dyDescent="0.2">
      <c r="A41" s="1890"/>
      <c r="B41" s="2226" t="str">
        <f t="shared" si="8"/>
        <v>Têxteis</v>
      </c>
      <c r="C41" s="2312">
        <f t="shared" si="5"/>
        <v>0</v>
      </c>
      <c r="D41" s="2312">
        <f t="shared" si="6"/>
        <v>0</v>
      </c>
      <c r="E41" s="2312">
        <f t="shared" si="7"/>
        <v>0</v>
      </c>
      <c r="F41" s="1890"/>
      <c r="G41" s="1890"/>
      <c r="H41" s="1890"/>
      <c r="I41" s="1890"/>
      <c r="J41" s="1890"/>
      <c r="K41" s="1890"/>
      <c r="L41" s="1890"/>
      <c r="M41" s="1890"/>
      <c r="N41" s="1890"/>
      <c r="O41" s="1890"/>
      <c r="P41" s="1890"/>
      <c r="Q41" s="1890"/>
      <c r="R41" s="1890"/>
      <c r="S41" s="1890"/>
      <c r="T41" s="1890"/>
    </row>
    <row r="42" spans="1:20" ht="18" customHeight="1" x14ac:dyDescent="0.2">
      <c r="A42" s="1890"/>
      <c r="B42" s="1908"/>
      <c r="C42" s="2308"/>
      <c r="D42" s="2308"/>
      <c r="E42" s="2308"/>
      <c r="F42" s="1890"/>
      <c r="G42" s="1890"/>
      <c r="H42" s="1890"/>
      <c r="I42" s="1890"/>
      <c r="J42" s="1890"/>
      <c r="K42" s="1890"/>
      <c r="L42" s="1890"/>
      <c r="M42" s="1890"/>
      <c r="N42" s="1890"/>
      <c r="O42" s="1890"/>
      <c r="P42" s="1890"/>
      <c r="Q42" s="1890"/>
      <c r="R42" s="1890"/>
      <c r="S42" s="1890"/>
      <c r="T42" s="1890"/>
    </row>
    <row r="43" spans="1:20" ht="18" customHeight="1" x14ac:dyDescent="0.2">
      <c r="A43" s="1890"/>
      <c r="B43" s="1979" t="s">
        <v>1265</v>
      </c>
      <c r="C43" s="2311"/>
      <c r="D43" s="2311"/>
      <c r="E43" s="2311"/>
      <c r="F43" s="1890"/>
      <c r="G43" s="1890"/>
      <c r="H43" s="1890"/>
      <c r="I43" s="1890"/>
      <c r="J43" s="1890"/>
      <c r="K43" s="1890"/>
      <c r="L43" s="1890"/>
      <c r="M43" s="1890"/>
      <c r="N43" s="1890"/>
      <c r="O43" s="1890"/>
      <c r="P43" s="1890"/>
      <c r="Q43" s="1890"/>
      <c r="R43" s="1890"/>
      <c r="S43" s="1890"/>
      <c r="T43" s="1890"/>
    </row>
    <row r="44" spans="1:20" ht="18" customHeight="1" x14ac:dyDescent="0.2">
      <c r="A44" s="1890"/>
      <c r="B44" s="2380"/>
      <c r="C44" s="2311"/>
      <c r="D44" s="2311"/>
      <c r="E44" s="2311"/>
      <c r="F44" s="1890"/>
      <c r="G44" s="1890"/>
      <c r="H44" s="1890"/>
      <c r="I44" s="1890"/>
      <c r="J44" s="1890"/>
      <c r="K44" s="1890"/>
      <c r="L44" s="1890"/>
      <c r="M44" s="1890"/>
      <c r="N44" s="1890"/>
      <c r="O44" s="1890"/>
      <c r="P44" s="1890"/>
      <c r="Q44" s="1890"/>
      <c r="R44" s="1890"/>
      <c r="S44" s="1890"/>
      <c r="T44" s="1890"/>
    </row>
    <row r="45" spans="1:20" ht="18" customHeight="1" x14ac:dyDescent="0.2">
      <c r="A45" s="1890"/>
      <c r="B45" s="2226" t="str">
        <f>B18</f>
        <v>Resíduos dispersos</v>
      </c>
      <c r="C45" s="2312">
        <f t="shared" ref="C45:C53" si="9">+L62</f>
        <v>0</v>
      </c>
      <c r="D45" s="2312">
        <f t="shared" ref="D45:D54" si="10">+L73</f>
        <v>0</v>
      </c>
      <c r="E45" s="2312">
        <f t="shared" ref="E45:E53" si="11">+D45+C45</f>
        <v>0</v>
      </c>
      <c r="F45" s="1890"/>
      <c r="G45" s="1890"/>
      <c r="H45" s="1890"/>
      <c r="I45" s="1890"/>
      <c r="J45" s="1890"/>
      <c r="K45" s="1890"/>
      <c r="L45" s="1890"/>
      <c r="M45" s="1890"/>
      <c r="N45" s="1890"/>
      <c r="O45" s="1890"/>
      <c r="P45" s="1890"/>
      <c r="Q45" s="1890"/>
      <c r="R45" s="1890"/>
      <c r="S45" s="1890"/>
      <c r="T45" s="1890"/>
    </row>
    <row r="46" spans="1:20" ht="18" customHeight="1" x14ac:dyDescent="0.2">
      <c r="A46" s="1890"/>
      <c r="B46" s="2226" t="str">
        <f t="shared" ref="B46:B54" si="12">B19</f>
        <v>Queima a céu aberto</v>
      </c>
      <c r="C46" s="2312">
        <f t="shared" si="9"/>
        <v>0</v>
      </c>
      <c r="D46" s="2312">
        <f t="shared" si="10"/>
        <v>0</v>
      </c>
      <c r="E46" s="2312">
        <f t="shared" si="11"/>
        <v>0</v>
      </c>
      <c r="F46" s="1890"/>
      <c r="G46" s="1890"/>
      <c r="H46" s="1890"/>
      <c r="I46" s="1890"/>
      <c r="J46" s="1890"/>
      <c r="K46" s="1890"/>
      <c r="L46" s="1890"/>
      <c r="M46" s="1890"/>
      <c r="N46" s="1890"/>
      <c r="O46" s="1890"/>
      <c r="P46" s="1890"/>
      <c r="Q46" s="1890"/>
      <c r="R46" s="1890"/>
      <c r="S46" s="1890"/>
      <c r="T46" s="1890"/>
    </row>
    <row r="47" spans="1:20" ht="18" customHeight="1" x14ac:dyDescent="0.2">
      <c r="A47" s="1890"/>
      <c r="B47" s="2226" t="str">
        <f t="shared" si="12"/>
        <v>Lixão não controlado</v>
      </c>
      <c r="C47" s="2312">
        <f t="shared" si="9"/>
        <v>0</v>
      </c>
      <c r="D47" s="2312">
        <f t="shared" si="10"/>
        <v>0</v>
      </c>
      <c r="E47" s="2312">
        <f t="shared" si="11"/>
        <v>0</v>
      </c>
      <c r="F47" s="1890"/>
      <c r="G47" s="1890"/>
      <c r="H47" s="1890"/>
      <c r="I47" s="1890"/>
      <c r="J47" s="1890"/>
      <c r="K47" s="1890"/>
      <c r="L47" s="1890"/>
      <c r="M47" s="1890"/>
      <c r="N47" s="1890"/>
      <c r="O47" s="1890"/>
      <c r="P47" s="1890"/>
      <c r="Q47" s="1890"/>
      <c r="R47" s="1890"/>
      <c r="S47" s="1890"/>
      <c r="T47" s="1890"/>
    </row>
    <row r="48" spans="1:20" ht="18" customHeight="1" x14ac:dyDescent="0.2">
      <c r="A48" s="1890"/>
      <c r="B48" s="2226" t="str">
        <f t="shared" si="12"/>
        <v>Aterro controlado</v>
      </c>
      <c r="C48" s="2312">
        <f t="shared" si="9"/>
        <v>8346.3928112269059</v>
      </c>
      <c r="D48" s="2312">
        <f t="shared" si="10"/>
        <v>0</v>
      </c>
      <c r="E48" s="2312">
        <f t="shared" si="11"/>
        <v>8346.3928112269059</v>
      </c>
      <c r="F48" s="1890"/>
      <c r="G48" s="1890"/>
      <c r="H48" s="1890"/>
      <c r="I48" s="1890"/>
      <c r="J48" s="1890"/>
      <c r="K48" s="1890"/>
      <c r="L48" s="1890"/>
      <c r="M48" s="1890"/>
      <c r="N48" s="1890"/>
      <c r="O48" s="1890"/>
      <c r="P48" s="1890"/>
      <c r="Q48" s="1890"/>
      <c r="R48" s="1890"/>
      <c r="S48" s="1890"/>
      <c r="T48" s="1890"/>
    </row>
    <row r="49" spans="1:20" ht="18" customHeight="1" x14ac:dyDescent="0.2">
      <c r="A49" s="1890"/>
      <c r="B49" s="2226" t="str">
        <f t="shared" si="12"/>
        <v>Aterro sanitário</v>
      </c>
      <c r="C49" s="2312">
        <f t="shared" si="9"/>
        <v>0</v>
      </c>
      <c r="D49" s="2312">
        <f t="shared" si="10"/>
        <v>0</v>
      </c>
      <c r="E49" s="2312">
        <f t="shared" si="11"/>
        <v>0</v>
      </c>
      <c r="F49" s="1890"/>
      <c r="G49" s="1890"/>
      <c r="H49" s="1890"/>
      <c r="I49" s="1890"/>
      <c r="J49" s="1890"/>
      <c r="K49" s="1890"/>
      <c r="L49" s="1890"/>
      <c r="M49" s="1890"/>
      <c r="N49" s="1890"/>
      <c r="O49" s="1890"/>
      <c r="P49" s="1890"/>
      <c r="Q49" s="1890"/>
      <c r="R49" s="1890"/>
      <c r="S49" s="1890"/>
      <c r="T49" s="1890"/>
    </row>
    <row r="50" spans="1:20" ht="18" customHeight="1" x14ac:dyDescent="0.2">
      <c r="A50" s="1890"/>
      <c r="B50" s="2226" t="str">
        <f t="shared" si="12"/>
        <v>Trat. biol + cobertura at.</v>
      </c>
      <c r="C50" s="2312">
        <f t="shared" si="9"/>
        <v>0</v>
      </c>
      <c r="D50" s="2312">
        <f t="shared" si="10"/>
        <v>0</v>
      </c>
      <c r="E50" s="2312">
        <f t="shared" si="11"/>
        <v>0</v>
      </c>
      <c r="F50" s="1890"/>
      <c r="G50" s="1890"/>
      <c r="H50" s="1890"/>
      <c r="I50" s="1890"/>
      <c r="J50" s="1890"/>
      <c r="K50" s="1890"/>
      <c r="L50" s="1890"/>
      <c r="M50" s="1890"/>
      <c r="N50" s="1890"/>
      <c r="O50" s="1890"/>
      <c r="P50" s="1890"/>
      <c r="Q50" s="1890"/>
      <c r="R50" s="1890"/>
      <c r="S50" s="1890"/>
      <c r="T50" s="1890"/>
    </row>
    <row r="51" spans="1:20" ht="18" customHeight="1" x14ac:dyDescent="0.2">
      <c r="A51" s="1890"/>
      <c r="B51" s="2226" t="str">
        <f t="shared" si="12"/>
        <v>CDR seco + rejeito aterro</v>
      </c>
      <c r="C51" s="2312">
        <f t="shared" si="9"/>
        <v>0</v>
      </c>
      <c r="D51" s="2312">
        <f t="shared" si="10"/>
        <v>0</v>
      </c>
      <c r="E51" s="2312">
        <f t="shared" si="11"/>
        <v>0</v>
      </c>
      <c r="F51" s="1890"/>
      <c r="G51" s="2281"/>
      <c r="H51" s="2282"/>
      <c r="I51" s="2282"/>
      <c r="J51" s="2282"/>
      <c r="K51" s="1890"/>
      <c r="L51" s="1890"/>
      <c r="M51" s="1890"/>
      <c r="N51" s="1890"/>
      <c r="O51" s="1890"/>
      <c r="P51" s="1890"/>
      <c r="Q51" s="1890"/>
      <c r="R51" s="1890"/>
      <c r="S51" s="1890"/>
      <c r="T51" s="1890"/>
    </row>
    <row r="52" spans="1:20" ht="18" customHeight="1" x14ac:dyDescent="0.2">
      <c r="A52" s="1890"/>
      <c r="B52" s="2226" t="str">
        <f t="shared" si="12"/>
        <v>CDR seco + trat. biol.</v>
      </c>
      <c r="C52" s="2312">
        <f t="shared" si="9"/>
        <v>0</v>
      </c>
      <c r="D52" s="2312">
        <f t="shared" si="10"/>
        <v>0</v>
      </c>
      <c r="E52" s="2312">
        <f t="shared" si="11"/>
        <v>0</v>
      </c>
      <c r="F52" s="1890"/>
      <c r="G52" s="2386"/>
      <c r="H52" s="2270" t="s">
        <v>1253</v>
      </c>
      <c r="I52" s="2270" t="s">
        <v>1268</v>
      </c>
      <c r="J52" s="2270" t="s">
        <v>1254</v>
      </c>
      <c r="K52" s="1890"/>
      <c r="L52" s="1890"/>
      <c r="M52" s="1890"/>
      <c r="N52" s="1890"/>
      <c r="O52" s="1890"/>
      <c r="P52" s="1890"/>
      <c r="Q52" s="1890"/>
      <c r="R52" s="1890"/>
      <c r="S52" s="1890"/>
      <c r="T52" s="1890"/>
    </row>
    <row r="53" spans="1:20" ht="18" customHeight="1" x14ac:dyDescent="0.2">
      <c r="A53" s="1890"/>
      <c r="B53" s="2226" t="str">
        <f t="shared" si="12"/>
        <v>CDR seco + CDR org.</v>
      </c>
      <c r="C53" s="2312">
        <f t="shared" si="9"/>
        <v>2254.8862787014923</v>
      </c>
      <c r="D53" s="2312">
        <f t="shared" si="10"/>
        <v>-12742.065710846115</v>
      </c>
      <c r="E53" s="2312">
        <f t="shared" si="11"/>
        <v>-10487.179432144621</v>
      </c>
      <c r="F53" s="1890"/>
      <c r="G53" s="1967" t="s">
        <v>1255</v>
      </c>
      <c r="H53" s="2299">
        <f>SUM(C34:C41)</f>
        <v>1665.6439969728001</v>
      </c>
      <c r="I53" s="2299">
        <f>SUM(C45:C54)</f>
        <v>10601.279089928397</v>
      </c>
      <c r="J53" s="2299">
        <f>+I53+H53</f>
        <v>12266.923086901197</v>
      </c>
      <c r="K53" s="1890"/>
      <c r="L53" s="1890"/>
      <c r="M53" s="1890"/>
      <c r="N53" s="1890"/>
      <c r="O53" s="1890"/>
      <c r="P53" s="1890"/>
      <c r="Q53" s="1890"/>
      <c r="R53" s="1890"/>
      <c r="S53" s="1890"/>
      <c r="T53" s="1890"/>
    </row>
    <row r="54" spans="1:20" ht="18" customHeight="1" x14ac:dyDescent="0.2">
      <c r="A54" s="1890"/>
      <c r="B54" s="2226" t="str">
        <f t="shared" si="12"/>
        <v>Incineração</v>
      </c>
      <c r="C54" s="2312">
        <f>+L71</f>
        <v>0</v>
      </c>
      <c r="D54" s="2312">
        <f t="shared" si="10"/>
        <v>0</v>
      </c>
      <c r="E54" s="2312">
        <f>+D54+C54</f>
        <v>0</v>
      </c>
      <c r="F54" s="1890"/>
      <c r="G54" s="1967" t="s">
        <v>1256</v>
      </c>
      <c r="H54" s="2299">
        <f>SUM(D34:D41)</f>
        <v>-5018.9513721984003</v>
      </c>
      <c r="I54" s="2299">
        <f>SUM(D45:D54)</f>
        <v>-12742.065710846115</v>
      </c>
      <c r="J54" s="2299">
        <f>+I54+H54</f>
        <v>-17761.017083044513</v>
      </c>
      <c r="K54" s="1890"/>
      <c r="L54" s="1890"/>
      <c r="M54" s="1890"/>
      <c r="N54" s="1890"/>
      <c r="O54" s="1890"/>
      <c r="P54" s="1890"/>
      <c r="Q54" s="1890"/>
      <c r="R54" s="1890"/>
      <c r="S54" s="1890"/>
      <c r="T54" s="1890"/>
    </row>
    <row r="55" spans="1:20" ht="18" customHeight="1" x14ac:dyDescent="0.2">
      <c r="A55" s="1890"/>
      <c r="B55" s="1908"/>
      <c r="C55" s="2308"/>
      <c r="D55" s="2308"/>
      <c r="E55" s="2308"/>
      <c r="F55" s="1890"/>
      <c r="G55" s="1967" t="s">
        <v>1257</v>
      </c>
      <c r="H55" s="2299">
        <f>+H53+H54</f>
        <v>-3353.3073752256005</v>
      </c>
      <c r="I55" s="2299">
        <f>+I53+I54</f>
        <v>-2140.7866209177173</v>
      </c>
      <c r="J55" s="2299">
        <f>+I55+H55</f>
        <v>-5494.0939961433178</v>
      </c>
      <c r="K55" s="1890"/>
      <c r="L55" s="1890"/>
      <c r="M55" s="1890"/>
      <c r="N55" s="1890"/>
      <c r="O55" s="1890"/>
      <c r="P55" s="1890"/>
      <c r="Q55" s="1890"/>
      <c r="R55" s="1890"/>
      <c r="S55" s="1890"/>
      <c r="T55" s="1890"/>
    </row>
    <row r="56" spans="1:20" ht="18" customHeight="1" x14ac:dyDescent="0.2">
      <c r="A56" s="1890"/>
      <c r="B56" s="1979" t="s">
        <v>52</v>
      </c>
      <c r="C56" s="2332">
        <f>SUM(C34:C54)</f>
        <v>12266.923086901199</v>
      </c>
      <c r="D56" s="2332">
        <f>SUM(D34:D54)</f>
        <v>-17761.017083044513</v>
      </c>
      <c r="E56" s="2332">
        <f>+D56+C56</f>
        <v>-5494.0939961433141</v>
      </c>
      <c r="F56" s="1890"/>
      <c r="G56" s="2281"/>
      <c r="H56" s="2290"/>
      <c r="I56" s="2290"/>
      <c r="J56" s="2290"/>
      <c r="K56" s="1890"/>
      <c r="L56" s="1890"/>
      <c r="M56" s="1890"/>
      <c r="N56" s="1890"/>
      <c r="O56" s="1890"/>
      <c r="P56" s="1890"/>
      <c r="Q56" s="1890"/>
      <c r="R56" s="1890"/>
      <c r="S56" s="1890"/>
      <c r="T56" s="1890"/>
    </row>
    <row r="57" spans="1:20" x14ac:dyDescent="0.2">
      <c r="A57" s="1890"/>
      <c r="B57" s="1890"/>
      <c r="C57" s="1890"/>
      <c r="D57" s="1890"/>
      <c r="E57" s="1890"/>
      <c r="F57" s="1890"/>
      <c r="G57" s="2281"/>
      <c r="H57" s="2282"/>
      <c r="I57" s="2282"/>
      <c r="J57" s="2290"/>
      <c r="K57" s="2234"/>
      <c r="L57" s="1890"/>
      <c r="M57" s="1890"/>
      <c r="N57" s="1890"/>
      <c r="O57" s="1890"/>
      <c r="P57" s="1890"/>
      <c r="Q57" s="1890"/>
      <c r="R57" s="1890"/>
      <c r="S57" s="1890"/>
      <c r="T57" s="1890"/>
    </row>
    <row r="58" spans="1:20" x14ac:dyDescent="0.2">
      <c r="A58" s="1890"/>
      <c r="B58" s="1890"/>
      <c r="C58" s="1890"/>
      <c r="D58" s="1890"/>
      <c r="E58" s="1890"/>
      <c r="F58" s="1890"/>
      <c r="G58" s="2281"/>
      <c r="H58" s="2282"/>
      <c r="I58" s="2282"/>
      <c r="J58" s="2290"/>
      <c r="K58" s="2234"/>
      <c r="L58" s="1890"/>
      <c r="M58" s="1890"/>
      <c r="N58" s="1890"/>
      <c r="O58" s="1890"/>
      <c r="P58" s="1890"/>
      <c r="Q58" s="1890"/>
      <c r="R58" s="1890"/>
      <c r="S58" s="1890"/>
      <c r="T58" s="1890"/>
    </row>
    <row r="59" spans="1:20" s="2229" customFormat="1" ht="26.1" customHeight="1" x14ac:dyDescent="0.2">
      <c r="A59" s="2291" t="s">
        <v>1258</v>
      </c>
      <c r="B59" s="1985"/>
      <c r="C59" s="2330"/>
      <c r="D59" s="2330"/>
      <c r="E59" s="2330"/>
      <c r="F59" s="2228"/>
      <c r="G59" s="1985"/>
      <c r="H59" s="1985"/>
      <c r="I59" s="1985"/>
      <c r="J59" s="1985"/>
      <c r="K59" s="1912" t="s">
        <v>1259</v>
      </c>
      <c r="L59" s="1985"/>
      <c r="M59" s="1985"/>
      <c r="N59" s="1985"/>
      <c r="O59" s="1985"/>
      <c r="P59" s="1985"/>
      <c r="Q59" s="1985"/>
      <c r="R59" s="1985"/>
      <c r="S59" s="1985"/>
      <c r="T59" s="1985"/>
    </row>
    <row r="60" spans="1:20" ht="18" x14ac:dyDescent="0.25">
      <c r="A60" s="2293"/>
      <c r="B60" s="1890"/>
      <c r="C60" s="1890"/>
      <c r="D60" s="1890"/>
      <c r="E60" s="1890"/>
      <c r="F60" s="1890"/>
      <c r="G60" s="1890"/>
      <c r="H60" s="1890"/>
      <c r="I60" s="1890"/>
      <c r="J60" s="1890"/>
      <c r="K60" s="1890"/>
      <c r="L60" s="1890"/>
      <c r="M60" s="1890"/>
      <c r="N60" s="1890"/>
      <c r="O60" s="1890"/>
      <c r="P60" s="1890"/>
      <c r="Q60" s="1890"/>
      <c r="R60" s="1890"/>
      <c r="S60" s="1890"/>
      <c r="T60" s="1890"/>
    </row>
    <row r="61" spans="1:20" ht="18" customHeight="1" x14ac:dyDescent="0.2">
      <c r="A61" s="1890"/>
      <c r="B61" s="2409"/>
      <c r="C61" s="2306" t="s">
        <v>1237</v>
      </c>
      <c r="D61" s="2079" t="s">
        <v>1257</v>
      </c>
      <c r="E61" s="1890"/>
      <c r="F61" s="1890"/>
      <c r="G61" s="1890"/>
      <c r="H61" s="1890"/>
      <c r="I61" s="1890"/>
      <c r="J61" s="2410"/>
      <c r="K61" s="2411"/>
      <c r="L61" s="2079" t="s">
        <v>1265</v>
      </c>
      <c r="M61" s="2079" t="s">
        <v>1257</v>
      </c>
      <c r="N61" s="1890"/>
      <c r="O61" s="1890"/>
      <c r="P61" s="1890"/>
      <c r="Q61" s="1890"/>
      <c r="R61" s="1890"/>
      <c r="S61" s="1890"/>
      <c r="T61" s="1890"/>
    </row>
    <row r="62" spans="1:20" ht="18" customHeight="1" x14ac:dyDescent="0.2">
      <c r="A62" s="1890"/>
      <c r="B62" s="2303" t="str">
        <f>+'CO2 - Cálculos'!AC16</f>
        <v>Resíduos de alimentos</v>
      </c>
      <c r="C62" s="2312">
        <f>+'CO2 - Cálculos'!AI16</f>
        <v>0</v>
      </c>
      <c r="D62" s="2379"/>
      <c r="E62" s="1890"/>
      <c r="F62" s="1890"/>
      <c r="G62" s="1890"/>
      <c r="H62" s="1890"/>
      <c r="I62" s="1890"/>
      <c r="J62" s="2410"/>
      <c r="K62" s="2412" t="str">
        <f>+'CO2 - Cálculos'!AC61</f>
        <v>Resíduos dispersos</v>
      </c>
      <c r="L62" s="2413">
        <f>+'CO2 - Cálculos'!AI61</f>
        <v>0</v>
      </c>
      <c r="M62" s="2380"/>
      <c r="N62" s="1890"/>
      <c r="O62" s="1890"/>
      <c r="P62" s="1890"/>
      <c r="Q62" s="1890"/>
      <c r="R62" s="1890"/>
      <c r="S62" s="1890"/>
      <c r="T62" s="1890"/>
    </row>
    <row r="63" spans="1:20" ht="18" customHeight="1" x14ac:dyDescent="0.2">
      <c r="A63" s="1890"/>
      <c r="B63" s="2303" t="str">
        <f>+'CO2 - Cálculos'!AC17</f>
        <v>Resíduos de jardins e parques</v>
      </c>
      <c r="C63" s="2312">
        <f>+'CO2 - Cálculos'!AI17</f>
        <v>0</v>
      </c>
      <c r="D63" s="2379"/>
      <c r="E63" s="1890"/>
      <c r="F63" s="1890"/>
      <c r="G63" s="1890"/>
      <c r="H63" s="1890"/>
      <c r="I63" s="1890"/>
      <c r="J63" s="2410"/>
      <c r="K63" s="2412" t="str">
        <f>+'CO2 - Cálculos'!AC62</f>
        <v>Queima a céu aberto</v>
      </c>
      <c r="L63" s="2413">
        <f>+'CO2 - Cálculos'!AI62</f>
        <v>0</v>
      </c>
      <c r="M63" s="2380"/>
      <c r="N63" s="1890"/>
      <c r="O63" s="1890"/>
      <c r="P63" s="1890"/>
      <c r="Q63" s="1890"/>
      <c r="R63" s="1890"/>
      <c r="S63" s="1890"/>
      <c r="T63" s="1890"/>
    </row>
    <row r="64" spans="1:20" ht="18" customHeight="1" x14ac:dyDescent="0.2">
      <c r="A64" s="1890"/>
      <c r="B64" s="2303" t="str">
        <f>+'CO2 - Cálculos'!AC18</f>
        <v>Papel, papelão</v>
      </c>
      <c r="C64" s="2312">
        <f>+'CO2 - Cálculos'!AI18</f>
        <v>1261.5838604928001</v>
      </c>
      <c r="D64" s="2379"/>
      <c r="E64" s="1890"/>
      <c r="F64" s="1890"/>
      <c r="G64" s="1890"/>
      <c r="H64" s="1890"/>
      <c r="I64" s="1890"/>
      <c r="J64" s="2410"/>
      <c r="K64" s="2412" t="str">
        <f>+'CO2 - Cálculos'!AC63</f>
        <v>Lixão não controlado</v>
      </c>
      <c r="L64" s="2413">
        <f>+'CO2 - Cálculos'!AI63</f>
        <v>0</v>
      </c>
      <c r="M64" s="2380"/>
      <c r="N64" s="1890"/>
      <c r="O64" s="1890"/>
      <c r="P64" s="1890"/>
      <c r="Q64" s="1890"/>
      <c r="R64" s="1890"/>
      <c r="S64" s="1890"/>
      <c r="T64" s="1890"/>
    </row>
    <row r="65" spans="1:20" ht="18" customHeight="1" x14ac:dyDescent="0.2">
      <c r="A65" s="1890"/>
      <c r="B65" s="2303" t="str">
        <f>+'CO2 - Cálculos'!AC19</f>
        <v>Plásticos</v>
      </c>
      <c r="C65" s="2312">
        <f>+'CO2 - Cálculos'!AI19</f>
        <v>280.38273119999997</v>
      </c>
      <c r="D65" s="2379"/>
      <c r="E65" s="1890"/>
      <c r="F65" s="1890"/>
      <c r="G65" s="1890"/>
      <c r="H65" s="1890"/>
      <c r="I65" s="1890"/>
      <c r="J65" s="2410"/>
      <c r="K65" s="2412" t="str">
        <f>+'CO2 - Cálculos'!AC64</f>
        <v>Aterro controlado</v>
      </c>
      <c r="L65" s="2413">
        <f>+'CO2 - Cálculos'!AI64</f>
        <v>8346.3928112269059</v>
      </c>
      <c r="M65" s="2380"/>
      <c r="N65" s="1890"/>
      <c r="O65" s="1890"/>
      <c r="P65" s="1890"/>
      <c r="Q65" s="1890"/>
      <c r="R65" s="1890"/>
      <c r="S65" s="1890"/>
      <c r="T65" s="1890"/>
    </row>
    <row r="66" spans="1:20" ht="18" customHeight="1" x14ac:dyDescent="0.2">
      <c r="A66" s="1890"/>
      <c r="B66" s="2303" t="str">
        <f>+'CO2 - Cálculos'!AC20</f>
        <v>Vidros</v>
      </c>
      <c r="C66" s="2312">
        <f>+'CO2 - Cálculos'!AI20</f>
        <v>0</v>
      </c>
      <c r="D66" s="2379"/>
      <c r="E66" s="1890"/>
      <c r="F66" s="1890"/>
      <c r="G66" s="1890"/>
      <c r="H66" s="1890"/>
      <c r="I66" s="1890"/>
      <c r="J66" s="2410"/>
      <c r="K66" s="2412" t="str">
        <f>+'CO2 - Cálculos'!AC65</f>
        <v>Aterro sanitário</v>
      </c>
      <c r="L66" s="2413">
        <f>+'CO2 - Cálculos'!AI65</f>
        <v>0</v>
      </c>
      <c r="M66" s="2380"/>
      <c r="N66" s="1890"/>
      <c r="O66" s="1890"/>
      <c r="P66" s="1890"/>
      <c r="Q66" s="1890"/>
      <c r="R66" s="1890"/>
      <c r="S66" s="1890"/>
      <c r="T66" s="1890"/>
    </row>
    <row r="67" spans="1:20" ht="18" customHeight="1" x14ac:dyDescent="0.2">
      <c r="A67" s="1890"/>
      <c r="B67" s="2303" t="str">
        <f>+'CO2 - Cálculos'!AC21</f>
        <v>Metais ferrosos</v>
      </c>
      <c r="C67" s="2312">
        <f>+'CO2 - Cálculos'!AI21</f>
        <v>32.198999039999997</v>
      </c>
      <c r="D67" s="2379"/>
      <c r="E67" s="1890"/>
      <c r="F67" s="1890"/>
      <c r="G67" s="1890"/>
      <c r="H67" s="1890"/>
      <c r="I67" s="1890"/>
      <c r="J67" s="2414"/>
      <c r="K67" s="2412" t="str">
        <f>+'CO2 - Cálculos'!AC66</f>
        <v>Trat. biol + cobertura at.</v>
      </c>
      <c r="L67" s="2413">
        <f>+'CO2 - Cálculos'!AI66</f>
        <v>0</v>
      </c>
      <c r="M67" s="2380"/>
      <c r="N67" s="1890"/>
      <c r="O67" s="1890"/>
      <c r="P67" s="1890"/>
      <c r="Q67" s="1890"/>
      <c r="R67" s="1890"/>
      <c r="S67" s="1890"/>
      <c r="T67" s="1890"/>
    </row>
    <row r="68" spans="1:20" ht="18" customHeight="1" x14ac:dyDescent="0.2">
      <c r="A68" s="1890"/>
      <c r="B68" s="2303" t="str">
        <f>+'CO2 - Cálculos'!AC22</f>
        <v>Alumínio</v>
      </c>
      <c r="C68" s="2312">
        <f>+'CO2 - Cálculos'!AI22</f>
        <v>91.478406239999984</v>
      </c>
      <c r="D68" s="2379"/>
      <c r="E68" s="1890"/>
      <c r="F68" s="1890"/>
      <c r="G68" s="1890"/>
      <c r="H68" s="1890"/>
      <c r="I68" s="1890"/>
      <c r="J68" s="2414"/>
      <c r="K68" s="2412" t="str">
        <f>+'CO2 - Cálculos'!AC67</f>
        <v>CDR seco + rejeito aterro</v>
      </c>
      <c r="L68" s="2413">
        <f>+'CO2 - Cálculos'!AI67</f>
        <v>0</v>
      </c>
      <c r="M68" s="2380"/>
      <c r="N68" s="1890"/>
      <c r="O68" s="1890"/>
      <c r="P68" s="1890"/>
      <c r="Q68" s="1890"/>
      <c r="R68" s="1890"/>
      <c r="S68" s="1890"/>
      <c r="T68" s="1890"/>
    </row>
    <row r="69" spans="1:20" ht="18" customHeight="1" x14ac:dyDescent="0.2">
      <c r="A69" s="2234"/>
      <c r="B69" s="2303" t="str">
        <f>+'CO2 - Cálculos'!AC23</f>
        <v>Têxteis</v>
      </c>
      <c r="C69" s="2312">
        <f>+'CO2 - Cálculos'!AI23</f>
        <v>0</v>
      </c>
      <c r="D69" s="2379"/>
      <c r="E69" s="1890"/>
      <c r="F69" s="1890"/>
      <c r="G69" s="1890"/>
      <c r="H69" s="1890"/>
      <c r="I69" s="1890"/>
      <c r="J69" s="2414"/>
      <c r="K69" s="2412" t="str">
        <f>+'CO2 - Cálculos'!AC68</f>
        <v>CDR seco + trat. biol.</v>
      </c>
      <c r="L69" s="2413">
        <f>+'CO2 - Cálculos'!AI68</f>
        <v>0</v>
      </c>
      <c r="M69" s="2380"/>
      <c r="N69" s="1890"/>
      <c r="O69" s="1890"/>
      <c r="P69" s="1890"/>
      <c r="Q69" s="1890"/>
      <c r="R69" s="1890"/>
      <c r="S69" s="1890"/>
      <c r="T69" s="1890"/>
    </row>
    <row r="70" spans="1:20" ht="18" customHeight="1" x14ac:dyDescent="0.2">
      <c r="A70" s="1890"/>
      <c r="B70" s="2365" t="s">
        <v>1255</v>
      </c>
      <c r="C70" s="2379"/>
      <c r="D70" s="2311"/>
      <c r="E70" s="1890"/>
      <c r="F70" s="1890"/>
      <c r="G70" s="1890"/>
      <c r="H70" s="1890"/>
      <c r="I70" s="1890"/>
      <c r="J70" s="2410"/>
      <c r="K70" s="2412" t="str">
        <f>+'CO2 - Cálculos'!AC69</f>
        <v>CDR seco + CDR org.</v>
      </c>
      <c r="L70" s="2413">
        <f>+'CO2 - Cálculos'!AI69</f>
        <v>2254.8862787014923</v>
      </c>
      <c r="M70" s="2380"/>
      <c r="N70" s="1890"/>
      <c r="O70" s="1890"/>
      <c r="P70" s="1890"/>
      <c r="Q70" s="1890"/>
      <c r="R70" s="1890"/>
      <c r="S70" s="1890"/>
      <c r="T70" s="1890"/>
    </row>
    <row r="71" spans="1:20" ht="18" customHeight="1" x14ac:dyDescent="0.2">
      <c r="A71" s="1890"/>
      <c r="B71" s="2300" t="str">
        <f>+'CO2 - Cálculos'!AC25</f>
        <v>Resíduos de alimentos</v>
      </c>
      <c r="C71" s="2312">
        <f>+'CO2 - Cálculos'!AI25</f>
        <v>0</v>
      </c>
      <c r="D71" s="2379"/>
      <c r="E71" s="1890"/>
      <c r="F71" s="1890"/>
      <c r="G71" s="1890"/>
      <c r="H71" s="1890"/>
      <c r="I71" s="1890"/>
      <c r="J71" s="2410"/>
      <c r="K71" s="2412" t="str">
        <f>+'CO2 - Cálculos'!AC70</f>
        <v>Incineração</v>
      </c>
      <c r="L71" s="2413">
        <f>+'CO2 - Cálculos'!AI70</f>
        <v>0</v>
      </c>
      <c r="M71" s="2380"/>
      <c r="N71" s="1890"/>
      <c r="O71" s="1890"/>
      <c r="P71" s="1890"/>
      <c r="Q71" s="1890"/>
      <c r="R71" s="1890"/>
      <c r="S71" s="1890"/>
      <c r="T71" s="1890"/>
    </row>
    <row r="72" spans="1:20" ht="18" customHeight="1" x14ac:dyDescent="0.2">
      <c r="A72" s="1890"/>
      <c r="B72" s="2300" t="str">
        <f>+'CO2 - Cálculos'!AC26</f>
        <v>Resíduos de jardins e parques</v>
      </c>
      <c r="C72" s="2312">
        <f>+'CO2 - Cálculos'!AI26</f>
        <v>0</v>
      </c>
      <c r="D72" s="2379"/>
      <c r="E72" s="1890"/>
      <c r="F72" s="1890"/>
      <c r="G72" s="1890"/>
      <c r="H72" s="1890"/>
      <c r="I72" s="1890"/>
      <c r="J72" s="2410"/>
      <c r="K72" s="2415" t="s">
        <v>1255</v>
      </c>
      <c r="L72" s="2380"/>
      <c r="M72" s="2380"/>
      <c r="N72" s="1890"/>
      <c r="O72" s="1890"/>
      <c r="P72" s="1890"/>
      <c r="Q72" s="1890"/>
      <c r="R72" s="1890"/>
      <c r="S72" s="1890"/>
      <c r="T72" s="1890"/>
    </row>
    <row r="73" spans="1:20" ht="18" customHeight="1" x14ac:dyDescent="0.2">
      <c r="A73" s="1890"/>
      <c r="B73" s="2300" t="str">
        <f>+'CO2 - Cálculos'!AC27</f>
        <v>Papel, papelão</v>
      </c>
      <c r="C73" s="2312">
        <f>+'CO2 - Cálculos'!AI27</f>
        <v>-1554.8820191423999</v>
      </c>
      <c r="D73" s="2379"/>
      <c r="E73" s="1890"/>
      <c r="F73" s="1890"/>
      <c r="G73" s="1890"/>
      <c r="H73" s="1890"/>
      <c r="I73" s="1890"/>
      <c r="J73" s="2410"/>
      <c r="K73" s="2412" t="str">
        <f>+'CO2 - Cálculos'!AC72</f>
        <v>Resíduos dispersos</v>
      </c>
      <c r="L73" s="2416">
        <f>+'CO2 - Cálculos'!AI72</f>
        <v>0</v>
      </c>
      <c r="M73" s="2380"/>
      <c r="N73" s="1890"/>
      <c r="O73" s="1890"/>
      <c r="P73" s="1890"/>
      <c r="Q73" s="1890"/>
      <c r="R73" s="1890"/>
      <c r="S73" s="1890"/>
      <c r="T73" s="1890"/>
    </row>
    <row r="74" spans="1:20" ht="18" customHeight="1" x14ac:dyDescent="0.2">
      <c r="A74" s="1890"/>
      <c r="B74" s="2300" t="str">
        <f>+'CO2 - Cálculos'!AC28</f>
        <v>Plásticos</v>
      </c>
      <c r="C74" s="2312">
        <f>+'CO2 - Cálculos'!AI28</f>
        <v>-1306.0364391359999</v>
      </c>
      <c r="D74" s="2379"/>
      <c r="E74" s="1890"/>
      <c r="F74" s="1890"/>
      <c r="G74" s="1890"/>
      <c r="H74" s="1890"/>
      <c r="I74" s="1890"/>
      <c r="J74" s="2410"/>
      <c r="K74" s="2412" t="str">
        <f>+'CO2 - Cálculos'!AC73</f>
        <v>Queima a céu aberto</v>
      </c>
      <c r="L74" s="2416">
        <f>+'CO2 - Cálculos'!AI73</f>
        <v>0</v>
      </c>
      <c r="M74" s="2380"/>
      <c r="N74" s="1890"/>
      <c r="O74" s="1890"/>
      <c r="P74" s="1890"/>
      <c r="Q74" s="1890"/>
      <c r="R74" s="1890"/>
      <c r="S74" s="1890"/>
      <c r="T74" s="1890"/>
    </row>
    <row r="75" spans="1:20" ht="18" customHeight="1" x14ac:dyDescent="0.2">
      <c r="A75" s="1890"/>
      <c r="B75" s="2300" t="str">
        <f>+'CO2 - Cálculos'!AC29</f>
        <v>Vidros</v>
      </c>
      <c r="C75" s="2312">
        <f>+'CO2 - Cálculos'!AI29</f>
        <v>0</v>
      </c>
      <c r="D75" s="2379"/>
      <c r="E75" s="1890"/>
      <c r="F75" s="1890"/>
      <c r="G75" s="1890"/>
      <c r="H75" s="1890"/>
      <c r="I75" s="1890"/>
      <c r="J75" s="2410"/>
      <c r="K75" s="2412" t="str">
        <f>+'CO2 - Cálculos'!AC74</f>
        <v>Lixão não controlado</v>
      </c>
      <c r="L75" s="2416">
        <f>+'CO2 - Cálculos'!AI74</f>
        <v>0</v>
      </c>
      <c r="M75" s="2380"/>
      <c r="N75" s="1890"/>
      <c r="O75" s="1890"/>
      <c r="P75" s="1890"/>
      <c r="Q75" s="1890"/>
      <c r="R75" s="1890"/>
      <c r="S75" s="1890"/>
      <c r="T75" s="1890"/>
    </row>
    <row r="76" spans="1:20" ht="18" customHeight="1" x14ac:dyDescent="0.2">
      <c r="A76" s="1890"/>
      <c r="B76" s="2300" t="str">
        <f>+'CO2 - Cálculos'!AC30</f>
        <v>Metais ferrosos</v>
      </c>
      <c r="C76" s="2312">
        <f>+'CO2 - Cálculos'!AI30</f>
        <v>-861.32322431999989</v>
      </c>
      <c r="D76" s="2379"/>
      <c r="E76" s="1890"/>
      <c r="F76" s="1890"/>
      <c r="G76" s="1890"/>
      <c r="H76" s="1890"/>
      <c r="I76" s="1890"/>
      <c r="J76" s="2410"/>
      <c r="K76" s="2412" t="str">
        <f>+'CO2 - Cálculos'!AC75</f>
        <v>Aterro controlado</v>
      </c>
      <c r="L76" s="2416">
        <f>+'CO2 - Cálculos'!AI75</f>
        <v>0</v>
      </c>
      <c r="M76" s="2380"/>
      <c r="N76" s="1890"/>
      <c r="O76" s="1890"/>
      <c r="P76" s="1890"/>
      <c r="Q76" s="1890"/>
      <c r="R76" s="1890"/>
      <c r="S76" s="1890"/>
      <c r="T76" s="1890"/>
    </row>
    <row r="77" spans="1:20" ht="18" customHeight="1" x14ac:dyDescent="0.2">
      <c r="A77" s="1890"/>
      <c r="B77" s="2300" t="str">
        <f>+'CO2 - Cálculos'!AC31</f>
        <v>Alumínio</v>
      </c>
      <c r="C77" s="2312">
        <f>+'CO2 - Cálculos'!AI31</f>
        <v>-1296.7096895999998</v>
      </c>
      <c r="D77" s="2379"/>
      <c r="E77" s="1890"/>
      <c r="F77" s="1890"/>
      <c r="G77" s="1890"/>
      <c r="H77" s="1890"/>
      <c r="I77" s="1890"/>
      <c r="J77" s="2414"/>
      <c r="K77" s="2412" t="str">
        <f>+'CO2 - Cálculos'!AC76</f>
        <v>Aterro sanitário</v>
      </c>
      <c r="L77" s="2416">
        <f>+'CO2 - Cálculos'!AI76</f>
        <v>0</v>
      </c>
      <c r="M77" s="2380"/>
      <c r="N77" s="1890"/>
      <c r="O77" s="1890"/>
      <c r="P77" s="1890"/>
      <c r="Q77" s="1890"/>
      <c r="R77" s="1890"/>
      <c r="S77" s="1890"/>
      <c r="T77" s="1890"/>
    </row>
    <row r="78" spans="1:20" ht="18" customHeight="1" x14ac:dyDescent="0.2">
      <c r="A78" s="1890"/>
      <c r="B78" s="2300" t="str">
        <f>+'CO2 - Cálculos'!AC32</f>
        <v>Têxteis</v>
      </c>
      <c r="C78" s="2312">
        <f>+'CO2 - Cálculos'!AI32</f>
        <v>0</v>
      </c>
      <c r="D78" s="2379"/>
      <c r="E78" s="1890"/>
      <c r="F78" s="1890"/>
      <c r="G78" s="1890"/>
      <c r="H78" s="1890"/>
      <c r="I78" s="1890"/>
      <c r="J78" s="2414"/>
      <c r="K78" s="2412" t="str">
        <f>+'CO2 - Cálculos'!AC77</f>
        <v>Trat. biol + cobertura at.</v>
      </c>
      <c r="L78" s="2416">
        <f>+'CO2 - Cálculos'!AI77</f>
        <v>0</v>
      </c>
      <c r="M78" s="2380"/>
      <c r="N78" s="1890"/>
      <c r="O78" s="1890"/>
      <c r="P78" s="1890"/>
      <c r="Q78" s="1890"/>
      <c r="R78" s="1890"/>
      <c r="S78" s="1890"/>
      <c r="T78" s="1890"/>
    </row>
    <row r="79" spans="1:20" ht="18" customHeight="1" x14ac:dyDescent="0.2">
      <c r="A79" s="1890"/>
      <c r="B79" s="2365" t="s">
        <v>1256</v>
      </c>
      <c r="C79" s="2379"/>
      <c r="D79" s="2311"/>
      <c r="E79" s="1890"/>
      <c r="F79" s="1890"/>
      <c r="G79" s="1890"/>
      <c r="H79" s="1890"/>
      <c r="I79" s="1890"/>
      <c r="J79" s="2414"/>
      <c r="K79" s="2412" t="str">
        <f>+'CO2 - Cálculos'!AC78</f>
        <v>CDR seco + rejeito aterro</v>
      </c>
      <c r="L79" s="2416">
        <f>+'CO2 - Cálculos'!AI78</f>
        <v>0</v>
      </c>
      <c r="M79" s="2380"/>
      <c r="N79" s="1890"/>
      <c r="O79" s="1890"/>
      <c r="P79" s="1890"/>
      <c r="Q79" s="1890"/>
      <c r="R79" s="1890"/>
      <c r="S79" s="1890"/>
      <c r="T79" s="1890"/>
    </row>
    <row r="80" spans="1:20" ht="18" customHeight="1" x14ac:dyDescent="0.2">
      <c r="A80" s="1890"/>
      <c r="B80" s="2365" t="s">
        <v>1257</v>
      </c>
      <c r="C80" s="2379"/>
      <c r="D80" s="2312">
        <f>SUM(C62:C69,C71:C78)</f>
        <v>-3353.3073752255996</v>
      </c>
      <c r="E80" s="1890"/>
      <c r="F80" s="1890"/>
      <c r="G80" s="1890"/>
      <c r="H80" s="1890"/>
      <c r="I80" s="1890"/>
      <c r="J80" s="2410"/>
      <c r="K80" s="2412" t="str">
        <f>+'CO2 - Cálculos'!AC79</f>
        <v>CDR seco + trat. biol.</v>
      </c>
      <c r="L80" s="2416">
        <f>+'CO2 - Cálculos'!AI79</f>
        <v>0</v>
      </c>
      <c r="M80" s="2380"/>
      <c r="N80" s="1890"/>
      <c r="O80" s="1890"/>
      <c r="P80" s="1890"/>
      <c r="Q80" s="1890"/>
      <c r="R80" s="1890"/>
      <c r="S80" s="1890"/>
      <c r="T80" s="1890"/>
    </row>
    <row r="81" spans="1:20" ht="18" customHeight="1" x14ac:dyDescent="0.2">
      <c r="A81" s="1890"/>
      <c r="B81" s="1890"/>
      <c r="C81" s="1890"/>
      <c r="D81" s="1890"/>
      <c r="E81" s="1890"/>
      <c r="F81" s="1890"/>
      <c r="G81" s="1890"/>
      <c r="H81" s="1890"/>
      <c r="I81" s="1890"/>
      <c r="J81" s="2410"/>
      <c r="K81" s="2412" t="str">
        <f>+'CO2 - Cálculos'!AC80</f>
        <v>CDR seco + CDR org.</v>
      </c>
      <c r="L81" s="2416">
        <f>+'CO2 - Cálculos'!AI80</f>
        <v>-12742.065710846115</v>
      </c>
      <c r="M81" s="2380"/>
      <c r="N81" s="1890"/>
      <c r="O81" s="1890"/>
      <c r="P81" s="1890"/>
      <c r="Q81" s="1890"/>
      <c r="R81" s="1890"/>
      <c r="S81" s="1890"/>
      <c r="T81" s="1890"/>
    </row>
    <row r="82" spans="1:20" ht="18" customHeight="1" x14ac:dyDescent="0.2">
      <c r="A82" s="1890"/>
      <c r="B82" s="1890"/>
      <c r="C82" s="1890"/>
      <c r="D82" s="1890"/>
      <c r="E82" s="2267"/>
      <c r="F82" s="1890"/>
      <c r="G82" s="1890"/>
      <c r="H82" s="1890"/>
      <c r="I82" s="1890"/>
      <c r="J82" s="2410"/>
      <c r="K82" s="2412" t="str">
        <f>+'CO2 - Cálculos'!AC81</f>
        <v>Incineração</v>
      </c>
      <c r="L82" s="2416">
        <f>+'CO2 - Cálculos'!AI81</f>
        <v>0</v>
      </c>
      <c r="M82" s="2380"/>
      <c r="N82" s="1890"/>
      <c r="O82" s="1890"/>
      <c r="P82" s="1890"/>
      <c r="Q82" s="1890"/>
      <c r="R82" s="1890"/>
      <c r="S82" s="1890"/>
      <c r="T82" s="1890"/>
    </row>
    <row r="83" spans="1:20" ht="18" customHeight="1" x14ac:dyDescent="0.2">
      <c r="A83" s="1890"/>
      <c r="B83" s="1890"/>
      <c r="C83" s="1890"/>
      <c r="D83" s="1890"/>
      <c r="E83" s="2267"/>
      <c r="F83" s="1890"/>
      <c r="G83" s="1890"/>
      <c r="H83" s="1890"/>
      <c r="I83" s="1890"/>
      <c r="J83" s="2410"/>
      <c r="K83" s="2415" t="s">
        <v>1256</v>
      </c>
      <c r="L83" s="2380"/>
      <c r="M83" s="2380"/>
      <c r="N83" s="1890"/>
      <c r="O83" s="1890"/>
      <c r="P83" s="1890"/>
      <c r="Q83" s="1890"/>
      <c r="R83" s="1890"/>
      <c r="S83" s="1890"/>
      <c r="T83" s="1890"/>
    </row>
    <row r="84" spans="1:20" ht="18" customHeight="1" x14ac:dyDescent="0.2">
      <c r="A84" s="1890"/>
      <c r="B84" s="1890"/>
      <c r="C84" s="1890"/>
      <c r="D84" s="1890"/>
      <c r="E84" s="2267"/>
      <c r="F84" s="1890"/>
      <c r="G84" s="1890"/>
      <c r="H84" s="1890"/>
      <c r="I84" s="1890"/>
      <c r="J84" s="2410"/>
      <c r="K84" s="2415" t="s">
        <v>1257</v>
      </c>
      <c r="L84" s="2380"/>
      <c r="M84" s="2417">
        <f>SUM(L62:L71,L73:L82)</f>
        <v>-2140.7866209177173</v>
      </c>
      <c r="N84" s="1890"/>
      <c r="O84" s="1890"/>
      <c r="P84" s="1890"/>
      <c r="Q84" s="1890"/>
      <c r="R84" s="1890"/>
      <c r="S84" s="1890"/>
      <c r="T84" s="1890"/>
    </row>
    <row r="85" spans="1:20" ht="18" customHeight="1" x14ac:dyDescent="0.2">
      <c r="A85" s="1890"/>
      <c r="B85" s="1890"/>
      <c r="C85" s="1890"/>
      <c r="D85" s="1890"/>
      <c r="E85" s="1890"/>
      <c r="F85" s="1890"/>
      <c r="G85" s="1890"/>
      <c r="H85" s="1890"/>
      <c r="I85" s="1890"/>
      <c r="J85" s="1890"/>
      <c r="K85" s="1890"/>
      <c r="L85" s="1890"/>
      <c r="M85" s="1890"/>
      <c r="N85" s="1890"/>
      <c r="O85" s="1890"/>
      <c r="P85" s="1890"/>
      <c r="Q85" s="1890"/>
      <c r="R85" s="1890"/>
      <c r="S85" s="1890"/>
      <c r="T85" s="1890"/>
    </row>
    <row r="86" spans="1:20" x14ac:dyDescent="0.2">
      <c r="A86" s="1890"/>
      <c r="B86" s="1890"/>
      <c r="C86" s="1890"/>
      <c r="D86" s="1890"/>
      <c r="E86" s="1890"/>
      <c r="F86" s="1890"/>
      <c r="G86" s="1890"/>
      <c r="H86" s="1890"/>
      <c r="I86" s="1890"/>
      <c r="J86" s="1890"/>
      <c r="K86" s="1890"/>
      <c r="L86" s="1890"/>
      <c r="M86" s="1890"/>
      <c r="N86" s="1890"/>
      <c r="O86" s="1890"/>
      <c r="P86" s="1890"/>
      <c r="Q86" s="1890"/>
      <c r="R86" s="1890"/>
      <c r="S86" s="1890"/>
      <c r="T86" s="1890"/>
    </row>
    <row r="87" spans="1:20" x14ac:dyDescent="0.2">
      <c r="A87" s="1890"/>
      <c r="B87" s="1890"/>
      <c r="C87" s="1890"/>
      <c r="D87" s="1890"/>
      <c r="E87" s="1890"/>
      <c r="F87" s="1890"/>
      <c r="G87" s="1890"/>
      <c r="H87" s="1890"/>
      <c r="I87" s="1890"/>
      <c r="J87" s="1890"/>
      <c r="K87" s="1890"/>
      <c r="L87" s="1890"/>
      <c r="M87" s="1890"/>
      <c r="N87" s="1890"/>
      <c r="O87" s="1890"/>
      <c r="P87" s="1890"/>
      <c r="Q87" s="1890"/>
      <c r="R87" s="1890"/>
      <c r="S87" s="1890"/>
      <c r="T87" s="1890"/>
    </row>
    <row r="88" spans="1:20" x14ac:dyDescent="0.2">
      <c r="A88" s="1890"/>
      <c r="B88" s="1890"/>
      <c r="C88" s="1890"/>
      <c r="D88" s="1890"/>
      <c r="E88" s="1890"/>
      <c r="F88" s="1890"/>
      <c r="G88" s="1890"/>
      <c r="H88" s="1890"/>
      <c r="I88" s="1890"/>
      <c r="J88" s="1890"/>
      <c r="K88" s="1890"/>
      <c r="L88" s="1890"/>
      <c r="M88" s="1890"/>
      <c r="N88" s="1890"/>
      <c r="O88" s="1890"/>
      <c r="P88" s="1890"/>
      <c r="Q88" s="1890"/>
      <c r="R88" s="1890"/>
      <c r="S88" s="1890"/>
      <c r="T88" s="1890"/>
    </row>
    <row r="89" spans="1:20" x14ac:dyDescent="0.2">
      <c r="A89" s="1890"/>
      <c r="B89" s="1890"/>
      <c r="C89" s="1890"/>
      <c r="D89" s="1890"/>
      <c r="E89" s="1890"/>
      <c r="F89" s="1890"/>
      <c r="G89" s="1890"/>
      <c r="H89" s="1890"/>
      <c r="I89" s="1890"/>
      <c r="J89" s="1890"/>
      <c r="K89" s="1890"/>
      <c r="L89" s="1890"/>
      <c r="M89" s="1890"/>
      <c r="N89" s="1890"/>
      <c r="O89" s="1890"/>
      <c r="P89" s="1890"/>
      <c r="Q89" s="1890"/>
      <c r="R89" s="1890"/>
      <c r="S89" s="1890"/>
      <c r="T89" s="1890"/>
    </row>
    <row r="90" spans="1:20" x14ac:dyDescent="0.2">
      <c r="A90" s="1890"/>
      <c r="B90" s="1890"/>
      <c r="C90" s="1890"/>
      <c r="D90" s="1890"/>
      <c r="E90" s="1890"/>
      <c r="F90" s="1890"/>
      <c r="G90" s="1890"/>
      <c r="H90" s="1890"/>
      <c r="I90" s="1890"/>
      <c r="J90" s="1890"/>
      <c r="K90" s="1890"/>
      <c r="L90" s="1890"/>
      <c r="M90" s="1890"/>
      <c r="N90" s="1890"/>
      <c r="O90" s="1890"/>
      <c r="P90" s="1890"/>
      <c r="Q90" s="1890"/>
      <c r="R90" s="1890"/>
      <c r="S90" s="1890"/>
      <c r="T90" s="1890"/>
    </row>
    <row r="91" spans="1:20" x14ac:dyDescent="0.2">
      <c r="A91" s="1890"/>
      <c r="B91" s="1890"/>
      <c r="C91" s="1890"/>
      <c r="D91" s="1890"/>
      <c r="E91" s="1890"/>
      <c r="F91" s="1890"/>
      <c r="G91" s="1890"/>
      <c r="H91" s="1890"/>
      <c r="I91" s="1890"/>
      <c r="J91" s="1890"/>
      <c r="K91" s="1890"/>
      <c r="L91" s="1890"/>
      <c r="M91" s="1890"/>
      <c r="N91" s="1890"/>
      <c r="O91" s="1890"/>
      <c r="P91" s="1890"/>
      <c r="Q91" s="1890"/>
      <c r="R91" s="1890"/>
      <c r="S91" s="1890"/>
      <c r="T91" s="1890"/>
    </row>
    <row r="92" spans="1:20" x14ac:dyDescent="0.2">
      <c r="A92" s="1890"/>
      <c r="B92" s="1890"/>
      <c r="C92" s="1890"/>
      <c r="D92" s="1890"/>
      <c r="E92" s="1890"/>
      <c r="F92" s="1890"/>
      <c r="G92" s="1890"/>
      <c r="H92" s="1890"/>
      <c r="I92" s="1890"/>
      <c r="J92" s="1890"/>
      <c r="K92" s="1890"/>
      <c r="L92" s="1890"/>
      <c r="M92" s="1890"/>
      <c r="N92" s="1890"/>
      <c r="O92" s="1890"/>
      <c r="P92" s="1890"/>
      <c r="Q92" s="1890"/>
      <c r="R92" s="1890"/>
      <c r="S92" s="1890"/>
      <c r="T92" s="1890"/>
    </row>
    <row r="93" spans="1:20" x14ac:dyDescent="0.2">
      <c r="A93" s="1890"/>
      <c r="B93" s="1890"/>
      <c r="C93" s="1890"/>
      <c r="D93" s="1890"/>
      <c r="E93" s="1890"/>
      <c r="F93" s="1890"/>
      <c r="G93" s="1890"/>
      <c r="H93" s="1890"/>
      <c r="I93" s="1890"/>
      <c r="J93" s="1890"/>
      <c r="K93" s="1890"/>
      <c r="L93" s="1890"/>
      <c r="M93" s="1890"/>
      <c r="N93" s="1890"/>
      <c r="O93" s="1890"/>
      <c r="P93" s="1890"/>
      <c r="Q93" s="1890"/>
      <c r="R93" s="1890"/>
      <c r="S93" s="1890"/>
      <c r="T93" s="1890"/>
    </row>
    <row r="94" spans="1:20" x14ac:dyDescent="0.2">
      <c r="A94" s="1890"/>
      <c r="B94" s="1890"/>
      <c r="C94" s="1890"/>
      <c r="D94" s="1890"/>
      <c r="E94" s="1890"/>
      <c r="F94" s="1890"/>
      <c r="G94" s="1890"/>
      <c r="H94" s="1890"/>
      <c r="I94" s="1890"/>
      <c r="J94" s="1890"/>
      <c r="K94" s="1890"/>
      <c r="L94" s="1890"/>
      <c r="M94" s="1890"/>
      <c r="N94" s="1890"/>
      <c r="O94" s="1890"/>
      <c r="P94" s="1890"/>
      <c r="Q94" s="1890"/>
      <c r="R94" s="1890"/>
      <c r="S94" s="1890"/>
      <c r="T94" s="1890"/>
    </row>
    <row r="95" spans="1:20" x14ac:dyDescent="0.2">
      <c r="A95" s="1890"/>
      <c r="B95" s="1890"/>
      <c r="C95" s="1890"/>
      <c r="D95" s="1890"/>
      <c r="E95" s="1890"/>
      <c r="F95" s="1890"/>
      <c r="G95" s="1890"/>
      <c r="H95" s="1890"/>
      <c r="I95" s="1890"/>
      <c r="J95" s="1890"/>
      <c r="K95" s="1890"/>
      <c r="L95" s="1890"/>
      <c r="M95" s="1890"/>
      <c r="N95" s="1890"/>
      <c r="O95" s="1890"/>
      <c r="P95" s="1890"/>
      <c r="Q95" s="1890"/>
      <c r="R95" s="1890"/>
      <c r="S95" s="1890"/>
      <c r="T95" s="1890"/>
    </row>
    <row r="96" spans="1:20" x14ac:dyDescent="0.2">
      <c r="A96" s="1890"/>
      <c r="B96" s="1890"/>
      <c r="C96" s="1890"/>
      <c r="D96" s="1890"/>
      <c r="E96" s="1890"/>
      <c r="F96" s="1890"/>
      <c r="G96" s="1890"/>
      <c r="H96" s="1890"/>
      <c r="I96" s="1890"/>
      <c r="J96" s="1890"/>
      <c r="K96" s="1890"/>
      <c r="L96" s="1890"/>
      <c r="M96" s="1890"/>
      <c r="N96" s="1890"/>
      <c r="O96" s="1890"/>
      <c r="P96" s="1890"/>
      <c r="Q96" s="1890"/>
      <c r="R96" s="1890"/>
      <c r="S96" s="1890"/>
      <c r="T96" s="1890"/>
    </row>
    <row r="97" spans="1:20" x14ac:dyDescent="0.2">
      <c r="A97" s="1890"/>
      <c r="B97" s="1890"/>
      <c r="C97" s="1890"/>
      <c r="D97" s="1890"/>
      <c r="E97" s="1890"/>
      <c r="F97" s="1890"/>
      <c r="G97" s="1890"/>
      <c r="H97" s="1890"/>
      <c r="I97" s="1890"/>
      <c r="J97" s="1890"/>
      <c r="K97" s="1890"/>
      <c r="L97" s="1890"/>
      <c r="M97" s="1890"/>
      <c r="N97" s="1890"/>
      <c r="O97" s="1890"/>
      <c r="P97" s="1890"/>
      <c r="Q97" s="1890"/>
      <c r="R97" s="1890"/>
      <c r="S97" s="1890"/>
      <c r="T97" s="1890"/>
    </row>
    <row r="98" spans="1:20" x14ac:dyDescent="0.2">
      <c r="A98" s="1890"/>
      <c r="B98" s="1890"/>
      <c r="C98" s="1890"/>
      <c r="D98" s="1890"/>
      <c r="E98" s="1890"/>
      <c r="F98" s="1890"/>
      <c r="G98" s="1890"/>
      <c r="H98" s="1890"/>
      <c r="I98" s="1890"/>
      <c r="J98" s="1890"/>
      <c r="K98" s="1890"/>
      <c r="L98" s="1890"/>
      <c r="M98" s="1890"/>
      <c r="N98" s="1890"/>
      <c r="O98" s="1890"/>
      <c r="P98" s="1890"/>
      <c r="Q98" s="1890"/>
      <c r="R98" s="1890"/>
      <c r="S98" s="1890"/>
      <c r="T98" s="1890"/>
    </row>
    <row r="99" spans="1:20" x14ac:dyDescent="0.2">
      <c r="A99" s="1890"/>
      <c r="B99" s="1890"/>
      <c r="C99" s="1890"/>
      <c r="D99" s="1890"/>
      <c r="E99" s="1890"/>
      <c r="F99" s="1890"/>
      <c r="G99" s="1890"/>
      <c r="H99" s="1890"/>
      <c r="I99" s="1890"/>
      <c r="J99" s="1890"/>
      <c r="K99" s="1890"/>
      <c r="L99" s="1890"/>
      <c r="M99" s="1890"/>
      <c r="N99" s="1890"/>
      <c r="O99" s="1890"/>
      <c r="P99" s="1890"/>
      <c r="Q99" s="1890"/>
      <c r="R99" s="1890"/>
      <c r="S99" s="1890"/>
      <c r="T99" s="1890"/>
    </row>
    <row r="100" spans="1:20" x14ac:dyDescent="0.2">
      <c r="A100" s="1890"/>
      <c r="B100" s="1890"/>
      <c r="C100" s="1890"/>
      <c r="D100" s="1890"/>
      <c r="E100" s="1890"/>
      <c r="F100" s="1890"/>
      <c r="G100" s="1890"/>
      <c r="H100" s="1890"/>
      <c r="I100" s="1890"/>
      <c r="J100" s="1890"/>
      <c r="K100" s="1890"/>
      <c r="L100" s="1890"/>
      <c r="M100" s="1890"/>
      <c r="N100" s="1890"/>
      <c r="O100" s="1890"/>
      <c r="P100" s="1890"/>
      <c r="Q100" s="1890"/>
      <c r="R100" s="1890"/>
      <c r="S100" s="1890"/>
      <c r="T100" s="1890"/>
    </row>
    <row r="101" spans="1:20" x14ac:dyDescent="0.2">
      <c r="A101" s="1890"/>
      <c r="B101" s="1890"/>
      <c r="C101" s="1890"/>
      <c r="D101" s="1890"/>
      <c r="E101" s="1890"/>
      <c r="F101" s="1890"/>
      <c r="G101" s="1890"/>
      <c r="H101" s="1890"/>
      <c r="I101" s="1890"/>
      <c r="J101" s="1890"/>
      <c r="K101" s="1890"/>
      <c r="L101" s="1890"/>
      <c r="M101" s="1890"/>
      <c r="N101" s="1890"/>
      <c r="O101" s="1890"/>
      <c r="P101" s="1890"/>
      <c r="Q101" s="1890"/>
      <c r="R101" s="1890"/>
      <c r="S101" s="1890"/>
      <c r="T101" s="1890"/>
    </row>
    <row r="102" spans="1:20" x14ac:dyDescent="0.2">
      <c r="A102" s="1890"/>
      <c r="B102" s="1890"/>
      <c r="C102" s="1890"/>
      <c r="D102" s="1890"/>
      <c r="E102" s="1890"/>
      <c r="F102" s="1890"/>
      <c r="G102" s="1890"/>
      <c r="H102" s="1890"/>
      <c r="I102" s="1890"/>
      <c r="J102" s="1890"/>
      <c r="K102" s="1890"/>
      <c r="L102" s="1890"/>
      <c r="M102" s="1890"/>
      <c r="N102" s="1890"/>
      <c r="O102" s="1890"/>
      <c r="P102" s="1890"/>
      <c r="Q102" s="1890"/>
      <c r="R102" s="1890"/>
      <c r="S102" s="1890"/>
      <c r="T102" s="1890"/>
    </row>
    <row r="103" spans="1:20" x14ac:dyDescent="0.2">
      <c r="A103" s="1890"/>
      <c r="B103" s="1890"/>
      <c r="C103" s="1890"/>
      <c r="D103" s="1890"/>
      <c r="E103" s="1890"/>
      <c r="F103" s="1890"/>
      <c r="G103" s="1890"/>
      <c r="H103" s="1890"/>
      <c r="I103" s="1890"/>
      <c r="J103" s="1890"/>
      <c r="K103" s="1890"/>
      <c r="L103" s="1890"/>
      <c r="M103" s="1890"/>
      <c r="N103" s="1890"/>
      <c r="O103" s="1890"/>
      <c r="P103" s="1890"/>
      <c r="Q103" s="1890"/>
      <c r="R103" s="1890"/>
      <c r="S103" s="1890"/>
      <c r="T103" s="1890"/>
    </row>
    <row r="104" spans="1:20" x14ac:dyDescent="0.2">
      <c r="A104" s="1890"/>
      <c r="B104" s="1890"/>
      <c r="C104" s="1890"/>
      <c r="D104" s="1890"/>
      <c r="E104" s="1890"/>
      <c r="F104" s="1890"/>
      <c r="G104" s="1890"/>
      <c r="H104" s="1890"/>
      <c r="I104" s="1890"/>
      <c r="J104" s="1890"/>
      <c r="K104" s="1890"/>
      <c r="L104" s="1890"/>
      <c r="M104" s="1890"/>
      <c r="N104" s="1890"/>
      <c r="O104" s="1890"/>
      <c r="P104" s="1890"/>
      <c r="Q104" s="1890"/>
      <c r="R104" s="1890"/>
      <c r="S104" s="1890"/>
      <c r="T104" s="1890"/>
    </row>
    <row r="105" spans="1:20" x14ac:dyDescent="0.2">
      <c r="A105" s="1890"/>
      <c r="B105" s="1890"/>
      <c r="C105" s="1890"/>
      <c r="D105" s="1890"/>
      <c r="E105" s="1890"/>
      <c r="F105" s="1890"/>
      <c r="G105" s="1890"/>
      <c r="H105" s="1890"/>
      <c r="I105" s="1890"/>
      <c r="J105" s="1890"/>
      <c r="K105" s="1890"/>
      <c r="L105" s="1890"/>
      <c r="M105" s="1890"/>
      <c r="N105" s="1890"/>
      <c r="O105" s="1890"/>
      <c r="P105" s="1890"/>
      <c r="Q105" s="1890"/>
      <c r="R105" s="1890"/>
      <c r="S105" s="1890"/>
      <c r="T105" s="1890"/>
    </row>
    <row r="106" spans="1:20" x14ac:dyDescent="0.2">
      <c r="A106" s="1890"/>
      <c r="B106" s="1890"/>
      <c r="C106" s="1890"/>
      <c r="D106" s="1890"/>
      <c r="E106" s="1890"/>
      <c r="F106" s="1890"/>
      <c r="G106" s="1890"/>
      <c r="H106" s="1890"/>
      <c r="I106" s="1890"/>
      <c r="J106" s="1890"/>
      <c r="K106" s="1890"/>
      <c r="L106" s="1890"/>
      <c r="M106" s="1890"/>
      <c r="N106" s="1890"/>
      <c r="O106" s="1890"/>
      <c r="P106" s="1890"/>
      <c r="Q106" s="1890"/>
      <c r="R106" s="1890"/>
      <c r="S106" s="1890"/>
      <c r="T106" s="1890"/>
    </row>
    <row r="107" spans="1:20" x14ac:dyDescent="0.2">
      <c r="A107" s="1890"/>
      <c r="B107" s="1890"/>
      <c r="C107" s="1890"/>
      <c r="D107" s="1890"/>
      <c r="E107" s="1890"/>
      <c r="F107" s="1890"/>
      <c r="G107" s="1890"/>
      <c r="H107" s="1890"/>
      <c r="I107" s="1890"/>
      <c r="J107" s="1890"/>
      <c r="K107" s="1890"/>
      <c r="L107" s="1890"/>
      <c r="M107" s="1890"/>
      <c r="N107" s="1890"/>
      <c r="O107" s="1890"/>
      <c r="P107" s="1890"/>
      <c r="Q107" s="1890"/>
      <c r="R107" s="1890"/>
      <c r="S107" s="1890"/>
      <c r="T107" s="1890"/>
    </row>
    <row r="108" spans="1:20" x14ac:dyDescent="0.2">
      <c r="A108" s="1890"/>
      <c r="B108" s="1890"/>
      <c r="C108" s="1890"/>
      <c r="D108" s="1890"/>
      <c r="E108" s="1890"/>
      <c r="F108" s="1890"/>
      <c r="G108" s="1890"/>
      <c r="H108" s="1890"/>
      <c r="I108" s="1890"/>
      <c r="J108" s="1890"/>
      <c r="K108" s="1890"/>
      <c r="L108" s="1890"/>
      <c r="M108" s="1890"/>
      <c r="N108" s="1890"/>
      <c r="O108" s="1890"/>
      <c r="P108" s="1890"/>
      <c r="Q108" s="1890"/>
      <c r="R108" s="1890"/>
      <c r="S108" s="1890"/>
      <c r="T108" s="1890"/>
    </row>
    <row r="109" spans="1:20" x14ac:dyDescent="0.2">
      <c r="A109" s="1890"/>
      <c r="B109" s="1890"/>
      <c r="C109" s="1890"/>
      <c r="D109" s="1890"/>
      <c r="E109" s="1890"/>
      <c r="F109" s="1890"/>
      <c r="G109" s="1890"/>
      <c r="H109" s="1890"/>
      <c r="I109" s="1890"/>
      <c r="J109" s="1890"/>
      <c r="K109" s="1890"/>
      <c r="L109" s="1890"/>
      <c r="M109" s="1890"/>
      <c r="N109" s="1890"/>
      <c r="O109" s="1890"/>
      <c r="P109" s="1890"/>
      <c r="Q109" s="1890"/>
      <c r="R109" s="1890"/>
      <c r="S109" s="1890"/>
      <c r="T109" s="1890"/>
    </row>
    <row r="110" spans="1:20" x14ac:dyDescent="0.2">
      <c r="A110" s="1890"/>
      <c r="B110" s="1890"/>
      <c r="C110" s="1890"/>
      <c r="D110" s="1890"/>
      <c r="E110" s="1890"/>
      <c r="F110" s="1890"/>
      <c r="G110" s="1890"/>
      <c r="H110" s="1890"/>
      <c r="I110" s="1890"/>
      <c r="J110" s="1890"/>
      <c r="K110" s="1890"/>
      <c r="L110" s="1890"/>
      <c r="M110" s="1890"/>
      <c r="N110" s="1890"/>
      <c r="O110" s="1890"/>
      <c r="P110" s="1890"/>
      <c r="Q110" s="1890"/>
      <c r="R110" s="1890"/>
      <c r="S110" s="1890"/>
      <c r="T110" s="1890"/>
    </row>
    <row r="111" spans="1:20" x14ac:dyDescent="0.2">
      <c r="A111" s="1890"/>
      <c r="B111" s="1890"/>
      <c r="C111" s="1890"/>
      <c r="D111" s="1890"/>
      <c r="E111" s="1890"/>
      <c r="F111" s="1890"/>
      <c r="G111" s="1890"/>
      <c r="H111" s="1890"/>
      <c r="I111" s="1890"/>
      <c r="J111" s="1890"/>
      <c r="K111" s="1890"/>
      <c r="L111" s="1890"/>
      <c r="M111" s="1890"/>
      <c r="N111" s="1890"/>
      <c r="O111" s="1890"/>
      <c r="P111" s="1890"/>
      <c r="Q111" s="1890"/>
      <c r="R111" s="1890"/>
      <c r="S111" s="1890"/>
      <c r="T111" s="1890"/>
    </row>
    <row r="112" spans="1:20" x14ac:dyDescent="0.2">
      <c r="A112" s="1890"/>
      <c r="B112" s="1890"/>
      <c r="C112" s="1890"/>
      <c r="D112" s="1890"/>
      <c r="E112" s="1890"/>
      <c r="F112" s="1890"/>
      <c r="G112" s="1890"/>
      <c r="H112" s="1890"/>
      <c r="I112" s="1890"/>
      <c r="J112" s="1890"/>
      <c r="K112" s="1890"/>
      <c r="L112" s="1890"/>
      <c r="M112" s="1890"/>
      <c r="N112" s="1890"/>
      <c r="O112" s="1890"/>
      <c r="P112" s="1890"/>
      <c r="Q112" s="1890"/>
      <c r="R112" s="1890"/>
      <c r="S112" s="1890"/>
      <c r="T112" s="1890"/>
    </row>
    <row r="113" spans="1:20" x14ac:dyDescent="0.2">
      <c r="A113" s="1890"/>
      <c r="B113" s="1890"/>
      <c r="C113" s="1890"/>
      <c r="D113" s="1890"/>
      <c r="E113" s="1890"/>
      <c r="F113" s="1890"/>
      <c r="G113" s="1890"/>
      <c r="H113" s="1890"/>
      <c r="I113" s="1890"/>
      <c r="J113" s="1890"/>
      <c r="K113" s="1890"/>
      <c r="L113" s="1890"/>
      <c r="M113" s="1890"/>
      <c r="N113" s="1890"/>
      <c r="O113" s="1890"/>
      <c r="P113" s="1890"/>
      <c r="Q113" s="1890"/>
      <c r="R113" s="1890"/>
      <c r="S113" s="1890"/>
      <c r="T113" s="1890"/>
    </row>
    <row r="114" spans="1:20" x14ac:dyDescent="0.2">
      <c r="A114" s="1890"/>
      <c r="B114" s="1890"/>
      <c r="C114" s="1890"/>
      <c r="D114" s="1890"/>
      <c r="E114" s="1890"/>
      <c r="F114" s="1890"/>
      <c r="G114" s="1890"/>
      <c r="H114" s="1890"/>
      <c r="I114" s="1890"/>
      <c r="J114" s="1890"/>
      <c r="K114" s="1890"/>
      <c r="L114" s="1890"/>
      <c r="M114" s="1890"/>
      <c r="N114" s="1890"/>
      <c r="O114" s="1890"/>
      <c r="P114" s="1890"/>
      <c r="Q114" s="1890"/>
      <c r="R114" s="1890"/>
      <c r="S114" s="1890"/>
      <c r="T114" s="1890"/>
    </row>
    <row r="115" spans="1:20" x14ac:dyDescent="0.2">
      <c r="A115" s="1890"/>
      <c r="B115" s="1890"/>
      <c r="C115" s="1890"/>
      <c r="D115" s="1890"/>
      <c r="E115" s="1890"/>
      <c r="F115" s="1890"/>
      <c r="G115" s="1890"/>
      <c r="H115" s="1890"/>
      <c r="I115" s="1890"/>
      <c r="J115" s="1890"/>
      <c r="K115" s="1890"/>
      <c r="L115" s="1890"/>
      <c r="M115" s="1890"/>
      <c r="N115" s="1890"/>
      <c r="O115" s="1890"/>
      <c r="P115" s="1890"/>
      <c r="Q115" s="1890"/>
      <c r="R115" s="1890"/>
      <c r="S115" s="1890"/>
      <c r="T115" s="1890"/>
    </row>
    <row r="116" spans="1:20" x14ac:dyDescent="0.2">
      <c r="A116" s="1890"/>
      <c r="B116" s="1890"/>
      <c r="C116" s="1890"/>
      <c r="D116" s="1890"/>
      <c r="E116" s="1890"/>
      <c r="F116" s="1890"/>
      <c r="G116" s="1890"/>
      <c r="H116" s="1890"/>
      <c r="I116" s="1890"/>
      <c r="J116" s="1890"/>
      <c r="K116" s="1890"/>
      <c r="L116" s="1890"/>
      <c r="M116" s="1890"/>
      <c r="N116" s="1890"/>
      <c r="O116" s="1890"/>
      <c r="P116" s="1890"/>
      <c r="Q116" s="1890"/>
      <c r="R116" s="1890"/>
      <c r="S116" s="1890"/>
      <c r="T116" s="1890"/>
    </row>
    <row r="117" spans="1:20" x14ac:dyDescent="0.2">
      <c r="A117" s="1890"/>
      <c r="B117" s="1890"/>
      <c r="C117" s="1890"/>
      <c r="D117" s="1890"/>
      <c r="E117" s="1890"/>
      <c r="F117" s="1890"/>
      <c r="G117" s="1890"/>
      <c r="H117" s="1890"/>
      <c r="I117" s="1890"/>
      <c r="J117" s="1890"/>
      <c r="K117" s="1890"/>
      <c r="L117" s="1890"/>
      <c r="M117" s="1890"/>
      <c r="N117" s="1890"/>
      <c r="O117" s="1890"/>
      <c r="P117" s="1890"/>
      <c r="Q117" s="1890"/>
      <c r="R117" s="1890"/>
      <c r="S117" s="1890"/>
      <c r="T117" s="1890"/>
    </row>
    <row r="118" spans="1:20" x14ac:dyDescent="0.2">
      <c r="A118" s="1890"/>
      <c r="B118" s="1890"/>
      <c r="C118" s="1890"/>
      <c r="D118" s="1890"/>
      <c r="E118" s="1890"/>
      <c r="F118" s="1890"/>
      <c r="G118" s="1890"/>
      <c r="H118" s="1890"/>
      <c r="I118" s="1890"/>
      <c r="J118" s="1890"/>
      <c r="K118" s="1890"/>
      <c r="L118" s="1890"/>
      <c r="M118" s="1890"/>
      <c r="N118" s="1890"/>
      <c r="O118" s="1890"/>
      <c r="P118" s="1890"/>
      <c r="Q118" s="1890"/>
      <c r="R118" s="1890"/>
      <c r="S118" s="1890"/>
      <c r="T118" s="1890"/>
    </row>
    <row r="119" spans="1:20" x14ac:dyDescent="0.2">
      <c r="A119" s="1890"/>
      <c r="B119" s="1890"/>
      <c r="C119" s="1890"/>
      <c r="D119" s="1890"/>
      <c r="E119" s="1890"/>
      <c r="F119" s="1890"/>
      <c r="G119" s="1890"/>
      <c r="H119" s="1890"/>
      <c r="I119" s="1890"/>
      <c r="J119" s="1890"/>
      <c r="K119" s="1890"/>
      <c r="L119" s="1890"/>
      <c r="M119" s="1890"/>
      <c r="N119" s="1890"/>
      <c r="O119" s="1890"/>
      <c r="P119" s="1890"/>
      <c r="Q119" s="1890"/>
      <c r="R119" s="1890"/>
      <c r="S119" s="1890"/>
      <c r="T119" s="1890"/>
    </row>
    <row r="120" spans="1:20" x14ac:dyDescent="0.2">
      <c r="A120" s="1890"/>
      <c r="B120" s="1890"/>
      <c r="C120" s="1890"/>
      <c r="D120" s="1890"/>
      <c r="E120" s="1890"/>
      <c r="F120" s="1890"/>
      <c r="G120" s="1890"/>
      <c r="H120" s="1890"/>
      <c r="I120" s="1890"/>
      <c r="J120" s="1890"/>
      <c r="K120" s="1890"/>
      <c r="L120" s="1890"/>
      <c r="M120" s="1890"/>
      <c r="N120" s="1890"/>
      <c r="O120" s="1890"/>
      <c r="P120" s="1890"/>
      <c r="Q120" s="1890"/>
      <c r="R120" s="1890"/>
      <c r="S120" s="1890"/>
      <c r="T120" s="1890"/>
    </row>
  </sheetData>
  <sheetProtection selectLockedCells="1" selectUnlockedCells="1"/>
  <mergeCells count="2">
    <mergeCell ref="O5:P5"/>
    <mergeCell ref="O6:P6"/>
  </mergeCells>
  <pageMargins left="0.78740157499999996" right="0.78740157499999996" top="0.984251969" bottom="0.984251969" header="0.4921259845" footer="0.4921259845"/>
  <pageSetup paperSize="9" orientation="portrait" r:id="rId1"/>
  <headerFooter alignWithMargins="0"/>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3C818F-31D8-4EB5-A011-6404E091C418}">
  <dimension ref="A1:AU120"/>
  <sheetViews>
    <sheetView zoomScale="78" zoomScaleNormal="78" workbookViewId="0">
      <selection activeCell="L13" sqref="L13"/>
    </sheetView>
  </sheetViews>
  <sheetFormatPr defaultColWidth="11.42578125" defaultRowHeight="12.75" x14ac:dyDescent="0.2"/>
  <cols>
    <col min="1" max="1" width="8.42578125" style="1846" customWidth="1"/>
    <col min="2" max="2" width="37.42578125" style="1846" customWidth="1"/>
    <col min="3" max="3" width="17.140625" style="1846" customWidth="1"/>
    <col min="4" max="4" width="15.42578125" style="1846" bestFit="1" customWidth="1"/>
    <col min="5" max="5" width="16.42578125" style="1846" customWidth="1"/>
    <col min="6" max="7" width="11.42578125" style="1846"/>
    <col min="8" max="8" width="14.85546875" style="1846" bestFit="1" customWidth="1"/>
    <col min="9" max="9" width="18.5703125" style="1846" bestFit="1" customWidth="1"/>
    <col min="10" max="10" width="16.42578125" style="1846" customWidth="1"/>
    <col min="11" max="11" width="15.42578125" style="1846" customWidth="1"/>
    <col min="12" max="12" width="19.42578125" style="1846" bestFit="1" customWidth="1"/>
    <col min="13" max="13" width="11" style="1846" customWidth="1"/>
    <col min="14" max="14" width="11.85546875" style="1846" customWidth="1"/>
    <col min="15" max="16384" width="11.42578125" style="1846"/>
  </cols>
  <sheetData>
    <row r="1" spans="1:45" s="2229" customFormat="1" ht="26.1" customHeight="1" x14ac:dyDescent="0.2">
      <c r="A1" s="2291" t="s">
        <v>1267</v>
      </c>
      <c r="B1" s="2400"/>
      <c r="C1" s="2400"/>
      <c r="D1" s="2400"/>
      <c r="E1" s="2400"/>
      <c r="F1" s="2030"/>
      <c r="G1" s="2030"/>
      <c r="H1" s="2030"/>
      <c r="I1" s="2030"/>
      <c r="J1" s="2030"/>
      <c r="K1" s="2030"/>
      <c r="L1" s="2030"/>
      <c r="M1" s="2030"/>
      <c r="N1" s="2030"/>
      <c r="O1" s="2030"/>
      <c r="P1" s="2030"/>
      <c r="Q1" s="2030"/>
      <c r="R1" s="2030"/>
      <c r="S1" s="2030"/>
      <c r="T1" s="2030"/>
      <c r="U1" s="1845"/>
      <c r="V1" s="1845"/>
      <c r="W1" s="1845"/>
      <c r="X1" s="1845"/>
      <c r="Y1" s="1845"/>
      <c r="Z1" s="1845"/>
      <c r="AA1" s="1845"/>
      <c r="AB1" s="1845"/>
      <c r="AC1" s="1845"/>
      <c r="AD1" s="1845"/>
      <c r="AE1" s="1845"/>
      <c r="AF1" s="1845"/>
      <c r="AG1" s="1845"/>
      <c r="AH1" s="1845"/>
      <c r="AI1" s="1845"/>
      <c r="AJ1" s="1845"/>
      <c r="AK1" s="1845"/>
      <c r="AL1" s="1845"/>
      <c r="AM1" s="1845"/>
      <c r="AN1" s="1845"/>
      <c r="AO1" s="1845"/>
      <c r="AP1" s="1845"/>
      <c r="AQ1" s="1845"/>
      <c r="AR1" s="1845"/>
      <c r="AS1" s="1845"/>
    </row>
    <row r="2" spans="1:45" ht="14.25" customHeight="1" x14ac:dyDescent="0.25">
      <c r="A2" s="2401"/>
      <c r="B2" s="2402"/>
      <c r="C2" s="1890"/>
      <c r="D2" s="1890"/>
      <c r="E2" s="1890"/>
      <c r="F2" s="1890"/>
      <c r="G2" s="1890"/>
      <c r="H2" s="1890"/>
      <c r="I2" s="1890"/>
      <c r="J2" s="1890"/>
      <c r="K2" s="1890"/>
      <c r="L2" s="1890"/>
      <c r="M2" s="1890"/>
      <c r="N2" s="1890"/>
      <c r="O2" s="1890"/>
      <c r="P2" s="1890"/>
      <c r="Q2" s="1890"/>
      <c r="R2" s="1890"/>
      <c r="S2" s="1890"/>
      <c r="T2" s="1890"/>
    </row>
    <row r="3" spans="1:45" ht="18" customHeight="1" x14ac:dyDescent="0.25">
      <c r="A3" s="1890"/>
      <c r="B3" s="2232" t="s">
        <v>1236</v>
      </c>
      <c r="C3" s="2233">
        <f>+'CO2 - Cálculos'!AI58</f>
        <v>23025.599999999999</v>
      </c>
      <c r="D3" s="2234"/>
      <c r="E3" s="2234"/>
      <c r="F3" s="1890"/>
      <c r="G3" s="1890"/>
      <c r="H3" s="1890"/>
      <c r="I3" s="1890"/>
      <c r="J3" s="1890"/>
      <c r="K3" s="1890"/>
      <c r="L3" s="1890"/>
      <c r="M3" s="1890"/>
      <c r="N3" s="1890"/>
      <c r="O3" s="1890"/>
      <c r="P3" s="1890"/>
      <c r="Q3" s="1890"/>
      <c r="R3" s="1890"/>
      <c r="S3" s="1890"/>
      <c r="T3" s="1890"/>
    </row>
    <row r="4" spans="1:45" ht="18" customHeight="1" x14ac:dyDescent="0.25">
      <c r="A4" s="1890"/>
      <c r="B4" s="2287"/>
      <c r="C4" s="2403"/>
      <c r="D4" s="2237"/>
      <c r="E4" s="2237"/>
      <c r="F4" s="1890"/>
      <c r="G4" s="1890"/>
      <c r="H4" s="1890"/>
      <c r="I4" s="1890"/>
      <c r="J4" s="1890"/>
      <c r="K4" s="1890"/>
      <c r="L4" s="1890"/>
      <c r="M4" s="2309"/>
      <c r="N4" s="2309"/>
      <c r="O4" s="2309"/>
      <c r="P4" s="2309"/>
      <c r="Q4" s="2309"/>
      <c r="R4" s="2309"/>
      <c r="S4" s="1890"/>
      <c r="T4" s="1890"/>
    </row>
    <row r="5" spans="1:45" ht="18" customHeight="1" x14ac:dyDescent="0.25">
      <c r="A5" s="1890"/>
      <c r="B5" s="2232" t="s">
        <v>1237</v>
      </c>
      <c r="C5" s="2233">
        <f>+'CO2 - Cálculos'!AI13</f>
        <v>2322.6613487999998</v>
      </c>
      <c r="D5" s="2234"/>
      <c r="E5" s="2234"/>
      <c r="F5" s="1890"/>
      <c r="G5" s="1890"/>
      <c r="H5" s="1890"/>
      <c r="I5" s="1890"/>
      <c r="J5" s="1890"/>
      <c r="K5" s="1890"/>
      <c r="L5" s="1890"/>
      <c r="M5" s="2309"/>
      <c r="N5" s="2309"/>
      <c r="O5" s="2973" t="s">
        <v>1262</v>
      </c>
      <c r="P5" s="2974"/>
      <c r="Q5" s="2309"/>
      <c r="R5" s="2309"/>
      <c r="S5" s="1890"/>
      <c r="T5" s="1890"/>
    </row>
    <row r="6" spans="1:45" ht="18" customHeight="1" x14ac:dyDescent="0.25">
      <c r="A6" s="1890"/>
      <c r="B6" s="2404"/>
      <c r="C6" s="2240"/>
      <c r="D6" s="2234"/>
      <c r="E6" s="2234"/>
      <c r="F6" s="1890"/>
      <c r="G6" s="1890"/>
      <c r="H6" s="1890"/>
      <c r="I6" s="1890"/>
      <c r="J6" s="1890"/>
      <c r="K6" s="1890"/>
      <c r="L6" s="1890"/>
      <c r="M6" s="2309"/>
      <c r="N6" s="2309"/>
      <c r="O6" s="2975">
        <f>+C3</f>
        <v>23025.599999999999</v>
      </c>
      <c r="P6" s="2976"/>
      <c r="Q6" s="2309"/>
      <c r="R6" s="2309"/>
      <c r="S6" s="1890"/>
      <c r="T6" s="1890"/>
    </row>
    <row r="7" spans="1:45" ht="18" customHeight="1" x14ac:dyDescent="0.25">
      <c r="A7" s="1890"/>
      <c r="B7" s="2241" t="s">
        <v>1106</v>
      </c>
      <c r="C7" s="2242">
        <f>+'CO2 - Cálculos'!AJ5</f>
        <v>0</v>
      </c>
      <c r="D7" s="2234"/>
      <c r="E7" s="2234"/>
      <c r="F7" s="1890"/>
      <c r="G7" s="1890"/>
      <c r="H7" s="1890"/>
      <c r="I7" s="1890"/>
      <c r="J7" s="1890"/>
      <c r="K7" s="1890"/>
      <c r="L7" s="1890"/>
      <c r="M7" s="2405"/>
      <c r="N7" s="2309"/>
      <c r="O7" s="2309"/>
      <c r="P7" s="2309"/>
      <c r="Q7" s="2309"/>
      <c r="R7" s="2309"/>
      <c r="S7" s="1890"/>
      <c r="T7" s="1890"/>
    </row>
    <row r="8" spans="1:45" ht="18" customHeight="1" x14ac:dyDescent="0.25">
      <c r="A8" s="1890"/>
      <c r="B8" s="2241" t="s">
        <v>1107</v>
      </c>
      <c r="C8" s="2242">
        <f>+'CO2 - Cálculos'!AJ6</f>
        <v>0</v>
      </c>
      <c r="D8" s="2234"/>
      <c r="E8" s="2234"/>
      <c r="F8" s="1890"/>
      <c r="G8" s="1890"/>
      <c r="H8" s="1890"/>
      <c r="I8" s="1890"/>
      <c r="J8" s="1890"/>
      <c r="K8" s="1890"/>
      <c r="L8" s="1890"/>
      <c r="M8" s="2309"/>
      <c r="N8" s="2309"/>
      <c r="O8" s="2309"/>
      <c r="P8" s="2309"/>
      <c r="Q8" s="2309"/>
      <c r="R8" s="2309"/>
      <c r="S8" s="1890"/>
      <c r="T8" s="1890"/>
    </row>
    <row r="9" spans="1:45" ht="18" customHeight="1" x14ac:dyDescent="0.25">
      <c r="A9" s="1890"/>
      <c r="B9" s="2241" t="s">
        <v>1108</v>
      </c>
      <c r="C9" s="2242">
        <f>+'CO2 - Cálculos'!AJ7</f>
        <v>1004.4457488</v>
      </c>
      <c r="D9" s="2234"/>
      <c r="E9" s="2234"/>
      <c r="F9" s="1890"/>
      <c r="G9" s="1890"/>
      <c r="H9" s="1890"/>
      <c r="I9" s="1890"/>
      <c r="J9" s="1890"/>
      <c r="K9" s="1890"/>
      <c r="L9" s="2313"/>
      <c r="M9" s="1866" t="s">
        <v>1046</v>
      </c>
      <c r="N9" s="2314">
        <f>+C5</f>
        <v>2322.6613487999998</v>
      </c>
      <c r="O9" s="2315">
        <f>+N9/O6</f>
        <v>0.100873</v>
      </c>
      <c r="P9" s="2316">
        <f>+Q9/O6</f>
        <v>0.89912700000000001</v>
      </c>
      <c r="Q9" s="2317">
        <f>+C16</f>
        <v>20702.938651199998</v>
      </c>
      <c r="R9" s="2318" t="s">
        <v>1239</v>
      </c>
      <c r="S9" s="1957"/>
      <c r="T9" s="1890"/>
    </row>
    <row r="10" spans="1:45" ht="18" customHeight="1" x14ac:dyDescent="0.25">
      <c r="A10" s="1890"/>
      <c r="B10" s="2241" t="s">
        <v>1109</v>
      </c>
      <c r="C10" s="2242">
        <f>+'CO2 - Cálculos'!AJ8</f>
        <v>683.86032</v>
      </c>
      <c r="D10" s="2234"/>
      <c r="E10" s="2234"/>
      <c r="F10" s="1890"/>
      <c r="G10" s="1890"/>
      <c r="H10" s="1890"/>
      <c r="I10" s="1890"/>
      <c r="J10" s="1890"/>
      <c r="K10" s="1890"/>
      <c r="L10" s="2313"/>
      <c r="M10" s="2319"/>
      <c r="N10" s="2320"/>
      <c r="O10" s="2313"/>
      <c r="P10" s="2313"/>
      <c r="Q10" s="2320"/>
      <c r="R10" s="2319"/>
      <c r="S10" s="1957"/>
      <c r="T10" s="1890"/>
    </row>
    <row r="11" spans="1:45" ht="18" customHeight="1" x14ac:dyDescent="0.25">
      <c r="A11" s="1890"/>
      <c r="B11" s="2241" t="s">
        <v>50</v>
      </c>
      <c r="C11" s="2242">
        <f>+'CO2 - Cálculos'!AJ9</f>
        <v>0</v>
      </c>
      <c r="D11" s="2234"/>
      <c r="E11" s="2234"/>
      <c r="F11" s="1890"/>
      <c r="G11" s="1890"/>
      <c r="H11" s="1890"/>
      <c r="I11" s="1890"/>
      <c r="J11" s="1890"/>
      <c r="K11" s="1890"/>
      <c r="L11" s="2313"/>
      <c r="M11" s="1866" t="str">
        <f t="shared" ref="M11:N18" si="0">+B7</f>
        <v>Resíduos de alimentos</v>
      </c>
      <c r="N11" s="2406">
        <f t="shared" si="0"/>
        <v>0</v>
      </c>
      <c r="O11" s="2322">
        <f t="shared" ref="O11:O18" si="1">+N11/$N$9</f>
        <v>0</v>
      </c>
      <c r="P11" s="2323">
        <f t="shared" ref="P11:P19" si="2">+Q11/$Q$9</f>
        <v>0</v>
      </c>
      <c r="Q11" s="2324">
        <f t="shared" ref="Q11:Q19" si="3">+C18</f>
        <v>0</v>
      </c>
      <c r="R11" s="2318" t="str">
        <f t="shared" ref="R11:R19" si="4">+B18</f>
        <v>Resíduos dispersos</v>
      </c>
      <c r="S11" s="1957"/>
      <c r="T11" s="1890"/>
    </row>
    <row r="12" spans="1:45" ht="18" customHeight="1" x14ac:dyDescent="0.25">
      <c r="A12" s="1890"/>
      <c r="B12" s="2241" t="s">
        <v>1110</v>
      </c>
      <c r="C12" s="2242">
        <f>+'CO2 - Cálculos'!AJ10</f>
        <v>503.10935999999998</v>
      </c>
      <c r="D12" s="2234"/>
      <c r="E12" s="2234"/>
      <c r="F12" s="1890"/>
      <c r="G12" s="1890"/>
      <c r="H12" s="1890"/>
      <c r="I12" s="1890"/>
      <c r="J12" s="1890"/>
      <c r="K12" s="1890"/>
      <c r="L12" s="2313"/>
      <c r="M12" s="1866" t="str">
        <f t="shared" si="0"/>
        <v>Resíduos de jardins e parques</v>
      </c>
      <c r="N12" s="2406">
        <f t="shared" si="0"/>
        <v>0</v>
      </c>
      <c r="O12" s="2322">
        <f t="shared" si="1"/>
        <v>0</v>
      </c>
      <c r="P12" s="2323">
        <f t="shared" si="2"/>
        <v>0</v>
      </c>
      <c r="Q12" s="2324">
        <f t="shared" si="3"/>
        <v>0</v>
      </c>
      <c r="R12" s="2318" t="str">
        <f t="shared" si="4"/>
        <v>Queima a céu aberto</v>
      </c>
      <c r="S12" s="1957"/>
      <c r="T12" s="1890"/>
    </row>
    <row r="13" spans="1:45" ht="18" customHeight="1" x14ac:dyDescent="0.25">
      <c r="A13" s="1890"/>
      <c r="B13" s="2241" t="s">
        <v>1111</v>
      </c>
      <c r="C13" s="2242">
        <f>+'CO2 - Cálculos'!AJ11</f>
        <v>131.24591999999998</v>
      </c>
      <c r="D13" s="2234"/>
      <c r="E13" s="2234"/>
      <c r="F13" s="1890"/>
      <c r="G13" s="1890"/>
      <c r="H13" s="1890"/>
      <c r="I13" s="1890"/>
      <c r="J13" s="1890"/>
      <c r="K13" s="1890"/>
      <c r="L13" s="2313"/>
      <c r="M13" s="1866" t="str">
        <f t="shared" si="0"/>
        <v>Papel, papelão</v>
      </c>
      <c r="N13" s="2406">
        <f t="shared" si="0"/>
        <v>1004.4457488</v>
      </c>
      <c r="O13" s="2322">
        <f t="shared" si="1"/>
        <v>0.4324546707245745</v>
      </c>
      <c r="P13" s="2323">
        <f t="shared" si="2"/>
        <v>0</v>
      </c>
      <c r="Q13" s="2324">
        <f t="shared" si="3"/>
        <v>0</v>
      </c>
      <c r="R13" s="2318" t="str">
        <f t="shared" si="4"/>
        <v>Lixão não controlado</v>
      </c>
      <c r="S13" s="1957"/>
      <c r="T13" s="1890"/>
    </row>
    <row r="14" spans="1:45" ht="18" customHeight="1" x14ac:dyDescent="0.25">
      <c r="A14" s="1890"/>
      <c r="B14" s="2241" t="s">
        <v>1112</v>
      </c>
      <c r="C14" s="2242">
        <f>+'CO2 - Cálculos'!AJ12</f>
        <v>0</v>
      </c>
      <c r="D14" s="2234"/>
      <c r="E14" s="2234"/>
      <c r="F14" s="1890"/>
      <c r="G14" s="1890"/>
      <c r="H14" s="1890"/>
      <c r="I14" s="1890"/>
      <c r="J14" s="1890"/>
      <c r="K14" s="1890"/>
      <c r="L14" s="2313"/>
      <c r="M14" s="1866" t="str">
        <f t="shared" si="0"/>
        <v>Plásticos</v>
      </c>
      <c r="N14" s="2406">
        <f t="shared" si="0"/>
        <v>683.86032</v>
      </c>
      <c r="O14" s="2322">
        <f t="shared" si="1"/>
        <v>0.29442962933589761</v>
      </c>
      <c r="P14" s="2323">
        <f t="shared" si="2"/>
        <v>0.15</v>
      </c>
      <c r="Q14" s="2324">
        <f t="shared" si="3"/>
        <v>3105.4407976799998</v>
      </c>
      <c r="R14" s="2318" t="str">
        <f t="shared" si="4"/>
        <v>Aterro controlado</v>
      </c>
      <c r="S14" s="1957"/>
      <c r="T14" s="1890"/>
    </row>
    <row r="15" spans="1:45" ht="18" customHeight="1" x14ac:dyDescent="0.25">
      <c r="A15" s="1890"/>
      <c r="B15" s="2287"/>
      <c r="C15" s="2403"/>
      <c r="D15" s="2234"/>
      <c r="E15" s="2234"/>
      <c r="F15" s="1890"/>
      <c r="G15" s="1890"/>
      <c r="H15" s="1890"/>
      <c r="I15" s="1890"/>
      <c r="J15" s="1890"/>
      <c r="K15" s="1890"/>
      <c r="L15" s="2313"/>
      <c r="M15" s="1866" t="str">
        <f t="shared" si="0"/>
        <v>Vidros</v>
      </c>
      <c r="N15" s="2406">
        <f t="shared" si="0"/>
        <v>0</v>
      </c>
      <c r="O15" s="2322">
        <f t="shared" si="1"/>
        <v>0</v>
      </c>
      <c r="P15" s="2323">
        <f t="shared" si="2"/>
        <v>0</v>
      </c>
      <c r="Q15" s="2324">
        <f t="shared" si="3"/>
        <v>0</v>
      </c>
      <c r="R15" s="2318" t="str">
        <f t="shared" si="4"/>
        <v>Aterro sanitário</v>
      </c>
      <c r="S15" s="1957"/>
      <c r="T15" s="1890"/>
    </row>
    <row r="16" spans="1:45" ht="18" customHeight="1" x14ac:dyDescent="0.25">
      <c r="A16" s="1890"/>
      <c r="B16" s="2260" t="s">
        <v>1263</v>
      </c>
      <c r="C16" s="2233">
        <f>+'CO2 - Cálculos'!AI57</f>
        <v>20702.938651199998</v>
      </c>
      <c r="D16" s="2234"/>
      <c r="E16" s="2234"/>
      <c r="F16" s="1890"/>
      <c r="G16" s="1890"/>
      <c r="H16" s="1890"/>
      <c r="I16" s="1890"/>
      <c r="J16" s="1890"/>
      <c r="K16" s="1890"/>
      <c r="L16" s="2313"/>
      <c r="M16" s="1866" t="str">
        <f t="shared" si="0"/>
        <v>Metais ferrosos</v>
      </c>
      <c r="N16" s="2406">
        <f t="shared" si="0"/>
        <v>503.10935999999998</v>
      </c>
      <c r="O16" s="2322">
        <f t="shared" si="1"/>
        <v>0.21660900340031525</v>
      </c>
      <c r="P16" s="2323">
        <f t="shared" si="2"/>
        <v>0</v>
      </c>
      <c r="Q16" s="2324">
        <f t="shared" si="3"/>
        <v>0</v>
      </c>
      <c r="R16" s="2318" t="str">
        <f t="shared" si="4"/>
        <v>Trat. biol + cobertura at.</v>
      </c>
      <c r="S16" s="1957"/>
      <c r="T16" s="1890"/>
    </row>
    <row r="17" spans="1:47" ht="18" customHeight="1" x14ac:dyDescent="0.25">
      <c r="A17" s="1890"/>
      <c r="B17" s="2404"/>
      <c r="C17" s="2240"/>
      <c r="D17" s="2234"/>
      <c r="E17" s="2234"/>
      <c r="F17" s="1890"/>
      <c r="G17" s="1890"/>
      <c r="H17" s="1890"/>
      <c r="I17" s="1890"/>
      <c r="J17" s="1890"/>
      <c r="K17" s="1890"/>
      <c r="L17" s="2313"/>
      <c r="M17" s="1866" t="str">
        <f t="shared" si="0"/>
        <v>Alumínio</v>
      </c>
      <c r="N17" s="2406">
        <f t="shared" si="0"/>
        <v>131.24591999999998</v>
      </c>
      <c r="O17" s="2322">
        <f t="shared" si="1"/>
        <v>5.650669653921267E-2</v>
      </c>
      <c r="P17" s="2323">
        <f t="shared" si="2"/>
        <v>0</v>
      </c>
      <c r="Q17" s="2324">
        <f t="shared" si="3"/>
        <v>0</v>
      </c>
      <c r="R17" s="2318" t="str">
        <f t="shared" si="4"/>
        <v>CDR seco + rejeito aterro</v>
      </c>
      <c r="S17" s="1957"/>
      <c r="T17" s="1890"/>
    </row>
    <row r="18" spans="1:47" ht="18" customHeight="1" x14ac:dyDescent="0.25">
      <c r="A18" s="1890"/>
      <c r="B18" s="2241" t="s">
        <v>1241</v>
      </c>
      <c r="C18" s="2242">
        <f>+'CO2 - Cálculos'!AJ47</f>
        <v>0</v>
      </c>
      <c r="D18" s="2234"/>
      <c r="E18" s="2234"/>
      <c r="F18" s="1890"/>
      <c r="G18" s="1890"/>
      <c r="H18" s="1890"/>
      <c r="I18" s="1890"/>
      <c r="J18" s="1890"/>
      <c r="K18" s="1890"/>
      <c r="L18" s="2313"/>
      <c r="M18" s="1866" t="str">
        <f t="shared" si="0"/>
        <v>Têxteis</v>
      </c>
      <c r="N18" s="2406">
        <f t="shared" si="0"/>
        <v>0</v>
      </c>
      <c r="O18" s="2322">
        <f t="shared" si="1"/>
        <v>0</v>
      </c>
      <c r="P18" s="2323">
        <f t="shared" si="2"/>
        <v>0</v>
      </c>
      <c r="Q18" s="2324">
        <f t="shared" si="3"/>
        <v>0</v>
      </c>
      <c r="R18" s="2318" t="str">
        <f t="shared" si="4"/>
        <v>CDR seco + trat. biol.</v>
      </c>
      <c r="S18" s="1957"/>
      <c r="T18" s="1890"/>
    </row>
    <row r="19" spans="1:47" ht="18" customHeight="1" x14ac:dyDescent="0.25">
      <c r="A19" s="1890"/>
      <c r="B19" s="2241" t="s">
        <v>1242</v>
      </c>
      <c r="C19" s="2242">
        <f>+'CO2 - Cálculos'!AJ48</f>
        <v>0</v>
      </c>
      <c r="D19" s="2234"/>
      <c r="E19" s="2234"/>
      <c r="F19" s="1890"/>
      <c r="G19" s="1890"/>
      <c r="H19" s="1890"/>
      <c r="I19" s="1890"/>
      <c r="J19" s="1890"/>
      <c r="K19" s="1890"/>
      <c r="L19" s="2313"/>
      <c r="M19" s="2313"/>
      <c r="N19" s="2373"/>
      <c r="O19" s="2325"/>
      <c r="P19" s="2323">
        <f t="shared" si="2"/>
        <v>0</v>
      </c>
      <c r="Q19" s="2324">
        <f t="shared" si="3"/>
        <v>0</v>
      </c>
      <c r="R19" s="2318" t="str">
        <f t="shared" si="4"/>
        <v>CDR seco + CDR org.</v>
      </c>
      <c r="S19" s="1957"/>
      <c r="T19" s="1890"/>
    </row>
    <row r="20" spans="1:47" ht="18" customHeight="1" x14ac:dyDescent="0.25">
      <c r="A20" s="1890"/>
      <c r="B20" s="2241" t="s">
        <v>1243</v>
      </c>
      <c r="C20" s="2242">
        <f>+'CO2 - Cálculos'!AJ49</f>
        <v>0</v>
      </c>
      <c r="D20" s="2234"/>
      <c r="E20" s="2234"/>
      <c r="F20" s="1890"/>
      <c r="G20" s="1890"/>
      <c r="H20" s="1890"/>
      <c r="I20" s="1890"/>
      <c r="J20" s="1890"/>
      <c r="K20" s="1890"/>
      <c r="L20" s="2313"/>
      <c r="M20" s="2313"/>
      <c r="N20" s="2313"/>
      <c r="O20" s="2313"/>
      <c r="P20" s="2323">
        <f>+Q20/$Q$9</f>
        <v>0.85</v>
      </c>
      <c r="Q20" s="2324">
        <f>+C27</f>
        <v>17597.497853519999</v>
      </c>
      <c r="R20" s="2318" t="str">
        <f>+B27</f>
        <v>Incineração</v>
      </c>
      <c r="S20" s="1957"/>
      <c r="T20" s="1890"/>
    </row>
    <row r="21" spans="1:47" ht="18" customHeight="1" x14ac:dyDescent="0.25">
      <c r="A21" s="1890"/>
      <c r="B21" s="2241" t="s">
        <v>1244</v>
      </c>
      <c r="C21" s="2242">
        <f>+'CO2 - Cálculos'!AJ50</f>
        <v>3105.4407976799998</v>
      </c>
      <c r="D21" s="2234"/>
      <c r="E21" s="2234"/>
      <c r="F21" s="1890"/>
      <c r="G21" s="1890"/>
      <c r="H21" s="1890"/>
      <c r="I21" s="1890"/>
      <c r="J21" s="1890"/>
      <c r="K21" s="1890"/>
      <c r="L21" s="1890"/>
      <c r="M21" s="1890"/>
      <c r="N21" s="1890"/>
      <c r="O21" s="1890"/>
      <c r="P21" s="1890"/>
      <c r="Q21" s="2016"/>
      <c r="R21" s="1890"/>
      <c r="S21" s="1890"/>
      <c r="T21" s="1890"/>
    </row>
    <row r="22" spans="1:47" ht="18" customHeight="1" x14ac:dyDescent="0.25">
      <c r="A22" s="1890"/>
      <c r="B22" s="2263" t="s">
        <v>64</v>
      </c>
      <c r="C22" s="2242">
        <f>+'CO2 - Cálculos'!AJ51</f>
        <v>0</v>
      </c>
      <c r="D22" s="2234"/>
      <c r="E22" s="2234"/>
      <c r="F22" s="1890"/>
      <c r="G22" s="1890"/>
      <c r="H22" s="1890"/>
      <c r="I22" s="1890"/>
      <c r="J22" s="1890"/>
      <c r="K22" s="1890"/>
      <c r="L22" s="1890"/>
      <c r="M22" s="1890"/>
      <c r="N22" s="1890"/>
      <c r="O22" s="1890"/>
      <c r="P22" s="1890"/>
      <c r="Q22" s="2016"/>
      <c r="R22" s="1890"/>
      <c r="S22" s="1890"/>
      <c r="T22" s="1890"/>
    </row>
    <row r="23" spans="1:47" ht="18" customHeight="1" x14ac:dyDescent="0.25">
      <c r="A23" s="1890"/>
      <c r="B23" s="2264" t="s">
        <v>1245</v>
      </c>
      <c r="C23" s="2265">
        <f>+'CO2 - Cálculos'!AJ52</f>
        <v>0</v>
      </c>
      <c r="D23" s="2234"/>
      <c r="E23" s="2234"/>
      <c r="F23" s="1890"/>
      <c r="G23" s="1890"/>
      <c r="H23" s="1890"/>
      <c r="I23" s="1890"/>
      <c r="J23" s="1890"/>
      <c r="K23" s="1890"/>
      <c r="L23" s="1890"/>
      <c r="M23" s="1890"/>
      <c r="N23" s="1890"/>
      <c r="O23" s="1890"/>
      <c r="P23" s="1890"/>
      <c r="Q23" s="1890"/>
      <c r="R23" s="1890"/>
      <c r="S23" s="1890"/>
      <c r="T23" s="1890"/>
    </row>
    <row r="24" spans="1:47" ht="18" customHeight="1" x14ac:dyDescent="0.25">
      <c r="A24" s="1890"/>
      <c r="B24" s="2264" t="s">
        <v>1246</v>
      </c>
      <c r="C24" s="2242">
        <f>+'CO2 - Cálculos'!AJ53</f>
        <v>0</v>
      </c>
      <c r="D24" s="2234"/>
      <c r="E24" s="2234"/>
      <c r="F24" s="1890"/>
      <c r="G24" s="1890"/>
      <c r="H24" s="1890"/>
      <c r="I24" s="1890"/>
      <c r="J24" s="1890"/>
      <c r="K24" s="1890"/>
      <c r="L24" s="1890"/>
      <c r="M24" s="1890"/>
      <c r="N24" s="1890"/>
      <c r="O24" s="1890"/>
      <c r="P24" s="1890"/>
      <c r="Q24" s="1890"/>
      <c r="R24" s="1890"/>
      <c r="S24" s="1890"/>
      <c r="T24" s="1890"/>
    </row>
    <row r="25" spans="1:47" ht="18" customHeight="1" x14ac:dyDescent="0.25">
      <c r="A25" s="1890"/>
      <c r="B25" s="2264" t="s">
        <v>1247</v>
      </c>
      <c r="C25" s="2242">
        <f>+'CO2 - Cálculos'!AJ54</f>
        <v>0</v>
      </c>
      <c r="D25" s="2234"/>
      <c r="E25" s="2234"/>
      <c r="F25" s="1890"/>
      <c r="G25" s="1890"/>
      <c r="H25" s="1890"/>
      <c r="I25" s="1890"/>
      <c r="J25" s="1890"/>
      <c r="K25" s="1890"/>
      <c r="L25" s="1890"/>
      <c r="M25" s="1890"/>
      <c r="N25" s="1890"/>
      <c r="O25" s="1890"/>
      <c r="P25" s="1890"/>
      <c r="Q25" s="1890"/>
      <c r="R25" s="1890"/>
      <c r="S25" s="1890"/>
      <c r="T25" s="1890"/>
    </row>
    <row r="26" spans="1:47" ht="18" customHeight="1" x14ac:dyDescent="0.25">
      <c r="A26" s="1890"/>
      <c r="B26" s="2264" t="s">
        <v>1248</v>
      </c>
      <c r="C26" s="2242">
        <f>+'CO2 - Cálculos'!AJ55</f>
        <v>0</v>
      </c>
      <c r="D26" s="2234"/>
      <c r="E26" s="2234"/>
      <c r="F26" s="1890"/>
      <c r="G26" s="1890"/>
      <c r="H26" s="1890"/>
      <c r="I26" s="1890"/>
      <c r="J26" s="1890"/>
      <c r="K26" s="1890"/>
      <c r="L26" s="1890"/>
      <c r="M26" s="1890"/>
      <c r="N26" s="1890"/>
      <c r="O26" s="1890"/>
      <c r="P26" s="1890"/>
      <c r="Q26" s="1890"/>
      <c r="R26" s="1890"/>
      <c r="S26" s="1890"/>
      <c r="T26" s="1890"/>
    </row>
    <row r="27" spans="1:47" ht="18" customHeight="1" x14ac:dyDescent="0.25">
      <c r="A27" s="1890"/>
      <c r="B27" s="2241" t="s">
        <v>63</v>
      </c>
      <c r="C27" s="2242">
        <f>+'CO2 - Cálculos'!AJ56</f>
        <v>17597.497853519999</v>
      </c>
      <c r="D27" s="2234"/>
      <c r="E27" s="2234"/>
      <c r="F27" s="1890"/>
      <c r="G27" s="1890"/>
      <c r="H27" s="1890"/>
      <c r="I27" s="1890"/>
      <c r="J27" s="1890"/>
      <c r="K27" s="1890"/>
      <c r="L27" s="1890"/>
      <c r="M27" s="1890"/>
      <c r="N27" s="1890"/>
      <c r="O27" s="1890"/>
      <c r="P27" s="1890"/>
      <c r="Q27" s="1890"/>
      <c r="R27" s="1890"/>
      <c r="S27" s="1890"/>
      <c r="T27" s="1890"/>
    </row>
    <row r="28" spans="1:47" x14ac:dyDescent="0.2">
      <c r="A28" s="1890"/>
      <c r="B28" s="1890"/>
      <c r="C28" s="2234"/>
      <c r="D28" s="2234"/>
      <c r="E28" s="2234"/>
      <c r="F28" s="1890"/>
      <c r="G28" s="1890"/>
      <c r="H28" s="1890"/>
      <c r="I28" s="1890"/>
      <c r="J28" s="1890"/>
      <c r="K28" s="1890"/>
      <c r="L28" s="1890"/>
      <c r="M28" s="1890"/>
      <c r="N28" s="1890"/>
      <c r="O28" s="1890"/>
      <c r="P28" s="1890"/>
      <c r="Q28" s="1890"/>
      <c r="R28" s="1890"/>
      <c r="S28" s="1890"/>
      <c r="T28" s="1890"/>
    </row>
    <row r="29" spans="1:47" s="2229" customFormat="1" ht="26.1" customHeight="1" x14ac:dyDescent="0.2">
      <c r="A29" s="2063" t="s">
        <v>1264</v>
      </c>
      <c r="B29" s="2407"/>
      <c r="C29" s="2408"/>
      <c r="D29" s="2408"/>
      <c r="E29" s="2408"/>
      <c r="F29" s="2030"/>
      <c r="G29" s="2030"/>
      <c r="H29" s="2030"/>
      <c r="I29" s="2030"/>
      <c r="J29" s="2030"/>
      <c r="K29" s="2030"/>
      <c r="L29" s="2030"/>
      <c r="M29" s="2030"/>
      <c r="N29" s="2030"/>
      <c r="O29" s="2030"/>
      <c r="P29" s="2030"/>
      <c r="Q29" s="2030"/>
      <c r="R29" s="2030"/>
      <c r="S29" s="2030"/>
      <c r="T29" s="2030"/>
      <c r="U29" s="1845"/>
      <c r="V29" s="1845"/>
      <c r="W29" s="1845"/>
      <c r="X29" s="1845"/>
      <c r="Y29" s="1845"/>
      <c r="Z29" s="1845"/>
      <c r="AA29" s="1845"/>
      <c r="AB29" s="1845"/>
      <c r="AC29" s="1845"/>
      <c r="AD29" s="1845"/>
      <c r="AE29" s="1845"/>
      <c r="AF29" s="1845"/>
      <c r="AG29" s="1845"/>
      <c r="AH29" s="1845"/>
      <c r="AI29" s="1845"/>
      <c r="AJ29" s="1845"/>
      <c r="AK29" s="1845"/>
      <c r="AL29" s="1845"/>
      <c r="AM29" s="1845"/>
      <c r="AN29" s="1845"/>
      <c r="AO29" s="1845"/>
      <c r="AP29" s="1845"/>
      <c r="AQ29" s="1845"/>
      <c r="AR29" s="1845"/>
      <c r="AS29" s="1845"/>
      <c r="AT29" s="1845"/>
      <c r="AU29" s="1845"/>
    </row>
    <row r="30" spans="1:47" x14ac:dyDescent="0.2">
      <c r="A30" s="1890"/>
      <c r="B30" s="1890"/>
      <c r="C30" s="1890"/>
      <c r="D30" s="1890"/>
      <c r="E30" s="1890"/>
      <c r="F30" s="1890"/>
      <c r="G30" s="2267"/>
      <c r="H30" s="1890"/>
      <c r="I30" s="1890"/>
      <c r="J30" s="1890"/>
      <c r="K30" s="1890"/>
      <c r="L30" s="1890"/>
      <c r="M30" s="1890"/>
      <c r="N30" s="1890"/>
      <c r="O30" s="1890"/>
      <c r="P30" s="1890"/>
      <c r="Q30" s="1890"/>
      <c r="R30" s="1890"/>
      <c r="S30" s="1890"/>
      <c r="T30" s="1890"/>
    </row>
    <row r="31" spans="1:47" ht="18" customHeight="1" x14ac:dyDescent="0.25">
      <c r="A31" s="1890"/>
      <c r="B31" s="2151"/>
      <c r="C31" s="2332" t="s">
        <v>1250</v>
      </c>
      <c r="D31" s="2079" t="s">
        <v>1251</v>
      </c>
      <c r="E31" s="2079" t="s">
        <v>1252</v>
      </c>
      <c r="F31" s="1890"/>
      <c r="G31" s="1890"/>
      <c r="H31" s="2271"/>
      <c r="I31" s="1890"/>
      <c r="J31" s="1890"/>
      <c r="K31" s="1890"/>
      <c r="L31" s="1890"/>
      <c r="M31" s="1890"/>
      <c r="N31" s="1890"/>
      <c r="O31" s="1890"/>
      <c r="P31" s="1890"/>
      <c r="Q31" s="1890"/>
      <c r="R31" s="1890"/>
      <c r="S31" s="1890"/>
      <c r="T31" s="1890"/>
    </row>
    <row r="32" spans="1:47" ht="18" customHeight="1" x14ac:dyDescent="0.2">
      <c r="A32" s="1890"/>
      <c r="B32" s="2306" t="s">
        <v>1237</v>
      </c>
      <c r="C32" s="2311"/>
      <c r="D32" s="2379"/>
      <c r="E32" s="2379"/>
      <c r="F32" s="1890"/>
      <c r="G32" s="1890"/>
      <c r="H32" s="1890"/>
      <c r="I32" s="1890"/>
      <c r="J32" s="1890"/>
      <c r="K32" s="1890"/>
      <c r="L32" s="1890"/>
      <c r="M32" s="1890"/>
      <c r="N32" s="1890"/>
      <c r="O32" s="1890"/>
      <c r="P32" s="1890"/>
      <c r="Q32" s="1890"/>
      <c r="R32" s="1890"/>
      <c r="S32" s="1890"/>
      <c r="T32" s="1890"/>
    </row>
    <row r="33" spans="1:20" ht="18" customHeight="1" x14ac:dyDescent="0.2">
      <c r="A33" s="1890"/>
      <c r="B33" s="2380"/>
      <c r="C33" s="2379"/>
      <c r="D33" s="2379"/>
      <c r="E33" s="2379"/>
      <c r="F33" s="1890"/>
      <c r="G33" s="1890"/>
      <c r="H33" s="1890"/>
      <c r="I33" s="1890"/>
      <c r="J33" s="1890"/>
      <c r="K33" s="1890"/>
      <c r="L33" s="1890"/>
      <c r="M33" s="1890"/>
      <c r="N33" s="1890"/>
      <c r="O33" s="1890"/>
      <c r="P33" s="1890"/>
      <c r="Q33" s="1890"/>
      <c r="R33" s="1890"/>
      <c r="S33" s="1890"/>
      <c r="T33" s="1890"/>
    </row>
    <row r="34" spans="1:20" ht="18" customHeight="1" x14ac:dyDescent="0.2">
      <c r="A34" s="1890"/>
      <c r="B34" s="2226" t="str">
        <f>B7</f>
        <v>Resíduos de alimentos</v>
      </c>
      <c r="C34" s="2312">
        <f t="shared" ref="C34:C41" si="5">+C62</f>
        <v>0</v>
      </c>
      <c r="D34" s="2312">
        <f t="shared" ref="D34:D41" si="6">+C71</f>
        <v>0</v>
      </c>
      <c r="E34" s="2312">
        <f t="shared" ref="E34:E41" si="7">+D34+C34</f>
        <v>0</v>
      </c>
      <c r="F34" s="1890"/>
      <c r="G34" s="1890"/>
      <c r="H34" s="1890"/>
      <c r="I34" s="1890"/>
      <c r="J34" s="1890"/>
      <c r="K34" s="1890"/>
      <c r="L34" s="1890"/>
      <c r="M34" s="1890"/>
      <c r="N34" s="1890"/>
      <c r="O34" s="1890"/>
      <c r="P34" s="1890"/>
      <c r="Q34" s="1890"/>
      <c r="R34" s="1890"/>
      <c r="S34" s="1890"/>
      <c r="T34" s="1890"/>
    </row>
    <row r="35" spans="1:20" ht="18" customHeight="1" x14ac:dyDescent="0.2">
      <c r="A35" s="1890"/>
      <c r="B35" s="2226" t="str">
        <f t="shared" ref="B35:B41" si="8">B8</f>
        <v>Resíduos de jardins e parques</v>
      </c>
      <c r="C35" s="2312">
        <f t="shared" si="5"/>
        <v>0</v>
      </c>
      <c r="D35" s="2312">
        <f t="shared" si="6"/>
        <v>0</v>
      </c>
      <c r="E35" s="2312">
        <f t="shared" si="7"/>
        <v>0</v>
      </c>
      <c r="F35" s="1890"/>
      <c r="G35" s="1890"/>
      <c r="H35" s="1890"/>
      <c r="I35" s="1890"/>
      <c r="J35" s="1890"/>
      <c r="K35" s="1890"/>
      <c r="L35" s="1890"/>
      <c r="M35" s="1890"/>
      <c r="N35" s="1890"/>
      <c r="O35" s="1890"/>
      <c r="P35" s="1890"/>
      <c r="Q35" s="1890"/>
      <c r="R35" s="1890"/>
      <c r="S35" s="1890"/>
      <c r="T35" s="1890"/>
    </row>
    <row r="36" spans="1:20" ht="18" customHeight="1" x14ac:dyDescent="0.2">
      <c r="A36" s="1890"/>
      <c r="B36" s="2226" t="str">
        <f t="shared" si="8"/>
        <v>Papel, papelão</v>
      </c>
      <c r="C36" s="2312">
        <f t="shared" si="5"/>
        <v>1261.5838604928001</v>
      </c>
      <c r="D36" s="2312">
        <f t="shared" si="6"/>
        <v>-1554.8820191423999</v>
      </c>
      <c r="E36" s="2312">
        <f t="shared" si="7"/>
        <v>-293.29815864959983</v>
      </c>
      <c r="F36" s="1890"/>
      <c r="G36" s="1890"/>
      <c r="H36" s="1890"/>
      <c r="I36" s="1890"/>
      <c r="J36" s="1890"/>
      <c r="K36" s="1890"/>
      <c r="L36" s="1890"/>
      <c r="M36" s="1890"/>
      <c r="N36" s="1890"/>
      <c r="O36" s="1890"/>
      <c r="P36" s="1890"/>
      <c r="Q36" s="1890"/>
      <c r="R36" s="1890"/>
      <c r="S36" s="1890"/>
      <c r="T36" s="1890"/>
    </row>
    <row r="37" spans="1:20" ht="18" customHeight="1" x14ac:dyDescent="0.2">
      <c r="A37" s="1890"/>
      <c r="B37" s="2226" t="str">
        <f t="shared" si="8"/>
        <v>Plásticos</v>
      </c>
      <c r="C37" s="2312">
        <f t="shared" si="5"/>
        <v>280.38273119999997</v>
      </c>
      <c r="D37" s="2312">
        <f t="shared" si="6"/>
        <v>-1306.0364391359999</v>
      </c>
      <c r="E37" s="2312">
        <f t="shared" si="7"/>
        <v>-1025.653707936</v>
      </c>
      <c r="F37" s="1890"/>
      <c r="G37" s="1890"/>
      <c r="H37" s="1890"/>
      <c r="I37" s="1890"/>
      <c r="J37" s="1890"/>
      <c r="K37" s="1890"/>
      <c r="L37" s="1890"/>
      <c r="M37" s="1890"/>
      <c r="N37" s="1890"/>
      <c r="O37" s="1890"/>
      <c r="P37" s="1890"/>
      <c r="Q37" s="1890"/>
      <c r="R37" s="1890"/>
      <c r="S37" s="1890"/>
      <c r="T37" s="1890"/>
    </row>
    <row r="38" spans="1:20" ht="18" customHeight="1" x14ac:dyDescent="0.2">
      <c r="A38" s="1890"/>
      <c r="B38" s="2226" t="str">
        <f t="shared" si="8"/>
        <v>Vidros</v>
      </c>
      <c r="C38" s="2312">
        <f t="shared" si="5"/>
        <v>0</v>
      </c>
      <c r="D38" s="2312">
        <f t="shared" si="6"/>
        <v>0</v>
      </c>
      <c r="E38" s="2312">
        <f t="shared" si="7"/>
        <v>0</v>
      </c>
      <c r="F38" s="1890"/>
      <c r="G38" s="1890"/>
      <c r="H38" s="1890"/>
      <c r="I38" s="1890"/>
      <c r="J38" s="1890"/>
      <c r="K38" s="1890"/>
      <c r="L38" s="1890"/>
      <c r="M38" s="1890"/>
      <c r="N38" s="1890"/>
      <c r="O38" s="1890"/>
      <c r="P38" s="1890"/>
      <c r="Q38" s="1890"/>
      <c r="R38" s="1890"/>
      <c r="S38" s="1890"/>
      <c r="T38" s="1890"/>
    </row>
    <row r="39" spans="1:20" ht="18" customHeight="1" x14ac:dyDescent="0.2">
      <c r="A39" s="1890"/>
      <c r="B39" s="2226" t="str">
        <f t="shared" si="8"/>
        <v>Metais ferrosos</v>
      </c>
      <c r="C39" s="2312">
        <f t="shared" si="5"/>
        <v>32.198999039999997</v>
      </c>
      <c r="D39" s="2312">
        <f t="shared" si="6"/>
        <v>-861.32322431999989</v>
      </c>
      <c r="E39" s="2312">
        <f t="shared" si="7"/>
        <v>-829.12422527999991</v>
      </c>
      <c r="F39" s="1890"/>
      <c r="G39" s="1890"/>
      <c r="H39" s="1890"/>
      <c r="I39" s="1890"/>
      <c r="J39" s="1890"/>
      <c r="K39" s="1890"/>
      <c r="L39" s="1890"/>
      <c r="M39" s="1890"/>
      <c r="N39" s="1890"/>
      <c r="O39" s="1890"/>
      <c r="P39" s="1890"/>
      <c r="Q39" s="1890"/>
      <c r="R39" s="1890"/>
      <c r="S39" s="1890"/>
      <c r="T39" s="1890"/>
    </row>
    <row r="40" spans="1:20" ht="18" customHeight="1" x14ac:dyDescent="0.2">
      <c r="A40" s="1890"/>
      <c r="B40" s="2226" t="str">
        <f t="shared" si="8"/>
        <v>Alumínio</v>
      </c>
      <c r="C40" s="2312">
        <f t="shared" si="5"/>
        <v>91.478406239999984</v>
      </c>
      <c r="D40" s="2312">
        <f t="shared" si="6"/>
        <v>-1296.7096895999998</v>
      </c>
      <c r="E40" s="2312">
        <f t="shared" si="7"/>
        <v>-1205.2312833599999</v>
      </c>
      <c r="F40" s="1890"/>
      <c r="G40" s="1890"/>
      <c r="H40" s="1890"/>
      <c r="I40" s="1890"/>
      <c r="J40" s="1890"/>
      <c r="K40" s="1890"/>
      <c r="L40" s="1890"/>
      <c r="M40" s="1890"/>
      <c r="N40" s="1890"/>
      <c r="O40" s="1890"/>
      <c r="P40" s="1890"/>
      <c r="Q40" s="1890"/>
      <c r="R40" s="1890"/>
      <c r="S40" s="1890"/>
      <c r="T40" s="1890"/>
    </row>
    <row r="41" spans="1:20" ht="18" customHeight="1" x14ac:dyDescent="0.2">
      <c r="A41" s="1890"/>
      <c r="B41" s="2226" t="str">
        <f t="shared" si="8"/>
        <v>Têxteis</v>
      </c>
      <c r="C41" s="2312">
        <f t="shared" si="5"/>
        <v>0</v>
      </c>
      <c r="D41" s="2312">
        <f t="shared" si="6"/>
        <v>0</v>
      </c>
      <c r="E41" s="2312">
        <f t="shared" si="7"/>
        <v>0</v>
      </c>
      <c r="F41" s="1890"/>
      <c r="G41" s="1890"/>
      <c r="H41" s="1890"/>
      <c r="I41" s="1890"/>
      <c r="J41" s="1890"/>
      <c r="K41" s="1890"/>
      <c r="L41" s="1890"/>
      <c r="M41" s="1890"/>
      <c r="N41" s="1890"/>
      <c r="O41" s="1890"/>
      <c r="P41" s="1890"/>
      <c r="Q41" s="1890"/>
      <c r="R41" s="1890"/>
      <c r="S41" s="1890"/>
      <c r="T41" s="1890"/>
    </row>
    <row r="42" spans="1:20" ht="18" customHeight="1" x14ac:dyDescent="0.2">
      <c r="A42" s="1890"/>
      <c r="B42" s="1908"/>
      <c r="C42" s="2308"/>
      <c r="D42" s="2308"/>
      <c r="E42" s="2308"/>
      <c r="F42" s="1890"/>
      <c r="G42" s="1890"/>
      <c r="H42" s="1890"/>
      <c r="I42" s="1890"/>
      <c r="J42" s="1890"/>
      <c r="K42" s="1890"/>
      <c r="L42" s="1890"/>
      <c r="M42" s="1890"/>
      <c r="N42" s="1890"/>
      <c r="O42" s="1890"/>
      <c r="P42" s="1890"/>
      <c r="Q42" s="1890"/>
      <c r="R42" s="1890"/>
      <c r="S42" s="1890"/>
      <c r="T42" s="1890"/>
    </row>
    <row r="43" spans="1:20" ht="18" customHeight="1" x14ac:dyDescent="0.2">
      <c r="A43" s="1890"/>
      <c r="B43" s="1979" t="s">
        <v>1265</v>
      </c>
      <c r="C43" s="2311"/>
      <c r="D43" s="2311"/>
      <c r="E43" s="2311"/>
      <c r="F43" s="1890"/>
      <c r="G43" s="1890"/>
      <c r="H43" s="1890"/>
      <c r="I43" s="1890"/>
      <c r="J43" s="1890"/>
      <c r="K43" s="1890"/>
      <c r="L43" s="1890"/>
      <c r="M43" s="1890"/>
      <c r="N43" s="1890"/>
      <c r="O43" s="1890"/>
      <c r="P43" s="1890"/>
      <c r="Q43" s="1890"/>
      <c r="R43" s="1890"/>
      <c r="S43" s="1890"/>
      <c r="T43" s="1890"/>
    </row>
    <row r="44" spans="1:20" ht="18" customHeight="1" x14ac:dyDescent="0.2">
      <c r="A44" s="1890"/>
      <c r="B44" s="2380"/>
      <c r="C44" s="2311"/>
      <c r="D44" s="2311"/>
      <c r="E44" s="2311"/>
      <c r="F44" s="1890"/>
      <c r="G44" s="1890"/>
      <c r="H44" s="1890"/>
      <c r="I44" s="1890"/>
      <c r="J44" s="1890"/>
      <c r="K44" s="1890"/>
      <c r="L44" s="1890"/>
      <c r="M44" s="1890"/>
      <c r="N44" s="1890"/>
      <c r="O44" s="1890"/>
      <c r="P44" s="1890"/>
      <c r="Q44" s="1890"/>
      <c r="R44" s="1890"/>
      <c r="S44" s="1890"/>
      <c r="T44" s="1890"/>
    </row>
    <row r="45" spans="1:20" ht="18" customHeight="1" x14ac:dyDescent="0.2">
      <c r="A45" s="1890"/>
      <c r="B45" s="2226" t="str">
        <f>B18</f>
        <v>Resíduos dispersos</v>
      </c>
      <c r="C45" s="2312">
        <f t="shared" ref="C45:C53" si="9">+L62</f>
        <v>0</v>
      </c>
      <c r="D45" s="2312">
        <f t="shared" ref="D45:D54" si="10">+L73</f>
        <v>0</v>
      </c>
      <c r="E45" s="2312">
        <f t="shared" ref="E45:E53" si="11">+D45+C45</f>
        <v>0</v>
      </c>
      <c r="F45" s="1890"/>
      <c r="G45" s="1890"/>
      <c r="H45" s="1890"/>
      <c r="I45" s="1890"/>
      <c r="J45" s="1890"/>
      <c r="K45" s="1890"/>
      <c r="L45" s="1890"/>
      <c r="M45" s="1890"/>
      <c r="N45" s="1890"/>
      <c r="O45" s="1890"/>
      <c r="P45" s="1890"/>
      <c r="Q45" s="1890"/>
      <c r="R45" s="1890"/>
      <c r="S45" s="1890"/>
      <c r="T45" s="1890"/>
    </row>
    <row r="46" spans="1:20" ht="18" customHeight="1" x14ac:dyDescent="0.2">
      <c r="A46" s="1890"/>
      <c r="B46" s="2226" t="str">
        <f t="shared" ref="B46:B54" si="12">B19</f>
        <v>Queima a céu aberto</v>
      </c>
      <c r="C46" s="2312">
        <f t="shared" si="9"/>
        <v>0</v>
      </c>
      <c r="D46" s="2312">
        <f t="shared" si="10"/>
        <v>0</v>
      </c>
      <c r="E46" s="2312">
        <f t="shared" si="11"/>
        <v>0</v>
      </c>
      <c r="F46" s="1890"/>
      <c r="G46" s="1890"/>
      <c r="H46" s="1890"/>
      <c r="I46" s="1890"/>
      <c r="J46" s="1890"/>
      <c r="K46" s="1890"/>
      <c r="L46" s="1890"/>
      <c r="M46" s="1890"/>
      <c r="N46" s="1890"/>
      <c r="O46" s="1890"/>
      <c r="P46" s="1890"/>
      <c r="Q46" s="1890"/>
      <c r="R46" s="1890"/>
      <c r="S46" s="1890"/>
      <c r="T46" s="1890"/>
    </row>
    <row r="47" spans="1:20" ht="18" customHeight="1" x14ac:dyDescent="0.2">
      <c r="A47" s="1890"/>
      <c r="B47" s="2226" t="str">
        <f t="shared" si="12"/>
        <v>Lixão não controlado</v>
      </c>
      <c r="C47" s="2312">
        <f t="shared" si="9"/>
        <v>0</v>
      </c>
      <c r="D47" s="2312">
        <f t="shared" si="10"/>
        <v>0</v>
      </c>
      <c r="E47" s="2312">
        <f t="shared" si="11"/>
        <v>0</v>
      </c>
      <c r="F47" s="1890"/>
      <c r="G47" s="1890"/>
      <c r="H47" s="1890"/>
      <c r="I47" s="1890"/>
      <c r="J47" s="1890"/>
      <c r="K47" s="1890"/>
      <c r="L47" s="1890"/>
      <c r="M47" s="1890"/>
      <c r="N47" s="1890"/>
      <c r="O47" s="1890"/>
      <c r="P47" s="1890"/>
      <c r="Q47" s="1890"/>
      <c r="R47" s="1890"/>
      <c r="S47" s="1890"/>
      <c r="T47" s="1890"/>
    </row>
    <row r="48" spans="1:20" ht="18" customHeight="1" x14ac:dyDescent="0.2">
      <c r="A48" s="1890"/>
      <c r="B48" s="2226" t="str">
        <f t="shared" si="12"/>
        <v>Aterro controlado</v>
      </c>
      <c r="C48" s="2312">
        <f t="shared" si="9"/>
        <v>4173.196405613453</v>
      </c>
      <c r="D48" s="2312">
        <f t="shared" si="10"/>
        <v>0</v>
      </c>
      <c r="E48" s="2312">
        <f t="shared" si="11"/>
        <v>4173.196405613453</v>
      </c>
      <c r="F48" s="1890"/>
      <c r="G48" s="1890"/>
      <c r="H48" s="1890"/>
      <c r="I48" s="1890"/>
      <c r="J48" s="1890"/>
      <c r="K48" s="1890"/>
      <c r="L48" s="1890"/>
      <c r="M48" s="1890"/>
      <c r="N48" s="1890"/>
      <c r="O48" s="1890"/>
      <c r="P48" s="1890"/>
      <c r="Q48" s="1890"/>
      <c r="R48" s="1890"/>
      <c r="S48" s="1890"/>
      <c r="T48" s="1890"/>
    </row>
    <row r="49" spans="1:20" ht="18" customHeight="1" x14ac:dyDescent="0.2">
      <c r="A49" s="1890"/>
      <c r="B49" s="2226" t="str">
        <f t="shared" si="12"/>
        <v>Aterro sanitário</v>
      </c>
      <c r="C49" s="2312">
        <f t="shared" si="9"/>
        <v>0</v>
      </c>
      <c r="D49" s="2312">
        <f t="shared" si="10"/>
        <v>0</v>
      </c>
      <c r="E49" s="2312">
        <f t="shared" si="11"/>
        <v>0</v>
      </c>
      <c r="F49" s="1890"/>
      <c r="G49" s="1890"/>
      <c r="H49" s="1890"/>
      <c r="I49" s="1890"/>
      <c r="J49" s="1890"/>
      <c r="K49" s="1890"/>
      <c r="L49" s="1890"/>
      <c r="M49" s="1890"/>
      <c r="N49" s="1890"/>
      <c r="O49" s="1890"/>
      <c r="P49" s="1890"/>
      <c r="Q49" s="1890"/>
      <c r="R49" s="1890"/>
      <c r="S49" s="1890"/>
      <c r="T49" s="1890"/>
    </row>
    <row r="50" spans="1:20" ht="18" customHeight="1" x14ac:dyDescent="0.2">
      <c r="A50" s="1890"/>
      <c r="B50" s="2226" t="str">
        <f t="shared" si="12"/>
        <v>Trat. biol + cobertura at.</v>
      </c>
      <c r="C50" s="2312">
        <f t="shared" si="9"/>
        <v>0</v>
      </c>
      <c r="D50" s="2312">
        <f t="shared" si="10"/>
        <v>0</v>
      </c>
      <c r="E50" s="2312">
        <f t="shared" si="11"/>
        <v>0</v>
      </c>
      <c r="F50" s="1890"/>
      <c r="G50" s="1890"/>
      <c r="H50" s="1890"/>
      <c r="I50" s="1890"/>
      <c r="J50" s="1890"/>
      <c r="K50" s="1890"/>
      <c r="L50" s="1890"/>
      <c r="M50" s="1890"/>
      <c r="N50" s="1890"/>
      <c r="O50" s="1890"/>
      <c r="P50" s="1890"/>
      <c r="Q50" s="1890"/>
      <c r="R50" s="1890"/>
      <c r="S50" s="1890"/>
      <c r="T50" s="1890"/>
    </row>
    <row r="51" spans="1:20" ht="18" customHeight="1" x14ac:dyDescent="0.2">
      <c r="A51" s="1890"/>
      <c r="B51" s="2226" t="str">
        <f t="shared" si="12"/>
        <v>CDR seco + rejeito aterro</v>
      </c>
      <c r="C51" s="2312">
        <f t="shared" si="9"/>
        <v>0</v>
      </c>
      <c r="D51" s="2312">
        <f t="shared" si="10"/>
        <v>0</v>
      </c>
      <c r="E51" s="2312">
        <f t="shared" si="11"/>
        <v>0</v>
      </c>
      <c r="F51" s="1890"/>
      <c r="G51" s="2281"/>
      <c r="H51" s="2282"/>
      <c r="I51" s="2282"/>
      <c r="J51" s="2282"/>
      <c r="K51" s="1890"/>
      <c r="L51" s="1890"/>
      <c r="M51" s="1890"/>
      <c r="N51" s="1890"/>
      <c r="O51" s="1890"/>
      <c r="P51" s="1890"/>
      <c r="Q51" s="1890"/>
      <c r="R51" s="1890"/>
      <c r="S51" s="1890"/>
      <c r="T51" s="1890"/>
    </row>
    <row r="52" spans="1:20" ht="18" customHeight="1" x14ac:dyDescent="0.2">
      <c r="A52" s="1890"/>
      <c r="B52" s="2226" t="str">
        <f t="shared" si="12"/>
        <v>CDR seco + trat. biol.</v>
      </c>
      <c r="C52" s="2312">
        <f t="shared" si="9"/>
        <v>0</v>
      </c>
      <c r="D52" s="2312">
        <f t="shared" si="10"/>
        <v>0</v>
      </c>
      <c r="E52" s="2312">
        <f t="shared" si="11"/>
        <v>0</v>
      </c>
      <c r="F52" s="1890"/>
      <c r="G52" s="2386"/>
      <c r="H52" s="2270" t="s">
        <v>1253</v>
      </c>
      <c r="I52" s="2270" t="s">
        <v>1268</v>
      </c>
      <c r="J52" s="2270" t="s">
        <v>1254</v>
      </c>
      <c r="K52" s="1890"/>
      <c r="L52" s="1890"/>
      <c r="M52" s="1890"/>
      <c r="N52" s="1890"/>
      <c r="O52" s="1890"/>
      <c r="P52" s="1890"/>
      <c r="Q52" s="1890"/>
      <c r="R52" s="1890"/>
      <c r="S52" s="1890"/>
      <c r="T52" s="1890"/>
    </row>
    <row r="53" spans="1:20" ht="18" customHeight="1" x14ac:dyDescent="0.2">
      <c r="A53" s="1890"/>
      <c r="B53" s="2226" t="str">
        <f t="shared" si="12"/>
        <v>CDR seco + CDR org.</v>
      </c>
      <c r="C53" s="2312">
        <f t="shared" si="9"/>
        <v>0</v>
      </c>
      <c r="D53" s="2312">
        <f t="shared" si="10"/>
        <v>0</v>
      </c>
      <c r="E53" s="2312">
        <f t="shared" si="11"/>
        <v>0</v>
      </c>
      <c r="F53" s="1890"/>
      <c r="G53" s="1967" t="s">
        <v>1255</v>
      </c>
      <c r="H53" s="2299">
        <f>SUM(C34:C41)</f>
        <v>1665.6439969728001</v>
      </c>
      <c r="I53" s="2299">
        <f>SUM(C45:C54)</f>
        <v>10407.179756556689</v>
      </c>
      <c r="J53" s="2299">
        <f>+I53+H53</f>
        <v>12072.823753529488</v>
      </c>
      <c r="K53" s="1890"/>
      <c r="L53" s="1890"/>
      <c r="M53" s="1890"/>
      <c r="N53" s="1890"/>
      <c r="O53" s="1890"/>
      <c r="P53" s="1890"/>
      <c r="Q53" s="1890"/>
      <c r="R53" s="1890"/>
      <c r="S53" s="1890"/>
      <c r="T53" s="1890"/>
    </row>
    <row r="54" spans="1:20" ht="18" customHeight="1" x14ac:dyDescent="0.2">
      <c r="A54" s="1890"/>
      <c r="B54" s="2226" t="str">
        <f t="shared" si="12"/>
        <v>Incineração</v>
      </c>
      <c r="C54" s="2312">
        <f>+L71</f>
        <v>6233.9833509432347</v>
      </c>
      <c r="D54" s="2312">
        <f t="shared" si="10"/>
        <v>-443.24404907404056</v>
      </c>
      <c r="E54" s="2312">
        <f>+D54+C54</f>
        <v>5790.7393018691937</v>
      </c>
      <c r="F54" s="1890"/>
      <c r="G54" s="1967" t="s">
        <v>1256</v>
      </c>
      <c r="H54" s="2299">
        <f>SUM(D34:D41)</f>
        <v>-5018.9513721984003</v>
      </c>
      <c r="I54" s="2299">
        <f>SUM(D45:D54)</f>
        <v>-443.24404907404056</v>
      </c>
      <c r="J54" s="2299">
        <f>+I54+H54</f>
        <v>-5462.1954212724413</v>
      </c>
      <c r="K54" s="1890"/>
      <c r="L54" s="1890"/>
      <c r="M54" s="1890"/>
      <c r="N54" s="1890"/>
      <c r="O54" s="1890"/>
      <c r="P54" s="1890"/>
      <c r="Q54" s="1890"/>
      <c r="R54" s="1890"/>
      <c r="S54" s="1890"/>
      <c r="T54" s="1890"/>
    </row>
    <row r="55" spans="1:20" ht="18" customHeight="1" x14ac:dyDescent="0.2">
      <c r="A55" s="1890"/>
      <c r="B55" s="1908"/>
      <c r="C55" s="2308"/>
      <c r="D55" s="2308"/>
      <c r="E55" s="2308"/>
      <c r="F55" s="1890"/>
      <c r="G55" s="1967" t="s">
        <v>1257</v>
      </c>
      <c r="H55" s="2299">
        <f>+H53+H54</f>
        <v>-3353.3073752256005</v>
      </c>
      <c r="I55" s="2299">
        <f>+I53+I54</f>
        <v>9963.9357074826476</v>
      </c>
      <c r="J55" s="2299">
        <f>+I55+H55</f>
        <v>6610.6283322570471</v>
      </c>
      <c r="K55" s="1890"/>
      <c r="L55" s="1890"/>
      <c r="M55" s="1890"/>
      <c r="N55" s="1890"/>
      <c r="O55" s="1890"/>
      <c r="P55" s="1890"/>
      <c r="Q55" s="1890"/>
      <c r="R55" s="1890"/>
      <c r="S55" s="1890"/>
      <c r="T55" s="1890"/>
    </row>
    <row r="56" spans="1:20" ht="18" customHeight="1" x14ac:dyDescent="0.2">
      <c r="A56" s="1890"/>
      <c r="B56" s="1979" t="s">
        <v>52</v>
      </c>
      <c r="C56" s="2332">
        <f>SUM(C34:C54)</f>
        <v>12072.823753529487</v>
      </c>
      <c r="D56" s="2332">
        <f>SUM(D34:D54)</f>
        <v>-5462.1954212724413</v>
      </c>
      <c r="E56" s="2332">
        <f>+D56+C56</f>
        <v>6610.6283322570453</v>
      </c>
      <c r="F56" s="1890"/>
      <c r="G56" s="2281"/>
      <c r="H56" s="2290"/>
      <c r="I56" s="2290"/>
      <c r="J56" s="2290"/>
      <c r="K56" s="1890"/>
      <c r="L56" s="1890"/>
      <c r="M56" s="1890"/>
      <c r="N56" s="1890"/>
      <c r="O56" s="1890"/>
      <c r="P56" s="1890"/>
      <c r="Q56" s="1890"/>
      <c r="R56" s="1890"/>
      <c r="S56" s="1890"/>
      <c r="T56" s="1890"/>
    </row>
    <row r="57" spans="1:20" x14ac:dyDescent="0.2">
      <c r="A57" s="1890"/>
      <c r="B57" s="1890"/>
      <c r="C57" s="1890"/>
      <c r="D57" s="1890"/>
      <c r="E57" s="1890"/>
      <c r="F57" s="1890"/>
      <c r="G57" s="2281"/>
      <c r="H57" s="2282"/>
      <c r="I57" s="2282"/>
      <c r="J57" s="2290"/>
      <c r="K57" s="2234"/>
      <c r="L57" s="1890"/>
      <c r="M57" s="1890"/>
      <c r="N57" s="1890"/>
      <c r="O57" s="1890"/>
      <c r="P57" s="1890"/>
      <c r="Q57" s="1890"/>
      <c r="R57" s="1890"/>
      <c r="S57" s="1890"/>
      <c r="T57" s="1890"/>
    </row>
    <row r="58" spans="1:20" x14ac:dyDescent="0.2">
      <c r="A58" s="1890"/>
      <c r="B58" s="1890"/>
      <c r="C58" s="1890"/>
      <c r="D58" s="1890"/>
      <c r="E58" s="1890"/>
      <c r="F58" s="1890"/>
      <c r="G58" s="2281"/>
      <c r="H58" s="2282"/>
      <c r="I58" s="2282"/>
      <c r="J58" s="2290"/>
      <c r="K58" s="2234"/>
      <c r="L58" s="1890"/>
      <c r="M58" s="1890"/>
      <c r="N58" s="1890"/>
      <c r="O58" s="1890"/>
      <c r="P58" s="1890"/>
      <c r="Q58" s="1890"/>
      <c r="R58" s="1890"/>
      <c r="S58" s="1890"/>
      <c r="T58" s="1890"/>
    </row>
    <row r="59" spans="1:20" s="2229" customFormat="1" ht="26.1" customHeight="1" x14ac:dyDescent="0.2">
      <c r="A59" s="2291" t="s">
        <v>1258</v>
      </c>
      <c r="B59" s="1985"/>
      <c r="C59" s="2330"/>
      <c r="D59" s="2330"/>
      <c r="E59" s="2330"/>
      <c r="F59" s="2228"/>
      <c r="G59" s="1985"/>
      <c r="H59" s="1985"/>
      <c r="I59" s="1985"/>
      <c r="J59" s="1985"/>
      <c r="K59" s="1912" t="s">
        <v>1259</v>
      </c>
      <c r="L59" s="1985"/>
      <c r="M59" s="1985"/>
      <c r="N59" s="1985"/>
      <c r="O59" s="1985"/>
      <c r="P59" s="1985"/>
      <c r="Q59" s="1985"/>
      <c r="R59" s="1985"/>
      <c r="S59" s="1985"/>
      <c r="T59" s="1985"/>
    </row>
    <row r="60" spans="1:20" ht="18" x14ac:dyDescent="0.25">
      <c r="A60" s="2293"/>
      <c r="B60" s="1890"/>
      <c r="C60" s="1890"/>
      <c r="D60" s="1890"/>
      <c r="E60" s="1890"/>
      <c r="F60" s="1890"/>
      <c r="G60" s="1890"/>
      <c r="H60" s="1890"/>
      <c r="I60" s="1890"/>
      <c r="J60" s="1890"/>
      <c r="K60" s="1890"/>
      <c r="L60" s="1890"/>
      <c r="M60" s="1890"/>
      <c r="N60" s="1890"/>
      <c r="O60" s="1890"/>
      <c r="P60" s="1890"/>
      <c r="Q60" s="1890"/>
      <c r="R60" s="1890"/>
      <c r="S60" s="1890"/>
      <c r="T60" s="1890"/>
    </row>
    <row r="61" spans="1:20" ht="18" customHeight="1" x14ac:dyDescent="0.2">
      <c r="A61" s="1890"/>
      <c r="B61" s="2409"/>
      <c r="C61" s="2306" t="s">
        <v>1237</v>
      </c>
      <c r="D61" s="2079" t="s">
        <v>1257</v>
      </c>
      <c r="E61" s="1890"/>
      <c r="F61" s="1890"/>
      <c r="G61" s="1890"/>
      <c r="H61" s="1890"/>
      <c r="I61" s="1890"/>
      <c r="J61" s="2410"/>
      <c r="K61" s="2411"/>
      <c r="L61" s="2079" t="s">
        <v>1265</v>
      </c>
      <c r="M61" s="2079" t="s">
        <v>1257</v>
      </c>
      <c r="N61" s="1890"/>
      <c r="O61" s="1890"/>
      <c r="P61" s="1890"/>
      <c r="Q61" s="1890"/>
      <c r="R61" s="1890"/>
      <c r="S61" s="1890"/>
      <c r="T61" s="1890"/>
    </row>
    <row r="62" spans="1:20" ht="18" customHeight="1" x14ac:dyDescent="0.2">
      <c r="A62" s="1890"/>
      <c r="B62" s="2303" t="str">
        <f>+'CO2 - Cálculos'!AC16</f>
        <v>Resíduos de alimentos</v>
      </c>
      <c r="C62" s="2312">
        <f>+'CO2 - Cálculos'!AJ16</f>
        <v>0</v>
      </c>
      <c r="D62" s="2379"/>
      <c r="E62" s="1890"/>
      <c r="F62" s="1890"/>
      <c r="G62" s="1890"/>
      <c r="H62" s="1890"/>
      <c r="I62" s="1890"/>
      <c r="J62" s="2410"/>
      <c r="K62" s="2412" t="str">
        <f>+'CO2 - Cálculos'!AC61</f>
        <v>Resíduos dispersos</v>
      </c>
      <c r="L62" s="2413">
        <f>+'CO2 - Cálculos'!AJ61</f>
        <v>0</v>
      </c>
      <c r="M62" s="2380"/>
      <c r="N62" s="1890"/>
      <c r="O62" s="1890"/>
      <c r="P62" s="1890"/>
      <c r="Q62" s="1890"/>
      <c r="R62" s="1890"/>
      <c r="S62" s="1890"/>
      <c r="T62" s="1890"/>
    </row>
    <row r="63" spans="1:20" ht="18" customHeight="1" x14ac:dyDescent="0.2">
      <c r="A63" s="1890"/>
      <c r="B63" s="2303" t="str">
        <f>+'CO2 - Cálculos'!AC17</f>
        <v>Resíduos de jardins e parques</v>
      </c>
      <c r="C63" s="2312">
        <f>+'CO2 - Cálculos'!AJ17</f>
        <v>0</v>
      </c>
      <c r="D63" s="2379"/>
      <c r="E63" s="1890"/>
      <c r="F63" s="1890"/>
      <c r="G63" s="1890"/>
      <c r="H63" s="1890"/>
      <c r="I63" s="1890"/>
      <c r="J63" s="2410"/>
      <c r="K63" s="2412" t="str">
        <f>+'CO2 - Cálculos'!AC62</f>
        <v>Queima a céu aberto</v>
      </c>
      <c r="L63" s="2413">
        <f>+'CO2 - Cálculos'!AJ62</f>
        <v>0</v>
      </c>
      <c r="M63" s="2380"/>
      <c r="N63" s="1890"/>
      <c r="O63" s="1890"/>
      <c r="P63" s="1890"/>
      <c r="Q63" s="1890"/>
      <c r="R63" s="1890"/>
      <c r="S63" s="1890"/>
      <c r="T63" s="1890"/>
    </row>
    <row r="64" spans="1:20" ht="18" customHeight="1" x14ac:dyDescent="0.2">
      <c r="A64" s="1890"/>
      <c r="B64" s="2303" t="str">
        <f>+'CO2 - Cálculos'!AC18</f>
        <v>Papel, papelão</v>
      </c>
      <c r="C64" s="2312">
        <f>+'CO2 - Cálculos'!AJ18</f>
        <v>1261.5838604928001</v>
      </c>
      <c r="D64" s="2379"/>
      <c r="E64" s="1890"/>
      <c r="F64" s="1890"/>
      <c r="G64" s="1890"/>
      <c r="H64" s="1890"/>
      <c r="I64" s="1890"/>
      <c r="J64" s="2410"/>
      <c r="K64" s="2412" t="str">
        <f>+'CO2 - Cálculos'!AC63</f>
        <v>Lixão não controlado</v>
      </c>
      <c r="L64" s="2413">
        <f>+'CO2 - Cálculos'!AJ63</f>
        <v>0</v>
      </c>
      <c r="M64" s="2380"/>
      <c r="N64" s="1890"/>
      <c r="O64" s="1890"/>
      <c r="P64" s="1890"/>
      <c r="Q64" s="1890"/>
      <c r="R64" s="1890"/>
      <c r="S64" s="1890"/>
      <c r="T64" s="1890"/>
    </row>
    <row r="65" spans="1:20" ht="18" customHeight="1" x14ac:dyDescent="0.2">
      <c r="A65" s="1890"/>
      <c r="B65" s="2303" t="str">
        <f>+'CO2 - Cálculos'!AC19</f>
        <v>Plásticos</v>
      </c>
      <c r="C65" s="2312">
        <f>+'CO2 - Cálculos'!AJ19</f>
        <v>280.38273119999997</v>
      </c>
      <c r="D65" s="2379"/>
      <c r="E65" s="1890"/>
      <c r="F65" s="1890"/>
      <c r="G65" s="1890"/>
      <c r="H65" s="1890"/>
      <c r="I65" s="1890"/>
      <c r="J65" s="2410"/>
      <c r="K65" s="2412" t="str">
        <f>+'CO2 - Cálculos'!AC64</f>
        <v>Aterro controlado</v>
      </c>
      <c r="L65" s="2413">
        <f>+'CO2 - Cálculos'!AJ64</f>
        <v>4173.196405613453</v>
      </c>
      <c r="M65" s="2380"/>
      <c r="N65" s="1890"/>
      <c r="O65" s="1890"/>
      <c r="P65" s="1890"/>
      <c r="Q65" s="1890"/>
      <c r="R65" s="1890"/>
      <c r="S65" s="1890"/>
      <c r="T65" s="1890"/>
    </row>
    <row r="66" spans="1:20" ht="18" customHeight="1" x14ac:dyDescent="0.2">
      <c r="A66" s="1890"/>
      <c r="B66" s="2303" t="str">
        <f>+'CO2 - Cálculos'!AC20</f>
        <v>Vidros</v>
      </c>
      <c r="C66" s="2312">
        <f>+'CO2 - Cálculos'!AJ20</f>
        <v>0</v>
      </c>
      <c r="D66" s="2379"/>
      <c r="E66" s="1890"/>
      <c r="F66" s="1890"/>
      <c r="G66" s="1890"/>
      <c r="H66" s="1890"/>
      <c r="I66" s="1890"/>
      <c r="J66" s="2410"/>
      <c r="K66" s="2412" t="str">
        <f>+'CO2 - Cálculos'!AC65</f>
        <v>Aterro sanitário</v>
      </c>
      <c r="L66" s="2413">
        <f>+'CO2 - Cálculos'!AJ65</f>
        <v>0</v>
      </c>
      <c r="M66" s="2380"/>
      <c r="N66" s="1890"/>
      <c r="O66" s="1890"/>
      <c r="P66" s="1890"/>
      <c r="Q66" s="1890"/>
      <c r="R66" s="1890"/>
      <c r="S66" s="1890"/>
      <c r="T66" s="1890"/>
    </row>
    <row r="67" spans="1:20" ht="18" customHeight="1" x14ac:dyDescent="0.2">
      <c r="A67" s="1890"/>
      <c r="B67" s="2303" t="str">
        <f>+'CO2 - Cálculos'!AC21</f>
        <v>Metais ferrosos</v>
      </c>
      <c r="C67" s="2312">
        <f>+'CO2 - Cálculos'!AJ21</f>
        <v>32.198999039999997</v>
      </c>
      <c r="D67" s="2379"/>
      <c r="E67" s="1890"/>
      <c r="F67" s="1890"/>
      <c r="G67" s="1890"/>
      <c r="H67" s="1890"/>
      <c r="I67" s="1890"/>
      <c r="J67" s="2414"/>
      <c r="K67" s="2412" t="str">
        <f>+'CO2 - Cálculos'!AC66</f>
        <v>Trat. biol + cobertura at.</v>
      </c>
      <c r="L67" s="2413">
        <f>+'CO2 - Cálculos'!AJ66</f>
        <v>0</v>
      </c>
      <c r="M67" s="2380"/>
      <c r="N67" s="1890"/>
      <c r="O67" s="1890"/>
      <c r="P67" s="1890"/>
      <c r="Q67" s="1890"/>
      <c r="R67" s="1890"/>
      <c r="S67" s="1890"/>
      <c r="T67" s="1890"/>
    </row>
    <row r="68" spans="1:20" ht="18" customHeight="1" x14ac:dyDescent="0.2">
      <c r="A68" s="1890"/>
      <c r="B68" s="2303" t="str">
        <f>+'CO2 - Cálculos'!AC22</f>
        <v>Alumínio</v>
      </c>
      <c r="C68" s="2312">
        <f>+'CO2 - Cálculos'!AJ22</f>
        <v>91.478406239999984</v>
      </c>
      <c r="D68" s="2379"/>
      <c r="E68" s="1890"/>
      <c r="F68" s="1890"/>
      <c r="G68" s="1890"/>
      <c r="H68" s="1890"/>
      <c r="I68" s="1890"/>
      <c r="J68" s="2414"/>
      <c r="K68" s="2412" t="str">
        <f>+'CO2 - Cálculos'!AC67</f>
        <v>CDR seco + rejeito aterro</v>
      </c>
      <c r="L68" s="2413">
        <f>+'CO2 - Cálculos'!AJ67</f>
        <v>0</v>
      </c>
      <c r="M68" s="2380"/>
      <c r="N68" s="1890"/>
      <c r="O68" s="1890"/>
      <c r="P68" s="1890"/>
      <c r="Q68" s="1890"/>
      <c r="R68" s="1890"/>
      <c r="S68" s="1890"/>
      <c r="T68" s="1890"/>
    </row>
    <row r="69" spans="1:20" ht="18" customHeight="1" x14ac:dyDescent="0.2">
      <c r="A69" s="2234"/>
      <c r="B69" s="2303" t="str">
        <f>+'CO2 - Cálculos'!AC23</f>
        <v>Têxteis</v>
      </c>
      <c r="C69" s="2312">
        <f>+'CO2 - Cálculos'!AJ23</f>
        <v>0</v>
      </c>
      <c r="D69" s="2379"/>
      <c r="E69" s="1890"/>
      <c r="F69" s="1890"/>
      <c r="G69" s="1890"/>
      <c r="H69" s="1890"/>
      <c r="I69" s="1890"/>
      <c r="J69" s="2414"/>
      <c r="K69" s="2412" t="str">
        <f>+'CO2 - Cálculos'!AC68</f>
        <v>CDR seco + trat. biol.</v>
      </c>
      <c r="L69" s="2413">
        <f>+'CO2 - Cálculos'!AJ68</f>
        <v>0</v>
      </c>
      <c r="M69" s="2380"/>
      <c r="N69" s="1890"/>
      <c r="O69" s="1890"/>
      <c r="P69" s="1890"/>
      <c r="Q69" s="1890"/>
      <c r="R69" s="1890"/>
      <c r="S69" s="1890"/>
      <c r="T69" s="1890"/>
    </row>
    <row r="70" spans="1:20" ht="18" customHeight="1" x14ac:dyDescent="0.2">
      <c r="A70" s="1890"/>
      <c r="B70" s="2365" t="s">
        <v>1255</v>
      </c>
      <c r="C70" s="2379"/>
      <c r="D70" s="2311"/>
      <c r="E70" s="1890"/>
      <c r="F70" s="1890"/>
      <c r="G70" s="1890"/>
      <c r="H70" s="1890"/>
      <c r="I70" s="1890"/>
      <c r="J70" s="2410"/>
      <c r="K70" s="2412" t="str">
        <f>+'CO2 - Cálculos'!AC69</f>
        <v>CDR seco + CDR org.</v>
      </c>
      <c r="L70" s="2413">
        <f>+'CO2 - Cálculos'!AJ69</f>
        <v>0</v>
      </c>
      <c r="M70" s="2380"/>
      <c r="N70" s="1890"/>
      <c r="O70" s="1890"/>
      <c r="P70" s="1890"/>
      <c r="Q70" s="1890"/>
      <c r="R70" s="1890"/>
      <c r="S70" s="1890"/>
      <c r="T70" s="1890"/>
    </row>
    <row r="71" spans="1:20" ht="18" customHeight="1" x14ac:dyDescent="0.2">
      <c r="A71" s="1890"/>
      <c r="B71" s="2300" t="str">
        <f>+'CO2 - Cálculos'!AC25</f>
        <v>Resíduos de alimentos</v>
      </c>
      <c r="C71" s="2312">
        <f>+'CO2 - Cálculos'!AJ25</f>
        <v>0</v>
      </c>
      <c r="D71" s="2379"/>
      <c r="E71" s="1890"/>
      <c r="F71" s="1890"/>
      <c r="G71" s="1890"/>
      <c r="H71" s="1890"/>
      <c r="I71" s="1890"/>
      <c r="J71" s="2410"/>
      <c r="K71" s="2412" t="str">
        <f>+'CO2 - Cálculos'!AC70</f>
        <v>Incineração</v>
      </c>
      <c r="L71" s="2413">
        <f>+'CO2 - Cálculos'!AJ70</f>
        <v>6233.9833509432347</v>
      </c>
      <c r="M71" s="2380"/>
      <c r="N71" s="1890"/>
      <c r="O71" s="1890"/>
      <c r="P71" s="1890"/>
      <c r="Q71" s="1890"/>
      <c r="R71" s="1890"/>
      <c r="S71" s="1890"/>
      <c r="T71" s="1890"/>
    </row>
    <row r="72" spans="1:20" ht="18" customHeight="1" x14ac:dyDescent="0.2">
      <c r="A72" s="1890"/>
      <c r="B72" s="2300" t="str">
        <f>+'CO2 - Cálculos'!AC26</f>
        <v>Resíduos de jardins e parques</v>
      </c>
      <c r="C72" s="2312">
        <f>+'CO2 - Cálculos'!AJ26</f>
        <v>0</v>
      </c>
      <c r="D72" s="2379"/>
      <c r="E72" s="1890"/>
      <c r="F72" s="1890"/>
      <c r="G72" s="1890"/>
      <c r="H72" s="1890"/>
      <c r="I72" s="1890"/>
      <c r="J72" s="2410"/>
      <c r="K72" s="2415" t="s">
        <v>1255</v>
      </c>
      <c r="L72" s="2380"/>
      <c r="M72" s="2380"/>
      <c r="N72" s="1890"/>
      <c r="O72" s="1890"/>
      <c r="P72" s="1890"/>
      <c r="Q72" s="1890"/>
      <c r="R72" s="1890"/>
      <c r="S72" s="1890"/>
      <c r="T72" s="1890"/>
    </row>
    <row r="73" spans="1:20" ht="18" customHeight="1" x14ac:dyDescent="0.2">
      <c r="A73" s="1890"/>
      <c r="B73" s="2300" t="str">
        <f>+'CO2 - Cálculos'!AC27</f>
        <v>Papel, papelão</v>
      </c>
      <c r="C73" s="2312">
        <f>+'CO2 - Cálculos'!AJ27</f>
        <v>-1554.8820191423999</v>
      </c>
      <c r="D73" s="2379"/>
      <c r="E73" s="1890"/>
      <c r="F73" s="1890"/>
      <c r="G73" s="1890"/>
      <c r="H73" s="1890"/>
      <c r="I73" s="1890"/>
      <c r="J73" s="2410"/>
      <c r="K73" s="2412" t="str">
        <f>+'CO2 - Cálculos'!AC72</f>
        <v>Resíduos dispersos</v>
      </c>
      <c r="L73" s="2416">
        <f>+'CO2 - Cálculos'!AJ72</f>
        <v>0</v>
      </c>
      <c r="M73" s="2380"/>
      <c r="N73" s="1890"/>
      <c r="O73" s="1890"/>
      <c r="P73" s="1890"/>
      <c r="Q73" s="1890"/>
      <c r="R73" s="1890"/>
      <c r="S73" s="1890"/>
      <c r="T73" s="1890"/>
    </row>
    <row r="74" spans="1:20" ht="18" customHeight="1" x14ac:dyDescent="0.2">
      <c r="A74" s="1890"/>
      <c r="B74" s="2300" t="str">
        <f>+'CO2 - Cálculos'!AC28</f>
        <v>Plásticos</v>
      </c>
      <c r="C74" s="2312">
        <f>+'CO2 - Cálculos'!AJ28</f>
        <v>-1306.0364391359999</v>
      </c>
      <c r="D74" s="2379"/>
      <c r="E74" s="1890"/>
      <c r="F74" s="1890"/>
      <c r="G74" s="1890"/>
      <c r="H74" s="1890"/>
      <c r="I74" s="1890"/>
      <c r="J74" s="2410"/>
      <c r="K74" s="2412" t="str">
        <f>+'CO2 - Cálculos'!AC73</f>
        <v>Queima a céu aberto</v>
      </c>
      <c r="L74" s="2416">
        <f>+'CO2 - Cálculos'!AJ73</f>
        <v>0</v>
      </c>
      <c r="M74" s="2380"/>
      <c r="N74" s="1890"/>
      <c r="O74" s="1890"/>
      <c r="P74" s="1890"/>
      <c r="Q74" s="1890"/>
      <c r="R74" s="1890"/>
      <c r="S74" s="1890"/>
      <c r="T74" s="1890"/>
    </row>
    <row r="75" spans="1:20" ht="18" customHeight="1" x14ac:dyDescent="0.2">
      <c r="A75" s="1890"/>
      <c r="B75" s="2300" t="str">
        <f>+'CO2 - Cálculos'!AC29</f>
        <v>Vidros</v>
      </c>
      <c r="C75" s="2312">
        <f>+'CO2 - Cálculos'!AJ29</f>
        <v>0</v>
      </c>
      <c r="D75" s="2379"/>
      <c r="E75" s="1890"/>
      <c r="F75" s="1890"/>
      <c r="G75" s="1890"/>
      <c r="H75" s="1890"/>
      <c r="I75" s="1890"/>
      <c r="J75" s="2410"/>
      <c r="K75" s="2412" t="str">
        <f>+'CO2 - Cálculos'!AC74</f>
        <v>Lixão não controlado</v>
      </c>
      <c r="L75" s="2416">
        <f>+'CO2 - Cálculos'!AJ74</f>
        <v>0</v>
      </c>
      <c r="M75" s="2380"/>
      <c r="N75" s="1890"/>
      <c r="O75" s="1890"/>
      <c r="P75" s="1890"/>
      <c r="Q75" s="1890"/>
      <c r="R75" s="1890"/>
      <c r="S75" s="1890"/>
      <c r="T75" s="1890"/>
    </row>
    <row r="76" spans="1:20" ht="18" customHeight="1" x14ac:dyDescent="0.2">
      <c r="A76" s="1890"/>
      <c r="B76" s="2300" t="str">
        <f>+'CO2 - Cálculos'!AC30</f>
        <v>Metais ferrosos</v>
      </c>
      <c r="C76" s="2312">
        <f>+'CO2 - Cálculos'!AJ30</f>
        <v>-861.32322431999989</v>
      </c>
      <c r="D76" s="2379"/>
      <c r="E76" s="1890"/>
      <c r="F76" s="1890"/>
      <c r="G76" s="1890"/>
      <c r="H76" s="1890"/>
      <c r="I76" s="1890"/>
      <c r="J76" s="2410"/>
      <c r="K76" s="2412" t="str">
        <f>+'CO2 - Cálculos'!AC75</f>
        <v>Aterro controlado</v>
      </c>
      <c r="L76" s="2416">
        <f>+'CO2 - Cálculos'!AJ75</f>
        <v>0</v>
      </c>
      <c r="M76" s="2380"/>
      <c r="N76" s="1890"/>
      <c r="O76" s="1890"/>
      <c r="P76" s="1890"/>
      <c r="Q76" s="1890"/>
      <c r="R76" s="1890"/>
      <c r="S76" s="1890"/>
      <c r="T76" s="1890"/>
    </row>
    <row r="77" spans="1:20" ht="18" customHeight="1" x14ac:dyDescent="0.2">
      <c r="A77" s="1890"/>
      <c r="B77" s="2300" t="str">
        <f>+'CO2 - Cálculos'!AC31</f>
        <v>Alumínio</v>
      </c>
      <c r="C77" s="2312">
        <f>+'CO2 - Cálculos'!AJ31</f>
        <v>-1296.7096895999998</v>
      </c>
      <c r="D77" s="2379"/>
      <c r="E77" s="1890"/>
      <c r="F77" s="1890"/>
      <c r="G77" s="1890"/>
      <c r="H77" s="1890"/>
      <c r="I77" s="1890"/>
      <c r="J77" s="2414"/>
      <c r="K77" s="2412" t="str">
        <f>+'CO2 - Cálculos'!AC76</f>
        <v>Aterro sanitário</v>
      </c>
      <c r="L77" s="2416">
        <f>+'CO2 - Cálculos'!AJ76</f>
        <v>0</v>
      </c>
      <c r="M77" s="2380"/>
      <c r="N77" s="1890"/>
      <c r="O77" s="1890"/>
      <c r="P77" s="1890"/>
      <c r="Q77" s="1890"/>
      <c r="R77" s="1890"/>
      <c r="S77" s="1890"/>
      <c r="T77" s="1890"/>
    </row>
    <row r="78" spans="1:20" ht="18" customHeight="1" x14ac:dyDescent="0.2">
      <c r="A78" s="1890"/>
      <c r="B78" s="2300" t="str">
        <f>+'CO2 - Cálculos'!AC32</f>
        <v>Têxteis</v>
      </c>
      <c r="C78" s="2312">
        <f>+'CO2 - Cálculos'!AJ32</f>
        <v>0</v>
      </c>
      <c r="D78" s="2379"/>
      <c r="E78" s="1890"/>
      <c r="F78" s="1890"/>
      <c r="G78" s="1890"/>
      <c r="H78" s="1890"/>
      <c r="I78" s="1890"/>
      <c r="J78" s="2414"/>
      <c r="K78" s="2412" t="str">
        <f>+'CO2 - Cálculos'!AC77</f>
        <v>Trat. biol + cobertura at.</v>
      </c>
      <c r="L78" s="2416">
        <f>+'CO2 - Cálculos'!AJ77</f>
        <v>0</v>
      </c>
      <c r="M78" s="2380"/>
      <c r="N78" s="1890"/>
      <c r="O78" s="1890"/>
      <c r="P78" s="1890"/>
      <c r="Q78" s="1890"/>
      <c r="R78" s="1890"/>
      <c r="S78" s="1890"/>
      <c r="T78" s="1890"/>
    </row>
    <row r="79" spans="1:20" ht="18" customHeight="1" x14ac:dyDescent="0.2">
      <c r="A79" s="1890"/>
      <c r="B79" s="2365" t="s">
        <v>1256</v>
      </c>
      <c r="C79" s="2379"/>
      <c r="D79" s="2311"/>
      <c r="E79" s="1890"/>
      <c r="F79" s="1890"/>
      <c r="G79" s="1890"/>
      <c r="H79" s="1890"/>
      <c r="I79" s="1890"/>
      <c r="J79" s="2414"/>
      <c r="K79" s="2412" t="str">
        <f>+'CO2 - Cálculos'!AC78</f>
        <v>CDR seco + rejeito aterro</v>
      </c>
      <c r="L79" s="2416">
        <f>+'CO2 - Cálculos'!AJ78</f>
        <v>0</v>
      </c>
      <c r="M79" s="2380"/>
      <c r="N79" s="1890"/>
      <c r="O79" s="1890"/>
      <c r="P79" s="1890"/>
      <c r="Q79" s="1890"/>
      <c r="R79" s="1890"/>
      <c r="S79" s="1890"/>
      <c r="T79" s="1890"/>
    </row>
    <row r="80" spans="1:20" ht="18" customHeight="1" x14ac:dyDescent="0.2">
      <c r="A80" s="1890"/>
      <c r="B80" s="2365" t="s">
        <v>1257</v>
      </c>
      <c r="C80" s="2379"/>
      <c r="D80" s="2312">
        <f>SUM(C62:C69,C71:C78)</f>
        <v>-3353.3073752255996</v>
      </c>
      <c r="E80" s="1890"/>
      <c r="F80" s="1890"/>
      <c r="G80" s="1890"/>
      <c r="H80" s="1890"/>
      <c r="I80" s="1890"/>
      <c r="J80" s="2410"/>
      <c r="K80" s="2412" t="str">
        <f>+'CO2 - Cálculos'!AC79</f>
        <v>CDR seco + trat. biol.</v>
      </c>
      <c r="L80" s="2416">
        <f>+'CO2 - Cálculos'!AJ79</f>
        <v>0</v>
      </c>
      <c r="M80" s="2380"/>
      <c r="N80" s="1890"/>
      <c r="O80" s="1890"/>
      <c r="P80" s="1890"/>
      <c r="Q80" s="1890"/>
      <c r="R80" s="1890"/>
      <c r="S80" s="1890"/>
      <c r="T80" s="1890"/>
    </row>
    <row r="81" spans="1:20" ht="18" customHeight="1" x14ac:dyDescent="0.2">
      <c r="A81" s="1890"/>
      <c r="B81" s="1890"/>
      <c r="C81" s="1890"/>
      <c r="D81" s="1890"/>
      <c r="E81" s="1890"/>
      <c r="F81" s="1890"/>
      <c r="G81" s="1890"/>
      <c r="H81" s="1890"/>
      <c r="I81" s="1890"/>
      <c r="J81" s="2410"/>
      <c r="K81" s="2412" t="str">
        <f>+'CO2 - Cálculos'!AC80</f>
        <v>CDR seco + CDR org.</v>
      </c>
      <c r="L81" s="2416">
        <f>+'CO2 - Cálculos'!AJ80</f>
        <v>0</v>
      </c>
      <c r="M81" s="2380"/>
      <c r="N81" s="1890"/>
      <c r="O81" s="1890"/>
      <c r="P81" s="1890"/>
      <c r="Q81" s="1890"/>
      <c r="R81" s="1890"/>
      <c r="S81" s="1890"/>
      <c r="T81" s="1890"/>
    </row>
    <row r="82" spans="1:20" ht="18" customHeight="1" x14ac:dyDescent="0.2">
      <c r="A82" s="1890"/>
      <c r="B82" s="1890"/>
      <c r="C82" s="1890"/>
      <c r="D82" s="1890"/>
      <c r="E82" s="2267"/>
      <c r="F82" s="1890"/>
      <c r="G82" s="1890"/>
      <c r="H82" s="1890"/>
      <c r="I82" s="1890"/>
      <c r="J82" s="2410"/>
      <c r="K82" s="2412" t="str">
        <f>+'CO2 - Cálculos'!AC81</f>
        <v>Incineração</v>
      </c>
      <c r="L82" s="2416">
        <f>+'CO2 - Cálculos'!AJ81</f>
        <v>-443.24404907404056</v>
      </c>
      <c r="M82" s="2380"/>
      <c r="N82" s="1890"/>
      <c r="O82" s="1890"/>
      <c r="P82" s="1890"/>
      <c r="Q82" s="1890"/>
      <c r="R82" s="1890"/>
      <c r="S82" s="1890"/>
      <c r="T82" s="1890"/>
    </row>
    <row r="83" spans="1:20" ht="18" customHeight="1" x14ac:dyDescent="0.2">
      <c r="A83" s="1890"/>
      <c r="B83" s="1890"/>
      <c r="C83" s="1890"/>
      <c r="D83" s="1890"/>
      <c r="E83" s="2267"/>
      <c r="F83" s="1890"/>
      <c r="G83" s="1890"/>
      <c r="H83" s="1890"/>
      <c r="I83" s="1890"/>
      <c r="J83" s="2410"/>
      <c r="K83" s="2415" t="s">
        <v>1256</v>
      </c>
      <c r="L83" s="2380"/>
      <c r="M83" s="2380"/>
      <c r="N83" s="1890"/>
      <c r="O83" s="1890"/>
      <c r="P83" s="1890"/>
      <c r="Q83" s="1890"/>
      <c r="R83" s="1890"/>
      <c r="S83" s="1890"/>
      <c r="T83" s="1890"/>
    </row>
    <row r="84" spans="1:20" ht="18" customHeight="1" x14ac:dyDescent="0.2">
      <c r="A84" s="1890"/>
      <c r="B84" s="1890"/>
      <c r="C84" s="1890"/>
      <c r="D84" s="1890"/>
      <c r="E84" s="2267"/>
      <c r="F84" s="1890"/>
      <c r="G84" s="1890"/>
      <c r="H84" s="1890"/>
      <c r="I84" s="1890"/>
      <c r="J84" s="2410"/>
      <c r="K84" s="2415" t="s">
        <v>1257</v>
      </c>
      <c r="L84" s="2380"/>
      <c r="M84" s="2417">
        <f>SUM(L62:L71,L73:L82)</f>
        <v>9963.9357074826476</v>
      </c>
      <c r="N84" s="1890"/>
      <c r="O84" s="1890"/>
      <c r="P84" s="1890"/>
      <c r="Q84" s="1890"/>
      <c r="R84" s="1890"/>
      <c r="S84" s="1890"/>
      <c r="T84" s="1890"/>
    </row>
    <row r="85" spans="1:20" ht="18" customHeight="1" x14ac:dyDescent="0.2">
      <c r="A85" s="1890"/>
      <c r="B85" s="1890"/>
      <c r="C85" s="1890"/>
      <c r="D85" s="1890"/>
      <c r="E85" s="1890"/>
      <c r="F85" s="1890"/>
      <c r="G85" s="1890"/>
      <c r="H85" s="1890"/>
      <c r="I85" s="1890"/>
      <c r="J85" s="1890"/>
      <c r="K85" s="1890"/>
      <c r="L85" s="1890"/>
      <c r="M85" s="1890"/>
      <c r="N85" s="1890"/>
      <c r="O85" s="1890"/>
      <c r="P85" s="1890"/>
      <c r="Q85" s="1890"/>
      <c r="R85" s="1890"/>
      <c r="S85" s="1890"/>
      <c r="T85" s="1890"/>
    </row>
    <row r="86" spans="1:20" x14ac:dyDescent="0.2">
      <c r="A86" s="1890"/>
      <c r="B86" s="1890"/>
      <c r="C86" s="1890"/>
      <c r="D86" s="1890"/>
      <c r="E86" s="1890"/>
      <c r="F86" s="1890"/>
      <c r="G86" s="1890"/>
      <c r="H86" s="1890"/>
      <c r="I86" s="1890"/>
      <c r="J86" s="1890"/>
      <c r="K86" s="1890"/>
      <c r="L86" s="1890"/>
      <c r="M86" s="1890"/>
      <c r="N86" s="1890"/>
      <c r="O86" s="1890"/>
      <c r="P86" s="1890"/>
      <c r="Q86" s="1890"/>
      <c r="R86" s="1890"/>
      <c r="S86" s="1890"/>
      <c r="T86" s="1890"/>
    </row>
    <row r="87" spans="1:20" x14ac:dyDescent="0.2">
      <c r="A87" s="1890"/>
      <c r="B87" s="1890"/>
      <c r="C87" s="1890"/>
      <c r="D87" s="1890"/>
      <c r="E87" s="1890"/>
      <c r="F87" s="1890"/>
      <c r="G87" s="1890"/>
      <c r="H87" s="1890"/>
      <c r="I87" s="1890"/>
      <c r="J87" s="1890"/>
      <c r="K87" s="1890"/>
      <c r="L87" s="1890"/>
      <c r="M87" s="1890"/>
      <c r="N87" s="1890"/>
      <c r="O87" s="1890"/>
      <c r="P87" s="1890"/>
      <c r="Q87" s="1890"/>
      <c r="R87" s="1890"/>
      <c r="S87" s="1890"/>
      <c r="T87" s="1890"/>
    </row>
    <row r="88" spans="1:20" x14ac:dyDescent="0.2">
      <c r="A88" s="1890"/>
      <c r="B88" s="1890"/>
      <c r="C88" s="1890"/>
      <c r="D88" s="1890"/>
      <c r="E88" s="1890"/>
      <c r="F88" s="1890"/>
      <c r="G88" s="1890"/>
      <c r="H88" s="1890"/>
      <c r="I88" s="1890"/>
      <c r="J88" s="1890"/>
      <c r="K88" s="1890"/>
      <c r="L88" s="1890"/>
      <c r="M88" s="1890"/>
      <c r="N88" s="1890"/>
      <c r="O88" s="1890"/>
      <c r="P88" s="1890"/>
      <c r="Q88" s="1890"/>
      <c r="R88" s="1890"/>
      <c r="S88" s="1890"/>
      <c r="T88" s="1890"/>
    </row>
    <row r="89" spans="1:20" x14ac:dyDescent="0.2">
      <c r="A89" s="1890"/>
      <c r="B89" s="1890"/>
      <c r="C89" s="1890"/>
      <c r="D89" s="1890"/>
      <c r="E89" s="1890"/>
      <c r="F89" s="1890"/>
      <c r="G89" s="1890"/>
      <c r="H89" s="1890"/>
      <c r="I89" s="1890"/>
      <c r="J89" s="1890"/>
      <c r="K89" s="1890"/>
      <c r="L89" s="1890"/>
      <c r="M89" s="1890"/>
      <c r="N89" s="1890"/>
      <c r="O89" s="1890"/>
      <c r="P89" s="1890"/>
      <c r="Q89" s="1890"/>
      <c r="R89" s="1890"/>
      <c r="S89" s="1890"/>
      <c r="T89" s="1890"/>
    </row>
    <row r="90" spans="1:20" x14ac:dyDescent="0.2">
      <c r="A90" s="1890"/>
      <c r="B90" s="1890"/>
      <c r="C90" s="1890"/>
      <c r="D90" s="1890"/>
      <c r="E90" s="1890"/>
      <c r="F90" s="1890"/>
      <c r="G90" s="1890"/>
      <c r="H90" s="1890"/>
      <c r="I90" s="1890"/>
      <c r="J90" s="1890"/>
      <c r="K90" s="1890"/>
      <c r="L90" s="1890"/>
      <c r="M90" s="1890"/>
      <c r="N90" s="1890"/>
      <c r="O90" s="1890"/>
      <c r="P90" s="1890"/>
      <c r="Q90" s="1890"/>
      <c r="R90" s="1890"/>
      <c r="S90" s="1890"/>
      <c r="T90" s="1890"/>
    </row>
    <row r="91" spans="1:20" x14ac:dyDescent="0.2">
      <c r="A91" s="1890"/>
      <c r="B91" s="1890"/>
      <c r="C91" s="1890"/>
      <c r="D91" s="1890"/>
      <c r="E91" s="1890"/>
      <c r="F91" s="1890"/>
      <c r="G91" s="1890"/>
      <c r="H91" s="1890"/>
      <c r="I91" s="1890"/>
      <c r="J91" s="1890"/>
      <c r="K91" s="1890"/>
      <c r="L91" s="1890"/>
      <c r="M91" s="1890"/>
      <c r="N91" s="1890"/>
      <c r="O91" s="1890"/>
      <c r="P91" s="1890"/>
      <c r="Q91" s="1890"/>
      <c r="R91" s="1890"/>
      <c r="S91" s="1890"/>
      <c r="T91" s="1890"/>
    </row>
    <row r="92" spans="1:20" x14ac:dyDescent="0.2">
      <c r="A92" s="1890"/>
      <c r="B92" s="1890"/>
      <c r="C92" s="1890"/>
      <c r="D92" s="1890"/>
      <c r="E92" s="1890"/>
      <c r="F92" s="1890"/>
      <c r="G92" s="1890"/>
      <c r="H92" s="1890"/>
      <c r="I92" s="1890"/>
      <c r="J92" s="1890"/>
      <c r="K92" s="1890"/>
      <c r="L92" s="1890"/>
      <c r="M92" s="1890"/>
      <c r="N92" s="1890"/>
      <c r="O92" s="1890"/>
      <c r="P92" s="1890"/>
      <c r="Q92" s="1890"/>
      <c r="R92" s="1890"/>
      <c r="S92" s="1890"/>
      <c r="T92" s="1890"/>
    </row>
    <row r="93" spans="1:20" x14ac:dyDescent="0.2">
      <c r="A93" s="1890"/>
      <c r="B93" s="1890"/>
      <c r="C93" s="1890"/>
      <c r="D93" s="1890"/>
      <c r="E93" s="1890"/>
      <c r="F93" s="1890"/>
      <c r="G93" s="1890"/>
      <c r="H93" s="1890"/>
      <c r="I93" s="1890"/>
      <c r="J93" s="1890"/>
      <c r="K93" s="1890"/>
      <c r="L93" s="1890"/>
      <c r="M93" s="1890"/>
      <c r="N93" s="1890"/>
      <c r="O93" s="1890"/>
      <c r="P93" s="1890"/>
      <c r="Q93" s="1890"/>
      <c r="R93" s="1890"/>
      <c r="S93" s="1890"/>
      <c r="T93" s="1890"/>
    </row>
    <row r="94" spans="1:20" x14ac:dyDescent="0.2">
      <c r="A94" s="1890"/>
      <c r="B94" s="1890"/>
      <c r="C94" s="1890"/>
      <c r="D94" s="1890"/>
      <c r="E94" s="1890"/>
      <c r="F94" s="1890"/>
      <c r="G94" s="1890"/>
      <c r="H94" s="1890"/>
      <c r="I94" s="1890"/>
      <c r="J94" s="1890"/>
      <c r="K94" s="1890"/>
      <c r="L94" s="1890"/>
      <c r="M94" s="1890"/>
      <c r="N94" s="1890"/>
      <c r="O94" s="1890"/>
      <c r="P94" s="1890"/>
      <c r="Q94" s="1890"/>
      <c r="R94" s="1890"/>
      <c r="S94" s="1890"/>
      <c r="T94" s="1890"/>
    </row>
    <row r="95" spans="1:20" x14ac:dyDescent="0.2">
      <c r="A95" s="1890"/>
      <c r="B95" s="1890"/>
      <c r="C95" s="1890"/>
      <c r="D95" s="1890"/>
      <c r="E95" s="1890"/>
      <c r="F95" s="1890"/>
      <c r="G95" s="1890"/>
      <c r="H95" s="1890"/>
      <c r="I95" s="1890"/>
      <c r="J95" s="1890"/>
      <c r="K95" s="1890"/>
      <c r="L95" s="1890"/>
      <c r="M95" s="1890"/>
      <c r="N95" s="1890"/>
      <c r="O95" s="1890"/>
      <c r="P95" s="1890"/>
      <c r="Q95" s="1890"/>
      <c r="R95" s="1890"/>
      <c r="S95" s="1890"/>
      <c r="T95" s="1890"/>
    </row>
    <row r="96" spans="1:20" x14ac:dyDescent="0.2">
      <c r="A96" s="1890"/>
      <c r="B96" s="1890"/>
      <c r="C96" s="1890"/>
      <c r="D96" s="1890"/>
      <c r="E96" s="1890"/>
      <c r="F96" s="1890"/>
      <c r="G96" s="1890"/>
      <c r="H96" s="1890"/>
      <c r="I96" s="1890"/>
      <c r="J96" s="1890"/>
      <c r="K96" s="1890"/>
      <c r="L96" s="1890"/>
      <c r="M96" s="1890"/>
      <c r="N96" s="1890"/>
      <c r="O96" s="1890"/>
      <c r="P96" s="1890"/>
      <c r="Q96" s="1890"/>
      <c r="R96" s="1890"/>
      <c r="S96" s="1890"/>
      <c r="T96" s="1890"/>
    </row>
    <row r="97" spans="1:20" x14ac:dyDescent="0.2">
      <c r="A97" s="1890"/>
      <c r="B97" s="1890"/>
      <c r="C97" s="1890"/>
      <c r="D97" s="1890"/>
      <c r="E97" s="1890"/>
      <c r="F97" s="1890"/>
      <c r="G97" s="1890"/>
      <c r="H97" s="1890"/>
      <c r="I97" s="1890"/>
      <c r="J97" s="1890"/>
      <c r="K97" s="1890"/>
      <c r="L97" s="1890"/>
      <c r="M97" s="1890"/>
      <c r="N97" s="1890"/>
      <c r="O97" s="1890"/>
      <c r="P97" s="1890"/>
      <c r="Q97" s="1890"/>
      <c r="R97" s="1890"/>
      <c r="S97" s="1890"/>
      <c r="T97" s="1890"/>
    </row>
    <row r="98" spans="1:20" x14ac:dyDescent="0.2">
      <c r="A98" s="1890"/>
      <c r="B98" s="1890"/>
      <c r="C98" s="1890"/>
      <c r="D98" s="1890"/>
      <c r="E98" s="1890"/>
      <c r="F98" s="1890"/>
      <c r="G98" s="1890"/>
      <c r="H98" s="1890"/>
      <c r="I98" s="1890"/>
      <c r="J98" s="1890"/>
      <c r="K98" s="1890"/>
      <c r="L98" s="1890"/>
      <c r="M98" s="1890"/>
      <c r="N98" s="1890"/>
      <c r="O98" s="1890"/>
      <c r="P98" s="1890"/>
      <c r="Q98" s="1890"/>
      <c r="R98" s="1890"/>
      <c r="S98" s="1890"/>
      <c r="T98" s="1890"/>
    </row>
    <row r="99" spans="1:20" x14ac:dyDescent="0.2">
      <c r="A99" s="1890"/>
      <c r="B99" s="1890"/>
      <c r="C99" s="1890"/>
      <c r="D99" s="1890"/>
      <c r="E99" s="1890"/>
      <c r="F99" s="1890"/>
      <c r="G99" s="1890"/>
      <c r="H99" s="1890"/>
      <c r="I99" s="1890"/>
      <c r="J99" s="1890"/>
      <c r="K99" s="1890"/>
      <c r="L99" s="1890"/>
      <c r="M99" s="1890"/>
      <c r="N99" s="1890"/>
      <c r="O99" s="1890"/>
      <c r="P99" s="1890"/>
      <c r="Q99" s="1890"/>
      <c r="R99" s="1890"/>
      <c r="S99" s="1890"/>
      <c r="T99" s="1890"/>
    </row>
    <row r="100" spans="1:20" x14ac:dyDescent="0.2">
      <c r="A100" s="1890"/>
      <c r="B100" s="1890"/>
      <c r="C100" s="1890"/>
      <c r="D100" s="1890"/>
      <c r="E100" s="1890"/>
      <c r="F100" s="1890"/>
      <c r="G100" s="1890"/>
      <c r="H100" s="1890"/>
      <c r="I100" s="1890"/>
      <c r="J100" s="1890"/>
      <c r="K100" s="1890"/>
      <c r="L100" s="1890"/>
      <c r="M100" s="1890"/>
      <c r="N100" s="1890"/>
      <c r="O100" s="1890"/>
      <c r="P100" s="1890"/>
      <c r="Q100" s="1890"/>
      <c r="R100" s="1890"/>
      <c r="S100" s="1890"/>
      <c r="T100" s="1890"/>
    </row>
    <row r="101" spans="1:20" x14ac:dyDescent="0.2">
      <c r="A101" s="1890"/>
      <c r="B101" s="1890"/>
      <c r="C101" s="1890"/>
      <c r="D101" s="1890"/>
      <c r="E101" s="1890"/>
      <c r="F101" s="1890"/>
      <c r="G101" s="1890"/>
      <c r="H101" s="1890"/>
      <c r="I101" s="1890"/>
      <c r="J101" s="1890"/>
      <c r="K101" s="1890"/>
      <c r="L101" s="1890"/>
      <c r="M101" s="1890"/>
      <c r="N101" s="1890"/>
      <c r="O101" s="1890"/>
      <c r="P101" s="1890"/>
      <c r="Q101" s="1890"/>
      <c r="R101" s="1890"/>
      <c r="S101" s="1890"/>
      <c r="T101" s="1890"/>
    </row>
    <row r="102" spans="1:20" x14ac:dyDescent="0.2">
      <c r="A102" s="1890"/>
      <c r="B102" s="1890"/>
      <c r="C102" s="1890"/>
      <c r="D102" s="1890"/>
      <c r="E102" s="1890"/>
      <c r="F102" s="1890"/>
      <c r="G102" s="1890"/>
      <c r="H102" s="1890"/>
      <c r="I102" s="1890"/>
      <c r="J102" s="1890"/>
      <c r="K102" s="1890"/>
      <c r="L102" s="1890"/>
      <c r="M102" s="1890"/>
      <c r="N102" s="1890"/>
      <c r="O102" s="1890"/>
      <c r="P102" s="1890"/>
      <c r="Q102" s="1890"/>
      <c r="R102" s="1890"/>
      <c r="S102" s="1890"/>
      <c r="T102" s="1890"/>
    </row>
    <row r="103" spans="1:20" x14ac:dyDescent="0.2">
      <c r="A103" s="1890"/>
      <c r="B103" s="1890"/>
      <c r="C103" s="1890"/>
      <c r="D103" s="1890"/>
      <c r="E103" s="1890"/>
      <c r="F103" s="1890"/>
      <c r="G103" s="1890"/>
      <c r="H103" s="1890"/>
      <c r="I103" s="1890"/>
      <c r="J103" s="1890"/>
      <c r="K103" s="1890"/>
      <c r="L103" s="1890"/>
      <c r="M103" s="1890"/>
      <c r="N103" s="1890"/>
      <c r="O103" s="1890"/>
      <c r="P103" s="1890"/>
      <c r="Q103" s="1890"/>
      <c r="R103" s="1890"/>
      <c r="S103" s="1890"/>
      <c r="T103" s="1890"/>
    </row>
    <row r="104" spans="1:20" x14ac:dyDescent="0.2">
      <c r="A104" s="1890"/>
      <c r="B104" s="1890"/>
      <c r="C104" s="1890"/>
      <c r="D104" s="1890"/>
      <c r="E104" s="1890"/>
      <c r="F104" s="1890"/>
      <c r="G104" s="1890"/>
      <c r="H104" s="1890"/>
      <c r="I104" s="1890"/>
      <c r="J104" s="1890"/>
      <c r="K104" s="1890"/>
      <c r="L104" s="1890"/>
      <c r="M104" s="1890"/>
      <c r="N104" s="1890"/>
      <c r="O104" s="1890"/>
      <c r="P104" s="1890"/>
      <c r="Q104" s="1890"/>
      <c r="R104" s="1890"/>
      <c r="S104" s="1890"/>
      <c r="T104" s="1890"/>
    </row>
    <row r="105" spans="1:20" x14ac:dyDescent="0.2">
      <c r="A105" s="1890"/>
      <c r="B105" s="1890"/>
      <c r="C105" s="1890"/>
      <c r="D105" s="1890"/>
      <c r="E105" s="1890"/>
      <c r="F105" s="1890"/>
      <c r="G105" s="1890"/>
      <c r="H105" s="1890"/>
      <c r="I105" s="1890"/>
      <c r="J105" s="1890"/>
      <c r="K105" s="1890"/>
      <c r="L105" s="1890"/>
      <c r="M105" s="1890"/>
      <c r="N105" s="1890"/>
      <c r="O105" s="1890"/>
      <c r="P105" s="1890"/>
      <c r="Q105" s="1890"/>
      <c r="R105" s="1890"/>
      <c r="S105" s="1890"/>
      <c r="T105" s="1890"/>
    </row>
    <row r="106" spans="1:20" x14ac:dyDescent="0.2">
      <c r="A106" s="1890"/>
      <c r="B106" s="1890"/>
      <c r="C106" s="1890"/>
      <c r="D106" s="1890"/>
      <c r="E106" s="1890"/>
      <c r="F106" s="1890"/>
      <c r="G106" s="1890"/>
      <c r="H106" s="1890"/>
      <c r="I106" s="1890"/>
      <c r="J106" s="1890"/>
      <c r="K106" s="1890"/>
      <c r="L106" s="1890"/>
      <c r="M106" s="1890"/>
      <c r="N106" s="1890"/>
      <c r="O106" s="1890"/>
      <c r="P106" s="1890"/>
      <c r="Q106" s="1890"/>
      <c r="R106" s="1890"/>
      <c r="S106" s="1890"/>
      <c r="T106" s="1890"/>
    </row>
    <row r="107" spans="1:20" x14ac:dyDescent="0.2">
      <c r="A107" s="1890"/>
      <c r="B107" s="1890"/>
      <c r="C107" s="1890"/>
      <c r="D107" s="1890"/>
      <c r="E107" s="1890"/>
      <c r="F107" s="1890"/>
      <c r="G107" s="1890"/>
      <c r="H107" s="1890"/>
      <c r="I107" s="1890"/>
      <c r="J107" s="1890"/>
      <c r="K107" s="1890"/>
      <c r="L107" s="1890"/>
      <c r="M107" s="1890"/>
      <c r="N107" s="1890"/>
      <c r="O107" s="1890"/>
      <c r="P107" s="1890"/>
      <c r="Q107" s="1890"/>
      <c r="R107" s="1890"/>
      <c r="S107" s="1890"/>
      <c r="T107" s="1890"/>
    </row>
    <row r="108" spans="1:20" x14ac:dyDescent="0.2">
      <c r="A108" s="1890"/>
      <c r="B108" s="1890"/>
      <c r="C108" s="1890"/>
      <c r="D108" s="1890"/>
      <c r="E108" s="1890"/>
      <c r="F108" s="1890"/>
      <c r="G108" s="1890"/>
      <c r="H108" s="1890"/>
      <c r="I108" s="1890"/>
      <c r="J108" s="1890"/>
      <c r="K108" s="1890"/>
      <c r="L108" s="1890"/>
      <c r="M108" s="1890"/>
      <c r="N108" s="1890"/>
      <c r="O108" s="1890"/>
      <c r="P108" s="1890"/>
      <c r="Q108" s="1890"/>
      <c r="R108" s="1890"/>
      <c r="S108" s="1890"/>
      <c r="T108" s="1890"/>
    </row>
    <row r="109" spans="1:20" x14ac:dyDescent="0.2">
      <c r="A109" s="1890"/>
      <c r="B109" s="1890"/>
      <c r="C109" s="1890"/>
      <c r="D109" s="1890"/>
      <c r="E109" s="1890"/>
      <c r="F109" s="1890"/>
      <c r="G109" s="1890"/>
      <c r="H109" s="1890"/>
      <c r="I109" s="1890"/>
      <c r="J109" s="1890"/>
      <c r="K109" s="1890"/>
      <c r="L109" s="1890"/>
      <c r="M109" s="1890"/>
      <c r="N109" s="1890"/>
      <c r="O109" s="1890"/>
      <c r="P109" s="1890"/>
      <c r="Q109" s="1890"/>
      <c r="R109" s="1890"/>
      <c r="S109" s="1890"/>
      <c r="T109" s="1890"/>
    </row>
    <row r="110" spans="1:20" x14ac:dyDescent="0.2">
      <c r="A110" s="1890"/>
      <c r="B110" s="1890"/>
      <c r="C110" s="1890"/>
      <c r="D110" s="1890"/>
      <c r="E110" s="1890"/>
      <c r="F110" s="1890"/>
      <c r="G110" s="1890"/>
      <c r="H110" s="1890"/>
      <c r="I110" s="1890"/>
      <c r="J110" s="1890"/>
      <c r="K110" s="1890"/>
      <c r="L110" s="1890"/>
      <c r="M110" s="1890"/>
      <c r="N110" s="1890"/>
      <c r="O110" s="1890"/>
      <c r="P110" s="1890"/>
      <c r="Q110" s="1890"/>
      <c r="R110" s="1890"/>
      <c r="S110" s="1890"/>
      <c r="T110" s="1890"/>
    </row>
    <row r="111" spans="1:20" x14ac:dyDescent="0.2">
      <c r="A111" s="1890"/>
      <c r="B111" s="1890"/>
      <c r="C111" s="1890"/>
      <c r="D111" s="1890"/>
      <c r="E111" s="1890"/>
      <c r="F111" s="1890"/>
      <c r="G111" s="1890"/>
      <c r="H111" s="1890"/>
      <c r="I111" s="1890"/>
      <c r="J111" s="1890"/>
      <c r="K111" s="1890"/>
      <c r="L111" s="1890"/>
      <c r="M111" s="1890"/>
      <c r="N111" s="1890"/>
      <c r="O111" s="1890"/>
      <c r="P111" s="1890"/>
      <c r="Q111" s="1890"/>
      <c r="R111" s="1890"/>
      <c r="S111" s="1890"/>
      <c r="T111" s="1890"/>
    </row>
    <row r="112" spans="1:20" x14ac:dyDescent="0.2">
      <c r="A112" s="1890"/>
      <c r="B112" s="1890"/>
      <c r="C112" s="1890"/>
      <c r="D112" s="1890"/>
      <c r="E112" s="1890"/>
      <c r="F112" s="1890"/>
      <c r="G112" s="1890"/>
      <c r="H112" s="1890"/>
      <c r="I112" s="1890"/>
      <c r="J112" s="1890"/>
      <c r="K112" s="1890"/>
      <c r="L112" s="1890"/>
      <c r="M112" s="1890"/>
      <c r="N112" s="1890"/>
      <c r="O112" s="1890"/>
      <c r="P112" s="1890"/>
      <c r="Q112" s="1890"/>
      <c r="R112" s="1890"/>
      <c r="S112" s="1890"/>
      <c r="T112" s="1890"/>
    </row>
    <row r="113" spans="1:20" x14ac:dyDescent="0.2">
      <c r="A113" s="1890"/>
      <c r="B113" s="1890"/>
      <c r="C113" s="1890"/>
      <c r="D113" s="1890"/>
      <c r="E113" s="1890"/>
      <c r="F113" s="1890"/>
      <c r="G113" s="1890"/>
      <c r="H113" s="1890"/>
      <c r="I113" s="1890"/>
      <c r="J113" s="1890"/>
      <c r="K113" s="1890"/>
      <c r="L113" s="1890"/>
      <c r="M113" s="1890"/>
      <c r="N113" s="1890"/>
      <c r="O113" s="1890"/>
      <c r="P113" s="1890"/>
      <c r="Q113" s="1890"/>
      <c r="R113" s="1890"/>
      <c r="S113" s="1890"/>
      <c r="T113" s="1890"/>
    </row>
    <row r="114" spans="1:20" x14ac:dyDescent="0.2">
      <c r="A114" s="1890"/>
      <c r="B114" s="1890"/>
      <c r="C114" s="1890"/>
      <c r="D114" s="1890"/>
      <c r="E114" s="1890"/>
      <c r="F114" s="1890"/>
      <c r="G114" s="1890"/>
      <c r="H114" s="1890"/>
      <c r="I114" s="1890"/>
      <c r="J114" s="1890"/>
      <c r="K114" s="1890"/>
      <c r="L114" s="1890"/>
      <c r="M114" s="1890"/>
      <c r="N114" s="1890"/>
      <c r="O114" s="1890"/>
      <c r="P114" s="1890"/>
      <c r="Q114" s="1890"/>
      <c r="R114" s="1890"/>
      <c r="S114" s="1890"/>
      <c r="T114" s="1890"/>
    </row>
    <row r="115" spans="1:20" x14ac:dyDescent="0.2">
      <c r="A115" s="1890"/>
      <c r="B115" s="1890"/>
      <c r="C115" s="1890"/>
      <c r="D115" s="1890"/>
      <c r="E115" s="1890"/>
      <c r="F115" s="1890"/>
      <c r="G115" s="1890"/>
      <c r="H115" s="1890"/>
      <c r="I115" s="1890"/>
      <c r="J115" s="1890"/>
      <c r="K115" s="1890"/>
      <c r="L115" s="1890"/>
      <c r="M115" s="1890"/>
      <c r="N115" s="1890"/>
      <c r="O115" s="1890"/>
      <c r="P115" s="1890"/>
      <c r="Q115" s="1890"/>
      <c r="R115" s="1890"/>
      <c r="S115" s="1890"/>
      <c r="T115" s="1890"/>
    </row>
    <row r="116" spans="1:20" x14ac:dyDescent="0.2">
      <c r="A116" s="1890"/>
      <c r="B116" s="1890"/>
      <c r="C116" s="1890"/>
      <c r="D116" s="1890"/>
      <c r="E116" s="1890"/>
      <c r="F116" s="1890"/>
      <c r="G116" s="1890"/>
      <c r="H116" s="1890"/>
      <c r="I116" s="1890"/>
      <c r="J116" s="1890"/>
      <c r="K116" s="1890"/>
      <c r="L116" s="1890"/>
      <c r="M116" s="1890"/>
      <c r="N116" s="1890"/>
      <c r="O116" s="1890"/>
      <c r="P116" s="1890"/>
      <c r="Q116" s="1890"/>
      <c r="R116" s="1890"/>
      <c r="S116" s="1890"/>
      <c r="T116" s="1890"/>
    </row>
    <row r="117" spans="1:20" x14ac:dyDescent="0.2">
      <c r="A117" s="1890"/>
      <c r="B117" s="1890"/>
      <c r="C117" s="1890"/>
      <c r="D117" s="1890"/>
      <c r="E117" s="1890"/>
      <c r="F117" s="1890"/>
      <c r="G117" s="1890"/>
      <c r="H117" s="1890"/>
      <c r="I117" s="1890"/>
      <c r="J117" s="1890"/>
      <c r="K117" s="1890"/>
      <c r="L117" s="1890"/>
      <c r="M117" s="1890"/>
      <c r="N117" s="1890"/>
      <c r="O117" s="1890"/>
      <c r="P117" s="1890"/>
      <c r="Q117" s="1890"/>
      <c r="R117" s="1890"/>
      <c r="S117" s="1890"/>
      <c r="T117" s="1890"/>
    </row>
    <row r="118" spans="1:20" x14ac:dyDescent="0.2">
      <c r="A118" s="1890"/>
      <c r="B118" s="1890"/>
      <c r="C118" s="1890"/>
      <c r="D118" s="1890"/>
      <c r="E118" s="1890"/>
      <c r="F118" s="1890"/>
      <c r="G118" s="1890"/>
      <c r="H118" s="1890"/>
      <c r="I118" s="1890"/>
      <c r="J118" s="1890"/>
      <c r="K118" s="1890"/>
      <c r="L118" s="1890"/>
      <c r="M118" s="1890"/>
      <c r="N118" s="1890"/>
      <c r="O118" s="1890"/>
      <c r="P118" s="1890"/>
      <c r="Q118" s="1890"/>
      <c r="R118" s="1890"/>
      <c r="S118" s="1890"/>
      <c r="T118" s="1890"/>
    </row>
    <row r="119" spans="1:20" x14ac:dyDescent="0.2">
      <c r="A119" s="1890"/>
      <c r="B119" s="1890"/>
      <c r="C119" s="1890"/>
      <c r="D119" s="1890"/>
      <c r="E119" s="1890"/>
      <c r="F119" s="1890"/>
      <c r="G119" s="1890"/>
      <c r="H119" s="1890"/>
      <c r="I119" s="1890"/>
      <c r="J119" s="1890"/>
      <c r="K119" s="1890"/>
      <c r="L119" s="1890"/>
      <c r="M119" s="1890"/>
      <c r="N119" s="1890"/>
      <c r="O119" s="1890"/>
      <c r="P119" s="1890"/>
      <c r="Q119" s="1890"/>
      <c r="R119" s="1890"/>
      <c r="S119" s="1890"/>
      <c r="T119" s="1890"/>
    </row>
    <row r="120" spans="1:20" x14ac:dyDescent="0.2">
      <c r="A120" s="1890"/>
      <c r="B120" s="1890"/>
      <c r="C120" s="1890"/>
      <c r="D120" s="1890"/>
      <c r="E120" s="1890"/>
      <c r="F120" s="1890"/>
      <c r="G120" s="1890"/>
      <c r="H120" s="1890"/>
      <c r="I120" s="1890"/>
      <c r="J120" s="1890"/>
      <c r="K120" s="1890"/>
      <c r="L120" s="1890"/>
      <c r="M120" s="1890"/>
      <c r="N120" s="1890"/>
      <c r="O120" s="1890"/>
      <c r="P120" s="1890"/>
      <c r="Q120" s="1890"/>
      <c r="R120" s="1890"/>
      <c r="S120" s="1890"/>
      <c r="T120" s="1890"/>
    </row>
  </sheetData>
  <sheetProtection selectLockedCells="1" selectUnlockedCells="1"/>
  <mergeCells count="2">
    <mergeCell ref="O5:P5"/>
    <mergeCell ref="O6:P6"/>
  </mergeCells>
  <pageMargins left="0.78740157499999996" right="0.78740157499999996" top="0.984251969" bottom="0.984251969" header="0.4921259845" footer="0.4921259845"/>
  <pageSetup paperSize="9" orientation="portrait" r:id="rId1"/>
  <headerFooter alignWithMargins="0"/>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B7E8EF-E464-4C2E-8ECD-330E60DFAD2E}">
  <dimension ref="A1:AU120"/>
  <sheetViews>
    <sheetView zoomScale="78" zoomScaleNormal="78" workbookViewId="0">
      <selection activeCell="L13" sqref="L13"/>
    </sheetView>
  </sheetViews>
  <sheetFormatPr defaultColWidth="11.42578125" defaultRowHeight="12.75" x14ac:dyDescent="0.2"/>
  <cols>
    <col min="1" max="1" width="8.42578125" style="1846" customWidth="1"/>
    <col min="2" max="2" width="37.42578125" style="1846" customWidth="1"/>
    <col min="3" max="3" width="17.140625" style="1846" customWidth="1"/>
    <col min="4" max="4" width="15.42578125" style="1846" bestFit="1" customWidth="1"/>
    <col min="5" max="5" width="16.42578125" style="1846" customWidth="1"/>
    <col min="6" max="7" width="11.42578125" style="1846"/>
    <col min="8" max="8" width="14.85546875" style="1846" bestFit="1" customWidth="1"/>
    <col min="9" max="9" width="18.5703125" style="1846" bestFit="1" customWidth="1"/>
    <col min="10" max="10" width="16.42578125" style="1846" customWidth="1"/>
    <col min="11" max="11" width="15.42578125" style="1846" customWidth="1"/>
    <col min="12" max="12" width="19.42578125" style="1846" bestFit="1" customWidth="1"/>
    <col min="13" max="13" width="11" style="1846" customWidth="1"/>
    <col min="14" max="14" width="11.85546875" style="1846" customWidth="1"/>
    <col min="15" max="16384" width="11.42578125" style="1846"/>
  </cols>
  <sheetData>
    <row r="1" spans="1:45" s="2229" customFormat="1" ht="26.1" customHeight="1" x14ac:dyDescent="0.2">
      <c r="A1" s="2291" t="s">
        <v>1267</v>
      </c>
      <c r="B1" s="2400"/>
      <c r="C1" s="2400"/>
      <c r="D1" s="2400"/>
      <c r="E1" s="2400"/>
      <c r="F1" s="2030"/>
      <c r="G1" s="2030"/>
      <c r="H1" s="2030"/>
      <c r="I1" s="2030"/>
      <c r="J1" s="2030"/>
      <c r="K1" s="2030"/>
      <c r="L1" s="2030"/>
      <c r="M1" s="2030"/>
      <c r="N1" s="2030"/>
      <c r="O1" s="2030"/>
      <c r="P1" s="2030"/>
      <c r="Q1" s="2030"/>
      <c r="R1" s="2030"/>
      <c r="S1" s="2030"/>
      <c r="T1" s="2030"/>
      <c r="U1" s="1845"/>
      <c r="V1" s="1845"/>
      <c r="W1" s="1845"/>
      <c r="X1" s="1845"/>
      <c r="Y1" s="1845"/>
      <c r="Z1" s="1845"/>
      <c r="AA1" s="1845"/>
      <c r="AB1" s="1845"/>
      <c r="AC1" s="1845"/>
      <c r="AD1" s="1845"/>
      <c r="AE1" s="1845"/>
      <c r="AF1" s="1845"/>
      <c r="AG1" s="1845"/>
      <c r="AH1" s="1845"/>
      <c r="AI1" s="1845"/>
      <c r="AJ1" s="1845"/>
      <c r="AK1" s="1845"/>
      <c r="AL1" s="1845"/>
      <c r="AM1" s="1845"/>
      <c r="AN1" s="1845"/>
      <c r="AO1" s="1845"/>
      <c r="AP1" s="1845"/>
      <c r="AQ1" s="1845"/>
      <c r="AR1" s="1845"/>
      <c r="AS1" s="1845"/>
    </row>
    <row r="2" spans="1:45" ht="14.25" customHeight="1" x14ac:dyDescent="0.25">
      <c r="A2" s="2401"/>
      <c r="B2" s="2402"/>
      <c r="C2" s="1890"/>
      <c r="D2" s="1890"/>
      <c r="E2" s="1890"/>
      <c r="F2" s="1890"/>
      <c r="G2" s="1890"/>
      <c r="H2" s="1890"/>
      <c r="I2" s="1890"/>
      <c r="J2" s="1890"/>
      <c r="K2" s="1890"/>
      <c r="L2" s="1890"/>
      <c r="M2" s="1890"/>
      <c r="N2" s="1890"/>
      <c r="O2" s="1890"/>
      <c r="P2" s="1890"/>
      <c r="Q2" s="1890"/>
      <c r="R2" s="1890"/>
      <c r="S2" s="1890"/>
      <c r="T2" s="1890"/>
    </row>
    <row r="3" spans="1:45" ht="18" customHeight="1" x14ac:dyDescent="0.25">
      <c r="A3" s="1890"/>
      <c r="B3" s="2232" t="s">
        <v>1236</v>
      </c>
      <c r="C3" s="2233">
        <f>+'CO2 - Cálculos'!AI58</f>
        <v>23025.599999999999</v>
      </c>
      <c r="D3" s="2234"/>
      <c r="E3" s="2234"/>
      <c r="F3" s="1890"/>
      <c r="G3" s="1890"/>
      <c r="H3" s="1890"/>
      <c r="I3" s="1890"/>
      <c r="J3" s="1890"/>
      <c r="K3" s="1890"/>
      <c r="L3" s="1890"/>
      <c r="M3" s="1890"/>
      <c r="N3" s="1890"/>
      <c r="O3" s="1890"/>
      <c r="P3" s="1890"/>
      <c r="Q3" s="1890"/>
      <c r="R3" s="1890"/>
      <c r="S3" s="1890"/>
      <c r="T3" s="1890"/>
    </row>
    <row r="4" spans="1:45" ht="18" customHeight="1" x14ac:dyDescent="0.25">
      <c r="A4" s="1890"/>
      <c r="B4" s="2287"/>
      <c r="C4" s="2403"/>
      <c r="D4" s="2237"/>
      <c r="E4" s="2237"/>
      <c r="F4" s="1890"/>
      <c r="G4" s="1890"/>
      <c r="H4" s="1890"/>
      <c r="I4" s="1890"/>
      <c r="J4" s="1890"/>
      <c r="K4" s="1890"/>
      <c r="L4" s="1890"/>
      <c r="M4" s="2309"/>
      <c r="N4" s="2309"/>
      <c r="O4" s="2309"/>
      <c r="P4" s="2309"/>
      <c r="Q4" s="2309"/>
      <c r="R4" s="2309"/>
      <c r="S4" s="1890"/>
      <c r="T4" s="1890"/>
    </row>
    <row r="5" spans="1:45" ht="18" customHeight="1" x14ac:dyDescent="0.25">
      <c r="A5" s="1890"/>
      <c r="B5" s="2232" t="s">
        <v>1237</v>
      </c>
      <c r="C5" s="2233">
        <f>+'CO2 - Cálculos'!AI13</f>
        <v>2322.6613487999998</v>
      </c>
      <c r="D5" s="2234"/>
      <c r="E5" s="2234"/>
      <c r="F5" s="1890"/>
      <c r="G5" s="1890"/>
      <c r="H5" s="1890"/>
      <c r="I5" s="1890"/>
      <c r="J5" s="1890"/>
      <c r="K5" s="1890"/>
      <c r="L5" s="1890"/>
      <c r="M5" s="2309"/>
      <c r="N5" s="2309"/>
      <c r="O5" s="2973" t="s">
        <v>1262</v>
      </c>
      <c r="P5" s="2974"/>
      <c r="Q5" s="2309"/>
      <c r="R5" s="2309"/>
      <c r="S5" s="1890"/>
      <c r="T5" s="1890"/>
    </row>
    <row r="6" spans="1:45" ht="18" customHeight="1" x14ac:dyDescent="0.25">
      <c r="A6" s="1890"/>
      <c r="B6" s="2404"/>
      <c r="C6" s="2240"/>
      <c r="D6" s="2234"/>
      <c r="E6" s="2234"/>
      <c r="F6" s="1890"/>
      <c r="G6" s="1890"/>
      <c r="H6" s="1890"/>
      <c r="I6" s="1890"/>
      <c r="J6" s="1890"/>
      <c r="K6" s="1890"/>
      <c r="L6" s="1890"/>
      <c r="M6" s="2309"/>
      <c r="N6" s="2309"/>
      <c r="O6" s="2975">
        <f>+C3</f>
        <v>23025.599999999999</v>
      </c>
      <c r="P6" s="2976"/>
      <c r="Q6" s="2309"/>
      <c r="R6" s="2309"/>
      <c r="S6" s="1890"/>
      <c r="T6" s="1890"/>
    </row>
    <row r="7" spans="1:45" ht="18" customHeight="1" x14ac:dyDescent="0.25">
      <c r="A7" s="1890"/>
      <c r="B7" s="2241" t="s">
        <v>1106</v>
      </c>
      <c r="C7" s="2242">
        <f>+'CO2 - Cálculos'!AJ5</f>
        <v>0</v>
      </c>
      <c r="D7" s="2234"/>
      <c r="E7" s="2234"/>
      <c r="F7" s="1890"/>
      <c r="G7" s="1890"/>
      <c r="H7" s="1890"/>
      <c r="I7" s="1890"/>
      <c r="J7" s="1890"/>
      <c r="K7" s="1890"/>
      <c r="L7" s="1890"/>
      <c r="M7" s="2405"/>
      <c r="N7" s="2309"/>
      <c r="O7" s="2309"/>
      <c r="P7" s="2309"/>
      <c r="Q7" s="2309"/>
      <c r="R7" s="2309"/>
      <c r="S7" s="1890"/>
      <c r="T7" s="1890"/>
    </row>
    <row r="8" spans="1:45" ht="18" customHeight="1" x14ac:dyDescent="0.25">
      <c r="A8" s="1890"/>
      <c r="B8" s="2241" t="s">
        <v>1107</v>
      </c>
      <c r="C8" s="2242">
        <f>+'CO2 - Cálculos'!AJ6</f>
        <v>0</v>
      </c>
      <c r="D8" s="2234"/>
      <c r="E8" s="2234"/>
      <c r="F8" s="1890"/>
      <c r="G8" s="1890"/>
      <c r="H8" s="1890"/>
      <c r="I8" s="1890"/>
      <c r="J8" s="1890"/>
      <c r="K8" s="1890"/>
      <c r="L8" s="1890"/>
      <c r="M8" s="2309"/>
      <c r="N8" s="2309"/>
      <c r="O8" s="2309"/>
      <c r="P8" s="2309"/>
      <c r="Q8" s="2309"/>
      <c r="R8" s="2309"/>
      <c r="S8" s="1890"/>
      <c r="T8" s="1890"/>
    </row>
    <row r="9" spans="1:45" ht="18" customHeight="1" x14ac:dyDescent="0.25">
      <c r="A9" s="1890"/>
      <c r="B9" s="2241" t="s">
        <v>1108</v>
      </c>
      <c r="C9" s="2242">
        <f>+'CO2 - Cálculos'!AJ7</f>
        <v>1004.4457488</v>
      </c>
      <c r="D9" s="2234"/>
      <c r="E9" s="2234"/>
      <c r="F9" s="1890"/>
      <c r="G9" s="1890"/>
      <c r="H9" s="1890"/>
      <c r="I9" s="1890"/>
      <c r="J9" s="1890"/>
      <c r="K9" s="1890"/>
      <c r="L9" s="2313"/>
      <c r="M9" s="1866" t="s">
        <v>1046</v>
      </c>
      <c r="N9" s="2314">
        <f>+C5</f>
        <v>2322.6613487999998</v>
      </c>
      <c r="O9" s="2315">
        <f>+N9/O6</f>
        <v>0.100873</v>
      </c>
      <c r="P9" s="2316">
        <f>+Q9/O6</f>
        <v>0.89912700000000001</v>
      </c>
      <c r="Q9" s="2317">
        <f>+C16</f>
        <v>20702.938651199998</v>
      </c>
      <c r="R9" s="2318" t="s">
        <v>1239</v>
      </c>
      <c r="S9" s="1957"/>
      <c r="T9" s="1890"/>
    </row>
    <row r="10" spans="1:45" ht="18" customHeight="1" x14ac:dyDescent="0.25">
      <c r="A10" s="1890"/>
      <c r="B10" s="2241" t="s">
        <v>1109</v>
      </c>
      <c r="C10" s="2242">
        <f>+'CO2 - Cálculos'!AJ8</f>
        <v>683.86032</v>
      </c>
      <c r="D10" s="2234"/>
      <c r="E10" s="2234"/>
      <c r="F10" s="1890"/>
      <c r="G10" s="1890"/>
      <c r="H10" s="1890"/>
      <c r="I10" s="1890"/>
      <c r="J10" s="1890"/>
      <c r="K10" s="1890"/>
      <c r="L10" s="2313"/>
      <c r="M10" s="2319"/>
      <c r="N10" s="2320"/>
      <c r="O10" s="2313"/>
      <c r="P10" s="2313"/>
      <c r="Q10" s="2320"/>
      <c r="R10" s="2319"/>
      <c r="S10" s="1957"/>
      <c r="T10" s="1890"/>
    </row>
    <row r="11" spans="1:45" ht="18" customHeight="1" x14ac:dyDescent="0.25">
      <c r="A11" s="1890"/>
      <c r="B11" s="2241" t="s">
        <v>50</v>
      </c>
      <c r="C11" s="2242">
        <f>+'CO2 - Cálculos'!AJ9</f>
        <v>0</v>
      </c>
      <c r="D11" s="2234"/>
      <c r="E11" s="2234"/>
      <c r="F11" s="1890"/>
      <c r="G11" s="1890"/>
      <c r="H11" s="1890"/>
      <c r="I11" s="1890"/>
      <c r="J11" s="1890"/>
      <c r="K11" s="1890"/>
      <c r="L11" s="2313"/>
      <c r="M11" s="1866" t="str">
        <f t="shared" ref="M11:N18" si="0">+B7</f>
        <v>Resíduos de alimentos</v>
      </c>
      <c r="N11" s="2406">
        <f t="shared" si="0"/>
        <v>0</v>
      </c>
      <c r="O11" s="2322">
        <f t="shared" ref="O11:O18" si="1">+N11/$N$9</f>
        <v>0</v>
      </c>
      <c r="P11" s="2323">
        <f t="shared" ref="P11:P19" si="2">+Q11/$Q$9</f>
        <v>0</v>
      </c>
      <c r="Q11" s="2324">
        <f t="shared" ref="Q11:Q19" si="3">+C18</f>
        <v>0</v>
      </c>
      <c r="R11" s="2318" t="str">
        <f t="shared" ref="R11:R19" si="4">+B18</f>
        <v>Resíduos dispersos</v>
      </c>
      <c r="S11" s="1957"/>
      <c r="T11" s="1890"/>
    </row>
    <row r="12" spans="1:45" ht="18" customHeight="1" x14ac:dyDescent="0.25">
      <c r="A12" s="1890"/>
      <c r="B12" s="2241" t="s">
        <v>1110</v>
      </c>
      <c r="C12" s="2242">
        <f>+'CO2 - Cálculos'!AJ10</f>
        <v>503.10935999999998</v>
      </c>
      <c r="D12" s="2234"/>
      <c r="E12" s="2234"/>
      <c r="F12" s="1890"/>
      <c r="G12" s="1890"/>
      <c r="H12" s="1890"/>
      <c r="I12" s="1890"/>
      <c r="J12" s="1890"/>
      <c r="K12" s="1890"/>
      <c r="L12" s="2313"/>
      <c r="M12" s="1866" t="str">
        <f t="shared" si="0"/>
        <v>Resíduos de jardins e parques</v>
      </c>
      <c r="N12" s="2406">
        <f t="shared" si="0"/>
        <v>0</v>
      </c>
      <c r="O12" s="2322">
        <f t="shared" si="1"/>
        <v>0</v>
      </c>
      <c r="P12" s="2323">
        <f t="shared" si="2"/>
        <v>0</v>
      </c>
      <c r="Q12" s="2324">
        <f t="shared" si="3"/>
        <v>0</v>
      </c>
      <c r="R12" s="2318" t="str">
        <f t="shared" si="4"/>
        <v>Queima a céu aberto</v>
      </c>
      <c r="S12" s="1957"/>
      <c r="T12" s="1890"/>
    </row>
    <row r="13" spans="1:45" ht="18" customHeight="1" x14ac:dyDescent="0.25">
      <c r="A13" s="1890"/>
      <c r="B13" s="2241" t="s">
        <v>1111</v>
      </c>
      <c r="C13" s="2242">
        <f>+'CO2 - Cálculos'!AJ11</f>
        <v>131.24591999999998</v>
      </c>
      <c r="D13" s="2234"/>
      <c r="E13" s="2234"/>
      <c r="F13" s="1890"/>
      <c r="G13" s="1890"/>
      <c r="H13" s="1890"/>
      <c r="I13" s="1890"/>
      <c r="J13" s="1890"/>
      <c r="K13" s="1890"/>
      <c r="L13" s="2313"/>
      <c r="M13" s="1866" t="str">
        <f t="shared" si="0"/>
        <v>Papel, papelão</v>
      </c>
      <c r="N13" s="2406">
        <f t="shared" si="0"/>
        <v>1004.4457488</v>
      </c>
      <c r="O13" s="2322">
        <f t="shared" si="1"/>
        <v>0.4324546707245745</v>
      </c>
      <c r="P13" s="2323">
        <f t="shared" si="2"/>
        <v>0</v>
      </c>
      <c r="Q13" s="2324">
        <f t="shared" si="3"/>
        <v>0</v>
      </c>
      <c r="R13" s="2318" t="str">
        <f t="shared" si="4"/>
        <v>Lixão não controlado</v>
      </c>
      <c r="S13" s="1957"/>
      <c r="T13" s="1890"/>
    </row>
    <row r="14" spans="1:45" ht="18" customHeight="1" x14ac:dyDescent="0.25">
      <c r="A14" s="1890"/>
      <c r="B14" s="2241" t="s">
        <v>1112</v>
      </c>
      <c r="C14" s="2242">
        <f>+'CO2 - Cálculos'!AJ12</f>
        <v>0</v>
      </c>
      <c r="D14" s="2234"/>
      <c r="E14" s="2234"/>
      <c r="F14" s="1890"/>
      <c r="G14" s="1890"/>
      <c r="H14" s="1890"/>
      <c r="I14" s="1890"/>
      <c r="J14" s="1890"/>
      <c r="K14" s="1890"/>
      <c r="L14" s="2313"/>
      <c r="M14" s="1866" t="str">
        <f t="shared" si="0"/>
        <v>Plásticos</v>
      </c>
      <c r="N14" s="2406">
        <f t="shared" si="0"/>
        <v>683.86032</v>
      </c>
      <c r="O14" s="2322">
        <f t="shared" si="1"/>
        <v>0.29442962933589761</v>
      </c>
      <c r="P14" s="2323">
        <f t="shared" si="2"/>
        <v>0.15</v>
      </c>
      <c r="Q14" s="2324">
        <f t="shared" si="3"/>
        <v>3105.4407976799998</v>
      </c>
      <c r="R14" s="2318" t="str">
        <f t="shared" si="4"/>
        <v>Aterro controlado</v>
      </c>
      <c r="S14" s="1957"/>
      <c r="T14" s="1890"/>
    </row>
    <row r="15" spans="1:45" ht="18" customHeight="1" x14ac:dyDescent="0.25">
      <c r="A15" s="1890"/>
      <c r="B15" s="2287"/>
      <c r="C15" s="2403"/>
      <c r="D15" s="2234"/>
      <c r="E15" s="2234"/>
      <c r="F15" s="1890"/>
      <c r="G15" s="1890"/>
      <c r="H15" s="1890"/>
      <c r="I15" s="1890"/>
      <c r="J15" s="1890"/>
      <c r="K15" s="1890"/>
      <c r="L15" s="2313"/>
      <c r="M15" s="1866" t="str">
        <f t="shared" si="0"/>
        <v>Vidros</v>
      </c>
      <c r="N15" s="2406">
        <f t="shared" si="0"/>
        <v>0</v>
      </c>
      <c r="O15" s="2322">
        <f t="shared" si="1"/>
        <v>0</v>
      </c>
      <c r="P15" s="2323">
        <f t="shared" si="2"/>
        <v>0</v>
      </c>
      <c r="Q15" s="2324">
        <f t="shared" si="3"/>
        <v>0</v>
      </c>
      <c r="R15" s="2318" t="str">
        <f t="shared" si="4"/>
        <v>Aterro sanitário</v>
      </c>
      <c r="S15" s="1957"/>
      <c r="T15" s="1890"/>
    </row>
    <row r="16" spans="1:45" ht="18" customHeight="1" x14ac:dyDescent="0.25">
      <c r="A16" s="1890"/>
      <c r="B16" s="2260" t="s">
        <v>1263</v>
      </c>
      <c r="C16" s="2233">
        <f>+'CO2 - Cálculos'!AI57</f>
        <v>20702.938651199998</v>
      </c>
      <c r="D16" s="2234"/>
      <c r="E16" s="2234"/>
      <c r="F16" s="1890"/>
      <c r="G16" s="1890"/>
      <c r="H16" s="1890"/>
      <c r="I16" s="1890"/>
      <c r="J16" s="1890"/>
      <c r="K16" s="1890"/>
      <c r="L16" s="2313"/>
      <c r="M16" s="1866" t="str">
        <f t="shared" si="0"/>
        <v>Metais ferrosos</v>
      </c>
      <c r="N16" s="2406">
        <f t="shared" si="0"/>
        <v>503.10935999999998</v>
      </c>
      <c r="O16" s="2322">
        <f t="shared" si="1"/>
        <v>0.21660900340031525</v>
      </c>
      <c r="P16" s="2323">
        <f t="shared" si="2"/>
        <v>0</v>
      </c>
      <c r="Q16" s="2324">
        <f t="shared" si="3"/>
        <v>0</v>
      </c>
      <c r="R16" s="2318" t="str">
        <f t="shared" si="4"/>
        <v>Trat. biol + cobertura at.</v>
      </c>
      <c r="S16" s="1957"/>
      <c r="T16" s="1890"/>
    </row>
    <row r="17" spans="1:47" ht="18" customHeight="1" x14ac:dyDescent="0.25">
      <c r="A17" s="1890"/>
      <c r="B17" s="2404"/>
      <c r="C17" s="2240"/>
      <c r="D17" s="2234"/>
      <c r="E17" s="2234"/>
      <c r="F17" s="1890"/>
      <c r="G17" s="1890"/>
      <c r="H17" s="1890"/>
      <c r="I17" s="1890"/>
      <c r="J17" s="1890"/>
      <c r="K17" s="1890"/>
      <c r="L17" s="2313"/>
      <c r="M17" s="1866" t="str">
        <f t="shared" si="0"/>
        <v>Alumínio</v>
      </c>
      <c r="N17" s="2406">
        <f t="shared" si="0"/>
        <v>131.24591999999998</v>
      </c>
      <c r="O17" s="2322">
        <f t="shared" si="1"/>
        <v>5.650669653921267E-2</v>
      </c>
      <c r="P17" s="2323">
        <f t="shared" si="2"/>
        <v>0</v>
      </c>
      <c r="Q17" s="2324">
        <f t="shared" si="3"/>
        <v>0</v>
      </c>
      <c r="R17" s="2318" t="str">
        <f t="shared" si="4"/>
        <v>CDR seco + rejeito aterro</v>
      </c>
      <c r="S17" s="1957"/>
      <c r="T17" s="1890"/>
    </row>
    <row r="18" spans="1:47" ht="18" customHeight="1" x14ac:dyDescent="0.25">
      <c r="A18" s="1890"/>
      <c r="B18" s="2241" t="s">
        <v>1241</v>
      </c>
      <c r="C18" s="2242">
        <f>+'CO2 - Cálculos'!AJ47</f>
        <v>0</v>
      </c>
      <c r="D18" s="2234"/>
      <c r="E18" s="2234"/>
      <c r="F18" s="1890"/>
      <c r="G18" s="1890"/>
      <c r="H18" s="1890"/>
      <c r="I18" s="1890"/>
      <c r="J18" s="1890"/>
      <c r="K18" s="1890"/>
      <c r="L18" s="2313"/>
      <c r="M18" s="1866" t="str">
        <f t="shared" si="0"/>
        <v>Têxteis</v>
      </c>
      <c r="N18" s="2406">
        <f t="shared" si="0"/>
        <v>0</v>
      </c>
      <c r="O18" s="2322">
        <f t="shared" si="1"/>
        <v>0</v>
      </c>
      <c r="P18" s="2323">
        <f t="shared" si="2"/>
        <v>0</v>
      </c>
      <c r="Q18" s="2324">
        <f t="shared" si="3"/>
        <v>0</v>
      </c>
      <c r="R18" s="2318" t="str">
        <f t="shared" si="4"/>
        <v>CDR seco + trat. biol.</v>
      </c>
      <c r="S18" s="1957"/>
      <c r="T18" s="1890"/>
    </row>
    <row r="19" spans="1:47" ht="18" customHeight="1" x14ac:dyDescent="0.25">
      <c r="A19" s="1890"/>
      <c r="B19" s="2241" t="s">
        <v>1242</v>
      </c>
      <c r="C19" s="2242">
        <f>+'CO2 - Cálculos'!AJ48</f>
        <v>0</v>
      </c>
      <c r="D19" s="2234"/>
      <c r="E19" s="2234"/>
      <c r="F19" s="1890"/>
      <c r="G19" s="1890"/>
      <c r="H19" s="1890"/>
      <c r="I19" s="1890"/>
      <c r="J19" s="1890"/>
      <c r="K19" s="1890"/>
      <c r="L19" s="2313"/>
      <c r="M19" s="2313"/>
      <c r="N19" s="2373"/>
      <c r="O19" s="2325"/>
      <c r="P19" s="2323">
        <f t="shared" si="2"/>
        <v>0</v>
      </c>
      <c r="Q19" s="2324">
        <f t="shared" si="3"/>
        <v>0</v>
      </c>
      <c r="R19" s="2318" t="str">
        <f t="shared" si="4"/>
        <v>CDR seco + CDR org.</v>
      </c>
      <c r="S19" s="1957"/>
      <c r="T19" s="1890"/>
    </row>
    <row r="20" spans="1:47" ht="18" customHeight="1" x14ac:dyDescent="0.25">
      <c r="A20" s="1890"/>
      <c r="B20" s="2241" t="s">
        <v>1243</v>
      </c>
      <c r="C20" s="2242">
        <f>+'CO2 - Cálculos'!AJ49</f>
        <v>0</v>
      </c>
      <c r="D20" s="2234"/>
      <c r="E20" s="2234"/>
      <c r="F20" s="1890"/>
      <c r="G20" s="1890"/>
      <c r="H20" s="1890"/>
      <c r="I20" s="1890"/>
      <c r="J20" s="1890"/>
      <c r="K20" s="1890"/>
      <c r="L20" s="2313"/>
      <c r="M20" s="2313"/>
      <c r="N20" s="2313"/>
      <c r="O20" s="2313"/>
      <c r="P20" s="2323">
        <f>+Q20/$Q$9</f>
        <v>0.85</v>
      </c>
      <c r="Q20" s="2324">
        <f>+C27</f>
        <v>17597.497853519999</v>
      </c>
      <c r="R20" s="2318" t="str">
        <f>+B27</f>
        <v>Incineração</v>
      </c>
      <c r="S20" s="1957"/>
      <c r="T20" s="1890"/>
    </row>
    <row r="21" spans="1:47" ht="18" customHeight="1" x14ac:dyDescent="0.25">
      <c r="A21" s="1890"/>
      <c r="B21" s="2241" t="s">
        <v>1244</v>
      </c>
      <c r="C21" s="2242">
        <f>+'CO2 - Cálculos'!AJ50</f>
        <v>3105.4407976799998</v>
      </c>
      <c r="D21" s="2234"/>
      <c r="E21" s="2234"/>
      <c r="F21" s="1890"/>
      <c r="G21" s="1890"/>
      <c r="H21" s="1890"/>
      <c r="I21" s="1890"/>
      <c r="J21" s="1890"/>
      <c r="K21" s="1890"/>
      <c r="L21" s="1890"/>
      <c r="M21" s="1890"/>
      <c r="N21" s="1890"/>
      <c r="O21" s="1890"/>
      <c r="P21" s="1890"/>
      <c r="Q21" s="2016"/>
      <c r="R21" s="1890"/>
      <c r="S21" s="1890"/>
      <c r="T21" s="1890"/>
    </row>
    <row r="22" spans="1:47" ht="18" customHeight="1" x14ac:dyDescent="0.25">
      <c r="A22" s="1890"/>
      <c r="B22" s="2263" t="s">
        <v>64</v>
      </c>
      <c r="C22" s="2242">
        <f>+'CO2 - Cálculos'!AJ51</f>
        <v>0</v>
      </c>
      <c r="D22" s="2234"/>
      <c r="E22" s="2234"/>
      <c r="F22" s="1890"/>
      <c r="G22" s="1890"/>
      <c r="H22" s="1890"/>
      <c r="I22" s="1890"/>
      <c r="J22" s="1890"/>
      <c r="K22" s="1890"/>
      <c r="L22" s="1890"/>
      <c r="M22" s="1890"/>
      <c r="N22" s="1890"/>
      <c r="O22" s="1890"/>
      <c r="P22" s="1890"/>
      <c r="Q22" s="2016"/>
      <c r="R22" s="1890"/>
      <c r="S22" s="1890"/>
      <c r="T22" s="1890"/>
    </row>
    <row r="23" spans="1:47" ht="18" customHeight="1" x14ac:dyDescent="0.25">
      <c r="A23" s="1890"/>
      <c r="B23" s="2264" t="s">
        <v>1245</v>
      </c>
      <c r="C23" s="2265">
        <f>+'CO2 - Cálculos'!AJ52</f>
        <v>0</v>
      </c>
      <c r="D23" s="2234"/>
      <c r="E23" s="2234"/>
      <c r="F23" s="1890"/>
      <c r="G23" s="1890"/>
      <c r="H23" s="1890"/>
      <c r="I23" s="1890"/>
      <c r="J23" s="1890"/>
      <c r="K23" s="1890"/>
      <c r="L23" s="1890"/>
      <c r="M23" s="1890"/>
      <c r="N23" s="1890"/>
      <c r="O23" s="1890"/>
      <c r="P23" s="1890"/>
      <c r="Q23" s="1890"/>
      <c r="R23" s="1890"/>
      <c r="S23" s="1890"/>
      <c r="T23" s="1890"/>
    </row>
    <row r="24" spans="1:47" ht="18" customHeight="1" x14ac:dyDescent="0.25">
      <c r="A24" s="1890"/>
      <c r="B24" s="2264" t="s">
        <v>1246</v>
      </c>
      <c r="C24" s="2242">
        <f>+'CO2 - Cálculos'!AJ53</f>
        <v>0</v>
      </c>
      <c r="D24" s="2234"/>
      <c r="E24" s="2234"/>
      <c r="F24" s="1890"/>
      <c r="G24" s="1890"/>
      <c r="H24" s="1890"/>
      <c r="I24" s="1890"/>
      <c r="J24" s="1890"/>
      <c r="K24" s="1890"/>
      <c r="L24" s="1890"/>
      <c r="M24" s="1890"/>
      <c r="N24" s="1890"/>
      <c r="O24" s="1890"/>
      <c r="P24" s="1890"/>
      <c r="Q24" s="1890"/>
      <c r="R24" s="1890"/>
      <c r="S24" s="1890"/>
      <c r="T24" s="1890"/>
    </row>
    <row r="25" spans="1:47" ht="18" customHeight="1" x14ac:dyDescent="0.25">
      <c r="A25" s="1890"/>
      <c r="B25" s="2264" t="s">
        <v>1247</v>
      </c>
      <c r="C25" s="2242">
        <f>+'CO2 - Cálculos'!AJ54</f>
        <v>0</v>
      </c>
      <c r="D25" s="2234"/>
      <c r="E25" s="2234"/>
      <c r="F25" s="1890"/>
      <c r="G25" s="1890"/>
      <c r="H25" s="1890"/>
      <c r="I25" s="1890"/>
      <c r="J25" s="1890"/>
      <c r="K25" s="1890"/>
      <c r="L25" s="1890"/>
      <c r="M25" s="1890"/>
      <c r="N25" s="1890"/>
      <c r="O25" s="1890"/>
      <c r="P25" s="1890"/>
      <c r="Q25" s="1890"/>
      <c r="R25" s="1890"/>
      <c r="S25" s="1890"/>
      <c r="T25" s="1890"/>
    </row>
    <row r="26" spans="1:47" ht="18" customHeight="1" x14ac:dyDescent="0.25">
      <c r="A26" s="1890"/>
      <c r="B26" s="2264" t="s">
        <v>1248</v>
      </c>
      <c r="C26" s="2242">
        <f>+'CO2 - Cálculos'!AJ55</f>
        <v>0</v>
      </c>
      <c r="D26" s="2234"/>
      <c r="E26" s="2234"/>
      <c r="F26" s="1890"/>
      <c r="G26" s="1890"/>
      <c r="H26" s="1890"/>
      <c r="I26" s="1890"/>
      <c r="J26" s="1890"/>
      <c r="K26" s="1890"/>
      <c r="L26" s="1890"/>
      <c r="M26" s="1890"/>
      <c r="N26" s="1890"/>
      <c r="O26" s="1890"/>
      <c r="P26" s="1890"/>
      <c r="Q26" s="1890"/>
      <c r="R26" s="1890"/>
      <c r="S26" s="1890"/>
      <c r="T26" s="1890"/>
    </row>
    <row r="27" spans="1:47" ht="18" customHeight="1" x14ac:dyDescent="0.25">
      <c r="A27" s="1890"/>
      <c r="B27" s="2241" t="s">
        <v>63</v>
      </c>
      <c r="C27" s="2242">
        <f>+'CO2 - Cálculos'!AJ56</f>
        <v>17597.497853519999</v>
      </c>
      <c r="D27" s="2234"/>
      <c r="E27" s="2234"/>
      <c r="F27" s="1890"/>
      <c r="G27" s="1890"/>
      <c r="H27" s="1890"/>
      <c r="I27" s="1890"/>
      <c r="J27" s="1890"/>
      <c r="K27" s="1890"/>
      <c r="L27" s="1890"/>
      <c r="M27" s="1890"/>
      <c r="N27" s="1890"/>
      <c r="O27" s="1890"/>
      <c r="P27" s="1890"/>
      <c r="Q27" s="1890"/>
      <c r="R27" s="1890"/>
      <c r="S27" s="1890"/>
      <c r="T27" s="1890"/>
    </row>
    <row r="28" spans="1:47" x14ac:dyDescent="0.2">
      <c r="A28" s="1890"/>
      <c r="B28" s="1890"/>
      <c r="C28" s="2234"/>
      <c r="D28" s="2234"/>
      <c r="E28" s="2234"/>
      <c r="F28" s="1890"/>
      <c r="G28" s="1890"/>
      <c r="H28" s="1890"/>
      <c r="I28" s="1890"/>
      <c r="J28" s="1890"/>
      <c r="K28" s="1890"/>
      <c r="L28" s="1890"/>
      <c r="M28" s="1890"/>
      <c r="N28" s="1890"/>
      <c r="O28" s="1890"/>
      <c r="P28" s="1890"/>
      <c r="Q28" s="1890"/>
      <c r="R28" s="1890"/>
      <c r="S28" s="1890"/>
      <c r="T28" s="1890"/>
    </row>
    <row r="29" spans="1:47" s="2229" customFormat="1" ht="26.1" customHeight="1" x14ac:dyDescent="0.2">
      <c r="A29" s="2063" t="s">
        <v>1264</v>
      </c>
      <c r="B29" s="2407"/>
      <c r="C29" s="2408"/>
      <c r="D29" s="2408"/>
      <c r="E29" s="2408"/>
      <c r="F29" s="2030"/>
      <c r="G29" s="2030"/>
      <c r="H29" s="2030"/>
      <c r="I29" s="2030"/>
      <c r="J29" s="2030"/>
      <c r="K29" s="2030"/>
      <c r="L29" s="2030"/>
      <c r="M29" s="2030"/>
      <c r="N29" s="2030"/>
      <c r="O29" s="2030"/>
      <c r="P29" s="2030"/>
      <c r="Q29" s="2030"/>
      <c r="R29" s="2030"/>
      <c r="S29" s="2030"/>
      <c r="T29" s="2030"/>
      <c r="U29" s="1845"/>
      <c r="V29" s="1845"/>
      <c r="W29" s="1845"/>
      <c r="X29" s="1845"/>
      <c r="Y29" s="1845"/>
      <c r="Z29" s="1845"/>
      <c r="AA29" s="1845"/>
      <c r="AB29" s="1845"/>
      <c r="AC29" s="1845"/>
      <c r="AD29" s="1845"/>
      <c r="AE29" s="1845"/>
      <c r="AF29" s="1845"/>
      <c r="AG29" s="1845"/>
      <c r="AH29" s="1845"/>
      <c r="AI29" s="1845"/>
      <c r="AJ29" s="1845"/>
      <c r="AK29" s="1845"/>
      <c r="AL29" s="1845"/>
      <c r="AM29" s="1845"/>
      <c r="AN29" s="1845"/>
      <c r="AO29" s="1845"/>
      <c r="AP29" s="1845"/>
      <c r="AQ29" s="1845"/>
      <c r="AR29" s="1845"/>
      <c r="AS29" s="1845"/>
      <c r="AT29" s="1845"/>
      <c r="AU29" s="1845"/>
    </row>
    <row r="30" spans="1:47" x14ac:dyDescent="0.2">
      <c r="A30" s="1890"/>
      <c r="B30" s="1890"/>
      <c r="C30" s="1890"/>
      <c r="D30" s="1890"/>
      <c r="E30" s="1890"/>
      <c r="F30" s="1890"/>
      <c r="G30" s="2267"/>
      <c r="H30" s="1890"/>
      <c r="I30" s="1890"/>
      <c r="J30" s="1890"/>
      <c r="K30" s="1890"/>
      <c r="L30" s="1890"/>
      <c r="M30" s="1890"/>
      <c r="N30" s="1890"/>
      <c r="O30" s="1890"/>
      <c r="P30" s="1890"/>
      <c r="Q30" s="1890"/>
      <c r="R30" s="1890"/>
      <c r="S30" s="1890"/>
      <c r="T30" s="1890"/>
    </row>
    <row r="31" spans="1:47" ht="18" customHeight="1" x14ac:dyDescent="0.25">
      <c r="A31" s="1890"/>
      <c r="B31" s="2151"/>
      <c r="C31" s="2332" t="s">
        <v>1250</v>
      </c>
      <c r="D31" s="2079" t="s">
        <v>1251</v>
      </c>
      <c r="E31" s="2079" t="s">
        <v>1252</v>
      </c>
      <c r="F31" s="1890"/>
      <c r="G31" s="1890"/>
      <c r="H31" s="2271"/>
      <c r="I31" s="1890"/>
      <c r="J31" s="1890"/>
      <c r="K31" s="1890"/>
      <c r="L31" s="1890"/>
      <c r="M31" s="1890"/>
      <c r="N31" s="1890"/>
      <c r="O31" s="1890"/>
      <c r="P31" s="1890"/>
      <c r="Q31" s="1890"/>
      <c r="R31" s="1890"/>
      <c r="S31" s="1890"/>
      <c r="T31" s="1890"/>
    </row>
    <row r="32" spans="1:47" ht="18" customHeight="1" x14ac:dyDescent="0.2">
      <c r="A32" s="1890"/>
      <c r="B32" s="2306" t="s">
        <v>1237</v>
      </c>
      <c r="C32" s="2311"/>
      <c r="D32" s="2379"/>
      <c r="E32" s="2379"/>
      <c r="F32" s="1890"/>
      <c r="G32" s="1890"/>
      <c r="H32" s="1890"/>
      <c r="I32" s="1890"/>
      <c r="J32" s="1890"/>
      <c r="K32" s="1890"/>
      <c r="L32" s="1890"/>
      <c r="M32" s="1890"/>
      <c r="N32" s="1890"/>
      <c r="O32" s="1890"/>
      <c r="P32" s="1890"/>
      <c r="Q32" s="1890"/>
      <c r="R32" s="1890"/>
      <c r="S32" s="1890"/>
      <c r="T32" s="1890"/>
    </row>
    <row r="33" spans="1:20" ht="18" customHeight="1" x14ac:dyDescent="0.2">
      <c r="A33" s="1890"/>
      <c r="B33" s="2380"/>
      <c r="C33" s="2379"/>
      <c r="D33" s="2379"/>
      <c r="E33" s="2379"/>
      <c r="F33" s="1890"/>
      <c r="G33" s="1890"/>
      <c r="H33" s="1890"/>
      <c r="I33" s="1890"/>
      <c r="J33" s="1890"/>
      <c r="K33" s="1890"/>
      <c r="L33" s="1890"/>
      <c r="M33" s="1890"/>
      <c r="N33" s="1890"/>
      <c r="O33" s="1890"/>
      <c r="P33" s="1890"/>
      <c r="Q33" s="1890"/>
      <c r="R33" s="1890"/>
      <c r="S33" s="1890"/>
      <c r="T33" s="1890"/>
    </row>
    <row r="34" spans="1:20" ht="18" customHeight="1" x14ac:dyDescent="0.2">
      <c r="A34" s="1890"/>
      <c r="B34" s="2226" t="str">
        <f>B7</f>
        <v>Resíduos de alimentos</v>
      </c>
      <c r="C34" s="2312">
        <f t="shared" ref="C34:C41" si="5">+C62</f>
        <v>0</v>
      </c>
      <c r="D34" s="2312">
        <f t="shared" ref="D34:D41" si="6">+C71</f>
        <v>0</v>
      </c>
      <c r="E34" s="2312">
        <f t="shared" ref="E34:E41" si="7">+D34+C34</f>
        <v>0</v>
      </c>
      <c r="F34" s="1890"/>
      <c r="G34" s="1890"/>
      <c r="H34" s="1890"/>
      <c r="I34" s="1890"/>
      <c r="J34" s="1890"/>
      <c r="K34" s="1890"/>
      <c r="L34" s="1890"/>
      <c r="M34" s="1890"/>
      <c r="N34" s="1890"/>
      <c r="O34" s="1890"/>
      <c r="P34" s="1890"/>
      <c r="Q34" s="1890"/>
      <c r="R34" s="1890"/>
      <c r="S34" s="1890"/>
      <c r="T34" s="1890"/>
    </row>
    <row r="35" spans="1:20" ht="18" customHeight="1" x14ac:dyDescent="0.2">
      <c r="A35" s="1890"/>
      <c r="B35" s="2226" t="str">
        <f t="shared" ref="B35:B41" si="8">B8</f>
        <v>Resíduos de jardins e parques</v>
      </c>
      <c r="C35" s="2312">
        <f t="shared" si="5"/>
        <v>0</v>
      </c>
      <c r="D35" s="2312">
        <f t="shared" si="6"/>
        <v>0</v>
      </c>
      <c r="E35" s="2312">
        <f t="shared" si="7"/>
        <v>0</v>
      </c>
      <c r="F35" s="1890"/>
      <c r="G35" s="1890"/>
      <c r="H35" s="1890"/>
      <c r="I35" s="1890"/>
      <c r="J35" s="1890"/>
      <c r="K35" s="1890"/>
      <c r="L35" s="1890"/>
      <c r="M35" s="1890"/>
      <c r="N35" s="1890"/>
      <c r="O35" s="1890"/>
      <c r="P35" s="1890"/>
      <c r="Q35" s="1890"/>
      <c r="R35" s="1890"/>
      <c r="S35" s="1890"/>
      <c r="T35" s="1890"/>
    </row>
    <row r="36" spans="1:20" ht="18" customHeight="1" x14ac:dyDescent="0.2">
      <c r="A36" s="1890"/>
      <c r="B36" s="2226" t="str">
        <f t="shared" si="8"/>
        <v>Papel, papelão</v>
      </c>
      <c r="C36" s="2312">
        <f t="shared" si="5"/>
        <v>1261.5838604928001</v>
      </c>
      <c r="D36" s="2312">
        <f t="shared" si="6"/>
        <v>-1554.8820191423999</v>
      </c>
      <c r="E36" s="2312">
        <f t="shared" si="7"/>
        <v>-293.29815864959983</v>
      </c>
      <c r="F36" s="1890"/>
      <c r="G36" s="1890"/>
      <c r="H36" s="1890"/>
      <c r="I36" s="1890"/>
      <c r="J36" s="1890"/>
      <c r="K36" s="1890"/>
      <c r="L36" s="1890"/>
      <c r="M36" s="1890"/>
      <c r="N36" s="1890"/>
      <c r="O36" s="1890"/>
      <c r="P36" s="1890"/>
      <c r="Q36" s="1890"/>
      <c r="R36" s="1890"/>
      <c r="S36" s="1890"/>
      <c r="T36" s="1890"/>
    </row>
    <row r="37" spans="1:20" ht="18" customHeight="1" x14ac:dyDescent="0.2">
      <c r="A37" s="1890"/>
      <c r="B37" s="2226" t="str">
        <f t="shared" si="8"/>
        <v>Plásticos</v>
      </c>
      <c r="C37" s="2312">
        <f t="shared" si="5"/>
        <v>280.38273119999997</v>
      </c>
      <c r="D37" s="2312">
        <f t="shared" si="6"/>
        <v>-1306.0364391359999</v>
      </c>
      <c r="E37" s="2312">
        <f t="shared" si="7"/>
        <v>-1025.653707936</v>
      </c>
      <c r="F37" s="1890"/>
      <c r="G37" s="1890"/>
      <c r="H37" s="1890"/>
      <c r="I37" s="1890"/>
      <c r="J37" s="1890"/>
      <c r="K37" s="1890"/>
      <c r="L37" s="1890"/>
      <c r="M37" s="1890"/>
      <c r="N37" s="1890"/>
      <c r="O37" s="1890"/>
      <c r="P37" s="1890"/>
      <c r="Q37" s="1890"/>
      <c r="R37" s="1890"/>
      <c r="S37" s="1890"/>
      <c r="T37" s="1890"/>
    </row>
    <row r="38" spans="1:20" ht="18" customHeight="1" x14ac:dyDescent="0.2">
      <c r="A38" s="1890"/>
      <c r="B38" s="2226" t="str">
        <f t="shared" si="8"/>
        <v>Vidros</v>
      </c>
      <c r="C38" s="2312">
        <f t="shared" si="5"/>
        <v>0</v>
      </c>
      <c r="D38" s="2312">
        <f t="shared" si="6"/>
        <v>0</v>
      </c>
      <c r="E38" s="2312">
        <f t="shared" si="7"/>
        <v>0</v>
      </c>
      <c r="F38" s="1890"/>
      <c r="G38" s="1890"/>
      <c r="H38" s="1890"/>
      <c r="I38" s="1890"/>
      <c r="J38" s="1890"/>
      <c r="K38" s="1890"/>
      <c r="L38" s="1890"/>
      <c r="M38" s="1890"/>
      <c r="N38" s="1890"/>
      <c r="O38" s="1890"/>
      <c r="P38" s="1890"/>
      <c r="Q38" s="1890"/>
      <c r="R38" s="1890"/>
      <c r="S38" s="1890"/>
      <c r="T38" s="1890"/>
    </row>
    <row r="39" spans="1:20" ht="18" customHeight="1" x14ac:dyDescent="0.2">
      <c r="A39" s="1890"/>
      <c r="B39" s="2226" t="str">
        <f t="shared" si="8"/>
        <v>Metais ferrosos</v>
      </c>
      <c r="C39" s="2312">
        <f t="shared" si="5"/>
        <v>32.198999039999997</v>
      </c>
      <c r="D39" s="2312">
        <f t="shared" si="6"/>
        <v>-861.32322431999989</v>
      </c>
      <c r="E39" s="2312">
        <f t="shared" si="7"/>
        <v>-829.12422527999991</v>
      </c>
      <c r="F39" s="1890"/>
      <c r="G39" s="1890"/>
      <c r="H39" s="1890"/>
      <c r="I39" s="1890"/>
      <c r="J39" s="1890"/>
      <c r="K39" s="1890"/>
      <c r="L39" s="1890"/>
      <c r="M39" s="1890"/>
      <c r="N39" s="1890"/>
      <c r="O39" s="1890"/>
      <c r="P39" s="1890"/>
      <c r="Q39" s="1890"/>
      <c r="R39" s="1890"/>
      <c r="S39" s="1890"/>
      <c r="T39" s="1890"/>
    </row>
    <row r="40" spans="1:20" ht="18" customHeight="1" x14ac:dyDescent="0.2">
      <c r="A40" s="1890"/>
      <c r="B40" s="2226" t="str">
        <f t="shared" si="8"/>
        <v>Alumínio</v>
      </c>
      <c r="C40" s="2312">
        <f t="shared" si="5"/>
        <v>91.478406239999984</v>
      </c>
      <c r="D40" s="2312">
        <f t="shared" si="6"/>
        <v>-1296.7096895999998</v>
      </c>
      <c r="E40" s="2312">
        <f t="shared" si="7"/>
        <v>-1205.2312833599999</v>
      </c>
      <c r="F40" s="1890"/>
      <c r="G40" s="1890"/>
      <c r="H40" s="1890"/>
      <c r="I40" s="1890"/>
      <c r="J40" s="1890"/>
      <c r="K40" s="1890"/>
      <c r="L40" s="1890"/>
      <c r="M40" s="1890"/>
      <c r="N40" s="1890"/>
      <c r="O40" s="1890"/>
      <c r="P40" s="1890"/>
      <c r="Q40" s="1890"/>
      <c r="R40" s="1890"/>
      <c r="S40" s="1890"/>
      <c r="T40" s="1890"/>
    </row>
    <row r="41" spans="1:20" ht="18" customHeight="1" x14ac:dyDescent="0.2">
      <c r="A41" s="1890"/>
      <c r="B41" s="2226" t="str">
        <f t="shared" si="8"/>
        <v>Têxteis</v>
      </c>
      <c r="C41" s="2312">
        <f t="shared" si="5"/>
        <v>0</v>
      </c>
      <c r="D41" s="2312">
        <f t="shared" si="6"/>
        <v>0</v>
      </c>
      <c r="E41" s="2312">
        <f t="shared" si="7"/>
        <v>0</v>
      </c>
      <c r="F41" s="1890"/>
      <c r="G41" s="1890"/>
      <c r="H41" s="1890"/>
      <c r="I41" s="1890"/>
      <c r="J41" s="1890"/>
      <c r="K41" s="1890"/>
      <c r="L41" s="1890"/>
      <c r="M41" s="1890"/>
      <c r="N41" s="1890"/>
      <c r="O41" s="1890"/>
      <c r="P41" s="1890"/>
      <c r="Q41" s="1890"/>
      <c r="R41" s="1890"/>
      <c r="S41" s="1890"/>
      <c r="T41" s="1890"/>
    </row>
    <row r="42" spans="1:20" ht="18" customHeight="1" x14ac:dyDescent="0.2">
      <c r="A42" s="1890"/>
      <c r="B42" s="1908"/>
      <c r="C42" s="2308"/>
      <c r="D42" s="2308"/>
      <c r="E42" s="2308"/>
      <c r="F42" s="1890"/>
      <c r="G42" s="1890"/>
      <c r="H42" s="1890"/>
      <c r="I42" s="1890"/>
      <c r="J42" s="1890"/>
      <c r="K42" s="1890"/>
      <c r="L42" s="1890"/>
      <c r="M42" s="1890"/>
      <c r="N42" s="1890"/>
      <c r="O42" s="1890"/>
      <c r="P42" s="1890"/>
      <c r="Q42" s="1890"/>
      <c r="R42" s="1890"/>
      <c r="S42" s="1890"/>
      <c r="T42" s="1890"/>
    </row>
    <row r="43" spans="1:20" ht="18" customHeight="1" x14ac:dyDescent="0.2">
      <c r="A43" s="1890"/>
      <c r="B43" s="1979" t="s">
        <v>1265</v>
      </c>
      <c r="C43" s="2311"/>
      <c r="D43" s="2311"/>
      <c r="E43" s="2311"/>
      <c r="F43" s="1890"/>
      <c r="G43" s="1890"/>
      <c r="H43" s="1890"/>
      <c r="I43" s="1890"/>
      <c r="J43" s="1890"/>
      <c r="K43" s="1890"/>
      <c r="L43" s="1890"/>
      <c r="M43" s="1890"/>
      <c r="N43" s="1890"/>
      <c r="O43" s="1890"/>
      <c r="P43" s="1890"/>
      <c r="Q43" s="1890"/>
      <c r="R43" s="1890"/>
      <c r="S43" s="1890"/>
      <c r="T43" s="1890"/>
    </row>
    <row r="44" spans="1:20" ht="18" customHeight="1" x14ac:dyDescent="0.2">
      <c r="A44" s="1890"/>
      <c r="B44" s="2380"/>
      <c r="C44" s="2311"/>
      <c r="D44" s="2311"/>
      <c r="E44" s="2311"/>
      <c r="F44" s="1890"/>
      <c r="G44" s="1890"/>
      <c r="H44" s="1890"/>
      <c r="I44" s="1890"/>
      <c r="J44" s="1890"/>
      <c r="K44" s="1890"/>
      <c r="L44" s="1890"/>
      <c r="M44" s="1890"/>
      <c r="N44" s="1890"/>
      <c r="O44" s="1890"/>
      <c r="P44" s="1890"/>
      <c r="Q44" s="1890"/>
      <c r="R44" s="1890"/>
      <c r="S44" s="1890"/>
      <c r="T44" s="1890"/>
    </row>
    <row r="45" spans="1:20" ht="18" customHeight="1" x14ac:dyDescent="0.2">
      <c r="A45" s="1890"/>
      <c r="B45" s="2226" t="str">
        <f>B18</f>
        <v>Resíduos dispersos</v>
      </c>
      <c r="C45" s="2312">
        <f t="shared" ref="C45:C53" si="9">+L62</f>
        <v>0</v>
      </c>
      <c r="D45" s="2312">
        <f t="shared" ref="D45:D54" si="10">+L73</f>
        <v>0</v>
      </c>
      <c r="E45" s="2312">
        <f t="shared" ref="E45:E53" si="11">+D45+C45</f>
        <v>0</v>
      </c>
      <c r="F45" s="1890"/>
      <c r="G45" s="1890"/>
      <c r="H45" s="1890"/>
      <c r="I45" s="1890"/>
      <c r="J45" s="1890"/>
      <c r="K45" s="1890"/>
      <c r="L45" s="1890"/>
      <c r="M45" s="1890"/>
      <c r="N45" s="1890"/>
      <c r="O45" s="1890"/>
      <c r="P45" s="1890"/>
      <c r="Q45" s="1890"/>
      <c r="R45" s="1890"/>
      <c r="S45" s="1890"/>
      <c r="T45" s="1890"/>
    </row>
    <row r="46" spans="1:20" ht="18" customHeight="1" x14ac:dyDescent="0.2">
      <c r="A46" s="1890"/>
      <c r="B46" s="2226" t="str">
        <f t="shared" ref="B46:B54" si="12">B19</f>
        <v>Queima a céu aberto</v>
      </c>
      <c r="C46" s="2312">
        <f t="shared" si="9"/>
        <v>0</v>
      </c>
      <c r="D46" s="2312">
        <f t="shared" si="10"/>
        <v>0</v>
      </c>
      <c r="E46" s="2312">
        <f t="shared" si="11"/>
        <v>0</v>
      </c>
      <c r="F46" s="1890"/>
      <c r="G46" s="1890"/>
      <c r="H46" s="1890"/>
      <c r="I46" s="1890"/>
      <c r="J46" s="1890"/>
      <c r="K46" s="1890"/>
      <c r="L46" s="1890"/>
      <c r="M46" s="1890"/>
      <c r="N46" s="1890"/>
      <c r="O46" s="1890"/>
      <c r="P46" s="1890"/>
      <c r="Q46" s="1890"/>
      <c r="R46" s="1890"/>
      <c r="S46" s="1890"/>
      <c r="T46" s="1890"/>
    </row>
    <row r="47" spans="1:20" ht="18" customHeight="1" x14ac:dyDescent="0.2">
      <c r="A47" s="1890"/>
      <c r="B47" s="2226" t="str">
        <f t="shared" si="12"/>
        <v>Lixão não controlado</v>
      </c>
      <c r="C47" s="2312">
        <f t="shared" si="9"/>
        <v>0</v>
      </c>
      <c r="D47" s="2312">
        <f t="shared" si="10"/>
        <v>0</v>
      </c>
      <c r="E47" s="2312">
        <f t="shared" si="11"/>
        <v>0</v>
      </c>
      <c r="F47" s="1890"/>
      <c r="G47" s="1890"/>
      <c r="H47" s="1890"/>
      <c r="I47" s="1890"/>
      <c r="J47" s="1890"/>
      <c r="K47" s="1890"/>
      <c r="L47" s="1890"/>
      <c r="M47" s="1890"/>
      <c r="N47" s="1890"/>
      <c r="O47" s="1890"/>
      <c r="P47" s="1890"/>
      <c r="Q47" s="1890"/>
      <c r="R47" s="1890"/>
      <c r="S47" s="1890"/>
      <c r="T47" s="1890"/>
    </row>
    <row r="48" spans="1:20" ht="18" customHeight="1" x14ac:dyDescent="0.2">
      <c r="A48" s="1890"/>
      <c r="B48" s="2226" t="str">
        <f t="shared" si="12"/>
        <v>Aterro controlado</v>
      </c>
      <c r="C48" s="2312">
        <f t="shared" si="9"/>
        <v>4173.196405613453</v>
      </c>
      <c r="D48" s="2312">
        <f t="shared" si="10"/>
        <v>0</v>
      </c>
      <c r="E48" s="2312">
        <f t="shared" si="11"/>
        <v>4173.196405613453</v>
      </c>
      <c r="F48" s="1890"/>
      <c r="G48" s="1890"/>
      <c r="H48" s="1890"/>
      <c r="I48" s="1890"/>
      <c r="J48" s="1890"/>
      <c r="K48" s="1890"/>
      <c r="L48" s="1890"/>
      <c r="M48" s="1890"/>
      <c r="N48" s="1890"/>
      <c r="O48" s="1890"/>
      <c r="P48" s="1890"/>
      <c r="Q48" s="1890"/>
      <c r="R48" s="1890"/>
      <c r="S48" s="1890"/>
      <c r="T48" s="1890"/>
    </row>
    <row r="49" spans="1:20" ht="18" customHeight="1" x14ac:dyDescent="0.2">
      <c r="A49" s="1890"/>
      <c r="B49" s="2226" t="str">
        <f t="shared" si="12"/>
        <v>Aterro sanitário</v>
      </c>
      <c r="C49" s="2312">
        <f t="shared" si="9"/>
        <v>0</v>
      </c>
      <c r="D49" s="2312">
        <f t="shared" si="10"/>
        <v>0</v>
      </c>
      <c r="E49" s="2312">
        <f t="shared" si="11"/>
        <v>0</v>
      </c>
      <c r="F49" s="1890"/>
      <c r="G49" s="1890"/>
      <c r="H49" s="1890"/>
      <c r="I49" s="1890"/>
      <c r="J49" s="1890"/>
      <c r="K49" s="1890"/>
      <c r="L49" s="1890"/>
      <c r="M49" s="1890"/>
      <c r="N49" s="1890"/>
      <c r="O49" s="1890"/>
      <c r="P49" s="1890"/>
      <c r="Q49" s="1890"/>
      <c r="R49" s="1890"/>
      <c r="S49" s="1890"/>
      <c r="T49" s="1890"/>
    </row>
    <row r="50" spans="1:20" ht="18" customHeight="1" x14ac:dyDescent="0.2">
      <c r="A50" s="1890"/>
      <c r="B50" s="2226" t="str">
        <f t="shared" si="12"/>
        <v>Trat. biol + cobertura at.</v>
      </c>
      <c r="C50" s="2312">
        <f t="shared" si="9"/>
        <v>0</v>
      </c>
      <c r="D50" s="2312">
        <f t="shared" si="10"/>
        <v>0</v>
      </c>
      <c r="E50" s="2312">
        <f t="shared" si="11"/>
        <v>0</v>
      </c>
      <c r="F50" s="1890"/>
      <c r="G50" s="1890"/>
      <c r="H50" s="1890"/>
      <c r="I50" s="1890"/>
      <c r="J50" s="1890"/>
      <c r="K50" s="1890"/>
      <c r="L50" s="1890"/>
      <c r="M50" s="1890"/>
      <c r="N50" s="1890"/>
      <c r="O50" s="1890"/>
      <c r="P50" s="1890"/>
      <c r="Q50" s="1890"/>
      <c r="R50" s="1890"/>
      <c r="S50" s="1890"/>
      <c r="T50" s="1890"/>
    </row>
    <row r="51" spans="1:20" ht="18" customHeight="1" x14ac:dyDescent="0.2">
      <c r="A51" s="1890"/>
      <c r="B51" s="2226" t="str">
        <f t="shared" si="12"/>
        <v>CDR seco + rejeito aterro</v>
      </c>
      <c r="C51" s="2312">
        <f t="shared" si="9"/>
        <v>0</v>
      </c>
      <c r="D51" s="2312">
        <f t="shared" si="10"/>
        <v>0</v>
      </c>
      <c r="E51" s="2312">
        <f t="shared" si="11"/>
        <v>0</v>
      </c>
      <c r="F51" s="1890"/>
      <c r="G51" s="2281"/>
      <c r="H51" s="2282"/>
      <c r="I51" s="2282"/>
      <c r="J51" s="2282"/>
      <c r="K51" s="1890"/>
      <c r="L51" s="1890"/>
      <c r="M51" s="1890"/>
      <c r="N51" s="1890"/>
      <c r="O51" s="1890"/>
      <c r="P51" s="1890"/>
      <c r="Q51" s="1890"/>
      <c r="R51" s="1890"/>
      <c r="S51" s="1890"/>
      <c r="T51" s="1890"/>
    </row>
    <row r="52" spans="1:20" ht="18" customHeight="1" x14ac:dyDescent="0.2">
      <c r="A52" s="1890"/>
      <c r="B52" s="2226" t="str">
        <f t="shared" si="12"/>
        <v>CDR seco + trat. biol.</v>
      </c>
      <c r="C52" s="2312">
        <f t="shared" si="9"/>
        <v>0</v>
      </c>
      <c r="D52" s="2312">
        <f t="shared" si="10"/>
        <v>0</v>
      </c>
      <c r="E52" s="2312">
        <f t="shared" si="11"/>
        <v>0</v>
      </c>
      <c r="F52" s="1890"/>
      <c r="G52" s="2386"/>
      <c r="H52" s="2270" t="s">
        <v>1253</v>
      </c>
      <c r="I52" s="2270" t="s">
        <v>1268</v>
      </c>
      <c r="J52" s="2270" t="s">
        <v>1254</v>
      </c>
      <c r="K52" s="1890"/>
      <c r="L52" s="1890"/>
      <c r="M52" s="1890"/>
      <c r="N52" s="1890"/>
      <c r="O52" s="1890"/>
      <c r="P52" s="1890"/>
      <c r="Q52" s="1890"/>
      <c r="R52" s="1890"/>
      <c r="S52" s="1890"/>
      <c r="T52" s="1890"/>
    </row>
    <row r="53" spans="1:20" ht="18" customHeight="1" x14ac:dyDescent="0.2">
      <c r="A53" s="1890"/>
      <c r="B53" s="2226" t="str">
        <f t="shared" si="12"/>
        <v>CDR seco + CDR org.</v>
      </c>
      <c r="C53" s="2312">
        <f t="shared" si="9"/>
        <v>0</v>
      </c>
      <c r="D53" s="2312">
        <f t="shared" si="10"/>
        <v>0</v>
      </c>
      <c r="E53" s="2312">
        <f t="shared" si="11"/>
        <v>0</v>
      </c>
      <c r="F53" s="1890"/>
      <c r="G53" s="1967" t="s">
        <v>1255</v>
      </c>
      <c r="H53" s="2299">
        <f>SUM(C34:C41)</f>
        <v>1665.6439969728001</v>
      </c>
      <c r="I53" s="2299">
        <f>SUM(C45:C54)</f>
        <v>10407.179756556689</v>
      </c>
      <c r="J53" s="2299">
        <f>+I53+H53</f>
        <v>12072.823753529488</v>
      </c>
      <c r="K53" s="1890"/>
      <c r="L53" s="1890"/>
      <c r="M53" s="1890"/>
      <c r="N53" s="1890"/>
      <c r="O53" s="1890"/>
      <c r="P53" s="1890"/>
      <c r="Q53" s="1890"/>
      <c r="R53" s="1890"/>
      <c r="S53" s="1890"/>
      <c r="T53" s="1890"/>
    </row>
    <row r="54" spans="1:20" ht="18" customHeight="1" x14ac:dyDescent="0.2">
      <c r="A54" s="1890"/>
      <c r="B54" s="2226" t="str">
        <f t="shared" si="12"/>
        <v>Incineração</v>
      </c>
      <c r="C54" s="2312">
        <f>+L71</f>
        <v>6233.9833509432347</v>
      </c>
      <c r="D54" s="2312">
        <f t="shared" si="10"/>
        <v>-443.24404907404056</v>
      </c>
      <c r="E54" s="2312">
        <f>+D54+C54</f>
        <v>5790.7393018691937</v>
      </c>
      <c r="F54" s="1890"/>
      <c r="G54" s="1967" t="s">
        <v>1256</v>
      </c>
      <c r="H54" s="2299">
        <f>SUM(D34:D41)</f>
        <v>-5018.9513721984003</v>
      </c>
      <c r="I54" s="2299">
        <f>SUM(D45:D54)</f>
        <v>-443.24404907404056</v>
      </c>
      <c r="J54" s="2299">
        <f>+I54+H54</f>
        <v>-5462.1954212724413</v>
      </c>
      <c r="K54" s="1890"/>
      <c r="L54" s="1890"/>
      <c r="M54" s="1890"/>
      <c r="N54" s="1890"/>
      <c r="O54" s="1890"/>
      <c r="P54" s="1890"/>
      <c r="Q54" s="1890"/>
      <c r="R54" s="1890"/>
      <c r="S54" s="1890"/>
      <c r="T54" s="1890"/>
    </row>
    <row r="55" spans="1:20" ht="18" customHeight="1" x14ac:dyDescent="0.2">
      <c r="A55" s="1890"/>
      <c r="B55" s="1908"/>
      <c r="C55" s="2308"/>
      <c r="D55" s="2308"/>
      <c r="E55" s="2308"/>
      <c r="F55" s="1890"/>
      <c r="G55" s="1967" t="s">
        <v>1257</v>
      </c>
      <c r="H55" s="2299">
        <f>+H53+H54</f>
        <v>-3353.3073752256005</v>
      </c>
      <c r="I55" s="2299">
        <f>+I53+I54</f>
        <v>9963.9357074826476</v>
      </c>
      <c r="J55" s="2299">
        <f>+I55+H55</f>
        <v>6610.6283322570471</v>
      </c>
      <c r="K55" s="1890"/>
      <c r="L55" s="1890"/>
      <c r="M55" s="1890"/>
      <c r="N55" s="1890"/>
      <c r="O55" s="1890"/>
      <c r="P55" s="1890"/>
      <c r="Q55" s="1890"/>
      <c r="R55" s="1890"/>
      <c r="S55" s="1890"/>
      <c r="T55" s="1890"/>
    </row>
    <row r="56" spans="1:20" ht="18" customHeight="1" x14ac:dyDescent="0.2">
      <c r="A56" s="1890"/>
      <c r="B56" s="1979" t="s">
        <v>52</v>
      </c>
      <c r="C56" s="2332">
        <f>SUM(C34:C54)</f>
        <v>12072.823753529487</v>
      </c>
      <c r="D56" s="2332">
        <f>SUM(D34:D54)</f>
        <v>-5462.1954212724413</v>
      </c>
      <c r="E56" s="2332">
        <f>+D56+C56</f>
        <v>6610.6283322570453</v>
      </c>
      <c r="F56" s="1890"/>
      <c r="G56" s="2281"/>
      <c r="H56" s="2290"/>
      <c r="I56" s="2290"/>
      <c r="J56" s="2290"/>
      <c r="K56" s="1890"/>
      <c r="L56" s="1890"/>
      <c r="M56" s="1890"/>
      <c r="N56" s="1890"/>
      <c r="O56" s="1890"/>
      <c r="P56" s="1890"/>
      <c r="Q56" s="1890"/>
      <c r="R56" s="1890"/>
      <c r="S56" s="1890"/>
      <c r="T56" s="1890"/>
    </row>
    <row r="57" spans="1:20" x14ac:dyDescent="0.2">
      <c r="A57" s="1890"/>
      <c r="B57" s="1890"/>
      <c r="C57" s="1890"/>
      <c r="D57" s="1890"/>
      <c r="E57" s="1890"/>
      <c r="F57" s="1890"/>
      <c r="G57" s="2281"/>
      <c r="H57" s="2282"/>
      <c r="I57" s="2282"/>
      <c r="J57" s="2290"/>
      <c r="K57" s="2234"/>
      <c r="L57" s="1890"/>
      <c r="M57" s="1890"/>
      <c r="N57" s="1890"/>
      <c r="O57" s="1890"/>
      <c r="P57" s="1890"/>
      <c r="Q57" s="1890"/>
      <c r="R57" s="1890"/>
      <c r="S57" s="1890"/>
      <c r="T57" s="1890"/>
    </row>
    <row r="58" spans="1:20" x14ac:dyDescent="0.2">
      <c r="A58" s="1890"/>
      <c r="B58" s="1890"/>
      <c r="C58" s="1890"/>
      <c r="D58" s="1890"/>
      <c r="E58" s="1890"/>
      <c r="F58" s="1890"/>
      <c r="G58" s="2281"/>
      <c r="H58" s="2282"/>
      <c r="I58" s="2282"/>
      <c r="J58" s="2290"/>
      <c r="K58" s="2234"/>
      <c r="L58" s="1890"/>
      <c r="M58" s="1890"/>
      <c r="N58" s="1890"/>
      <c r="O58" s="1890"/>
      <c r="P58" s="1890"/>
      <c r="Q58" s="1890"/>
      <c r="R58" s="1890"/>
      <c r="S58" s="1890"/>
      <c r="T58" s="1890"/>
    </row>
    <row r="59" spans="1:20" s="2229" customFormat="1" ht="26.1" customHeight="1" x14ac:dyDescent="0.2">
      <c r="A59" s="2291" t="s">
        <v>1258</v>
      </c>
      <c r="B59" s="1985"/>
      <c r="C59" s="2330"/>
      <c r="D59" s="2330"/>
      <c r="E59" s="2330"/>
      <c r="F59" s="2228"/>
      <c r="G59" s="1985"/>
      <c r="H59" s="1985"/>
      <c r="I59" s="1985"/>
      <c r="J59" s="1985"/>
      <c r="K59" s="1912" t="s">
        <v>1259</v>
      </c>
      <c r="L59" s="1985"/>
      <c r="M59" s="1985"/>
      <c r="N59" s="1985"/>
      <c r="O59" s="1985"/>
      <c r="P59" s="1985"/>
      <c r="Q59" s="1985"/>
      <c r="R59" s="1985"/>
      <c r="S59" s="1985"/>
      <c r="T59" s="1985"/>
    </row>
    <row r="60" spans="1:20" ht="18" x14ac:dyDescent="0.25">
      <c r="A60" s="2293"/>
      <c r="B60" s="1890"/>
      <c r="C60" s="1890"/>
      <c r="D60" s="1890"/>
      <c r="E60" s="1890"/>
      <c r="F60" s="1890"/>
      <c r="G60" s="1890"/>
      <c r="H60" s="1890"/>
      <c r="I60" s="1890"/>
      <c r="J60" s="1890"/>
      <c r="K60" s="1890"/>
      <c r="L60" s="1890"/>
      <c r="M60" s="1890"/>
      <c r="N60" s="1890"/>
      <c r="O60" s="1890"/>
      <c r="P60" s="1890"/>
      <c r="Q60" s="1890"/>
      <c r="R60" s="1890"/>
      <c r="S60" s="1890"/>
      <c r="T60" s="1890"/>
    </row>
    <row r="61" spans="1:20" ht="18" customHeight="1" x14ac:dyDescent="0.2">
      <c r="A61" s="1890"/>
      <c r="B61" s="2409"/>
      <c r="C61" s="2306" t="s">
        <v>1237</v>
      </c>
      <c r="D61" s="2079" t="s">
        <v>1257</v>
      </c>
      <c r="E61" s="1890"/>
      <c r="F61" s="1890"/>
      <c r="G61" s="1890"/>
      <c r="H61" s="1890"/>
      <c r="I61" s="1890"/>
      <c r="J61" s="2410"/>
      <c r="K61" s="2411"/>
      <c r="L61" s="2079" t="s">
        <v>1265</v>
      </c>
      <c r="M61" s="2079" t="s">
        <v>1257</v>
      </c>
      <c r="N61" s="1890"/>
      <c r="O61" s="1890"/>
      <c r="P61" s="1890"/>
      <c r="Q61" s="1890"/>
      <c r="R61" s="1890"/>
      <c r="S61" s="1890"/>
      <c r="T61" s="1890"/>
    </row>
    <row r="62" spans="1:20" ht="18" customHeight="1" x14ac:dyDescent="0.2">
      <c r="A62" s="1890"/>
      <c r="B62" s="2303" t="str">
        <f>+'CO2 - Cálculos'!AC16</f>
        <v>Resíduos de alimentos</v>
      </c>
      <c r="C62" s="2312">
        <f>+'CO2 - Cálculos'!AK16</f>
        <v>0</v>
      </c>
      <c r="D62" s="2379"/>
      <c r="E62" s="1890"/>
      <c r="F62" s="1890"/>
      <c r="G62" s="1890"/>
      <c r="H62" s="1890"/>
      <c r="I62" s="1890"/>
      <c r="J62" s="2410"/>
      <c r="K62" s="2412" t="str">
        <f>+'CO2 - Cálculos'!AC61</f>
        <v>Resíduos dispersos</v>
      </c>
      <c r="L62" s="2413">
        <f>+'CO2 - Cálculos'!AK61</f>
        <v>0</v>
      </c>
      <c r="M62" s="2380"/>
      <c r="N62" s="1890"/>
      <c r="O62" s="1890"/>
      <c r="P62" s="1890"/>
      <c r="Q62" s="1890"/>
      <c r="R62" s="1890"/>
      <c r="S62" s="1890"/>
      <c r="T62" s="1890"/>
    </row>
    <row r="63" spans="1:20" ht="18" customHeight="1" x14ac:dyDescent="0.2">
      <c r="A63" s="1890"/>
      <c r="B63" s="2303" t="str">
        <f>+'CO2 - Cálculos'!AC17</f>
        <v>Resíduos de jardins e parques</v>
      </c>
      <c r="C63" s="2312">
        <f>+'CO2 - Cálculos'!AK17</f>
        <v>0</v>
      </c>
      <c r="D63" s="2379"/>
      <c r="E63" s="1890"/>
      <c r="F63" s="1890"/>
      <c r="G63" s="1890"/>
      <c r="H63" s="1890"/>
      <c r="I63" s="1890"/>
      <c r="J63" s="2410"/>
      <c r="K63" s="2412" t="str">
        <f>+'CO2 - Cálculos'!AC62</f>
        <v>Queima a céu aberto</v>
      </c>
      <c r="L63" s="2413">
        <f>+'CO2 - Cálculos'!AK62</f>
        <v>0</v>
      </c>
      <c r="M63" s="2380"/>
      <c r="N63" s="1890"/>
      <c r="O63" s="1890"/>
      <c r="P63" s="1890"/>
      <c r="Q63" s="1890"/>
      <c r="R63" s="1890"/>
      <c r="S63" s="1890"/>
      <c r="T63" s="1890"/>
    </row>
    <row r="64" spans="1:20" ht="18" customHeight="1" x14ac:dyDescent="0.2">
      <c r="A64" s="1890"/>
      <c r="B64" s="2303" t="str">
        <f>+'CO2 - Cálculos'!AC18</f>
        <v>Papel, papelão</v>
      </c>
      <c r="C64" s="2312">
        <f>+'CO2 - Cálculos'!AK18</f>
        <v>1261.5838604928001</v>
      </c>
      <c r="D64" s="2379"/>
      <c r="E64" s="1890"/>
      <c r="F64" s="1890"/>
      <c r="G64" s="1890"/>
      <c r="H64" s="1890"/>
      <c r="I64" s="1890"/>
      <c r="J64" s="2410"/>
      <c r="K64" s="2412" t="str">
        <f>+'CO2 - Cálculos'!AC63</f>
        <v>Lixão não controlado</v>
      </c>
      <c r="L64" s="2413">
        <f>+'CO2 - Cálculos'!AK63</f>
        <v>0</v>
      </c>
      <c r="M64" s="2380"/>
      <c r="N64" s="1890"/>
      <c r="O64" s="1890"/>
      <c r="P64" s="1890"/>
      <c r="Q64" s="1890"/>
      <c r="R64" s="1890"/>
      <c r="S64" s="1890"/>
      <c r="T64" s="1890"/>
    </row>
    <row r="65" spans="1:20" ht="18" customHeight="1" x14ac:dyDescent="0.2">
      <c r="A65" s="1890"/>
      <c r="B65" s="2303" t="str">
        <f>+'CO2 - Cálculos'!AC19</f>
        <v>Plásticos</v>
      </c>
      <c r="C65" s="2312">
        <f>+'CO2 - Cálculos'!AK19</f>
        <v>280.38273119999997</v>
      </c>
      <c r="D65" s="2379"/>
      <c r="E65" s="1890"/>
      <c r="F65" s="1890"/>
      <c r="G65" s="1890"/>
      <c r="H65" s="1890"/>
      <c r="I65" s="1890"/>
      <c r="J65" s="2410"/>
      <c r="K65" s="2412" t="str">
        <f>+'CO2 - Cálculos'!AC64</f>
        <v>Aterro controlado</v>
      </c>
      <c r="L65" s="2413">
        <f>+'CO2 - Cálculos'!AK64</f>
        <v>4173.196405613453</v>
      </c>
      <c r="M65" s="2380"/>
      <c r="N65" s="1890"/>
      <c r="O65" s="1890"/>
      <c r="P65" s="1890"/>
      <c r="Q65" s="1890"/>
      <c r="R65" s="1890"/>
      <c r="S65" s="1890"/>
      <c r="T65" s="1890"/>
    </row>
    <row r="66" spans="1:20" ht="18" customHeight="1" x14ac:dyDescent="0.2">
      <c r="A66" s="1890"/>
      <c r="B66" s="2303" t="str">
        <f>+'CO2 - Cálculos'!AC20</f>
        <v>Vidros</v>
      </c>
      <c r="C66" s="2312">
        <f>+'CO2 - Cálculos'!AK20</f>
        <v>0</v>
      </c>
      <c r="D66" s="2379"/>
      <c r="E66" s="1890"/>
      <c r="F66" s="1890"/>
      <c r="G66" s="1890"/>
      <c r="H66" s="1890"/>
      <c r="I66" s="1890"/>
      <c r="J66" s="2410"/>
      <c r="K66" s="2412" t="str">
        <f>+'CO2 - Cálculos'!AC65</f>
        <v>Aterro sanitário</v>
      </c>
      <c r="L66" s="2413">
        <f>+'CO2 - Cálculos'!AK65</f>
        <v>0</v>
      </c>
      <c r="M66" s="2380"/>
      <c r="N66" s="1890"/>
      <c r="O66" s="1890"/>
      <c r="P66" s="1890"/>
      <c r="Q66" s="1890"/>
      <c r="R66" s="1890"/>
      <c r="S66" s="1890"/>
      <c r="T66" s="1890"/>
    </row>
    <row r="67" spans="1:20" ht="18" customHeight="1" x14ac:dyDescent="0.2">
      <c r="A67" s="1890"/>
      <c r="B67" s="2303" t="str">
        <f>+'CO2 - Cálculos'!AC21</f>
        <v>Metais ferrosos</v>
      </c>
      <c r="C67" s="2312">
        <f>+'CO2 - Cálculos'!AK21</f>
        <v>32.198999039999997</v>
      </c>
      <c r="D67" s="2379"/>
      <c r="E67" s="1890"/>
      <c r="F67" s="1890"/>
      <c r="G67" s="1890"/>
      <c r="H67" s="1890"/>
      <c r="I67" s="1890"/>
      <c r="J67" s="2414"/>
      <c r="K67" s="2412" t="str">
        <f>+'CO2 - Cálculos'!AC66</f>
        <v>Trat. biol + cobertura at.</v>
      </c>
      <c r="L67" s="2413">
        <f>+'CO2 - Cálculos'!AK66</f>
        <v>0</v>
      </c>
      <c r="M67" s="2380"/>
      <c r="N67" s="1890"/>
      <c r="O67" s="1890"/>
      <c r="P67" s="1890"/>
      <c r="Q67" s="1890"/>
      <c r="R67" s="1890"/>
      <c r="S67" s="1890"/>
      <c r="T67" s="1890"/>
    </row>
    <row r="68" spans="1:20" ht="18" customHeight="1" x14ac:dyDescent="0.2">
      <c r="A68" s="1890"/>
      <c r="B68" s="2303" t="str">
        <f>+'CO2 - Cálculos'!AC22</f>
        <v>Alumínio</v>
      </c>
      <c r="C68" s="2312">
        <f>+'CO2 - Cálculos'!AK22</f>
        <v>91.478406239999984</v>
      </c>
      <c r="D68" s="2379"/>
      <c r="E68" s="1890"/>
      <c r="F68" s="1890"/>
      <c r="G68" s="1890"/>
      <c r="H68" s="1890"/>
      <c r="I68" s="1890"/>
      <c r="J68" s="2414"/>
      <c r="K68" s="2412" t="str">
        <f>+'CO2 - Cálculos'!AC67</f>
        <v>CDR seco + rejeito aterro</v>
      </c>
      <c r="L68" s="2413">
        <f>+'CO2 - Cálculos'!AK67</f>
        <v>0</v>
      </c>
      <c r="M68" s="2380"/>
      <c r="N68" s="1890"/>
      <c r="O68" s="1890"/>
      <c r="P68" s="1890"/>
      <c r="Q68" s="1890"/>
      <c r="R68" s="1890"/>
      <c r="S68" s="1890"/>
      <c r="T68" s="1890"/>
    </row>
    <row r="69" spans="1:20" ht="18" customHeight="1" x14ac:dyDescent="0.2">
      <c r="A69" s="2234"/>
      <c r="B69" s="2303" t="str">
        <f>+'CO2 - Cálculos'!AC23</f>
        <v>Têxteis</v>
      </c>
      <c r="C69" s="2312">
        <f>+'CO2 - Cálculos'!AK23</f>
        <v>0</v>
      </c>
      <c r="D69" s="2379"/>
      <c r="E69" s="1890"/>
      <c r="F69" s="1890"/>
      <c r="G69" s="1890"/>
      <c r="H69" s="1890"/>
      <c r="I69" s="1890"/>
      <c r="J69" s="2414"/>
      <c r="K69" s="2412" t="str">
        <f>+'CO2 - Cálculos'!AC68</f>
        <v>CDR seco + trat. biol.</v>
      </c>
      <c r="L69" s="2413">
        <f>+'CO2 - Cálculos'!AK68</f>
        <v>0</v>
      </c>
      <c r="M69" s="2380"/>
      <c r="N69" s="1890"/>
      <c r="O69" s="1890"/>
      <c r="P69" s="1890"/>
      <c r="Q69" s="1890"/>
      <c r="R69" s="1890"/>
      <c r="S69" s="1890"/>
      <c r="T69" s="1890"/>
    </row>
    <row r="70" spans="1:20" ht="18" customHeight="1" x14ac:dyDescent="0.2">
      <c r="A70" s="1890"/>
      <c r="B70" s="2365" t="s">
        <v>1255</v>
      </c>
      <c r="C70" s="2379"/>
      <c r="D70" s="2311"/>
      <c r="E70" s="1890"/>
      <c r="F70" s="1890"/>
      <c r="G70" s="1890"/>
      <c r="H70" s="1890"/>
      <c r="I70" s="1890"/>
      <c r="J70" s="2410"/>
      <c r="K70" s="2412" t="str">
        <f>+'CO2 - Cálculos'!AC69</f>
        <v>CDR seco + CDR org.</v>
      </c>
      <c r="L70" s="2413">
        <f>+'CO2 - Cálculos'!AK69</f>
        <v>0</v>
      </c>
      <c r="M70" s="2380"/>
      <c r="N70" s="1890"/>
      <c r="O70" s="1890"/>
      <c r="P70" s="1890"/>
      <c r="Q70" s="1890"/>
      <c r="R70" s="1890"/>
      <c r="S70" s="1890"/>
      <c r="T70" s="1890"/>
    </row>
    <row r="71" spans="1:20" ht="18" customHeight="1" x14ac:dyDescent="0.2">
      <c r="A71" s="1890"/>
      <c r="B71" s="2300" t="str">
        <f>+'CO2 - Cálculos'!AC25</f>
        <v>Resíduos de alimentos</v>
      </c>
      <c r="C71" s="2312">
        <f>+'CO2 - Cálculos'!AK25</f>
        <v>0</v>
      </c>
      <c r="D71" s="2379"/>
      <c r="E71" s="1890"/>
      <c r="F71" s="1890"/>
      <c r="G71" s="1890"/>
      <c r="H71" s="1890"/>
      <c r="I71" s="1890"/>
      <c r="J71" s="2410"/>
      <c r="K71" s="2412" t="str">
        <f>+'CO2 - Cálculos'!AC70</f>
        <v>Incineração</v>
      </c>
      <c r="L71" s="2413">
        <f>+'CO2 - Cálculos'!AK70</f>
        <v>6233.9833509432347</v>
      </c>
      <c r="M71" s="2380"/>
      <c r="N71" s="1890"/>
      <c r="O71" s="1890"/>
      <c r="P71" s="1890"/>
      <c r="Q71" s="1890"/>
      <c r="R71" s="1890"/>
      <c r="S71" s="1890"/>
      <c r="T71" s="1890"/>
    </row>
    <row r="72" spans="1:20" ht="18" customHeight="1" x14ac:dyDescent="0.2">
      <c r="A72" s="1890"/>
      <c r="B72" s="2300" t="str">
        <f>+'CO2 - Cálculos'!AC26</f>
        <v>Resíduos de jardins e parques</v>
      </c>
      <c r="C72" s="2312">
        <f>+'CO2 - Cálculos'!AK26</f>
        <v>0</v>
      </c>
      <c r="D72" s="2379"/>
      <c r="E72" s="1890"/>
      <c r="F72" s="1890"/>
      <c r="G72" s="1890"/>
      <c r="H72" s="1890"/>
      <c r="I72" s="1890"/>
      <c r="J72" s="2410"/>
      <c r="K72" s="2415" t="s">
        <v>1255</v>
      </c>
      <c r="L72" s="2380"/>
      <c r="M72" s="2380"/>
      <c r="N72" s="1890"/>
      <c r="O72" s="1890"/>
      <c r="P72" s="1890"/>
      <c r="Q72" s="1890"/>
      <c r="R72" s="1890"/>
      <c r="S72" s="1890"/>
      <c r="T72" s="1890"/>
    </row>
    <row r="73" spans="1:20" ht="18" customHeight="1" x14ac:dyDescent="0.2">
      <c r="A73" s="1890"/>
      <c r="B73" s="2300" t="str">
        <f>+'CO2 - Cálculos'!AC27</f>
        <v>Papel, papelão</v>
      </c>
      <c r="C73" s="2312">
        <f>+'CO2 - Cálculos'!AK27</f>
        <v>-1554.8820191423999</v>
      </c>
      <c r="D73" s="2379"/>
      <c r="E73" s="1890"/>
      <c r="F73" s="1890"/>
      <c r="G73" s="1890"/>
      <c r="H73" s="1890"/>
      <c r="I73" s="1890"/>
      <c r="J73" s="2410"/>
      <c r="K73" s="2412" t="str">
        <f>+'CO2 - Cálculos'!AC72</f>
        <v>Resíduos dispersos</v>
      </c>
      <c r="L73" s="2416">
        <f>+'CO2 - Cálculos'!AK72</f>
        <v>0</v>
      </c>
      <c r="M73" s="2380"/>
      <c r="N73" s="1890"/>
      <c r="O73" s="1890"/>
      <c r="P73" s="1890"/>
      <c r="Q73" s="1890"/>
      <c r="R73" s="1890"/>
      <c r="S73" s="1890"/>
      <c r="T73" s="1890"/>
    </row>
    <row r="74" spans="1:20" ht="18" customHeight="1" x14ac:dyDescent="0.2">
      <c r="A74" s="1890"/>
      <c r="B74" s="2300" t="str">
        <f>+'CO2 - Cálculos'!AC28</f>
        <v>Plásticos</v>
      </c>
      <c r="C74" s="2312">
        <f>+'CO2 - Cálculos'!AK28</f>
        <v>-1306.0364391359999</v>
      </c>
      <c r="D74" s="2379"/>
      <c r="E74" s="1890"/>
      <c r="F74" s="1890"/>
      <c r="G74" s="1890"/>
      <c r="H74" s="1890"/>
      <c r="I74" s="1890"/>
      <c r="J74" s="2410"/>
      <c r="K74" s="2412" t="str">
        <f>+'CO2 - Cálculos'!AC73</f>
        <v>Queima a céu aberto</v>
      </c>
      <c r="L74" s="2416">
        <f>+'CO2 - Cálculos'!AK73</f>
        <v>0</v>
      </c>
      <c r="M74" s="2380"/>
      <c r="N74" s="1890"/>
      <c r="O74" s="1890"/>
      <c r="P74" s="1890"/>
      <c r="Q74" s="1890"/>
      <c r="R74" s="1890"/>
      <c r="S74" s="1890"/>
      <c r="T74" s="1890"/>
    </row>
    <row r="75" spans="1:20" ht="18" customHeight="1" x14ac:dyDescent="0.2">
      <c r="A75" s="1890"/>
      <c r="B75" s="2300" t="str">
        <f>+'CO2 - Cálculos'!AC29</f>
        <v>Vidros</v>
      </c>
      <c r="C75" s="2312">
        <f>+'CO2 - Cálculos'!AK29</f>
        <v>0</v>
      </c>
      <c r="D75" s="2379"/>
      <c r="E75" s="1890"/>
      <c r="F75" s="1890"/>
      <c r="G75" s="1890"/>
      <c r="H75" s="1890"/>
      <c r="I75" s="1890"/>
      <c r="J75" s="2410"/>
      <c r="K75" s="2412" t="str">
        <f>+'CO2 - Cálculos'!AC74</f>
        <v>Lixão não controlado</v>
      </c>
      <c r="L75" s="2416">
        <f>+'CO2 - Cálculos'!AK74</f>
        <v>0</v>
      </c>
      <c r="M75" s="2380"/>
      <c r="N75" s="1890"/>
      <c r="O75" s="1890"/>
      <c r="P75" s="1890"/>
      <c r="Q75" s="1890"/>
      <c r="R75" s="1890"/>
      <c r="S75" s="1890"/>
      <c r="T75" s="1890"/>
    </row>
    <row r="76" spans="1:20" ht="18" customHeight="1" x14ac:dyDescent="0.2">
      <c r="A76" s="1890"/>
      <c r="B76" s="2300" t="str">
        <f>+'CO2 - Cálculos'!AC30</f>
        <v>Metais ferrosos</v>
      </c>
      <c r="C76" s="2312">
        <f>+'CO2 - Cálculos'!AK30</f>
        <v>-861.32322431999989</v>
      </c>
      <c r="D76" s="2379"/>
      <c r="E76" s="1890"/>
      <c r="F76" s="1890"/>
      <c r="G76" s="1890"/>
      <c r="H76" s="1890"/>
      <c r="I76" s="1890"/>
      <c r="J76" s="2410"/>
      <c r="K76" s="2412" t="str">
        <f>+'CO2 - Cálculos'!AC75</f>
        <v>Aterro controlado</v>
      </c>
      <c r="L76" s="2416">
        <f>+'CO2 - Cálculos'!AK75</f>
        <v>0</v>
      </c>
      <c r="M76" s="2380"/>
      <c r="N76" s="1890"/>
      <c r="O76" s="1890"/>
      <c r="P76" s="1890"/>
      <c r="Q76" s="1890"/>
      <c r="R76" s="1890"/>
      <c r="S76" s="1890"/>
      <c r="T76" s="1890"/>
    </row>
    <row r="77" spans="1:20" ht="18" customHeight="1" x14ac:dyDescent="0.2">
      <c r="A77" s="1890"/>
      <c r="B77" s="2300" t="str">
        <f>+'CO2 - Cálculos'!AC31</f>
        <v>Alumínio</v>
      </c>
      <c r="C77" s="2312">
        <f>+'CO2 - Cálculos'!AK31</f>
        <v>-1296.7096895999998</v>
      </c>
      <c r="D77" s="2379"/>
      <c r="E77" s="1890"/>
      <c r="F77" s="1890"/>
      <c r="G77" s="1890"/>
      <c r="H77" s="1890"/>
      <c r="I77" s="1890"/>
      <c r="J77" s="2414"/>
      <c r="K77" s="2412" t="str">
        <f>+'CO2 - Cálculos'!AC76</f>
        <v>Aterro sanitário</v>
      </c>
      <c r="L77" s="2416">
        <f>+'CO2 - Cálculos'!AK76</f>
        <v>0</v>
      </c>
      <c r="M77" s="2380"/>
      <c r="N77" s="1890"/>
      <c r="O77" s="1890"/>
      <c r="P77" s="1890"/>
      <c r="Q77" s="1890"/>
      <c r="R77" s="1890"/>
      <c r="S77" s="1890"/>
      <c r="T77" s="1890"/>
    </row>
    <row r="78" spans="1:20" ht="18" customHeight="1" x14ac:dyDescent="0.2">
      <c r="A78" s="1890"/>
      <c r="B78" s="2300" t="str">
        <f>+'CO2 - Cálculos'!AC32</f>
        <v>Têxteis</v>
      </c>
      <c r="C78" s="2312">
        <f>+'CO2 - Cálculos'!AK32</f>
        <v>0</v>
      </c>
      <c r="D78" s="2379"/>
      <c r="E78" s="1890"/>
      <c r="F78" s="1890"/>
      <c r="G78" s="1890"/>
      <c r="H78" s="1890"/>
      <c r="I78" s="1890"/>
      <c r="J78" s="2414"/>
      <c r="K78" s="2412" t="str">
        <f>+'CO2 - Cálculos'!AC77</f>
        <v>Trat. biol + cobertura at.</v>
      </c>
      <c r="L78" s="2416">
        <f>+'CO2 - Cálculos'!AK77</f>
        <v>0</v>
      </c>
      <c r="M78" s="2380"/>
      <c r="N78" s="1890"/>
      <c r="O78" s="1890"/>
      <c r="P78" s="1890"/>
      <c r="Q78" s="1890"/>
      <c r="R78" s="1890"/>
      <c r="S78" s="1890"/>
      <c r="T78" s="1890"/>
    </row>
    <row r="79" spans="1:20" ht="18" customHeight="1" x14ac:dyDescent="0.2">
      <c r="A79" s="1890"/>
      <c r="B79" s="2365" t="s">
        <v>1256</v>
      </c>
      <c r="C79" s="2379"/>
      <c r="D79" s="2311"/>
      <c r="E79" s="1890"/>
      <c r="F79" s="1890"/>
      <c r="G79" s="1890"/>
      <c r="H79" s="1890"/>
      <c r="I79" s="1890"/>
      <c r="J79" s="2414"/>
      <c r="K79" s="2412" t="str">
        <f>+'CO2 - Cálculos'!AC78</f>
        <v>CDR seco + rejeito aterro</v>
      </c>
      <c r="L79" s="2416">
        <f>+'CO2 - Cálculos'!AK78</f>
        <v>0</v>
      </c>
      <c r="M79" s="2380"/>
      <c r="N79" s="1890"/>
      <c r="O79" s="1890"/>
      <c r="P79" s="1890"/>
      <c r="Q79" s="1890"/>
      <c r="R79" s="1890"/>
      <c r="S79" s="1890"/>
      <c r="T79" s="1890"/>
    </row>
    <row r="80" spans="1:20" ht="18" customHeight="1" x14ac:dyDescent="0.2">
      <c r="A80" s="1890"/>
      <c r="B80" s="2365" t="s">
        <v>1257</v>
      </c>
      <c r="C80" s="2379"/>
      <c r="D80" s="2312">
        <f>SUM(C62:C69,C71:C78)</f>
        <v>-3353.3073752255996</v>
      </c>
      <c r="E80" s="1890"/>
      <c r="F80" s="1890"/>
      <c r="G80" s="1890"/>
      <c r="H80" s="1890"/>
      <c r="I80" s="1890"/>
      <c r="J80" s="2410"/>
      <c r="K80" s="2412" t="str">
        <f>+'CO2 - Cálculos'!AC79</f>
        <v>CDR seco + trat. biol.</v>
      </c>
      <c r="L80" s="2416">
        <f>+'CO2 - Cálculos'!AK79</f>
        <v>0</v>
      </c>
      <c r="M80" s="2380"/>
      <c r="N80" s="1890"/>
      <c r="O80" s="1890"/>
      <c r="P80" s="1890"/>
      <c r="Q80" s="1890"/>
      <c r="R80" s="1890"/>
      <c r="S80" s="1890"/>
      <c r="T80" s="1890"/>
    </row>
    <row r="81" spans="1:20" ht="18" customHeight="1" x14ac:dyDescent="0.2">
      <c r="A81" s="1890"/>
      <c r="B81" s="1890"/>
      <c r="C81" s="1890"/>
      <c r="D81" s="1890"/>
      <c r="E81" s="1890"/>
      <c r="F81" s="1890"/>
      <c r="G81" s="1890"/>
      <c r="H81" s="1890"/>
      <c r="I81" s="1890"/>
      <c r="J81" s="2410"/>
      <c r="K81" s="2412" t="str">
        <f>+'CO2 - Cálculos'!AC80</f>
        <v>CDR seco + CDR org.</v>
      </c>
      <c r="L81" s="2416">
        <f>+'CO2 - Cálculos'!AK80</f>
        <v>0</v>
      </c>
      <c r="M81" s="2380"/>
      <c r="N81" s="1890"/>
      <c r="O81" s="1890"/>
      <c r="P81" s="1890"/>
      <c r="Q81" s="1890"/>
      <c r="R81" s="1890"/>
      <c r="S81" s="1890"/>
      <c r="T81" s="1890"/>
    </row>
    <row r="82" spans="1:20" ht="18" customHeight="1" x14ac:dyDescent="0.2">
      <c r="A82" s="1890"/>
      <c r="B82" s="1890"/>
      <c r="C82" s="1890"/>
      <c r="D82" s="1890"/>
      <c r="E82" s="2267"/>
      <c r="F82" s="1890"/>
      <c r="G82" s="1890"/>
      <c r="H82" s="1890"/>
      <c r="I82" s="1890"/>
      <c r="J82" s="2410"/>
      <c r="K82" s="2412" t="str">
        <f>+'CO2 - Cálculos'!AC81</f>
        <v>Incineração</v>
      </c>
      <c r="L82" s="2416">
        <f>+'CO2 - Cálculos'!AK81</f>
        <v>-443.24404907404056</v>
      </c>
      <c r="M82" s="2380"/>
      <c r="N82" s="1890"/>
      <c r="O82" s="1890"/>
      <c r="P82" s="1890"/>
      <c r="Q82" s="1890"/>
      <c r="R82" s="1890"/>
      <c r="S82" s="1890"/>
      <c r="T82" s="1890"/>
    </row>
    <row r="83" spans="1:20" ht="18" customHeight="1" x14ac:dyDescent="0.2">
      <c r="A83" s="1890"/>
      <c r="B83" s="1890"/>
      <c r="C83" s="1890"/>
      <c r="D83" s="1890"/>
      <c r="E83" s="2267"/>
      <c r="F83" s="1890"/>
      <c r="G83" s="1890"/>
      <c r="H83" s="1890"/>
      <c r="I83" s="1890"/>
      <c r="J83" s="2410"/>
      <c r="K83" s="2415" t="s">
        <v>1256</v>
      </c>
      <c r="L83" s="2380"/>
      <c r="M83" s="2380"/>
      <c r="N83" s="1890"/>
      <c r="O83" s="1890"/>
      <c r="P83" s="1890"/>
      <c r="Q83" s="1890"/>
      <c r="R83" s="1890"/>
      <c r="S83" s="1890"/>
      <c r="T83" s="1890"/>
    </row>
    <row r="84" spans="1:20" ht="18" customHeight="1" x14ac:dyDescent="0.2">
      <c r="A84" s="1890"/>
      <c r="B84" s="1890"/>
      <c r="C84" s="1890"/>
      <c r="D84" s="1890"/>
      <c r="E84" s="2267"/>
      <c r="F84" s="1890"/>
      <c r="G84" s="1890"/>
      <c r="H84" s="1890"/>
      <c r="I84" s="1890"/>
      <c r="J84" s="2410"/>
      <c r="K84" s="2415" t="s">
        <v>1257</v>
      </c>
      <c r="L84" s="2380"/>
      <c r="M84" s="2417">
        <f>SUM(L62:L71,L73:L82)</f>
        <v>9963.9357074826476</v>
      </c>
      <c r="N84" s="1890"/>
      <c r="O84" s="1890"/>
      <c r="P84" s="1890"/>
      <c r="Q84" s="1890"/>
      <c r="R84" s="1890"/>
      <c r="S84" s="1890"/>
      <c r="T84" s="1890"/>
    </row>
    <row r="85" spans="1:20" ht="18" customHeight="1" x14ac:dyDescent="0.2">
      <c r="A85" s="1890"/>
      <c r="B85" s="1890"/>
      <c r="C85" s="1890"/>
      <c r="D85" s="1890"/>
      <c r="E85" s="1890"/>
      <c r="F85" s="1890"/>
      <c r="G85" s="1890"/>
      <c r="H85" s="1890"/>
      <c r="I85" s="1890"/>
      <c r="J85" s="1890"/>
      <c r="K85" s="1890"/>
      <c r="L85" s="1890"/>
      <c r="M85" s="1890"/>
      <c r="N85" s="1890"/>
      <c r="O85" s="1890"/>
      <c r="P85" s="1890"/>
      <c r="Q85" s="1890"/>
      <c r="R85" s="1890"/>
      <c r="S85" s="1890"/>
      <c r="T85" s="1890"/>
    </row>
    <row r="86" spans="1:20" x14ac:dyDescent="0.2">
      <c r="A86" s="1890"/>
      <c r="B86" s="1890"/>
      <c r="C86" s="1890"/>
      <c r="D86" s="1890"/>
      <c r="E86" s="1890"/>
      <c r="F86" s="1890"/>
      <c r="G86" s="1890"/>
      <c r="H86" s="1890"/>
      <c r="I86" s="1890"/>
      <c r="J86" s="1890"/>
      <c r="K86" s="1890"/>
      <c r="L86" s="1890"/>
      <c r="M86" s="1890"/>
      <c r="N86" s="1890"/>
      <c r="O86" s="1890"/>
      <c r="P86" s="1890"/>
      <c r="Q86" s="1890"/>
      <c r="R86" s="1890"/>
      <c r="S86" s="1890"/>
      <c r="T86" s="1890"/>
    </row>
    <row r="87" spans="1:20" x14ac:dyDescent="0.2">
      <c r="A87" s="1890"/>
      <c r="B87" s="1890"/>
      <c r="C87" s="1890"/>
      <c r="D87" s="1890"/>
      <c r="E87" s="1890"/>
      <c r="F87" s="1890"/>
      <c r="G87" s="1890"/>
      <c r="H87" s="1890"/>
      <c r="I87" s="1890"/>
      <c r="J87" s="1890"/>
      <c r="K87" s="1890"/>
      <c r="L87" s="1890"/>
      <c r="M87" s="1890"/>
      <c r="N87" s="1890"/>
      <c r="O87" s="1890"/>
      <c r="P87" s="1890"/>
      <c r="Q87" s="1890"/>
      <c r="R87" s="1890"/>
      <c r="S87" s="1890"/>
      <c r="T87" s="1890"/>
    </row>
    <row r="88" spans="1:20" x14ac:dyDescent="0.2">
      <c r="A88" s="1890"/>
      <c r="B88" s="1890"/>
      <c r="C88" s="1890"/>
      <c r="D88" s="1890"/>
      <c r="E88" s="1890"/>
      <c r="F88" s="1890"/>
      <c r="G88" s="1890"/>
      <c r="H88" s="1890"/>
      <c r="I88" s="1890"/>
      <c r="J88" s="1890"/>
      <c r="K88" s="1890"/>
      <c r="L88" s="1890"/>
      <c r="M88" s="1890"/>
      <c r="N88" s="1890"/>
      <c r="O88" s="1890"/>
      <c r="P88" s="1890"/>
      <c r="Q88" s="1890"/>
      <c r="R88" s="1890"/>
      <c r="S88" s="1890"/>
      <c r="T88" s="1890"/>
    </row>
    <row r="89" spans="1:20" x14ac:dyDescent="0.2">
      <c r="A89" s="1890"/>
      <c r="B89" s="1890"/>
      <c r="C89" s="1890"/>
      <c r="D89" s="1890"/>
      <c r="E89" s="1890"/>
      <c r="F89" s="1890"/>
      <c r="G89" s="1890"/>
      <c r="H89" s="1890"/>
      <c r="I89" s="1890"/>
      <c r="J89" s="1890"/>
      <c r="K89" s="1890"/>
      <c r="L89" s="1890"/>
      <c r="M89" s="1890"/>
      <c r="N89" s="1890"/>
      <c r="O89" s="1890"/>
      <c r="P89" s="1890"/>
      <c r="Q89" s="1890"/>
      <c r="R89" s="1890"/>
      <c r="S89" s="1890"/>
      <c r="T89" s="1890"/>
    </row>
    <row r="90" spans="1:20" x14ac:dyDescent="0.2">
      <c r="A90" s="1890"/>
      <c r="B90" s="1890"/>
      <c r="C90" s="1890"/>
      <c r="D90" s="1890"/>
      <c r="E90" s="1890"/>
      <c r="F90" s="1890"/>
      <c r="G90" s="1890"/>
      <c r="H90" s="1890"/>
      <c r="I90" s="1890"/>
      <c r="J90" s="1890"/>
      <c r="K90" s="1890"/>
      <c r="L90" s="1890"/>
      <c r="M90" s="1890"/>
      <c r="N90" s="1890"/>
      <c r="O90" s="1890"/>
      <c r="P90" s="1890"/>
      <c r="Q90" s="1890"/>
      <c r="R90" s="1890"/>
      <c r="S90" s="1890"/>
      <c r="T90" s="1890"/>
    </row>
    <row r="91" spans="1:20" x14ac:dyDescent="0.2">
      <c r="A91" s="1890"/>
      <c r="B91" s="1890"/>
      <c r="C91" s="1890"/>
      <c r="D91" s="1890"/>
      <c r="E91" s="1890"/>
      <c r="F91" s="1890"/>
      <c r="G91" s="1890"/>
      <c r="H91" s="1890"/>
      <c r="I91" s="1890"/>
      <c r="J91" s="1890"/>
      <c r="K91" s="1890"/>
      <c r="L91" s="1890"/>
      <c r="M91" s="1890"/>
      <c r="N91" s="1890"/>
      <c r="O91" s="1890"/>
      <c r="P91" s="1890"/>
      <c r="Q91" s="1890"/>
      <c r="R91" s="1890"/>
      <c r="S91" s="1890"/>
      <c r="T91" s="1890"/>
    </row>
    <row r="92" spans="1:20" x14ac:dyDescent="0.2">
      <c r="A92" s="1890"/>
      <c r="B92" s="1890"/>
      <c r="C92" s="1890"/>
      <c r="D92" s="1890"/>
      <c r="E92" s="1890"/>
      <c r="F92" s="1890"/>
      <c r="G92" s="1890"/>
      <c r="H92" s="1890"/>
      <c r="I92" s="1890"/>
      <c r="J92" s="1890"/>
      <c r="K92" s="1890"/>
      <c r="L92" s="1890"/>
      <c r="M92" s="1890"/>
      <c r="N92" s="1890"/>
      <c r="O92" s="1890"/>
      <c r="P92" s="1890"/>
      <c r="Q92" s="1890"/>
      <c r="R92" s="1890"/>
      <c r="S92" s="1890"/>
      <c r="T92" s="1890"/>
    </row>
    <row r="93" spans="1:20" x14ac:dyDescent="0.2">
      <c r="A93" s="1890"/>
      <c r="B93" s="1890"/>
      <c r="C93" s="1890"/>
      <c r="D93" s="1890"/>
      <c r="E93" s="1890"/>
      <c r="F93" s="1890"/>
      <c r="G93" s="1890"/>
      <c r="H93" s="1890"/>
      <c r="I93" s="1890"/>
      <c r="J93" s="1890"/>
      <c r="K93" s="1890"/>
      <c r="L93" s="1890"/>
      <c r="M93" s="1890"/>
      <c r="N93" s="1890"/>
      <c r="O93" s="1890"/>
      <c r="P93" s="1890"/>
      <c r="Q93" s="1890"/>
      <c r="R93" s="1890"/>
      <c r="S93" s="1890"/>
      <c r="T93" s="1890"/>
    </row>
    <row r="94" spans="1:20" x14ac:dyDescent="0.2">
      <c r="A94" s="1890"/>
      <c r="B94" s="1890"/>
      <c r="C94" s="1890"/>
      <c r="D94" s="1890"/>
      <c r="E94" s="1890"/>
      <c r="F94" s="1890"/>
      <c r="G94" s="1890"/>
      <c r="H94" s="1890"/>
      <c r="I94" s="1890"/>
      <c r="J94" s="1890"/>
      <c r="K94" s="1890"/>
      <c r="L94" s="1890"/>
      <c r="M94" s="1890"/>
      <c r="N94" s="1890"/>
      <c r="O94" s="1890"/>
      <c r="P94" s="1890"/>
      <c r="Q94" s="1890"/>
      <c r="R94" s="1890"/>
      <c r="S94" s="1890"/>
      <c r="T94" s="1890"/>
    </row>
    <row r="95" spans="1:20" x14ac:dyDescent="0.2">
      <c r="A95" s="1890"/>
      <c r="B95" s="1890"/>
      <c r="C95" s="1890"/>
      <c r="D95" s="1890"/>
      <c r="E95" s="1890"/>
      <c r="F95" s="1890"/>
      <c r="G95" s="1890"/>
      <c r="H95" s="1890"/>
      <c r="I95" s="1890"/>
      <c r="J95" s="1890"/>
      <c r="K95" s="1890"/>
      <c r="L95" s="1890"/>
      <c r="M95" s="1890"/>
      <c r="N95" s="1890"/>
      <c r="O95" s="1890"/>
      <c r="P95" s="1890"/>
      <c r="Q95" s="1890"/>
      <c r="R95" s="1890"/>
      <c r="S95" s="1890"/>
      <c r="T95" s="1890"/>
    </row>
    <row r="96" spans="1:20" x14ac:dyDescent="0.2">
      <c r="A96" s="1890"/>
      <c r="B96" s="1890"/>
      <c r="C96" s="1890"/>
      <c r="D96" s="1890"/>
      <c r="E96" s="1890"/>
      <c r="F96" s="1890"/>
      <c r="G96" s="1890"/>
      <c r="H96" s="1890"/>
      <c r="I96" s="1890"/>
      <c r="J96" s="1890"/>
      <c r="K96" s="1890"/>
      <c r="L96" s="1890"/>
      <c r="M96" s="1890"/>
      <c r="N96" s="1890"/>
      <c r="O96" s="1890"/>
      <c r="P96" s="1890"/>
      <c r="Q96" s="1890"/>
      <c r="R96" s="1890"/>
      <c r="S96" s="1890"/>
      <c r="T96" s="1890"/>
    </row>
    <row r="97" spans="1:20" x14ac:dyDescent="0.2">
      <c r="A97" s="1890"/>
      <c r="B97" s="1890"/>
      <c r="C97" s="1890"/>
      <c r="D97" s="1890"/>
      <c r="E97" s="1890"/>
      <c r="F97" s="1890"/>
      <c r="G97" s="1890"/>
      <c r="H97" s="1890"/>
      <c r="I97" s="1890"/>
      <c r="J97" s="1890"/>
      <c r="K97" s="1890"/>
      <c r="L97" s="1890"/>
      <c r="M97" s="1890"/>
      <c r="N97" s="1890"/>
      <c r="O97" s="1890"/>
      <c r="P97" s="1890"/>
      <c r="Q97" s="1890"/>
      <c r="R97" s="1890"/>
      <c r="S97" s="1890"/>
      <c r="T97" s="1890"/>
    </row>
    <row r="98" spans="1:20" x14ac:dyDescent="0.2">
      <c r="A98" s="1890"/>
      <c r="B98" s="1890"/>
      <c r="C98" s="1890"/>
      <c r="D98" s="1890"/>
      <c r="E98" s="1890"/>
      <c r="F98" s="1890"/>
      <c r="G98" s="1890"/>
      <c r="H98" s="1890"/>
      <c r="I98" s="1890"/>
      <c r="J98" s="1890"/>
      <c r="K98" s="1890"/>
      <c r="L98" s="1890"/>
      <c r="M98" s="1890"/>
      <c r="N98" s="1890"/>
      <c r="O98" s="1890"/>
      <c r="P98" s="1890"/>
      <c r="Q98" s="1890"/>
      <c r="R98" s="1890"/>
      <c r="S98" s="1890"/>
      <c r="T98" s="1890"/>
    </row>
    <row r="99" spans="1:20" x14ac:dyDescent="0.2">
      <c r="A99" s="1890"/>
      <c r="B99" s="1890"/>
      <c r="C99" s="1890"/>
      <c r="D99" s="1890"/>
      <c r="E99" s="1890"/>
      <c r="F99" s="1890"/>
      <c r="G99" s="1890"/>
      <c r="H99" s="1890"/>
      <c r="I99" s="1890"/>
      <c r="J99" s="1890"/>
      <c r="K99" s="1890"/>
      <c r="L99" s="1890"/>
      <c r="M99" s="1890"/>
      <c r="N99" s="1890"/>
      <c r="O99" s="1890"/>
      <c r="P99" s="1890"/>
      <c r="Q99" s="1890"/>
      <c r="R99" s="1890"/>
      <c r="S99" s="1890"/>
      <c r="T99" s="1890"/>
    </row>
    <row r="100" spans="1:20" x14ac:dyDescent="0.2">
      <c r="A100" s="1890"/>
      <c r="B100" s="1890"/>
      <c r="C100" s="1890"/>
      <c r="D100" s="1890"/>
      <c r="E100" s="1890"/>
      <c r="F100" s="1890"/>
      <c r="G100" s="1890"/>
      <c r="H100" s="1890"/>
      <c r="I100" s="1890"/>
      <c r="J100" s="1890"/>
      <c r="K100" s="1890"/>
      <c r="L100" s="1890"/>
      <c r="M100" s="1890"/>
      <c r="N100" s="1890"/>
      <c r="O100" s="1890"/>
      <c r="P100" s="1890"/>
      <c r="Q100" s="1890"/>
      <c r="R100" s="1890"/>
      <c r="S100" s="1890"/>
      <c r="T100" s="1890"/>
    </row>
    <row r="101" spans="1:20" x14ac:dyDescent="0.2">
      <c r="A101" s="1890"/>
      <c r="B101" s="1890"/>
      <c r="C101" s="1890"/>
      <c r="D101" s="1890"/>
      <c r="E101" s="1890"/>
      <c r="F101" s="1890"/>
      <c r="G101" s="1890"/>
      <c r="H101" s="1890"/>
      <c r="I101" s="1890"/>
      <c r="J101" s="1890"/>
      <c r="K101" s="1890"/>
      <c r="L101" s="1890"/>
      <c r="M101" s="1890"/>
      <c r="N101" s="1890"/>
      <c r="O101" s="1890"/>
      <c r="P101" s="1890"/>
      <c r="Q101" s="1890"/>
      <c r="R101" s="1890"/>
      <c r="S101" s="1890"/>
      <c r="T101" s="1890"/>
    </row>
    <row r="102" spans="1:20" x14ac:dyDescent="0.2">
      <c r="A102" s="1890"/>
      <c r="B102" s="1890"/>
      <c r="C102" s="1890"/>
      <c r="D102" s="1890"/>
      <c r="E102" s="1890"/>
      <c r="F102" s="1890"/>
      <c r="G102" s="1890"/>
      <c r="H102" s="1890"/>
      <c r="I102" s="1890"/>
      <c r="J102" s="1890"/>
      <c r="K102" s="1890"/>
      <c r="L102" s="1890"/>
      <c r="M102" s="1890"/>
      <c r="N102" s="1890"/>
      <c r="O102" s="1890"/>
      <c r="P102" s="1890"/>
      <c r="Q102" s="1890"/>
      <c r="R102" s="1890"/>
      <c r="S102" s="1890"/>
      <c r="T102" s="1890"/>
    </row>
    <row r="103" spans="1:20" x14ac:dyDescent="0.2">
      <c r="A103" s="1890"/>
      <c r="B103" s="1890"/>
      <c r="C103" s="1890"/>
      <c r="D103" s="1890"/>
      <c r="E103" s="1890"/>
      <c r="F103" s="1890"/>
      <c r="G103" s="1890"/>
      <c r="H103" s="1890"/>
      <c r="I103" s="1890"/>
      <c r="J103" s="1890"/>
      <c r="K103" s="1890"/>
      <c r="L103" s="1890"/>
      <c r="M103" s="1890"/>
      <c r="N103" s="1890"/>
      <c r="O103" s="1890"/>
      <c r="P103" s="1890"/>
      <c r="Q103" s="1890"/>
      <c r="R103" s="1890"/>
      <c r="S103" s="1890"/>
      <c r="T103" s="1890"/>
    </row>
    <row r="104" spans="1:20" x14ac:dyDescent="0.2">
      <c r="A104" s="1890"/>
      <c r="B104" s="1890"/>
      <c r="C104" s="1890"/>
      <c r="D104" s="1890"/>
      <c r="E104" s="1890"/>
      <c r="F104" s="1890"/>
      <c r="G104" s="1890"/>
      <c r="H104" s="1890"/>
      <c r="I104" s="1890"/>
      <c r="J104" s="1890"/>
      <c r="K104" s="1890"/>
      <c r="L104" s="1890"/>
      <c r="M104" s="1890"/>
      <c r="N104" s="1890"/>
      <c r="O104" s="1890"/>
      <c r="P104" s="1890"/>
      <c r="Q104" s="1890"/>
      <c r="R104" s="1890"/>
      <c r="S104" s="1890"/>
      <c r="T104" s="1890"/>
    </row>
    <row r="105" spans="1:20" x14ac:dyDescent="0.2">
      <c r="A105" s="1890"/>
      <c r="B105" s="1890"/>
      <c r="C105" s="1890"/>
      <c r="D105" s="1890"/>
      <c r="E105" s="1890"/>
      <c r="F105" s="1890"/>
      <c r="G105" s="1890"/>
      <c r="H105" s="1890"/>
      <c r="I105" s="1890"/>
      <c r="J105" s="1890"/>
      <c r="K105" s="1890"/>
      <c r="L105" s="1890"/>
      <c r="M105" s="1890"/>
      <c r="N105" s="1890"/>
      <c r="O105" s="1890"/>
      <c r="P105" s="1890"/>
      <c r="Q105" s="1890"/>
      <c r="R105" s="1890"/>
      <c r="S105" s="1890"/>
      <c r="T105" s="1890"/>
    </row>
    <row r="106" spans="1:20" x14ac:dyDescent="0.2">
      <c r="A106" s="1890"/>
      <c r="B106" s="1890"/>
      <c r="C106" s="1890"/>
      <c r="D106" s="1890"/>
      <c r="E106" s="1890"/>
      <c r="F106" s="1890"/>
      <c r="G106" s="1890"/>
      <c r="H106" s="1890"/>
      <c r="I106" s="1890"/>
      <c r="J106" s="1890"/>
      <c r="K106" s="1890"/>
      <c r="L106" s="1890"/>
      <c r="M106" s="1890"/>
      <c r="N106" s="1890"/>
      <c r="O106" s="1890"/>
      <c r="P106" s="1890"/>
      <c r="Q106" s="1890"/>
      <c r="R106" s="1890"/>
      <c r="S106" s="1890"/>
      <c r="T106" s="1890"/>
    </row>
    <row r="107" spans="1:20" x14ac:dyDescent="0.2">
      <c r="A107" s="1890"/>
      <c r="B107" s="1890"/>
      <c r="C107" s="1890"/>
      <c r="D107" s="1890"/>
      <c r="E107" s="1890"/>
      <c r="F107" s="1890"/>
      <c r="G107" s="1890"/>
      <c r="H107" s="1890"/>
      <c r="I107" s="1890"/>
      <c r="J107" s="1890"/>
      <c r="K107" s="1890"/>
      <c r="L107" s="1890"/>
      <c r="M107" s="1890"/>
      <c r="N107" s="1890"/>
      <c r="O107" s="1890"/>
      <c r="P107" s="1890"/>
      <c r="Q107" s="1890"/>
      <c r="R107" s="1890"/>
      <c r="S107" s="1890"/>
      <c r="T107" s="1890"/>
    </row>
    <row r="108" spans="1:20" x14ac:dyDescent="0.2">
      <c r="A108" s="1890"/>
      <c r="B108" s="1890"/>
      <c r="C108" s="1890"/>
      <c r="D108" s="1890"/>
      <c r="E108" s="1890"/>
      <c r="F108" s="1890"/>
      <c r="G108" s="1890"/>
      <c r="H108" s="1890"/>
      <c r="I108" s="1890"/>
      <c r="J108" s="1890"/>
      <c r="K108" s="1890"/>
      <c r="L108" s="1890"/>
      <c r="M108" s="1890"/>
      <c r="N108" s="1890"/>
      <c r="O108" s="1890"/>
      <c r="P108" s="1890"/>
      <c r="Q108" s="1890"/>
      <c r="R108" s="1890"/>
      <c r="S108" s="1890"/>
      <c r="T108" s="1890"/>
    </row>
    <row r="109" spans="1:20" x14ac:dyDescent="0.2">
      <c r="A109" s="1890"/>
      <c r="B109" s="1890"/>
      <c r="C109" s="1890"/>
      <c r="D109" s="1890"/>
      <c r="E109" s="1890"/>
      <c r="F109" s="1890"/>
      <c r="G109" s="1890"/>
      <c r="H109" s="1890"/>
      <c r="I109" s="1890"/>
      <c r="J109" s="1890"/>
      <c r="K109" s="1890"/>
      <c r="L109" s="1890"/>
      <c r="M109" s="1890"/>
      <c r="N109" s="1890"/>
      <c r="O109" s="1890"/>
      <c r="P109" s="1890"/>
      <c r="Q109" s="1890"/>
      <c r="R109" s="1890"/>
      <c r="S109" s="1890"/>
      <c r="T109" s="1890"/>
    </row>
    <row r="110" spans="1:20" x14ac:dyDescent="0.2">
      <c r="A110" s="1890"/>
      <c r="B110" s="1890"/>
      <c r="C110" s="1890"/>
      <c r="D110" s="1890"/>
      <c r="E110" s="1890"/>
      <c r="F110" s="1890"/>
      <c r="G110" s="1890"/>
      <c r="H110" s="1890"/>
      <c r="I110" s="1890"/>
      <c r="J110" s="1890"/>
      <c r="K110" s="1890"/>
      <c r="L110" s="1890"/>
      <c r="M110" s="1890"/>
      <c r="N110" s="1890"/>
      <c r="O110" s="1890"/>
      <c r="P110" s="1890"/>
      <c r="Q110" s="1890"/>
      <c r="R110" s="1890"/>
      <c r="S110" s="1890"/>
      <c r="T110" s="1890"/>
    </row>
    <row r="111" spans="1:20" x14ac:dyDescent="0.2">
      <c r="A111" s="1890"/>
      <c r="B111" s="1890"/>
      <c r="C111" s="1890"/>
      <c r="D111" s="1890"/>
      <c r="E111" s="1890"/>
      <c r="F111" s="1890"/>
      <c r="G111" s="1890"/>
      <c r="H111" s="1890"/>
      <c r="I111" s="1890"/>
      <c r="J111" s="1890"/>
      <c r="K111" s="1890"/>
      <c r="L111" s="1890"/>
      <c r="M111" s="1890"/>
      <c r="N111" s="1890"/>
      <c r="O111" s="1890"/>
      <c r="P111" s="1890"/>
      <c r="Q111" s="1890"/>
      <c r="R111" s="1890"/>
      <c r="S111" s="1890"/>
      <c r="T111" s="1890"/>
    </row>
    <row r="112" spans="1:20" x14ac:dyDescent="0.2">
      <c r="A112" s="1890"/>
      <c r="B112" s="1890"/>
      <c r="C112" s="1890"/>
      <c r="D112" s="1890"/>
      <c r="E112" s="1890"/>
      <c r="F112" s="1890"/>
      <c r="G112" s="1890"/>
      <c r="H112" s="1890"/>
      <c r="I112" s="1890"/>
      <c r="J112" s="1890"/>
      <c r="K112" s="1890"/>
      <c r="L112" s="1890"/>
      <c r="M112" s="1890"/>
      <c r="N112" s="1890"/>
      <c r="O112" s="1890"/>
      <c r="P112" s="1890"/>
      <c r="Q112" s="1890"/>
      <c r="R112" s="1890"/>
      <c r="S112" s="1890"/>
      <c r="T112" s="1890"/>
    </row>
    <row r="113" spans="1:20" x14ac:dyDescent="0.2">
      <c r="A113" s="1890"/>
      <c r="B113" s="1890"/>
      <c r="C113" s="1890"/>
      <c r="D113" s="1890"/>
      <c r="E113" s="1890"/>
      <c r="F113" s="1890"/>
      <c r="G113" s="1890"/>
      <c r="H113" s="1890"/>
      <c r="I113" s="1890"/>
      <c r="J113" s="1890"/>
      <c r="K113" s="1890"/>
      <c r="L113" s="1890"/>
      <c r="M113" s="1890"/>
      <c r="N113" s="1890"/>
      <c r="O113" s="1890"/>
      <c r="P113" s="1890"/>
      <c r="Q113" s="1890"/>
      <c r="R113" s="1890"/>
      <c r="S113" s="1890"/>
      <c r="T113" s="1890"/>
    </row>
    <row r="114" spans="1:20" x14ac:dyDescent="0.2">
      <c r="A114" s="1890"/>
      <c r="B114" s="1890"/>
      <c r="C114" s="1890"/>
      <c r="D114" s="1890"/>
      <c r="E114" s="1890"/>
      <c r="F114" s="1890"/>
      <c r="G114" s="1890"/>
      <c r="H114" s="1890"/>
      <c r="I114" s="1890"/>
      <c r="J114" s="1890"/>
      <c r="K114" s="1890"/>
      <c r="L114" s="1890"/>
      <c r="M114" s="1890"/>
      <c r="N114" s="1890"/>
      <c r="O114" s="1890"/>
      <c r="P114" s="1890"/>
      <c r="Q114" s="1890"/>
      <c r="R114" s="1890"/>
      <c r="S114" s="1890"/>
      <c r="T114" s="1890"/>
    </row>
    <row r="115" spans="1:20" x14ac:dyDescent="0.2">
      <c r="A115" s="1890"/>
      <c r="B115" s="1890"/>
      <c r="C115" s="1890"/>
      <c r="D115" s="1890"/>
      <c r="E115" s="1890"/>
      <c r="F115" s="1890"/>
      <c r="G115" s="1890"/>
      <c r="H115" s="1890"/>
      <c r="I115" s="1890"/>
      <c r="J115" s="1890"/>
      <c r="K115" s="1890"/>
      <c r="L115" s="1890"/>
      <c r="M115" s="1890"/>
      <c r="N115" s="1890"/>
      <c r="O115" s="1890"/>
      <c r="P115" s="1890"/>
      <c r="Q115" s="1890"/>
      <c r="R115" s="1890"/>
      <c r="S115" s="1890"/>
      <c r="T115" s="1890"/>
    </row>
    <row r="116" spans="1:20" x14ac:dyDescent="0.2">
      <c r="A116" s="1890"/>
      <c r="B116" s="1890"/>
      <c r="C116" s="1890"/>
      <c r="D116" s="1890"/>
      <c r="E116" s="1890"/>
      <c r="F116" s="1890"/>
      <c r="G116" s="1890"/>
      <c r="H116" s="1890"/>
      <c r="I116" s="1890"/>
      <c r="J116" s="1890"/>
      <c r="K116" s="1890"/>
      <c r="L116" s="1890"/>
      <c r="M116" s="1890"/>
      <c r="N116" s="1890"/>
      <c r="O116" s="1890"/>
      <c r="P116" s="1890"/>
      <c r="Q116" s="1890"/>
      <c r="R116" s="1890"/>
      <c r="S116" s="1890"/>
      <c r="T116" s="1890"/>
    </row>
    <row r="117" spans="1:20" x14ac:dyDescent="0.2">
      <c r="A117" s="1890"/>
      <c r="B117" s="1890"/>
      <c r="C117" s="1890"/>
      <c r="D117" s="1890"/>
      <c r="E117" s="1890"/>
      <c r="F117" s="1890"/>
      <c r="G117" s="1890"/>
      <c r="H117" s="1890"/>
      <c r="I117" s="1890"/>
      <c r="J117" s="1890"/>
      <c r="K117" s="1890"/>
      <c r="L117" s="1890"/>
      <c r="M117" s="1890"/>
      <c r="N117" s="1890"/>
      <c r="O117" s="1890"/>
      <c r="P117" s="1890"/>
      <c r="Q117" s="1890"/>
      <c r="R117" s="1890"/>
      <c r="S117" s="1890"/>
      <c r="T117" s="1890"/>
    </row>
    <row r="118" spans="1:20" x14ac:dyDescent="0.2">
      <c r="A118" s="1890"/>
      <c r="B118" s="1890"/>
      <c r="C118" s="1890"/>
      <c r="D118" s="1890"/>
      <c r="E118" s="1890"/>
      <c r="F118" s="1890"/>
      <c r="G118" s="1890"/>
      <c r="H118" s="1890"/>
      <c r="I118" s="1890"/>
      <c r="J118" s="1890"/>
      <c r="K118" s="1890"/>
      <c r="L118" s="1890"/>
      <c r="M118" s="1890"/>
      <c r="N118" s="1890"/>
      <c r="O118" s="1890"/>
      <c r="P118" s="1890"/>
      <c r="Q118" s="1890"/>
      <c r="R118" s="1890"/>
      <c r="S118" s="1890"/>
      <c r="T118" s="1890"/>
    </row>
    <row r="119" spans="1:20" x14ac:dyDescent="0.2">
      <c r="A119" s="1890"/>
      <c r="B119" s="1890"/>
      <c r="C119" s="1890"/>
      <c r="D119" s="1890"/>
      <c r="E119" s="1890"/>
      <c r="F119" s="1890"/>
      <c r="G119" s="1890"/>
      <c r="H119" s="1890"/>
      <c r="I119" s="1890"/>
      <c r="J119" s="1890"/>
      <c r="K119" s="1890"/>
      <c r="L119" s="1890"/>
      <c r="M119" s="1890"/>
      <c r="N119" s="1890"/>
      <c r="O119" s="1890"/>
      <c r="P119" s="1890"/>
      <c r="Q119" s="1890"/>
      <c r="R119" s="1890"/>
      <c r="S119" s="1890"/>
      <c r="T119" s="1890"/>
    </row>
    <row r="120" spans="1:20" x14ac:dyDescent="0.2">
      <c r="A120" s="1890"/>
      <c r="B120" s="1890"/>
      <c r="C120" s="1890"/>
      <c r="D120" s="1890"/>
      <c r="E120" s="1890"/>
      <c r="F120" s="1890"/>
      <c r="G120" s="1890"/>
      <c r="H120" s="1890"/>
      <c r="I120" s="1890"/>
      <c r="J120" s="1890"/>
      <c r="K120" s="1890"/>
      <c r="L120" s="1890"/>
      <c r="M120" s="1890"/>
      <c r="N120" s="1890"/>
      <c r="O120" s="1890"/>
      <c r="P120" s="1890"/>
      <c r="Q120" s="1890"/>
      <c r="R120" s="1890"/>
      <c r="S120" s="1890"/>
      <c r="T120" s="1890"/>
    </row>
  </sheetData>
  <sheetProtection selectLockedCells="1" selectUnlockedCells="1"/>
  <mergeCells count="2">
    <mergeCell ref="O5:P5"/>
    <mergeCell ref="O6:P6"/>
  </mergeCells>
  <pageMargins left="0.78740157499999996" right="0.78740157499999996" top="0.984251969" bottom="0.984251969" header="0.4921259845" footer="0.4921259845"/>
  <pageSetup paperSize="9" orientation="portrait" r:id="rId1"/>
  <headerFooter alignWithMargins="0"/>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C78F47-9A8B-4AFA-B778-62C40EAE3EB6}">
  <dimension ref="A1:AZ141"/>
  <sheetViews>
    <sheetView zoomScale="68" zoomScaleNormal="70" zoomScaleSheetLayoutView="40" workbookViewId="0">
      <selection activeCell="L13" sqref="L13"/>
    </sheetView>
  </sheetViews>
  <sheetFormatPr defaultColWidth="11.42578125" defaultRowHeight="12.75" x14ac:dyDescent="0.2"/>
  <cols>
    <col min="1" max="1" width="21.28515625" style="1846" customWidth="1"/>
    <col min="2" max="2" width="36.5703125" style="1846" bestFit="1" customWidth="1"/>
    <col min="3" max="3" width="14.140625" style="1846" customWidth="1"/>
    <col min="4" max="10" width="13.42578125" style="1846" bestFit="1" customWidth="1"/>
    <col min="11" max="16384" width="11.42578125" style="1846"/>
  </cols>
  <sheetData>
    <row r="1" spans="1:24" s="2229" customFormat="1" ht="26.1" customHeight="1" x14ac:dyDescent="0.2">
      <c r="A1" s="1912" t="s">
        <v>1267</v>
      </c>
      <c r="B1" s="1985"/>
      <c r="C1" s="1985"/>
      <c r="D1" s="1985"/>
      <c r="E1" s="1985"/>
      <c r="F1" s="1985"/>
      <c r="G1" s="1985"/>
      <c r="H1" s="1985"/>
      <c r="I1" s="1985"/>
      <c r="J1" s="1985"/>
      <c r="K1" s="2228"/>
      <c r="L1" s="2228"/>
      <c r="M1" s="2228"/>
      <c r="N1" s="2228"/>
      <c r="O1" s="2228"/>
      <c r="P1" s="2228"/>
      <c r="Q1" s="2228"/>
      <c r="R1" s="2228"/>
      <c r="S1" s="2228"/>
      <c r="T1" s="2228"/>
      <c r="U1" s="2228"/>
      <c r="V1" s="2228"/>
      <c r="W1" s="2228"/>
      <c r="X1" s="2228"/>
    </row>
    <row r="2" spans="1:24" ht="41.45" customHeight="1" x14ac:dyDescent="0.25">
      <c r="A2" s="2401"/>
      <c r="B2" s="1957"/>
      <c r="C2" s="2270" t="str">
        <f>+'CO2 - Reciclagem'!E8</f>
        <v>Cenário-Base</v>
      </c>
      <c r="D2" s="2418" t="str">
        <f>+'CO2 - Reciclagem'!G8</f>
        <v>Biodigestão RT1A + CDR TM</v>
      </c>
      <c r="E2" s="2418" t="str">
        <f>+'CO2 - Reciclagem'!H8</f>
        <v>Biodigestão RT1B + CDR TM</v>
      </c>
      <c r="F2" s="2418" t="str">
        <f>+'CO2 - Reciclagem'!I8</f>
        <v>Biodigestão RT1C + CDR TM</v>
      </c>
      <c r="G2" s="2418" t="str">
        <f>+'CO2 - Reciclagem'!J8</f>
        <v>Compostagem + CDR TM</v>
      </c>
      <c r="H2" s="2418" t="str">
        <f>+'CO2 - Reciclagem'!K8</f>
        <v xml:space="preserve">Biosecagem + CDR TMB </v>
      </c>
      <c r="I2" s="2418" t="str">
        <f>+'CO2 - Reciclagem'!L8</f>
        <v>Incineração Mass Burning</v>
      </c>
      <c r="J2" s="2418" t="str">
        <f>+'CO2 - Reciclagem'!M8</f>
        <v>Incineração Mass Burn. Descentralizada</v>
      </c>
      <c r="K2" s="1890"/>
      <c r="L2" s="1890"/>
      <c r="M2" s="1890"/>
      <c r="N2" s="1890"/>
      <c r="O2" s="1890"/>
      <c r="P2" s="1890"/>
      <c r="Q2" s="1890"/>
      <c r="R2" s="1890"/>
      <c r="S2" s="1890"/>
      <c r="T2" s="1890"/>
      <c r="U2" s="1890"/>
      <c r="V2" s="1890"/>
      <c r="W2" s="1890"/>
      <c r="X2" s="1890"/>
    </row>
    <row r="3" spans="1:24" ht="18" customHeight="1" x14ac:dyDescent="0.2">
      <c r="A3" s="1890"/>
      <c r="B3" s="2272" t="s">
        <v>1236</v>
      </c>
      <c r="C3" s="2299">
        <f>+'CO2 - Cálculos'!AD58</f>
        <v>23025.599999999999</v>
      </c>
      <c r="D3" s="2299">
        <f>+'CO2 - Cálculos'!AE58</f>
        <v>23025.599999999999</v>
      </c>
      <c r="E3" s="2299">
        <f>+'CO2 - Cálculos'!AF58</f>
        <v>23025.599999999999</v>
      </c>
      <c r="F3" s="2299">
        <f>+'CO2 - Cálculos'!AG58</f>
        <v>23025.599999999999</v>
      </c>
      <c r="G3" s="2299">
        <f>+'CO2 - Cálculos'!AH58</f>
        <v>23025.599999999999</v>
      </c>
      <c r="H3" s="2299">
        <f>+'CO2 - Cálculos'!AI58</f>
        <v>23025.599999999999</v>
      </c>
      <c r="I3" s="2299">
        <f>+'CO2 - Cálculos'!AJ58</f>
        <v>23025.599999999999</v>
      </c>
      <c r="J3" s="2299">
        <f>+'CO2 - Cálculos'!AK58</f>
        <v>23025.599999999999</v>
      </c>
      <c r="K3" s="1890"/>
      <c r="L3" s="1890"/>
      <c r="M3" s="1890"/>
      <c r="N3" s="1890"/>
      <c r="O3" s="1890"/>
      <c r="P3" s="1890"/>
      <c r="Q3" s="1890"/>
      <c r="R3" s="1890"/>
      <c r="S3" s="1890"/>
      <c r="T3" s="1890"/>
      <c r="U3" s="1890"/>
      <c r="V3" s="1890"/>
      <c r="W3" s="1890"/>
      <c r="X3" s="1890"/>
    </row>
    <row r="4" spans="1:24" ht="18" customHeight="1" x14ac:dyDescent="0.25">
      <c r="A4" s="1890"/>
      <c r="B4" s="2287"/>
      <c r="C4" s="2419"/>
      <c r="D4" s="2419"/>
      <c r="E4" s="2419"/>
      <c r="F4" s="2419"/>
      <c r="G4" s="2419"/>
      <c r="H4" s="2419"/>
      <c r="I4" s="2419"/>
      <c r="J4" s="2419"/>
      <c r="K4" s="1890"/>
      <c r="L4" s="1890"/>
      <c r="M4" s="1890"/>
      <c r="N4" s="1890"/>
      <c r="O4" s="1890"/>
      <c r="P4" s="1890"/>
      <c r="Q4" s="1890"/>
      <c r="R4" s="1890"/>
      <c r="S4" s="1890"/>
      <c r="T4" s="1890"/>
      <c r="U4" s="1890"/>
      <c r="V4" s="1890"/>
      <c r="W4" s="1890"/>
      <c r="X4" s="1890"/>
    </row>
    <row r="5" spans="1:24" ht="18" customHeight="1" x14ac:dyDescent="0.2">
      <c r="A5" s="1890"/>
      <c r="B5" s="2272" t="s">
        <v>1237</v>
      </c>
      <c r="C5" s="2299">
        <f>+'CO2 - Cálculos'!AD13</f>
        <v>746.02944000000014</v>
      </c>
      <c r="D5" s="2299">
        <f>+'CO2 - Cálculos'!AE13</f>
        <v>2322.6613487999998</v>
      </c>
      <c r="E5" s="2299">
        <f>+'CO2 - Cálculos'!AF13</f>
        <v>2322.6613487999998</v>
      </c>
      <c r="F5" s="2299">
        <f>+'CO2 - Cálculos'!AG13</f>
        <v>2322.6613487999998</v>
      </c>
      <c r="G5" s="2299">
        <f>+'CO2 - Cálculos'!AH13</f>
        <v>2322.6613487999998</v>
      </c>
      <c r="H5" s="2299">
        <f>+'CO2 - Cálculos'!AI13</f>
        <v>2322.6613487999998</v>
      </c>
      <c r="I5" s="2299">
        <f>+'CO2 - Cálculos'!AJ13</f>
        <v>2322.6613487999998</v>
      </c>
      <c r="J5" s="2299">
        <f>+'CO2 - Cálculos'!AK13</f>
        <v>2322.6613487999998</v>
      </c>
      <c r="K5" s="1890"/>
      <c r="L5" s="1890"/>
      <c r="M5" s="1890"/>
      <c r="N5" s="1890"/>
      <c r="O5" s="2267"/>
      <c r="P5" s="1890"/>
      <c r="Q5" s="1890"/>
      <c r="R5" s="1890"/>
      <c r="S5" s="1890"/>
      <c r="T5" s="1890"/>
      <c r="U5" s="1890"/>
      <c r="V5" s="1890"/>
      <c r="W5" s="1890"/>
      <c r="X5" s="1890"/>
    </row>
    <row r="6" spans="1:24" ht="18" customHeight="1" x14ac:dyDescent="0.2">
      <c r="A6" s="1890"/>
      <c r="B6" s="2420"/>
      <c r="C6" s="2024"/>
      <c r="D6" s="2024"/>
      <c r="E6" s="2024"/>
      <c r="F6" s="2024"/>
      <c r="G6" s="2024"/>
      <c r="H6" s="2024"/>
      <c r="I6" s="2024"/>
      <c r="J6" s="2024"/>
      <c r="K6" s="1890"/>
      <c r="L6" s="1890"/>
      <c r="M6" s="1890"/>
      <c r="N6" s="1890"/>
      <c r="O6" s="1890"/>
      <c r="P6" s="1890"/>
      <c r="Q6" s="1890"/>
      <c r="R6" s="1890"/>
      <c r="S6" s="1890"/>
      <c r="T6" s="1890"/>
      <c r="U6" s="1890"/>
      <c r="V6" s="1890"/>
      <c r="W6" s="1890"/>
      <c r="X6" s="1890"/>
    </row>
    <row r="7" spans="1:24" ht="18" customHeight="1" x14ac:dyDescent="0.2">
      <c r="A7" s="1890"/>
      <c r="B7" s="2226" t="s">
        <v>1106</v>
      </c>
      <c r="C7" s="2299">
        <f>+'CO2 - Cálculos'!AD5</f>
        <v>0</v>
      </c>
      <c r="D7" s="2299">
        <f>+'CO2 - Cálculos'!AE5</f>
        <v>0</v>
      </c>
      <c r="E7" s="2299">
        <f>+'CO2 - Cálculos'!AF5</f>
        <v>0</v>
      </c>
      <c r="F7" s="2299">
        <f>+'CO2 - Cálculos'!AG5</f>
        <v>0</v>
      </c>
      <c r="G7" s="2299">
        <f>+'CO2 - Cálculos'!AH5</f>
        <v>0</v>
      </c>
      <c r="H7" s="2299">
        <f>+'CO2 - Cálculos'!AI5</f>
        <v>0</v>
      </c>
      <c r="I7" s="2299">
        <f>+'CO2 - Cálculos'!AJ5</f>
        <v>0</v>
      </c>
      <c r="J7" s="2299">
        <f>+'CO2 - Cálculos'!AK5</f>
        <v>0</v>
      </c>
      <c r="K7" s="1890"/>
      <c r="L7" s="1890"/>
      <c r="M7" s="1890"/>
      <c r="N7" s="1890"/>
      <c r="O7" s="1890"/>
      <c r="P7" s="1890"/>
      <c r="Q7" s="1890"/>
      <c r="R7" s="1890"/>
      <c r="S7" s="1890"/>
      <c r="T7" s="1890"/>
      <c r="U7" s="1890"/>
      <c r="V7" s="1890"/>
      <c r="W7" s="1890"/>
      <c r="X7" s="1890"/>
    </row>
    <row r="8" spans="1:24" ht="18" customHeight="1" x14ac:dyDescent="0.2">
      <c r="A8" s="1890"/>
      <c r="B8" s="2226" t="s">
        <v>1107</v>
      </c>
      <c r="C8" s="2299">
        <f>+'CO2 - Cálculos'!AD6</f>
        <v>0</v>
      </c>
      <c r="D8" s="2299">
        <f>+'CO2 - Cálculos'!AE6</f>
        <v>0</v>
      </c>
      <c r="E8" s="2299">
        <f>+'CO2 - Cálculos'!AF6</f>
        <v>0</v>
      </c>
      <c r="F8" s="2299">
        <f>+'CO2 - Cálculos'!AG6</f>
        <v>0</v>
      </c>
      <c r="G8" s="2299">
        <f>+'CO2 - Cálculos'!AH6</f>
        <v>0</v>
      </c>
      <c r="H8" s="2299">
        <f>+'CO2 - Cálculos'!AI6</f>
        <v>0</v>
      </c>
      <c r="I8" s="2299">
        <f>+'CO2 - Cálculos'!AJ6</f>
        <v>0</v>
      </c>
      <c r="J8" s="2299">
        <f>+'CO2 - Cálculos'!AK6</f>
        <v>0</v>
      </c>
      <c r="K8" s="1890"/>
      <c r="L8" s="1890"/>
      <c r="M8" s="1890"/>
      <c r="N8" s="1890"/>
      <c r="O8" s="1890"/>
      <c r="P8" s="1890"/>
      <c r="Q8" s="1890"/>
      <c r="R8" s="1890"/>
      <c r="S8" s="1890"/>
      <c r="T8" s="1890"/>
      <c r="U8" s="1890"/>
      <c r="V8" s="1890"/>
      <c r="W8" s="1890"/>
      <c r="X8" s="1890"/>
    </row>
    <row r="9" spans="1:24" ht="18" customHeight="1" x14ac:dyDescent="0.2">
      <c r="A9" s="1890"/>
      <c r="B9" s="2226" t="s">
        <v>1108</v>
      </c>
      <c r="C9" s="2299">
        <f>+'CO2 - Cálculos'!AD7</f>
        <v>301.63535999999999</v>
      </c>
      <c r="D9" s="2299">
        <f>+'CO2 - Cálculos'!AE7</f>
        <v>1004.4457488</v>
      </c>
      <c r="E9" s="2299">
        <f>+'CO2 - Cálculos'!AF7</f>
        <v>1004.4457488</v>
      </c>
      <c r="F9" s="2299">
        <f>+'CO2 - Cálculos'!AG7</f>
        <v>1004.4457488</v>
      </c>
      <c r="G9" s="2299">
        <f>+'CO2 - Cálculos'!AH7</f>
        <v>1004.4457488</v>
      </c>
      <c r="H9" s="2299">
        <f>+'CO2 - Cálculos'!AI7</f>
        <v>1004.4457488</v>
      </c>
      <c r="I9" s="2299">
        <f>+'CO2 - Cálculos'!AJ7</f>
        <v>1004.4457488</v>
      </c>
      <c r="J9" s="2299">
        <f>+'CO2 - Cálculos'!AK7</f>
        <v>1004.4457488</v>
      </c>
      <c r="K9" s="1890"/>
      <c r="L9" s="1890"/>
      <c r="M9" s="1890"/>
      <c r="N9" s="1890"/>
      <c r="O9" s="1890"/>
      <c r="P9" s="1890"/>
      <c r="Q9" s="1890"/>
      <c r="R9" s="1890"/>
      <c r="S9" s="1890"/>
      <c r="T9" s="1890"/>
      <c r="U9" s="1890"/>
      <c r="V9" s="1890"/>
      <c r="W9" s="1890"/>
      <c r="X9" s="1890"/>
    </row>
    <row r="10" spans="1:24" ht="18" customHeight="1" x14ac:dyDescent="0.2">
      <c r="A10" s="1890"/>
      <c r="B10" s="2226" t="s">
        <v>1109</v>
      </c>
      <c r="C10" s="2299">
        <f>+'CO2 - Cálculos'!AD8</f>
        <v>310.84560000000005</v>
      </c>
      <c r="D10" s="2299">
        <f>+'CO2 - Cálculos'!AE8</f>
        <v>683.86032</v>
      </c>
      <c r="E10" s="2299">
        <f>+'CO2 - Cálculos'!AF8</f>
        <v>683.86032</v>
      </c>
      <c r="F10" s="2299">
        <f>+'CO2 - Cálculos'!AG8</f>
        <v>683.86032</v>
      </c>
      <c r="G10" s="2299">
        <f>+'CO2 - Cálculos'!AH8</f>
        <v>683.86032</v>
      </c>
      <c r="H10" s="2299">
        <f>+'CO2 - Cálculos'!AI8</f>
        <v>683.86032</v>
      </c>
      <c r="I10" s="2299">
        <f>+'CO2 - Cálculos'!AJ8</f>
        <v>683.86032</v>
      </c>
      <c r="J10" s="2299">
        <f>+'CO2 - Cálculos'!AK8</f>
        <v>683.86032</v>
      </c>
      <c r="K10" s="1890"/>
      <c r="L10" s="1890"/>
      <c r="M10" s="1890"/>
      <c r="N10" s="1890"/>
      <c r="O10" s="1890"/>
      <c r="P10" s="1890"/>
      <c r="Q10" s="1890"/>
      <c r="R10" s="1890"/>
      <c r="S10" s="1890"/>
      <c r="T10" s="1890"/>
      <c r="U10" s="1890"/>
      <c r="V10" s="1890"/>
      <c r="W10" s="1890"/>
      <c r="X10" s="1890"/>
    </row>
    <row r="11" spans="1:24" ht="18" customHeight="1" x14ac:dyDescent="0.2">
      <c r="A11" s="1890"/>
      <c r="B11" s="2226" t="s">
        <v>50</v>
      </c>
      <c r="C11" s="2299">
        <f>+'CO2 - Cálculos'!AD9</f>
        <v>0</v>
      </c>
      <c r="D11" s="2299">
        <f>+'CO2 - Cálculos'!AE9</f>
        <v>0</v>
      </c>
      <c r="E11" s="2299">
        <f>+'CO2 - Cálculos'!AF9</f>
        <v>0</v>
      </c>
      <c r="F11" s="2299">
        <f>+'CO2 - Cálculos'!AG9</f>
        <v>0</v>
      </c>
      <c r="G11" s="2299">
        <f>+'CO2 - Cálculos'!AH9</f>
        <v>0</v>
      </c>
      <c r="H11" s="2299">
        <f>+'CO2 - Cálculos'!AI9</f>
        <v>0</v>
      </c>
      <c r="I11" s="2299">
        <f>+'CO2 - Cálculos'!AJ9</f>
        <v>0</v>
      </c>
      <c r="J11" s="2299">
        <f>+'CO2 - Cálculos'!AK9</f>
        <v>0</v>
      </c>
      <c r="K11" s="1890"/>
      <c r="L11" s="1890"/>
      <c r="M11" s="1890"/>
      <c r="N11" s="1890"/>
      <c r="O11" s="1890"/>
      <c r="P11" s="1890"/>
      <c r="Q11" s="1890"/>
      <c r="R11" s="1890"/>
      <c r="S11" s="1890"/>
      <c r="T11" s="1890"/>
      <c r="U11" s="1890"/>
      <c r="V11" s="1890"/>
      <c r="W11" s="1890"/>
      <c r="X11" s="1890"/>
    </row>
    <row r="12" spans="1:24" ht="18" customHeight="1" x14ac:dyDescent="0.2">
      <c r="A12" s="1890"/>
      <c r="B12" s="2226" t="s">
        <v>1110</v>
      </c>
      <c r="C12" s="2299">
        <f>+'CO2 - Cálculos'!AD10</f>
        <v>105.91776</v>
      </c>
      <c r="D12" s="2299">
        <f>+'CO2 - Cálculos'!AE10</f>
        <v>503.10935999999998</v>
      </c>
      <c r="E12" s="2299">
        <f>+'CO2 - Cálculos'!AF10</f>
        <v>503.10935999999998</v>
      </c>
      <c r="F12" s="2299">
        <f>+'CO2 - Cálculos'!AG10</f>
        <v>503.10935999999998</v>
      </c>
      <c r="G12" s="2299">
        <f>+'CO2 - Cálculos'!AH10</f>
        <v>503.10935999999998</v>
      </c>
      <c r="H12" s="2299">
        <f>+'CO2 - Cálculos'!AI10</f>
        <v>503.10935999999998</v>
      </c>
      <c r="I12" s="2299">
        <f>+'CO2 - Cálculos'!AJ10</f>
        <v>503.10935999999998</v>
      </c>
      <c r="J12" s="2299">
        <f>+'CO2 - Cálculos'!AK10</f>
        <v>503.10935999999998</v>
      </c>
      <c r="K12" s="1890"/>
      <c r="L12" s="1890"/>
      <c r="M12" s="1890"/>
      <c r="N12" s="1890"/>
      <c r="O12" s="1890"/>
      <c r="P12" s="1890"/>
      <c r="Q12" s="1890"/>
      <c r="R12" s="1890"/>
      <c r="S12" s="1890"/>
      <c r="T12" s="1890"/>
      <c r="U12" s="1890"/>
      <c r="V12" s="1890"/>
      <c r="W12" s="1890"/>
      <c r="X12" s="1890"/>
    </row>
    <row r="13" spans="1:24" ht="18" customHeight="1" x14ac:dyDescent="0.2">
      <c r="A13" s="1890"/>
      <c r="B13" s="2226" t="s">
        <v>1111</v>
      </c>
      <c r="C13" s="2299">
        <f>+'CO2 - Cálculos'!AD11</f>
        <v>27.630719999999997</v>
      </c>
      <c r="D13" s="2299">
        <f>+'CO2 - Cálculos'!AE11</f>
        <v>131.24591999999998</v>
      </c>
      <c r="E13" s="2299">
        <f>+'CO2 - Cálculos'!AF11</f>
        <v>131.24591999999998</v>
      </c>
      <c r="F13" s="2299">
        <f>+'CO2 - Cálculos'!AG11</f>
        <v>131.24591999999998</v>
      </c>
      <c r="G13" s="2299">
        <f>+'CO2 - Cálculos'!AH11</f>
        <v>131.24591999999998</v>
      </c>
      <c r="H13" s="2299">
        <f>+'CO2 - Cálculos'!AI11</f>
        <v>131.24591999999998</v>
      </c>
      <c r="I13" s="2299">
        <f>+'CO2 - Cálculos'!AJ11</f>
        <v>131.24591999999998</v>
      </c>
      <c r="J13" s="2299">
        <f>+'CO2 - Cálculos'!AK11</f>
        <v>131.24591999999998</v>
      </c>
      <c r="K13" s="1890"/>
      <c r="L13" s="1890"/>
      <c r="M13" s="1890"/>
      <c r="N13" s="1890"/>
      <c r="O13" s="1890"/>
      <c r="P13" s="1890"/>
      <c r="Q13" s="1890"/>
      <c r="R13" s="1890"/>
      <c r="S13" s="1890"/>
      <c r="T13" s="1890"/>
      <c r="U13" s="1890"/>
      <c r="V13" s="1890"/>
      <c r="W13" s="1890"/>
      <c r="X13" s="1890"/>
    </row>
    <row r="14" spans="1:24" ht="18" customHeight="1" x14ac:dyDescent="0.2">
      <c r="A14" s="1890"/>
      <c r="B14" s="2226" t="s">
        <v>1112</v>
      </c>
      <c r="C14" s="2299">
        <f>+'CO2 - Cálculos'!AD12</f>
        <v>0</v>
      </c>
      <c r="D14" s="2299">
        <f>+'CO2 - Cálculos'!AE12</f>
        <v>0</v>
      </c>
      <c r="E14" s="2299">
        <f>+'CO2 - Cálculos'!AF12</f>
        <v>0</v>
      </c>
      <c r="F14" s="2299">
        <f>+'CO2 - Cálculos'!AG12</f>
        <v>0</v>
      </c>
      <c r="G14" s="2299">
        <f>+'CO2 - Cálculos'!AH12</f>
        <v>0</v>
      </c>
      <c r="H14" s="2299">
        <f>+'CO2 - Cálculos'!AI12</f>
        <v>0</v>
      </c>
      <c r="I14" s="2299">
        <f>+'CO2 - Cálculos'!AJ12</f>
        <v>0</v>
      </c>
      <c r="J14" s="2299">
        <f>+'CO2 - Cálculos'!AK12</f>
        <v>0</v>
      </c>
      <c r="K14" s="1890"/>
      <c r="L14" s="1890"/>
      <c r="M14" s="1890"/>
      <c r="N14" s="1890"/>
      <c r="O14" s="1890"/>
      <c r="P14" s="1890"/>
      <c r="Q14" s="1890"/>
      <c r="R14" s="1890"/>
      <c r="S14" s="1890"/>
      <c r="T14" s="1890"/>
      <c r="U14" s="1890"/>
      <c r="V14" s="1890"/>
      <c r="W14" s="1890"/>
      <c r="X14" s="1890"/>
    </row>
    <row r="15" spans="1:24" ht="18" customHeight="1" x14ac:dyDescent="0.2">
      <c r="A15" s="1890"/>
      <c r="B15" s="2276"/>
      <c r="C15" s="2421">
        <f>SUM(C9:C13)/C3</f>
        <v>3.2400000000000005E-2</v>
      </c>
      <c r="D15" s="2421">
        <f>SUM(D9:D13)/D3</f>
        <v>0.100873</v>
      </c>
      <c r="E15" s="2421">
        <f>SUM(E9:E13)/E3</f>
        <v>0.100873</v>
      </c>
      <c r="F15" s="2421">
        <f>SUM(F9:F13)/F3</f>
        <v>0.100873</v>
      </c>
      <c r="G15" s="2421">
        <f t="shared" ref="G15:H15" si="0">SUM(G9:G13)/G3</f>
        <v>0.100873</v>
      </c>
      <c r="H15" s="2421">
        <f t="shared" si="0"/>
        <v>0.100873</v>
      </c>
      <c r="I15" s="2421">
        <f t="shared" ref="I15:J15" si="1">SUM(I9:I13)/I3</f>
        <v>0.100873</v>
      </c>
      <c r="J15" s="2421">
        <f t="shared" si="1"/>
        <v>0.100873</v>
      </c>
      <c r="K15" s="1890"/>
      <c r="L15" s="1890"/>
      <c r="M15" s="1890"/>
      <c r="N15" s="1890"/>
      <c r="O15" s="1890"/>
      <c r="P15" s="1890"/>
      <c r="Q15" s="1890"/>
      <c r="R15" s="1890"/>
      <c r="S15" s="1890"/>
      <c r="T15" s="1890"/>
      <c r="U15" s="1890"/>
      <c r="V15" s="1890"/>
      <c r="W15" s="1890"/>
      <c r="X15" s="1890"/>
    </row>
    <row r="16" spans="1:24" ht="18" customHeight="1" x14ac:dyDescent="0.25">
      <c r="A16" s="1890"/>
      <c r="B16" s="2278" t="s">
        <v>1270</v>
      </c>
      <c r="C16" s="2299">
        <f>+'CO2 - Cálculos'!AD57</f>
        <v>22279.57056</v>
      </c>
      <c r="D16" s="2299">
        <f>+'CO2 - Cálculos'!AE57</f>
        <v>20702.938651199998</v>
      </c>
      <c r="E16" s="2299">
        <f>+'CO2 - Cálculos'!AF57</f>
        <v>20702.938651199998</v>
      </c>
      <c r="F16" s="2299">
        <f>+'CO2 - Cálculos'!AG57</f>
        <v>20702.938651199998</v>
      </c>
      <c r="G16" s="2299">
        <f>+'CO2 - Cálculos'!AH57</f>
        <v>20702.938651199998</v>
      </c>
      <c r="H16" s="2299">
        <f>+'CO2 - Cálculos'!AI57</f>
        <v>20702.938651199998</v>
      </c>
      <c r="I16" s="2299">
        <f>+'CO2 - Cálculos'!AJ57</f>
        <v>20702.938651199998</v>
      </c>
      <c r="J16" s="2299">
        <f>+'CO2 - Cálculos'!AK57</f>
        <v>20702.938651199998</v>
      </c>
      <c r="K16" s="1890"/>
      <c r="L16" s="1890"/>
      <c r="M16" s="1890"/>
      <c r="N16" s="1890"/>
      <c r="O16" s="2422"/>
      <c r="P16" s="1890"/>
      <c r="Q16" s="1890"/>
      <c r="R16" s="1890"/>
      <c r="S16" s="1890"/>
      <c r="T16" s="1890"/>
      <c r="U16" s="1890"/>
      <c r="V16" s="1890"/>
      <c r="W16" s="1890"/>
      <c r="X16" s="1890"/>
    </row>
    <row r="17" spans="1:52" ht="18" customHeight="1" x14ac:dyDescent="0.2">
      <c r="A17" s="1890"/>
      <c r="B17" s="2420"/>
      <c r="C17" s="2024"/>
      <c r="D17" s="2024"/>
      <c r="E17" s="2024"/>
      <c r="F17" s="2024"/>
      <c r="G17" s="2024"/>
      <c r="H17" s="2024"/>
      <c r="I17" s="2024"/>
      <c r="J17" s="2024"/>
      <c r="K17" s="1890"/>
      <c r="L17" s="1890"/>
      <c r="M17" s="1890"/>
      <c r="N17" s="1890"/>
      <c r="O17" s="1890"/>
      <c r="P17" s="1890"/>
      <c r="Q17" s="1890"/>
      <c r="R17" s="1890"/>
      <c r="S17" s="1890"/>
      <c r="T17" s="1890"/>
      <c r="U17" s="1890"/>
      <c r="V17" s="1890"/>
      <c r="W17" s="1890"/>
      <c r="X17" s="1890"/>
    </row>
    <row r="18" spans="1:52" ht="18" customHeight="1" x14ac:dyDescent="0.2">
      <c r="A18" s="1890"/>
      <c r="B18" s="2226" t="s">
        <v>1241</v>
      </c>
      <c r="C18" s="2299">
        <f>+'CO2 - Cálculos'!AD47</f>
        <v>0</v>
      </c>
      <c r="D18" s="2299">
        <f>+'CO2 - Cálculos'!AE47</f>
        <v>0</v>
      </c>
      <c r="E18" s="2299">
        <f>+'CO2 - Cálculos'!AF47</f>
        <v>0</v>
      </c>
      <c r="F18" s="2299">
        <f>+'CO2 - Cálculos'!AG47</f>
        <v>0</v>
      </c>
      <c r="G18" s="2299">
        <f>+'CO2 - Cálculos'!AH47</f>
        <v>0</v>
      </c>
      <c r="H18" s="2299">
        <f>+'CO2 - Cálculos'!AI47</f>
        <v>0</v>
      </c>
      <c r="I18" s="2299">
        <f>+'CO2 - Cálculos'!AJ47</f>
        <v>0</v>
      </c>
      <c r="J18" s="2299">
        <f>+'CO2 - Cálculos'!AK47</f>
        <v>0</v>
      </c>
      <c r="K18" s="1890"/>
      <c r="L18" s="1890"/>
      <c r="M18" s="1890"/>
      <c r="N18" s="1890"/>
      <c r="O18" s="1890"/>
      <c r="P18" s="1890"/>
      <c r="Q18" s="1890"/>
      <c r="R18" s="1890"/>
      <c r="S18" s="1890"/>
      <c r="T18" s="1890"/>
      <c r="U18" s="1890"/>
      <c r="V18" s="1890"/>
      <c r="W18" s="1890"/>
      <c r="X18" s="1890"/>
    </row>
    <row r="19" spans="1:52" ht="18" customHeight="1" x14ac:dyDescent="0.2">
      <c r="A19" s="1890"/>
      <c r="B19" s="2226" t="s">
        <v>1242</v>
      </c>
      <c r="C19" s="2299">
        <f>+'CO2 - Cálculos'!AD48</f>
        <v>0</v>
      </c>
      <c r="D19" s="2299">
        <f>+'CO2 - Cálculos'!AE48</f>
        <v>0</v>
      </c>
      <c r="E19" s="2299">
        <f>+'CO2 - Cálculos'!AF48</f>
        <v>0</v>
      </c>
      <c r="F19" s="2299">
        <f>+'CO2 - Cálculos'!AG48</f>
        <v>0</v>
      </c>
      <c r="G19" s="2299">
        <f>+'CO2 - Cálculos'!AH48</f>
        <v>0</v>
      </c>
      <c r="H19" s="2299">
        <f>+'CO2 - Cálculos'!AI48</f>
        <v>0</v>
      </c>
      <c r="I19" s="2299">
        <f>+'CO2 - Cálculos'!AJ48</f>
        <v>0</v>
      </c>
      <c r="J19" s="2299">
        <f>+'CO2 - Cálculos'!AK48</f>
        <v>0</v>
      </c>
      <c r="K19" s="1890"/>
      <c r="L19" s="1890"/>
      <c r="M19" s="1890"/>
      <c r="N19" s="1890"/>
      <c r="O19" s="1890"/>
      <c r="P19" s="1890"/>
      <c r="Q19" s="1890"/>
      <c r="R19" s="1890"/>
      <c r="S19" s="1890"/>
      <c r="T19" s="1890"/>
      <c r="U19" s="1890"/>
      <c r="V19" s="1890"/>
      <c r="W19" s="1890"/>
      <c r="X19" s="1890"/>
    </row>
    <row r="20" spans="1:52" ht="18" customHeight="1" x14ac:dyDescent="0.2">
      <c r="A20" s="1890"/>
      <c r="B20" s="2226" t="s">
        <v>1243</v>
      </c>
      <c r="C20" s="2299">
        <f>+'CO2 - Cálculos'!AD49</f>
        <v>0</v>
      </c>
      <c r="D20" s="2299">
        <f>+'CO2 - Cálculos'!AE49</f>
        <v>0</v>
      </c>
      <c r="E20" s="2299">
        <f>+'CO2 - Cálculos'!AF49</f>
        <v>0</v>
      </c>
      <c r="F20" s="2299">
        <f>+'CO2 - Cálculos'!AG49</f>
        <v>0</v>
      </c>
      <c r="G20" s="2299">
        <f>+'CO2 - Cálculos'!AH49</f>
        <v>0</v>
      </c>
      <c r="H20" s="2299">
        <f>+'CO2 - Cálculos'!AI49</f>
        <v>0</v>
      </c>
      <c r="I20" s="2299">
        <f>+'CO2 - Cálculos'!AJ49</f>
        <v>0</v>
      </c>
      <c r="J20" s="2299">
        <f>+'CO2 - Cálculos'!AK49</f>
        <v>0</v>
      </c>
      <c r="K20" s="1890"/>
      <c r="L20" s="1890"/>
      <c r="M20" s="1890"/>
      <c r="N20" s="1890"/>
      <c r="O20" s="1890"/>
      <c r="P20" s="1890"/>
      <c r="Q20" s="1890"/>
      <c r="R20" s="1890"/>
      <c r="S20" s="1890"/>
      <c r="T20" s="1890"/>
      <c r="U20" s="1890"/>
      <c r="V20" s="1890"/>
      <c r="W20" s="1890"/>
      <c r="X20" s="1890"/>
    </row>
    <row r="21" spans="1:52" ht="18" customHeight="1" x14ac:dyDescent="0.2">
      <c r="A21" s="1890"/>
      <c r="B21" s="2226" t="s">
        <v>1244</v>
      </c>
      <c r="C21" s="2299">
        <f>+'CO2 - Cálculos'!AD50</f>
        <v>0</v>
      </c>
      <c r="D21" s="2299">
        <f>+'CO2 - Cálculos'!AE50</f>
        <v>0</v>
      </c>
      <c r="E21" s="2299">
        <f>+'CO2 - Cálculos'!AF50</f>
        <v>0</v>
      </c>
      <c r="F21" s="2299">
        <f>+'CO2 - Cálculos'!AG50</f>
        <v>0</v>
      </c>
      <c r="G21" s="2299">
        <f>+'CO2 - Cálculos'!AH50</f>
        <v>0</v>
      </c>
      <c r="H21" s="2299">
        <f>+'CO2 - Cálculos'!AI50</f>
        <v>6210.8815953599997</v>
      </c>
      <c r="I21" s="2299">
        <f>+'CO2 - Cálculos'!AJ50</f>
        <v>3105.4407976799998</v>
      </c>
      <c r="J21" s="2299">
        <f>+'CO2 - Cálculos'!AK50</f>
        <v>3105.4407976799998</v>
      </c>
      <c r="K21" s="1890"/>
      <c r="L21" s="1890"/>
      <c r="M21" s="1890"/>
      <c r="N21" s="1890"/>
      <c r="O21" s="1890"/>
      <c r="P21" s="1890"/>
      <c r="Q21" s="1890"/>
      <c r="R21" s="1890"/>
      <c r="S21" s="1890"/>
      <c r="T21" s="1890"/>
      <c r="U21" s="1890"/>
      <c r="V21" s="1890"/>
      <c r="W21" s="1890"/>
      <c r="X21" s="1890"/>
    </row>
    <row r="22" spans="1:52" ht="18" customHeight="1" x14ac:dyDescent="0.2">
      <c r="A22" s="1890"/>
      <c r="B22" s="2326" t="s">
        <v>64</v>
      </c>
      <c r="C22" s="2299">
        <f>+'CO2 - Cálculos'!AD51</f>
        <v>22279.57056</v>
      </c>
      <c r="D22" s="2299">
        <f>+'CO2 - Cálculos'!AE51</f>
        <v>7246.0285279199989</v>
      </c>
      <c r="E22" s="2299">
        <f>+'CO2 - Cálculos'!AF51</f>
        <v>7246.0285279199989</v>
      </c>
      <c r="F22" s="2299">
        <f>+'CO2 - Cálculos'!AG51</f>
        <v>7246.0285279199989</v>
      </c>
      <c r="G22" s="2299">
        <f>+'CO2 - Cálculos'!AH51</f>
        <v>7763.6019941999994</v>
      </c>
      <c r="H22" s="2299">
        <f>+'CO2 - Cálculos'!AI51</f>
        <v>0</v>
      </c>
      <c r="I22" s="2299">
        <f>+'CO2 - Cálculos'!AJ51</f>
        <v>0</v>
      </c>
      <c r="J22" s="2299">
        <f>+'CO2 - Cálculos'!AK51</f>
        <v>0</v>
      </c>
      <c r="K22" s="1890"/>
      <c r="L22" s="1890"/>
      <c r="M22" s="1890"/>
      <c r="N22" s="1890"/>
      <c r="O22" s="1890"/>
      <c r="P22" s="1890"/>
      <c r="Q22" s="1890"/>
      <c r="R22" s="1890"/>
      <c r="S22" s="1890"/>
      <c r="T22" s="1890"/>
      <c r="U22" s="1890"/>
      <c r="V22" s="1890"/>
      <c r="W22" s="1890"/>
      <c r="X22" s="1890"/>
    </row>
    <row r="23" spans="1:52" ht="18" customHeight="1" x14ac:dyDescent="0.2">
      <c r="A23" s="1890"/>
      <c r="B23" s="2327" t="s">
        <v>1245</v>
      </c>
      <c r="C23" s="2376">
        <f>+'CO2 - Cálculos'!AD52</f>
        <v>0</v>
      </c>
      <c r="D23" s="2299">
        <f>+'CO2 - Cálculos'!AE52</f>
        <v>0</v>
      </c>
      <c r="E23" s="2299">
        <f>+'CO2 - Cálculos'!AF52</f>
        <v>0</v>
      </c>
      <c r="F23" s="2299">
        <f>+'CO2 - Cálculos'!AG52</f>
        <v>0</v>
      </c>
      <c r="G23" s="2299">
        <f>+'CO2 - Cálculos'!AH52</f>
        <v>12939.336657</v>
      </c>
      <c r="H23" s="2299">
        <f>+'CO2 - Cálculos'!AI52</f>
        <v>0</v>
      </c>
      <c r="I23" s="2299">
        <f>+'CO2 - Cálculos'!AJ52</f>
        <v>0</v>
      </c>
      <c r="J23" s="2299">
        <f>+'CO2 - Cálculos'!AK52</f>
        <v>0</v>
      </c>
      <c r="K23" s="1890"/>
      <c r="L23" s="1890"/>
      <c r="M23" s="1890"/>
      <c r="N23" s="1890"/>
      <c r="O23" s="1890"/>
      <c r="P23" s="1890"/>
      <c r="Q23" s="1890"/>
      <c r="R23" s="1890"/>
      <c r="S23" s="1890"/>
      <c r="T23" s="1890"/>
      <c r="U23" s="1890"/>
      <c r="V23" s="1890"/>
      <c r="W23" s="1890"/>
      <c r="X23" s="1890"/>
    </row>
    <row r="24" spans="1:52" ht="18" customHeight="1" x14ac:dyDescent="0.2">
      <c r="A24" s="1890"/>
      <c r="B24" s="2327" t="s">
        <v>1246</v>
      </c>
      <c r="C24" s="2299">
        <f>+'CO2 - Cálculos'!AD53</f>
        <v>0</v>
      </c>
      <c r="D24" s="2299">
        <f>+'CO2 - Cálculos'!AE53</f>
        <v>2587.8673313999998</v>
      </c>
      <c r="E24" s="2299">
        <f>+'CO2 - Cálculos'!AF53</f>
        <v>2587.8673313999998</v>
      </c>
      <c r="F24" s="2299">
        <f>+'CO2 - Cálculos'!AG53</f>
        <v>2587.8673313999998</v>
      </c>
      <c r="G24" s="2299">
        <f>+'CO2 - Cálculos'!AH53</f>
        <v>0</v>
      </c>
      <c r="H24" s="2299">
        <f>+'CO2 - Cálculos'!AI53</f>
        <v>0</v>
      </c>
      <c r="I24" s="2299">
        <f>+'CO2 - Cálculos'!AJ53</f>
        <v>0</v>
      </c>
      <c r="J24" s="2299">
        <f>+'CO2 - Cálculos'!AK53</f>
        <v>0</v>
      </c>
      <c r="K24" s="1890"/>
      <c r="L24" s="1890"/>
      <c r="M24" s="1890"/>
      <c r="N24" s="1890"/>
      <c r="O24" s="1890"/>
      <c r="P24" s="1890"/>
      <c r="Q24" s="1890"/>
      <c r="R24" s="1890"/>
      <c r="S24" s="1890"/>
      <c r="T24" s="1890"/>
      <c r="U24" s="1890"/>
      <c r="V24" s="1890"/>
      <c r="W24" s="1890"/>
      <c r="X24" s="1890"/>
    </row>
    <row r="25" spans="1:52" ht="18" customHeight="1" x14ac:dyDescent="0.2">
      <c r="A25" s="1890"/>
      <c r="B25" s="2327" t="s">
        <v>1247</v>
      </c>
      <c r="C25" s="2299">
        <f>+'CO2 - Cálculos'!AD54</f>
        <v>0</v>
      </c>
      <c r="D25" s="2299">
        <f>+'CO2 - Cálculos'!AE54</f>
        <v>10869.04279188</v>
      </c>
      <c r="E25" s="2299">
        <f>+'CO2 - Cálculos'!AF54</f>
        <v>10869.04279188</v>
      </c>
      <c r="F25" s="2299">
        <f>+'CO2 - Cálculos'!AG54</f>
        <v>10869.04279188</v>
      </c>
      <c r="G25" s="2299">
        <f>+'CO2 - Cálculos'!AH54</f>
        <v>0</v>
      </c>
      <c r="H25" s="2299">
        <f>+'CO2 - Cálculos'!AI54</f>
        <v>0</v>
      </c>
      <c r="I25" s="2299">
        <f>+'CO2 - Cálculos'!AJ54</f>
        <v>0</v>
      </c>
      <c r="J25" s="2299">
        <f>+'CO2 - Cálculos'!AK54</f>
        <v>0</v>
      </c>
      <c r="K25" s="1890"/>
      <c r="L25" s="1890"/>
      <c r="M25" s="1890"/>
      <c r="N25" s="1890"/>
      <c r="O25" s="1890"/>
      <c r="P25" s="1890"/>
      <c r="Q25" s="1890"/>
      <c r="R25" s="1890"/>
      <c r="S25" s="1890"/>
      <c r="T25" s="1890"/>
      <c r="U25" s="1890"/>
      <c r="V25" s="1890"/>
      <c r="W25" s="1890"/>
      <c r="X25" s="1890"/>
    </row>
    <row r="26" spans="1:52" ht="18" customHeight="1" x14ac:dyDescent="0.2">
      <c r="A26" s="1890"/>
      <c r="B26" s="2327" t="s">
        <v>1248</v>
      </c>
      <c r="C26" s="2299">
        <f>+'CO2 - Cálculos'!AD55</f>
        <v>0</v>
      </c>
      <c r="D26" s="2299">
        <f>+'CO2 - Cálculos'!AE55</f>
        <v>0</v>
      </c>
      <c r="E26" s="2299">
        <f>+'CO2 - Cálculos'!AF55</f>
        <v>0</v>
      </c>
      <c r="F26" s="2299">
        <f>+'CO2 - Cálculos'!AG55</f>
        <v>0</v>
      </c>
      <c r="G26" s="2299">
        <f>+'CO2 - Cálculos'!AH55</f>
        <v>0</v>
      </c>
      <c r="H26" s="2299">
        <f>+'CO2 - Cálculos'!AI55</f>
        <v>14492.057055839998</v>
      </c>
      <c r="I26" s="2299">
        <f>+'CO2 - Cálculos'!AJ55</f>
        <v>0</v>
      </c>
      <c r="J26" s="2299">
        <f>+'CO2 - Cálculos'!AK55</f>
        <v>0</v>
      </c>
      <c r="K26" s="1890"/>
      <c r="L26" s="1890"/>
      <c r="M26" s="1890"/>
      <c r="N26" s="1890"/>
      <c r="O26" s="1890"/>
      <c r="P26" s="1890"/>
      <c r="Q26" s="1890"/>
      <c r="R26" s="1890"/>
      <c r="S26" s="1890"/>
      <c r="T26" s="1890"/>
      <c r="U26" s="1890"/>
      <c r="V26" s="1890"/>
      <c r="W26" s="1890"/>
      <c r="X26" s="1890"/>
    </row>
    <row r="27" spans="1:52" ht="18" customHeight="1" x14ac:dyDescent="0.2">
      <c r="A27" s="1890"/>
      <c r="B27" s="2226" t="s">
        <v>63</v>
      </c>
      <c r="C27" s="2299">
        <f>+'CO2 - Cálculos'!AD56</f>
        <v>0</v>
      </c>
      <c r="D27" s="2299">
        <f>+'CO2 - Cálculos'!AE56</f>
        <v>0</v>
      </c>
      <c r="E27" s="2299">
        <f>+'CO2 - Cálculos'!AF56</f>
        <v>0</v>
      </c>
      <c r="F27" s="2299">
        <f>+'CO2 - Cálculos'!AG56</f>
        <v>0</v>
      </c>
      <c r="G27" s="2299">
        <f>+'CO2 - Cálculos'!AH56</f>
        <v>0</v>
      </c>
      <c r="H27" s="2299">
        <f>+'CO2 - Cálculos'!AI56</f>
        <v>0</v>
      </c>
      <c r="I27" s="2299">
        <f>+'CO2 - Cálculos'!AJ56</f>
        <v>17597.497853519999</v>
      </c>
      <c r="J27" s="2299">
        <f>+'CO2 - Cálculos'!AK56</f>
        <v>17597.497853519999</v>
      </c>
      <c r="K27" s="1890"/>
      <c r="L27" s="1890"/>
      <c r="M27" s="1890"/>
      <c r="N27" s="1890"/>
      <c r="O27" s="1890"/>
      <c r="P27" s="1890"/>
      <c r="Q27" s="1890"/>
      <c r="R27" s="1890"/>
      <c r="S27" s="1890"/>
      <c r="T27" s="1890"/>
      <c r="U27" s="1890"/>
      <c r="V27" s="1890"/>
      <c r="W27" s="1890"/>
      <c r="X27" s="1890"/>
    </row>
    <row r="28" spans="1:52" x14ac:dyDescent="0.2">
      <c r="A28" s="1890"/>
      <c r="B28" s="1890"/>
      <c r="C28" s="2234"/>
      <c r="D28" s="1890"/>
      <c r="E28" s="1890"/>
      <c r="F28" s="1890"/>
      <c r="G28" s="1890"/>
      <c r="H28" s="1890"/>
      <c r="I28" s="1890"/>
      <c r="J28" s="1890"/>
      <c r="K28" s="1890"/>
      <c r="L28" s="1890"/>
      <c r="M28" s="1890"/>
      <c r="N28" s="1890"/>
      <c r="O28" s="1890"/>
      <c r="P28" s="1890"/>
      <c r="Q28" s="1890"/>
      <c r="R28" s="1890"/>
      <c r="S28" s="1890"/>
      <c r="T28" s="1890"/>
      <c r="U28" s="1890"/>
      <c r="V28" s="1890"/>
      <c r="W28" s="1890"/>
      <c r="X28" s="1890"/>
    </row>
    <row r="29" spans="1:52" s="2229" customFormat="1" ht="26.1" customHeight="1" x14ac:dyDescent="0.25">
      <c r="A29" s="2063" t="s">
        <v>1264</v>
      </c>
      <c r="B29" s="2423"/>
      <c r="C29" s="1956"/>
      <c r="D29" s="1956"/>
      <c r="E29" s="1956"/>
      <c r="F29" s="1956"/>
      <c r="G29" s="1956"/>
      <c r="H29" s="1956"/>
      <c r="I29" s="1956"/>
      <c r="J29" s="1956"/>
      <c r="K29" s="2030"/>
      <c r="L29" s="2030"/>
      <c r="M29" s="2030"/>
      <c r="N29" s="2030"/>
      <c r="O29" s="2030"/>
      <c r="P29" s="2030"/>
      <c r="Q29" s="2030"/>
      <c r="R29" s="2030"/>
      <c r="S29" s="2030"/>
      <c r="T29" s="2030"/>
      <c r="U29" s="2030"/>
      <c r="V29" s="2030"/>
      <c r="W29" s="2030"/>
      <c r="X29" s="2030"/>
      <c r="Y29" s="1845"/>
      <c r="Z29" s="1845"/>
      <c r="AA29" s="1845"/>
      <c r="AB29" s="1845"/>
      <c r="AC29" s="1845"/>
      <c r="AD29" s="1845"/>
      <c r="AE29" s="1845"/>
      <c r="AF29" s="1845"/>
      <c r="AG29" s="1845"/>
      <c r="AH29" s="1845"/>
      <c r="AI29" s="1845"/>
      <c r="AJ29" s="1845"/>
      <c r="AK29" s="1845"/>
      <c r="AL29" s="1845"/>
      <c r="AM29" s="1845"/>
      <c r="AN29" s="1845"/>
      <c r="AO29" s="1845"/>
      <c r="AP29" s="1845"/>
      <c r="AQ29" s="1845"/>
      <c r="AR29" s="1845"/>
      <c r="AS29" s="1845"/>
      <c r="AT29" s="1845"/>
      <c r="AU29" s="1845"/>
      <c r="AV29" s="1845"/>
      <c r="AW29" s="1845"/>
      <c r="AX29" s="1845"/>
      <c r="AY29" s="1845"/>
      <c r="AZ29" s="1845"/>
    </row>
    <row r="30" spans="1:52" s="2072" customFormat="1" ht="18" customHeight="1" x14ac:dyDescent="0.25">
      <c r="A30" s="1957"/>
      <c r="B30" s="1957"/>
      <c r="C30" s="1957"/>
      <c r="D30" s="1957"/>
      <c r="E30" s="1957"/>
      <c r="F30" s="1957"/>
      <c r="G30" s="1957"/>
      <c r="H30" s="1957"/>
      <c r="I30" s="1957"/>
      <c r="J30" s="1957"/>
      <c r="K30" s="1957"/>
      <c r="L30" s="1957"/>
      <c r="M30" s="1957"/>
      <c r="N30" s="1957"/>
      <c r="O30" s="1957"/>
      <c r="P30" s="1957"/>
      <c r="Q30" s="1957"/>
      <c r="R30" s="1957"/>
      <c r="S30" s="1957"/>
      <c r="T30" s="1957"/>
      <c r="U30" s="1957"/>
      <c r="V30" s="1957"/>
      <c r="W30" s="1957"/>
      <c r="X30" s="1957"/>
    </row>
    <row r="31" spans="1:52" s="2072" customFormat="1" ht="36.6" customHeight="1" x14ac:dyDescent="0.25">
      <c r="A31" s="2424"/>
      <c r="B31" s="2425"/>
      <c r="C31" s="2270" t="str">
        <f t="shared" ref="C31:J31" si="2">+C2</f>
        <v>Cenário-Base</v>
      </c>
      <c r="D31" s="2418" t="str">
        <f t="shared" si="2"/>
        <v>Biodigestão RT1A + CDR TM</v>
      </c>
      <c r="E31" s="2418" t="str">
        <f t="shared" si="2"/>
        <v>Biodigestão RT1B + CDR TM</v>
      </c>
      <c r="F31" s="2418" t="str">
        <f t="shared" si="2"/>
        <v>Biodigestão RT1C + CDR TM</v>
      </c>
      <c r="G31" s="2418" t="str">
        <f t="shared" si="2"/>
        <v>Compostagem + CDR TM</v>
      </c>
      <c r="H31" s="2418" t="str">
        <f t="shared" si="2"/>
        <v xml:space="preserve">Biosecagem + CDR TMB </v>
      </c>
      <c r="I31" s="2418" t="str">
        <f t="shared" si="2"/>
        <v>Incineração Mass Burning</v>
      </c>
      <c r="J31" s="2418" t="str">
        <f t="shared" si="2"/>
        <v>Incineração Mass Burn. Descentralizada</v>
      </c>
      <c r="K31" s="1957"/>
      <c r="L31" s="1957"/>
      <c r="M31" s="1957"/>
      <c r="N31" s="1957"/>
      <c r="O31" s="1957"/>
      <c r="P31" s="1957"/>
      <c r="Q31" s="1957"/>
      <c r="R31" s="1957"/>
      <c r="S31" s="1957"/>
      <c r="T31" s="1957"/>
      <c r="U31" s="1957"/>
      <c r="V31" s="1957"/>
      <c r="W31" s="1957"/>
      <c r="X31" s="1957"/>
    </row>
    <row r="32" spans="1:52" s="2072" customFormat="1" ht="18" customHeight="1" x14ac:dyDescent="0.25">
      <c r="A32" s="2226" t="s">
        <v>1237</v>
      </c>
      <c r="B32" s="2426" t="s">
        <v>1255</v>
      </c>
      <c r="C32" s="2299">
        <f>+'CO2 - Cenário Base'!H53</f>
        <v>532.33805663999999</v>
      </c>
      <c r="D32" s="2299">
        <f>+'CO2 - Cenário RT 1A'!H53</f>
        <v>1665.6439969728001</v>
      </c>
      <c r="E32" s="2299">
        <f>+'CO2 - Cenário RT 1B'!H53</f>
        <v>1665.6439969728001</v>
      </c>
      <c r="F32" s="2299">
        <f>+'CO2 - Cenário RT 1C'!H53</f>
        <v>1665.6439969728001</v>
      </c>
      <c r="G32" s="2299">
        <f>+'CO2 - Cenário RT 2'!H53</f>
        <v>1665.6439969728001</v>
      </c>
      <c r="H32" s="2299">
        <f>+'CO2 - Cenário RT 3'!H53</f>
        <v>1665.6439969728001</v>
      </c>
      <c r="I32" s="2299">
        <f>+'CO2 - Cenário RT 4'!H53</f>
        <v>1665.6439969728001</v>
      </c>
      <c r="J32" s="2299">
        <f>+'CO2 - Cenário RT 5'!H53</f>
        <v>1665.6439969728001</v>
      </c>
      <c r="K32" s="1957"/>
      <c r="L32" s="2427"/>
      <c r="M32" s="1957"/>
      <c r="N32" s="1957"/>
      <c r="O32" s="1957"/>
      <c r="P32" s="1957"/>
      <c r="Q32" s="1957"/>
      <c r="R32" s="1957"/>
      <c r="S32" s="1957"/>
      <c r="T32" s="1957"/>
      <c r="U32" s="1957"/>
      <c r="V32" s="1957"/>
      <c r="W32" s="1957"/>
      <c r="X32" s="1957"/>
    </row>
    <row r="33" spans="1:24" s="2072" customFormat="1" ht="18" customHeight="1" x14ac:dyDescent="0.25">
      <c r="A33" s="2428"/>
      <c r="B33" s="2426" t="s">
        <v>1256</v>
      </c>
      <c r="C33" s="2299">
        <f>+'CO2 - Cenário Base'!H54</f>
        <v>-1514.9071828799999</v>
      </c>
      <c r="D33" s="2299">
        <f>+'CO2 - Cenário RT 1A'!H54</f>
        <v>-5018.9513721984003</v>
      </c>
      <c r="E33" s="2299">
        <f>+'CO2 - Cenário RT 1B'!H54</f>
        <v>-5018.9513721984003</v>
      </c>
      <c r="F33" s="2299">
        <f>+'CO2 - Cenário RT 1C'!H54</f>
        <v>-5018.9513721984003</v>
      </c>
      <c r="G33" s="2299">
        <f>+'CO2 - Cenário RT 2'!H54</f>
        <v>-5018.9513721984003</v>
      </c>
      <c r="H33" s="2299">
        <f>+'CO2 - Cenário RT 3'!H54</f>
        <v>-5018.9513721984003</v>
      </c>
      <c r="I33" s="2299">
        <f>+'CO2 - Cenário RT 4'!H54</f>
        <v>-5018.9513721984003</v>
      </c>
      <c r="J33" s="2299">
        <f>+'CO2 - Cenário RT 5'!H54</f>
        <v>-5018.9513721984003</v>
      </c>
      <c r="K33" s="1957"/>
      <c r="L33" s="1957"/>
      <c r="M33" s="1957"/>
      <c r="N33" s="1957"/>
      <c r="O33" s="1957"/>
      <c r="P33" s="1957"/>
      <c r="Q33" s="1957"/>
      <c r="R33" s="1957"/>
      <c r="S33" s="1957"/>
      <c r="T33" s="1957"/>
      <c r="U33" s="1957"/>
      <c r="V33" s="1957"/>
      <c r="W33" s="1957"/>
      <c r="X33" s="1957"/>
    </row>
    <row r="34" spans="1:24" s="2072" customFormat="1" ht="18" customHeight="1" x14ac:dyDescent="0.25">
      <c r="A34" s="2226" t="s">
        <v>1265</v>
      </c>
      <c r="B34" s="2426" t="s">
        <v>1255</v>
      </c>
      <c r="C34" s="2299">
        <f>+'CO2 - Cenário Base'!I53</f>
        <v>26393.084303869578</v>
      </c>
      <c r="D34" s="2299">
        <f>+'CO2 - Cenário RT 1A'!I53</f>
        <v>11220.932663984766</v>
      </c>
      <c r="E34" s="2299">
        <f>+'CO2 - Cenário RT 1B'!I53</f>
        <v>11220.932663984766</v>
      </c>
      <c r="F34" s="2299">
        <f>+'CO2 - Cenário RT 1C'!I53</f>
        <v>11165.396044475874</v>
      </c>
      <c r="G34" s="2299">
        <f>+'CO2 - Cenário RT 2'!I53</f>
        <v>9577.7059389960687</v>
      </c>
      <c r="H34" s="2299">
        <f>+'CO2 - Cenário RT 3'!I53</f>
        <v>10601.279089928397</v>
      </c>
      <c r="I34" s="2299">
        <f>+'CO2 - Cenário RT 4'!I53</f>
        <v>10407.179756556689</v>
      </c>
      <c r="J34" s="2299">
        <f>+'CO2 - Cenário RT 5'!I53</f>
        <v>10407.179756556689</v>
      </c>
      <c r="K34" s="1957"/>
      <c r="L34" s="1957"/>
      <c r="M34" s="1957"/>
      <c r="N34" s="1957"/>
      <c r="O34" s="1957"/>
      <c r="P34" s="1957"/>
      <c r="Q34" s="1957"/>
      <c r="R34" s="1957"/>
      <c r="S34" s="1957"/>
      <c r="T34" s="1957"/>
      <c r="U34" s="1957"/>
      <c r="V34" s="1957"/>
      <c r="W34" s="1957"/>
      <c r="X34" s="1957"/>
    </row>
    <row r="35" spans="1:24" s="2072" customFormat="1" ht="18" customHeight="1" x14ac:dyDescent="0.25">
      <c r="A35" s="2428"/>
      <c r="B35" s="2426" t="s">
        <v>1256</v>
      </c>
      <c r="C35" s="2299">
        <f>+'CO2 - Cenário Base'!I54</f>
        <v>0</v>
      </c>
      <c r="D35" s="2299">
        <f>+'CO2 - Cenário RT 1A'!I54</f>
        <v>-6806.6895659518668</v>
      </c>
      <c r="E35" s="2299">
        <f>+'CO2 - Cenário RT 1B'!I54</f>
        <v>-7790.8638274411351</v>
      </c>
      <c r="F35" s="2299">
        <f>+'CO2 - Cenário RT 1C'!I54</f>
        <v>-6735.6898259584868</v>
      </c>
      <c r="G35" s="2299">
        <f>+'CO2 - Cenário RT 2'!I54</f>
        <v>0</v>
      </c>
      <c r="H35" s="2299">
        <f>+'CO2 - Cenário RT 3'!I54</f>
        <v>-12742.065710846115</v>
      </c>
      <c r="I35" s="2299">
        <f>+'CO2 - Cenário RT 4'!I54</f>
        <v>-443.24404907404056</v>
      </c>
      <c r="J35" s="2299">
        <f>+'CO2 - Cenário RT 5'!I54</f>
        <v>-443.24404907404056</v>
      </c>
      <c r="K35" s="1957"/>
      <c r="L35" s="1957"/>
      <c r="M35" s="1957"/>
      <c r="N35" s="1957"/>
      <c r="O35" s="1957"/>
      <c r="P35" s="1957"/>
      <c r="Q35" s="1957"/>
      <c r="R35" s="1957"/>
      <c r="S35" s="1957"/>
      <c r="T35" s="1957"/>
      <c r="U35" s="1957"/>
      <c r="V35" s="1957"/>
      <c r="W35" s="1957"/>
      <c r="X35" s="1957"/>
    </row>
    <row r="36" spans="1:24" s="2072" customFormat="1" ht="18" customHeight="1" x14ac:dyDescent="0.25">
      <c r="A36" s="2226" t="s">
        <v>1271</v>
      </c>
      <c r="B36" s="2426" t="s">
        <v>1255</v>
      </c>
      <c r="C36" s="2299">
        <f t="shared" ref="C36:J37" si="3">+C32+C34</f>
        <v>26925.422360509579</v>
      </c>
      <c r="D36" s="2299">
        <f t="shared" si="3"/>
        <v>12886.576660957566</v>
      </c>
      <c r="E36" s="2299">
        <f t="shared" si="3"/>
        <v>12886.576660957566</v>
      </c>
      <c r="F36" s="2299">
        <f t="shared" si="3"/>
        <v>12831.040041448674</v>
      </c>
      <c r="G36" s="2299">
        <f t="shared" si="3"/>
        <v>11243.349935968869</v>
      </c>
      <c r="H36" s="2299">
        <f t="shared" si="3"/>
        <v>12266.923086901197</v>
      </c>
      <c r="I36" s="2299">
        <f t="shared" si="3"/>
        <v>12072.823753529488</v>
      </c>
      <c r="J36" s="2299">
        <f t="shared" si="3"/>
        <v>12072.823753529488</v>
      </c>
      <c r="K36" s="1957"/>
      <c r="L36" s="1957"/>
      <c r="M36" s="1957"/>
      <c r="N36" s="1957"/>
      <c r="O36" s="1957"/>
      <c r="P36" s="1957"/>
      <c r="Q36" s="1957"/>
      <c r="R36" s="1957"/>
      <c r="S36" s="1957"/>
      <c r="T36" s="1957"/>
      <c r="U36" s="1957"/>
      <c r="V36" s="1957"/>
      <c r="W36" s="1957"/>
      <c r="X36" s="1957"/>
    </row>
    <row r="37" spans="1:24" s="2072" customFormat="1" ht="18" customHeight="1" x14ac:dyDescent="0.25">
      <c r="A37" s="2274"/>
      <c r="B37" s="2426" t="s">
        <v>1256</v>
      </c>
      <c r="C37" s="2299">
        <f t="shared" si="3"/>
        <v>-1514.9071828799999</v>
      </c>
      <c r="D37" s="2299">
        <f t="shared" si="3"/>
        <v>-11825.640938150267</v>
      </c>
      <c r="E37" s="2299">
        <f t="shared" si="3"/>
        <v>-12809.815199639535</v>
      </c>
      <c r="F37" s="2299">
        <f t="shared" si="3"/>
        <v>-11754.641198156887</v>
      </c>
      <c r="G37" s="2299">
        <f t="shared" si="3"/>
        <v>-5018.9513721984003</v>
      </c>
      <c r="H37" s="2299">
        <f t="shared" si="3"/>
        <v>-17761.017083044513</v>
      </c>
      <c r="I37" s="2299">
        <f t="shared" si="3"/>
        <v>-5462.1954212724413</v>
      </c>
      <c r="J37" s="2299">
        <f t="shared" si="3"/>
        <v>-5462.1954212724413</v>
      </c>
      <c r="K37" s="1957"/>
      <c r="L37" s="1957"/>
      <c r="M37" s="1957"/>
      <c r="N37" s="1957"/>
      <c r="O37" s="1957"/>
      <c r="P37" s="1957"/>
      <c r="Q37" s="1957"/>
      <c r="R37" s="1957"/>
      <c r="S37" s="1957"/>
      <c r="T37" s="1957"/>
      <c r="U37" s="1957"/>
      <c r="V37" s="1957"/>
      <c r="W37" s="1957"/>
      <c r="X37" s="1957"/>
    </row>
    <row r="38" spans="1:24" s="2072" customFormat="1" ht="18" customHeight="1" x14ac:dyDescent="0.25">
      <c r="A38" s="2274"/>
      <c r="B38" s="2426" t="s">
        <v>1257</v>
      </c>
      <c r="C38" s="2645">
        <f t="shared" ref="C38:J38" si="4">+C36+C37</f>
        <v>25410.515177629579</v>
      </c>
      <c r="D38" s="2645">
        <f t="shared" si="4"/>
        <v>1060.9357228072986</v>
      </c>
      <c r="E38" s="2645">
        <f t="shared" si="4"/>
        <v>76.761461318030342</v>
      </c>
      <c r="F38" s="2645">
        <f t="shared" si="4"/>
        <v>1076.3988432917868</v>
      </c>
      <c r="G38" s="2645">
        <f t="shared" si="4"/>
        <v>6224.3985637704682</v>
      </c>
      <c r="H38" s="2645">
        <f t="shared" si="4"/>
        <v>-5494.093996143316</v>
      </c>
      <c r="I38" s="2645">
        <f t="shared" si="4"/>
        <v>6610.6283322570471</v>
      </c>
      <c r="J38" s="2645">
        <f t="shared" si="4"/>
        <v>6610.6283322570471</v>
      </c>
      <c r="K38" s="1957"/>
      <c r="L38" s="1957"/>
      <c r="M38" s="1957"/>
      <c r="N38" s="1957"/>
      <c r="O38" s="1957"/>
      <c r="P38" s="1957"/>
      <c r="Q38" s="1957"/>
      <c r="R38" s="1957"/>
      <c r="S38" s="1957"/>
      <c r="T38" s="1957"/>
      <c r="U38" s="1957"/>
      <c r="V38" s="1957"/>
      <c r="W38" s="1957"/>
      <c r="X38" s="1957"/>
    </row>
    <row r="39" spans="1:24" s="2072" customFormat="1" ht="18" customHeight="1" x14ac:dyDescent="0.25">
      <c r="A39" s="1957"/>
      <c r="B39" s="1957"/>
      <c r="C39" s="1957"/>
      <c r="D39" s="1957"/>
      <c r="E39" s="1957"/>
      <c r="F39" s="1957"/>
      <c r="G39" s="1957"/>
      <c r="H39" s="1957"/>
      <c r="I39" s="1957"/>
      <c r="J39" s="1957"/>
      <c r="K39" s="1957"/>
      <c r="L39" s="1957"/>
      <c r="M39" s="1957"/>
      <c r="N39" s="1957"/>
      <c r="O39" s="1957"/>
      <c r="P39" s="1957"/>
      <c r="Q39" s="1957"/>
      <c r="R39" s="1957"/>
      <c r="S39" s="1957"/>
      <c r="T39" s="1957"/>
      <c r="U39" s="1957"/>
      <c r="V39" s="1957"/>
      <c r="W39" s="1957"/>
      <c r="X39" s="1957"/>
    </row>
    <row r="40" spans="1:24" x14ac:dyDescent="0.2">
      <c r="A40" s="1890"/>
      <c r="B40" s="1890"/>
      <c r="C40" s="1890"/>
      <c r="D40" s="1890"/>
      <c r="E40" s="1890"/>
      <c r="F40" s="1890"/>
      <c r="G40" s="1890"/>
      <c r="H40" s="1890"/>
      <c r="I40" s="1890"/>
      <c r="J40" s="1890"/>
      <c r="K40" s="1890"/>
      <c r="L40" s="1890"/>
      <c r="M40" s="1890"/>
      <c r="N40" s="1890"/>
      <c r="O40" s="1890"/>
      <c r="P40" s="1890"/>
      <c r="Q40" s="1890"/>
      <c r="R40" s="1890"/>
      <c r="S40" s="1890"/>
      <c r="T40" s="1890"/>
      <c r="U40" s="1890"/>
      <c r="V40" s="1890"/>
      <c r="W40" s="1890"/>
      <c r="X40" s="1890"/>
    </row>
    <row r="41" spans="1:24" x14ac:dyDescent="0.2">
      <c r="A41" s="1890"/>
      <c r="B41" s="1890"/>
      <c r="C41" s="1890"/>
      <c r="D41" s="1890"/>
      <c r="E41" s="1890"/>
      <c r="F41" s="1890"/>
      <c r="G41" s="1890"/>
      <c r="H41" s="1890"/>
      <c r="I41" s="1890"/>
      <c r="J41" s="1890"/>
      <c r="K41" s="1890"/>
      <c r="L41" s="1890"/>
      <c r="M41" s="1890"/>
      <c r="N41" s="1890"/>
      <c r="O41" s="1890"/>
      <c r="P41" s="1890"/>
      <c r="Q41" s="1890"/>
      <c r="R41" s="1890"/>
      <c r="S41" s="1890"/>
      <c r="T41" s="1890"/>
      <c r="U41" s="1890"/>
      <c r="V41" s="1890"/>
      <c r="W41" s="1890"/>
      <c r="X41" s="1890"/>
    </row>
    <row r="42" spans="1:24" x14ac:dyDescent="0.2">
      <c r="A42" s="1890"/>
      <c r="B42" s="1890"/>
      <c r="C42" s="1890"/>
      <c r="D42" s="1890"/>
      <c r="E42" s="1890"/>
      <c r="F42" s="1890"/>
      <c r="G42" s="1890"/>
      <c r="H42" s="1890"/>
      <c r="I42" s="1890"/>
      <c r="J42" s="1890"/>
      <c r="K42" s="1890"/>
      <c r="L42" s="1890"/>
      <c r="M42" s="1890"/>
      <c r="N42" s="1890"/>
      <c r="O42" s="1890"/>
      <c r="P42" s="1890"/>
      <c r="Q42" s="1890"/>
      <c r="R42" s="1890"/>
      <c r="S42" s="1890"/>
      <c r="T42" s="1890"/>
      <c r="U42" s="1890"/>
      <c r="V42" s="1890"/>
      <c r="W42" s="1890"/>
      <c r="X42" s="1890"/>
    </row>
    <row r="43" spans="1:24" x14ac:dyDescent="0.2">
      <c r="A43" s="1890"/>
      <c r="B43" s="1890"/>
      <c r="C43" s="1890"/>
      <c r="D43" s="1890"/>
      <c r="E43" s="1890"/>
      <c r="F43" s="1890"/>
      <c r="G43" s="1890"/>
      <c r="H43" s="1890"/>
      <c r="I43" s="1890"/>
      <c r="J43" s="1890"/>
      <c r="K43" s="1890"/>
      <c r="L43" s="1890"/>
      <c r="M43" s="1890"/>
      <c r="N43" s="1890"/>
      <c r="O43" s="1890"/>
      <c r="P43" s="1890"/>
      <c r="Q43" s="1890"/>
      <c r="R43" s="1890"/>
      <c r="S43" s="1890"/>
      <c r="T43" s="1890"/>
      <c r="U43" s="1890"/>
      <c r="V43" s="1890"/>
      <c r="W43" s="1890"/>
      <c r="X43" s="1890"/>
    </row>
    <row r="44" spans="1:24" x14ac:dyDescent="0.2">
      <c r="A44" s="1890"/>
      <c r="B44" s="1890"/>
      <c r="C44" s="1890"/>
      <c r="D44" s="1890"/>
      <c r="E44" s="1890"/>
      <c r="F44" s="1890"/>
      <c r="G44" s="1890"/>
      <c r="H44" s="1890"/>
      <c r="I44" s="1890"/>
      <c r="J44" s="1890"/>
      <c r="K44" s="1890"/>
      <c r="L44" s="1890"/>
      <c r="M44" s="1890"/>
      <c r="N44" s="1890"/>
      <c r="O44" s="1890"/>
      <c r="P44" s="1890"/>
      <c r="Q44" s="1890"/>
      <c r="R44" s="1890"/>
      <c r="S44" s="1890"/>
      <c r="T44" s="1890"/>
      <c r="U44" s="1890"/>
      <c r="V44" s="1890"/>
      <c r="W44" s="1890"/>
      <c r="X44" s="1890"/>
    </row>
    <row r="45" spans="1:24" x14ac:dyDescent="0.2">
      <c r="A45" s="1890"/>
      <c r="B45" s="1890"/>
      <c r="C45" s="1890"/>
      <c r="D45" s="1890"/>
      <c r="E45" s="1890"/>
      <c r="F45" s="1890"/>
      <c r="G45" s="1890"/>
      <c r="H45" s="1890"/>
      <c r="I45" s="1890"/>
      <c r="J45" s="1890"/>
      <c r="K45" s="1890"/>
      <c r="L45" s="1890"/>
      <c r="M45" s="1890"/>
      <c r="N45" s="1890"/>
      <c r="O45" s="1890"/>
      <c r="P45" s="1890"/>
      <c r="Q45" s="1890"/>
      <c r="R45" s="1890"/>
      <c r="S45" s="1890"/>
      <c r="T45" s="1890"/>
      <c r="U45" s="1890"/>
      <c r="V45" s="1890"/>
      <c r="W45" s="1890"/>
      <c r="X45" s="1890"/>
    </row>
    <row r="46" spans="1:24" x14ac:dyDescent="0.2">
      <c r="A46" s="1890"/>
      <c r="B46" s="1890"/>
      <c r="C46" s="1890"/>
      <c r="D46" s="1890"/>
      <c r="E46" s="1890"/>
      <c r="F46" s="1890"/>
      <c r="G46" s="1890"/>
      <c r="H46" s="1890"/>
      <c r="I46" s="1890"/>
      <c r="J46" s="1890"/>
      <c r="K46" s="1890"/>
      <c r="L46" s="1890"/>
      <c r="M46" s="1890"/>
      <c r="N46" s="1890"/>
      <c r="O46" s="1890"/>
      <c r="P46" s="1890"/>
      <c r="Q46" s="1890"/>
      <c r="R46" s="1890"/>
      <c r="S46" s="1890"/>
      <c r="T46" s="1890"/>
      <c r="U46" s="1890"/>
      <c r="V46" s="1890"/>
      <c r="W46" s="1890"/>
      <c r="X46" s="1890"/>
    </row>
    <row r="47" spans="1:24" x14ac:dyDescent="0.2">
      <c r="A47" s="1890"/>
      <c r="B47" s="1890"/>
      <c r="C47" s="1890"/>
      <c r="D47" s="1890"/>
      <c r="E47" s="1890"/>
      <c r="F47" s="1890"/>
      <c r="G47" s="1890"/>
      <c r="H47" s="1890"/>
      <c r="I47" s="1890"/>
      <c r="J47" s="1890"/>
      <c r="K47" s="1890"/>
      <c r="L47" s="1890"/>
      <c r="M47" s="1890"/>
      <c r="N47" s="1890"/>
      <c r="O47" s="1890"/>
      <c r="P47" s="1890"/>
      <c r="Q47" s="1890"/>
      <c r="R47" s="1890"/>
      <c r="S47" s="1890"/>
      <c r="T47" s="1890"/>
      <c r="U47" s="1890"/>
      <c r="V47" s="1890"/>
      <c r="W47" s="1890"/>
      <c r="X47" s="1890"/>
    </row>
    <row r="48" spans="1:24" x14ac:dyDescent="0.2">
      <c r="A48" s="1890"/>
      <c r="B48" s="1890"/>
      <c r="C48" s="1890"/>
      <c r="D48" s="1890"/>
      <c r="E48" s="1890"/>
      <c r="F48" s="1890"/>
      <c r="G48" s="1890"/>
      <c r="H48" s="1890"/>
      <c r="I48" s="1890"/>
      <c r="J48" s="1890"/>
      <c r="K48" s="1890"/>
      <c r="L48" s="1890"/>
      <c r="M48" s="1890"/>
      <c r="N48" s="1890"/>
      <c r="O48" s="1890"/>
      <c r="P48" s="1890"/>
      <c r="Q48" s="1890"/>
      <c r="R48" s="1890"/>
      <c r="S48" s="1890"/>
      <c r="T48" s="1890"/>
      <c r="U48" s="1890"/>
      <c r="V48" s="1890"/>
      <c r="W48" s="1890"/>
      <c r="X48" s="1890"/>
    </row>
    <row r="49" spans="1:24" x14ac:dyDescent="0.2">
      <c r="A49" s="1890"/>
      <c r="B49" s="1890"/>
      <c r="C49" s="1890"/>
      <c r="D49" s="1890"/>
      <c r="E49" s="1890"/>
      <c r="F49" s="1890"/>
      <c r="G49" s="1890"/>
      <c r="H49" s="1890"/>
      <c r="I49" s="1890"/>
      <c r="J49" s="1890"/>
      <c r="K49" s="1890"/>
      <c r="L49" s="1890"/>
      <c r="M49" s="1890"/>
      <c r="N49" s="1890"/>
      <c r="O49" s="1890"/>
      <c r="P49" s="1890"/>
      <c r="Q49" s="1890"/>
      <c r="R49" s="1890"/>
      <c r="S49" s="1890"/>
      <c r="T49" s="1890"/>
      <c r="U49" s="1890"/>
      <c r="V49" s="1890"/>
      <c r="W49" s="1890"/>
      <c r="X49" s="1890"/>
    </row>
    <row r="50" spans="1:24" x14ac:dyDescent="0.2">
      <c r="A50" s="1890"/>
      <c r="B50" s="1890"/>
      <c r="C50" s="1890"/>
      <c r="D50" s="1890"/>
      <c r="E50" s="1890"/>
      <c r="F50" s="1890"/>
      <c r="G50" s="1890"/>
      <c r="H50" s="1890"/>
      <c r="I50" s="1890"/>
      <c r="J50" s="1890"/>
      <c r="K50" s="1890"/>
      <c r="L50" s="1890"/>
      <c r="M50" s="1890"/>
      <c r="N50" s="1890"/>
      <c r="O50" s="1890"/>
      <c r="P50" s="1890"/>
      <c r="Q50" s="1890"/>
      <c r="R50" s="1890"/>
      <c r="S50" s="1890"/>
      <c r="T50" s="1890"/>
      <c r="U50" s="1890"/>
      <c r="V50" s="1890"/>
      <c r="W50" s="1890"/>
      <c r="X50" s="1890"/>
    </row>
    <row r="51" spans="1:24" x14ac:dyDescent="0.2">
      <c r="A51" s="1890"/>
      <c r="B51" s="1890"/>
      <c r="C51" s="1890"/>
      <c r="D51" s="1890"/>
      <c r="E51" s="1890"/>
      <c r="F51" s="1890"/>
      <c r="G51" s="1890"/>
      <c r="H51" s="1890"/>
      <c r="I51" s="1890"/>
      <c r="J51" s="1890"/>
      <c r="K51" s="1890"/>
      <c r="L51" s="1890"/>
      <c r="M51" s="1890"/>
      <c r="N51" s="1890"/>
      <c r="O51" s="1890"/>
      <c r="P51" s="1890"/>
      <c r="Q51" s="1890"/>
      <c r="R51" s="1890"/>
      <c r="S51" s="1890"/>
      <c r="T51" s="1890"/>
      <c r="U51" s="1890"/>
      <c r="V51" s="1890"/>
      <c r="W51" s="1890"/>
      <c r="X51" s="1890"/>
    </row>
    <row r="52" spans="1:24" x14ac:dyDescent="0.2">
      <c r="A52" s="1890"/>
      <c r="B52" s="1890"/>
      <c r="C52" s="1890"/>
      <c r="D52" s="1890"/>
      <c r="E52" s="1890"/>
      <c r="F52" s="1890"/>
      <c r="G52" s="1890"/>
      <c r="H52" s="1890"/>
      <c r="I52" s="1890"/>
      <c r="J52" s="1890"/>
      <c r="K52" s="1890"/>
      <c r="L52" s="1890"/>
      <c r="M52" s="1890"/>
      <c r="N52" s="1890"/>
      <c r="O52" s="1890"/>
      <c r="P52" s="1890"/>
      <c r="Q52" s="1890"/>
      <c r="R52" s="1890"/>
      <c r="S52" s="1890"/>
      <c r="T52" s="1890"/>
      <c r="U52" s="1890"/>
      <c r="V52" s="1890"/>
      <c r="W52" s="1890"/>
      <c r="X52" s="1890"/>
    </row>
    <row r="53" spans="1:24" x14ac:dyDescent="0.2">
      <c r="A53" s="1890"/>
      <c r="B53" s="1890"/>
      <c r="C53" s="1890"/>
      <c r="D53" s="1890"/>
      <c r="E53" s="1890"/>
      <c r="F53" s="1890"/>
      <c r="G53" s="1890"/>
      <c r="H53" s="1890"/>
      <c r="I53" s="1890"/>
      <c r="J53" s="1890"/>
      <c r="K53" s="2398"/>
      <c r="L53" s="1890"/>
      <c r="M53" s="1890"/>
      <c r="N53" s="1890"/>
      <c r="O53" s="1890"/>
      <c r="P53" s="1890"/>
      <c r="Q53" s="1890"/>
      <c r="R53" s="1890"/>
      <c r="S53" s="1890"/>
      <c r="T53" s="1890"/>
      <c r="U53" s="1890"/>
      <c r="V53" s="1890"/>
      <c r="W53" s="1890"/>
      <c r="X53" s="1890"/>
    </row>
    <row r="54" spans="1:24" x14ac:dyDescent="0.2">
      <c r="A54" s="1890"/>
      <c r="B54" s="1890"/>
      <c r="C54" s="1890"/>
      <c r="D54" s="1890"/>
      <c r="E54" s="1890"/>
      <c r="F54" s="1890"/>
      <c r="G54" s="1890"/>
      <c r="H54" s="1890"/>
      <c r="I54" s="1890"/>
      <c r="J54" s="1890"/>
      <c r="K54" s="2398"/>
      <c r="L54" s="1890"/>
      <c r="M54" s="1890"/>
      <c r="N54" s="1890"/>
      <c r="O54" s="1890"/>
      <c r="P54" s="1890"/>
      <c r="Q54" s="1890"/>
      <c r="R54" s="1890"/>
      <c r="S54" s="1890"/>
      <c r="T54" s="1890"/>
      <c r="U54" s="1890"/>
      <c r="V54" s="1890"/>
      <c r="W54" s="1890"/>
      <c r="X54" s="1890"/>
    </row>
    <row r="55" spans="1:24" x14ac:dyDescent="0.2">
      <c r="A55" s="1890"/>
      <c r="B55" s="1890"/>
      <c r="C55" s="1890"/>
      <c r="D55" s="1890"/>
      <c r="E55" s="1890"/>
      <c r="F55" s="1890"/>
      <c r="G55" s="1890"/>
      <c r="H55" s="1890"/>
      <c r="I55" s="1890"/>
      <c r="J55" s="1890"/>
      <c r="K55" s="1890"/>
      <c r="L55" s="1890"/>
      <c r="M55" s="1890"/>
      <c r="N55" s="1890"/>
      <c r="O55" s="1890"/>
      <c r="P55" s="1890"/>
      <c r="Q55" s="1890"/>
      <c r="R55" s="1890"/>
      <c r="S55" s="1890"/>
      <c r="T55" s="1890"/>
      <c r="U55" s="1890"/>
      <c r="V55" s="1890"/>
      <c r="W55" s="1890"/>
      <c r="X55" s="1890"/>
    </row>
    <row r="56" spans="1:24" x14ac:dyDescent="0.2">
      <c r="A56" s="1890"/>
      <c r="B56" s="1890"/>
      <c r="C56" s="1890"/>
      <c r="D56" s="1890"/>
      <c r="E56" s="1890"/>
      <c r="F56" s="1890"/>
      <c r="G56" s="1890"/>
      <c r="H56" s="1890"/>
      <c r="I56" s="1890"/>
      <c r="J56" s="1890"/>
      <c r="K56" s="1890"/>
      <c r="L56" s="1890"/>
      <c r="M56" s="1890"/>
      <c r="N56" s="1890"/>
      <c r="O56" s="1890"/>
      <c r="P56" s="1890"/>
      <c r="Q56" s="1890"/>
      <c r="R56" s="1890"/>
      <c r="S56" s="1890"/>
      <c r="T56" s="1890"/>
      <c r="U56" s="1890"/>
      <c r="V56" s="1890"/>
      <c r="W56" s="1890"/>
      <c r="X56" s="1890"/>
    </row>
    <row r="57" spans="1:24" x14ac:dyDescent="0.2">
      <c r="A57" s="1890"/>
      <c r="B57" s="1890"/>
      <c r="C57" s="1890"/>
      <c r="D57" s="1890"/>
      <c r="E57" s="1890"/>
      <c r="F57" s="1890"/>
      <c r="G57" s="1890"/>
      <c r="H57" s="1890"/>
      <c r="I57" s="1890"/>
      <c r="J57" s="1890"/>
      <c r="K57" s="1890"/>
      <c r="L57" s="1890"/>
      <c r="M57" s="1890"/>
      <c r="N57" s="1890"/>
      <c r="O57" s="1890"/>
      <c r="P57" s="1890"/>
      <c r="Q57" s="1890"/>
      <c r="R57" s="1890"/>
      <c r="S57" s="1890"/>
      <c r="T57" s="1890"/>
      <c r="U57" s="1890"/>
      <c r="V57" s="1890"/>
      <c r="W57" s="1890"/>
      <c r="X57" s="1890"/>
    </row>
    <row r="58" spans="1:24" x14ac:dyDescent="0.2">
      <c r="A58" s="1890"/>
      <c r="B58" s="1890"/>
      <c r="C58" s="1890"/>
      <c r="D58" s="1890"/>
      <c r="E58" s="1890"/>
      <c r="F58" s="1890"/>
      <c r="G58" s="1890"/>
      <c r="H58" s="1890"/>
      <c r="I58" s="1890"/>
      <c r="J58" s="1890"/>
      <c r="K58" s="1890"/>
      <c r="L58" s="1890"/>
      <c r="M58" s="1890"/>
      <c r="N58" s="1890"/>
      <c r="O58" s="1890"/>
      <c r="P58" s="1890"/>
      <c r="Q58" s="1890"/>
      <c r="R58" s="1890"/>
      <c r="S58" s="1890"/>
      <c r="T58" s="1890"/>
      <c r="U58" s="1890"/>
      <c r="V58" s="1890"/>
      <c r="W58" s="1890"/>
      <c r="X58" s="1890"/>
    </row>
    <row r="59" spans="1:24" x14ac:dyDescent="0.2">
      <c r="A59" s="1890"/>
      <c r="B59" s="1890"/>
      <c r="C59" s="1890"/>
      <c r="D59" s="1890"/>
      <c r="E59" s="1890"/>
      <c r="F59" s="1890"/>
      <c r="G59" s="1890"/>
      <c r="H59" s="1890"/>
      <c r="I59" s="1890"/>
      <c r="J59" s="1890"/>
      <c r="K59" s="1890"/>
      <c r="L59" s="1890"/>
      <c r="M59" s="1890"/>
      <c r="N59" s="1890"/>
      <c r="O59" s="1890"/>
      <c r="P59" s="1890"/>
      <c r="Q59" s="1890"/>
      <c r="R59" s="1890"/>
      <c r="S59" s="1890"/>
      <c r="T59" s="1890"/>
      <c r="U59" s="1890"/>
      <c r="V59" s="1890"/>
      <c r="W59" s="1890"/>
      <c r="X59" s="1890"/>
    </row>
    <row r="60" spans="1:24" x14ac:dyDescent="0.2">
      <c r="A60" s="1890"/>
      <c r="B60" s="1890"/>
      <c r="C60" s="1890"/>
      <c r="D60" s="1890"/>
      <c r="E60" s="1890"/>
      <c r="F60" s="1890"/>
      <c r="G60" s="1890"/>
      <c r="H60" s="1890"/>
      <c r="I60" s="1890"/>
      <c r="J60" s="1890"/>
      <c r="K60" s="1890"/>
      <c r="L60" s="1890"/>
      <c r="M60" s="1890"/>
      <c r="N60" s="1890"/>
      <c r="O60" s="1890"/>
      <c r="P60" s="1890"/>
      <c r="Q60" s="1890"/>
      <c r="R60" s="1890"/>
      <c r="S60" s="1890"/>
      <c r="T60" s="1890"/>
      <c r="U60" s="1890"/>
      <c r="V60" s="1890"/>
      <c r="W60" s="1890"/>
      <c r="X60" s="1890"/>
    </row>
    <row r="61" spans="1:24" x14ac:dyDescent="0.2">
      <c r="A61" s="1890"/>
      <c r="B61" s="1890"/>
      <c r="C61" s="1890"/>
      <c r="D61" s="1890"/>
      <c r="E61" s="1890"/>
      <c r="F61" s="1890"/>
      <c r="G61" s="1890"/>
      <c r="H61" s="1890"/>
      <c r="I61" s="1890"/>
      <c r="J61" s="1890"/>
      <c r="K61" s="1890"/>
      <c r="L61" s="1890"/>
      <c r="M61" s="1890"/>
      <c r="N61" s="1890"/>
      <c r="O61" s="1890"/>
      <c r="P61" s="1890"/>
      <c r="Q61" s="1890"/>
      <c r="R61" s="1890"/>
      <c r="S61" s="1890"/>
      <c r="T61" s="1890"/>
      <c r="U61" s="1890"/>
      <c r="V61" s="1890"/>
      <c r="W61" s="1890"/>
      <c r="X61" s="1890"/>
    </row>
    <row r="62" spans="1:24" x14ac:dyDescent="0.2">
      <c r="A62" s="1890"/>
      <c r="B62" s="1890"/>
      <c r="C62" s="1890"/>
      <c r="D62" s="1890"/>
      <c r="E62" s="1890"/>
      <c r="F62" s="1890"/>
      <c r="G62" s="1890"/>
      <c r="H62" s="1890"/>
      <c r="I62" s="1890"/>
      <c r="J62" s="1890"/>
      <c r="K62" s="1890"/>
      <c r="L62" s="1890"/>
      <c r="M62" s="1890"/>
      <c r="N62" s="1890"/>
      <c r="O62" s="1890"/>
      <c r="P62" s="1890"/>
      <c r="Q62" s="1890"/>
      <c r="R62" s="1890"/>
      <c r="S62" s="1890"/>
      <c r="T62" s="1890"/>
      <c r="U62" s="1890"/>
      <c r="V62" s="1890"/>
      <c r="W62" s="1890"/>
      <c r="X62" s="1890"/>
    </row>
    <row r="63" spans="1:24" x14ac:dyDescent="0.2">
      <c r="A63" s="1890"/>
      <c r="B63" s="1890"/>
      <c r="C63" s="1890"/>
      <c r="D63" s="1890"/>
      <c r="E63" s="1890"/>
      <c r="F63" s="1890"/>
      <c r="G63" s="1890"/>
      <c r="H63" s="1890"/>
      <c r="I63" s="1890"/>
      <c r="J63" s="1890"/>
      <c r="K63" s="1890"/>
      <c r="L63" s="1890"/>
      <c r="M63" s="1890"/>
      <c r="N63" s="1890"/>
      <c r="O63" s="1890"/>
      <c r="P63" s="1890"/>
      <c r="Q63" s="1890"/>
      <c r="R63" s="1890"/>
      <c r="S63" s="1890"/>
      <c r="T63" s="1890"/>
      <c r="U63" s="1890"/>
      <c r="V63" s="1890"/>
      <c r="W63" s="1890"/>
      <c r="X63" s="1890"/>
    </row>
    <row r="64" spans="1:24" x14ac:dyDescent="0.2">
      <c r="A64" s="1890"/>
      <c r="B64" s="1890"/>
      <c r="C64" s="1890"/>
      <c r="D64" s="1890"/>
      <c r="E64" s="1890"/>
      <c r="F64" s="1890"/>
      <c r="G64" s="1890"/>
      <c r="H64" s="1890"/>
      <c r="I64" s="1890"/>
      <c r="J64" s="1890"/>
      <c r="K64" s="1890"/>
      <c r="L64" s="1890"/>
      <c r="M64" s="1890"/>
      <c r="N64" s="1890"/>
      <c r="O64" s="1890"/>
      <c r="P64" s="1890"/>
      <c r="Q64" s="1890"/>
      <c r="R64" s="1890"/>
      <c r="S64" s="1890"/>
      <c r="T64" s="1890"/>
      <c r="U64" s="1890"/>
      <c r="V64" s="1890"/>
      <c r="W64" s="1890"/>
      <c r="X64" s="1890"/>
    </row>
    <row r="65" spans="1:24" x14ac:dyDescent="0.2">
      <c r="A65" s="1890"/>
      <c r="B65" s="1890"/>
      <c r="C65" s="1890"/>
      <c r="D65" s="1890"/>
      <c r="E65" s="1890"/>
      <c r="F65" s="1890"/>
      <c r="G65" s="1890"/>
      <c r="H65" s="1890"/>
      <c r="I65" s="1890"/>
      <c r="J65" s="1890"/>
      <c r="K65" s="1890"/>
      <c r="L65" s="1890"/>
      <c r="M65" s="1890"/>
      <c r="N65" s="1890"/>
      <c r="O65" s="1890"/>
      <c r="P65" s="1890"/>
      <c r="Q65" s="1890"/>
      <c r="R65" s="1890"/>
      <c r="S65" s="1890"/>
      <c r="T65" s="1890"/>
      <c r="U65" s="1890"/>
      <c r="V65" s="1890"/>
      <c r="W65" s="1890"/>
      <c r="X65" s="1890"/>
    </row>
    <row r="66" spans="1:24" x14ac:dyDescent="0.2">
      <c r="A66" s="1890"/>
      <c r="B66" s="1890"/>
      <c r="C66" s="1890"/>
      <c r="D66" s="1890"/>
      <c r="E66" s="1890"/>
      <c r="F66" s="1890"/>
      <c r="G66" s="1890"/>
      <c r="H66" s="1890"/>
      <c r="I66" s="1890"/>
      <c r="J66" s="1890"/>
      <c r="K66" s="1890"/>
      <c r="L66" s="1890"/>
      <c r="M66" s="1890"/>
      <c r="N66" s="1890"/>
      <c r="O66" s="1890"/>
      <c r="P66" s="1890"/>
      <c r="Q66" s="1890"/>
      <c r="R66" s="1890"/>
      <c r="S66" s="1890"/>
      <c r="T66" s="1890"/>
      <c r="U66" s="1890"/>
      <c r="V66" s="1890"/>
      <c r="W66" s="1890"/>
      <c r="X66" s="1890"/>
    </row>
    <row r="67" spans="1:24" x14ac:dyDescent="0.2">
      <c r="A67" s="1890"/>
      <c r="B67" s="1890"/>
      <c r="C67" s="1890"/>
      <c r="D67" s="1890"/>
      <c r="E67" s="1890"/>
      <c r="F67" s="1890"/>
      <c r="G67" s="1890"/>
      <c r="H67" s="1890"/>
      <c r="I67" s="1890"/>
      <c r="J67" s="1890"/>
      <c r="K67" s="1890"/>
      <c r="L67" s="1890"/>
      <c r="M67" s="1890"/>
      <c r="N67" s="1890"/>
      <c r="O67" s="1890"/>
      <c r="P67" s="1890"/>
      <c r="Q67" s="1890"/>
      <c r="R67" s="1890"/>
      <c r="S67" s="1890"/>
      <c r="T67" s="1890"/>
      <c r="U67" s="1890"/>
      <c r="V67" s="1890"/>
      <c r="W67" s="1890"/>
      <c r="X67" s="1890"/>
    </row>
    <row r="68" spans="1:24" x14ac:dyDescent="0.2">
      <c r="A68" s="1890"/>
      <c r="B68" s="1890"/>
      <c r="C68" s="1890"/>
      <c r="D68" s="1890"/>
      <c r="E68" s="1890"/>
      <c r="F68" s="1890"/>
      <c r="G68" s="1890"/>
      <c r="H68" s="1890"/>
      <c r="I68" s="1890"/>
      <c r="J68" s="1890"/>
      <c r="K68" s="1890"/>
      <c r="L68" s="1890"/>
      <c r="M68" s="1890"/>
      <c r="N68" s="1890"/>
      <c r="O68" s="1890"/>
      <c r="P68" s="1890"/>
      <c r="Q68" s="1890"/>
      <c r="R68" s="1890"/>
      <c r="S68" s="1890"/>
      <c r="T68" s="1890"/>
      <c r="U68" s="1890"/>
      <c r="V68" s="1890"/>
      <c r="W68" s="1890"/>
      <c r="X68" s="1890"/>
    </row>
    <row r="69" spans="1:24" x14ac:dyDescent="0.2">
      <c r="A69" s="1890"/>
      <c r="B69" s="1890"/>
      <c r="C69" s="1890"/>
      <c r="D69" s="1890"/>
      <c r="E69" s="1890"/>
      <c r="F69" s="1890"/>
      <c r="G69" s="1890"/>
      <c r="H69" s="1890"/>
      <c r="I69" s="1890"/>
      <c r="J69" s="1890"/>
      <c r="K69" s="1890"/>
      <c r="L69" s="1890"/>
      <c r="M69" s="1890"/>
      <c r="N69" s="1890"/>
      <c r="O69" s="1890"/>
      <c r="P69" s="1890"/>
      <c r="Q69" s="1890"/>
      <c r="R69" s="1890"/>
      <c r="S69" s="1890"/>
      <c r="T69" s="1890"/>
      <c r="U69" s="1890"/>
      <c r="V69" s="1890"/>
      <c r="W69" s="1890"/>
      <c r="X69" s="1890"/>
    </row>
    <row r="70" spans="1:24" x14ac:dyDescent="0.2">
      <c r="A70" s="1890"/>
      <c r="B70" s="1890"/>
      <c r="C70" s="1890"/>
      <c r="D70" s="1890"/>
      <c r="E70" s="1890"/>
      <c r="F70" s="1890"/>
      <c r="G70" s="1890"/>
      <c r="H70" s="1890"/>
      <c r="I70" s="1890"/>
      <c r="J70" s="1890"/>
      <c r="K70" s="1890"/>
      <c r="L70" s="1890"/>
      <c r="M70" s="1890"/>
      <c r="N70" s="1890"/>
      <c r="O70" s="1890"/>
      <c r="P70" s="1890"/>
      <c r="Q70" s="1890"/>
      <c r="R70" s="1890"/>
      <c r="S70" s="1890"/>
      <c r="T70" s="1890"/>
      <c r="U70" s="1890"/>
      <c r="V70" s="1890"/>
      <c r="W70" s="1890"/>
      <c r="X70" s="1890"/>
    </row>
    <row r="71" spans="1:24" x14ac:dyDescent="0.2">
      <c r="A71" s="1890"/>
      <c r="B71" s="1890"/>
      <c r="C71" s="1890"/>
      <c r="D71" s="1890"/>
      <c r="E71" s="1890"/>
      <c r="F71" s="1890"/>
      <c r="G71" s="1890"/>
      <c r="H71" s="1890"/>
      <c r="I71" s="1890"/>
      <c r="J71" s="1890"/>
      <c r="K71" s="1890"/>
      <c r="L71" s="1890"/>
      <c r="M71" s="1890"/>
      <c r="N71" s="1890"/>
      <c r="O71" s="1890"/>
      <c r="P71" s="1890"/>
      <c r="Q71" s="1890"/>
      <c r="R71" s="1890"/>
      <c r="S71" s="1890"/>
      <c r="T71" s="1890"/>
      <c r="U71" s="1890"/>
      <c r="V71" s="1890"/>
      <c r="W71" s="1890"/>
      <c r="X71" s="1890"/>
    </row>
    <row r="72" spans="1:24" x14ac:dyDescent="0.2">
      <c r="A72" s="1890"/>
      <c r="B72" s="1890"/>
      <c r="C72" s="1890"/>
      <c r="D72" s="1890"/>
      <c r="E72" s="1890"/>
      <c r="F72" s="1890"/>
      <c r="G72" s="1890"/>
      <c r="H72" s="1890"/>
      <c r="I72" s="1890"/>
      <c r="J72" s="1890"/>
      <c r="K72" s="1890"/>
      <c r="L72" s="1890"/>
      <c r="M72" s="1890"/>
      <c r="N72" s="1890"/>
      <c r="O72" s="1890"/>
      <c r="P72" s="1890"/>
      <c r="Q72" s="1890"/>
      <c r="R72" s="1890"/>
      <c r="S72" s="1890"/>
      <c r="T72" s="1890"/>
      <c r="U72" s="1890"/>
      <c r="V72" s="1890"/>
      <c r="W72" s="1890"/>
      <c r="X72" s="1890"/>
    </row>
    <row r="73" spans="1:24" x14ac:dyDescent="0.2">
      <c r="A73" s="1890"/>
      <c r="B73" s="1890"/>
      <c r="C73" s="1890"/>
      <c r="D73" s="1890"/>
      <c r="E73" s="1890"/>
      <c r="F73" s="1890"/>
      <c r="G73" s="1890"/>
      <c r="H73" s="1890"/>
      <c r="I73" s="1890"/>
      <c r="J73" s="1890"/>
      <c r="K73" s="1890"/>
      <c r="L73" s="1890"/>
      <c r="M73" s="1890"/>
      <c r="N73" s="1890"/>
      <c r="O73" s="1890"/>
      <c r="P73" s="1890"/>
      <c r="Q73" s="1890"/>
      <c r="R73" s="1890"/>
      <c r="S73" s="1890"/>
      <c r="T73" s="1890"/>
      <c r="U73" s="1890"/>
      <c r="V73" s="1890"/>
      <c r="W73" s="1890"/>
      <c r="X73" s="1890"/>
    </row>
    <row r="74" spans="1:24" x14ac:dyDescent="0.2">
      <c r="A74" s="1890"/>
      <c r="B74" s="1890"/>
      <c r="C74" s="1890"/>
      <c r="D74" s="1890"/>
      <c r="E74" s="1890"/>
      <c r="F74" s="1890"/>
      <c r="G74" s="1890"/>
      <c r="H74" s="1890"/>
      <c r="I74" s="1890"/>
      <c r="J74" s="1890"/>
      <c r="K74" s="1890"/>
      <c r="L74" s="1890"/>
      <c r="M74" s="1890"/>
      <c r="N74" s="1890"/>
      <c r="O74" s="1890"/>
      <c r="P74" s="1890"/>
      <c r="Q74" s="1890"/>
      <c r="R74" s="1890"/>
      <c r="S74" s="1890"/>
      <c r="T74" s="1890"/>
      <c r="U74" s="1890"/>
      <c r="V74" s="1890"/>
      <c r="W74" s="1890"/>
      <c r="X74" s="1890"/>
    </row>
    <row r="75" spans="1:24" x14ac:dyDescent="0.2">
      <c r="A75" s="1890"/>
      <c r="B75" s="1890"/>
      <c r="C75" s="1890"/>
      <c r="D75" s="1890"/>
      <c r="E75" s="1890"/>
      <c r="F75" s="1890"/>
      <c r="G75" s="1890"/>
      <c r="H75" s="1890"/>
      <c r="I75" s="1890"/>
      <c r="J75" s="1890"/>
      <c r="K75" s="1890"/>
      <c r="L75" s="1890"/>
      <c r="M75" s="1890"/>
      <c r="N75" s="1890"/>
      <c r="O75" s="1890"/>
      <c r="P75" s="1890"/>
      <c r="Q75" s="1890"/>
      <c r="R75" s="1890"/>
      <c r="S75" s="1890"/>
      <c r="T75" s="1890"/>
      <c r="U75" s="1890"/>
      <c r="V75" s="1890"/>
      <c r="W75" s="1890"/>
      <c r="X75" s="1890"/>
    </row>
    <row r="76" spans="1:24" x14ac:dyDescent="0.2">
      <c r="A76" s="1890"/>
      <c r="B76" s="1890"/>
      <c r="C76" s="1890"/>
      <c r="D76" s="1890"/>
      <c r="E76" s="1890"/>
      <c r="F76" s="1890"/>
      <c r="G76" s="1890"/>
      <c r="H76" s="1890"/>
      <c r="I76" s="1890"/>
      <c r="J76" s="1890"/>
      <c r="K76" s="1890"/>
      <c r="L76" s="1890"/>
      <c r="M76" s="1890"/>
      <c r="N76" s="1890"/>
      <c r="O76" s="1890"/>
      <c r="P76" s="1890"/>
      <c r="Q76" s="1890"/>
      <c r="R76" s="1890"/>
      <c r="S76" s="1890"/>
      <c r="T76" s="1890"/>
      <c r="U76" s="1890"/>
      <c r="V76" s="1890"/>
      <c r="W76" s="1890"/>
      <c r="X76" s="1890"/>
    </row>
    <row r="77" spans="1:24" x14ac:dyDescent="0.2">
      <c r="A77" s="1890"/>
      <c r="B77" s="1890"/>
      <c r="C77" s="1890"/>
      <c r="D77" s="1890"/>
      <c r="E77" s="1890"/>
      <c r="F77" s="1890"/>
      <c r="G77" s="1890"/>
      <c r="H77" s="1890"/>
      <c r="I77" s="1890"/>
      <c r="J77" s="1890"/>
      <c r="K77" s="1890"/>
      <c r="L77" s="1890"/>
      <c r="M77" s="1890"/>
      <c r="N77" s="1890"/>
      <c r="O77" s="1890"/>
      <c r="P77" s="1890"/>
      <c r="Q77" s="1890"/>
      <c r="R77" s="1890"/>
      <c r="S77" s="1890"/>
      <c r="T77" s="1890"/>
      <c r="U77" s="1890"/>
      <c r="V77" s="1890"/>
      <c r="W77" s="1890"/>
      <c r="X77" s="1890"/>
    </row>
    <row r="78" spans="1:24" x14ac:dyDescent="0.2">
      <c r="A78" s="1890"/>
      <c r="B78" s="1890"/>
      <c r="C78" s="1890"/>
      <c r="D78" s="1890"/>
      <c r="E78" s="1890"/>
      <c r="F78" s="1890"/>
      <c r="G78" s="1890"/>
      <c r="H78" s="1890"/>
      <c r="I78" s="1890"/>
      <c r="J78" s="1890"/>
      <c r="K78" s="1890"/>
      <c r="L78" s="1890"/>
      <c r="M78" s="1890"/>
      <c r="N78" s="1890"/>
      <c r="O78" s="1890"/>
      <c r="P78" s="1890"/>
      <c r="Q78" s="1890"/>
      <c r="R78" s="1890"/>
      <c r="S78" s="1890"/>
      <c r="T78" s="1890"/>
      <c r="U78" s="1890"/>
      <c r="V78" s="1890"/>
      <c r="W78" s="1890"/>
      <c r="X78" s="1890"/>
    </row>
    <row r="79" spans="1:24" x14ac:dyDescent="0.2">
      <c r="A79" s="1890"/>
      <c r="B79" s="1890"/>
      <c r="C79" s="1890"/>
      <c r="D79" s="1890"/>
      <c r="E79" s="1890"/>
      <c r="F79" s="1890"/>
      <c r="G79" s="1890"/>
      <c r="H79" s="1890"/>
      <c r="I79" s="1890"/>
      <c r="J79" s="1890"/>
      <c r="K79" s="1890"/>
      <c r="L79" s="1890"/>
      <c r="M79" s="1890"/>
      <c r="N79" s="1890"/>
      <c r="O79" s="1890"/>
      <c r="P79" s="1890"/>
      <c r="Q79" s="1890"/>
      <c r="R79" s="1890"/>
      <c r="S79" s="1890"/>
      <c r="T79" s="1890"/>
      <c r="U79" s="1890"/>
      <c r="V79" s="1890"/>
      <c r="W79" s="1890"/>
      <c r="X79" s="1890"/>
    </row>
    <row r="80" spans="1:24" x14ac:dyDescent="0.2">
      <c r="A80" s="1890"/>
      <c r="B80" s="1890"/>
      <c r="C80" s="1890"/>
      <c r="D80" s="1890"/>
      <c r="E80" s="1890"/>
      <c r="F80" s="1890"/>
      <c r="G80" s="1890"/>
      <c r="H80" s="1890"/>
      <c r="I80" s="1890"/>
      <c r="J80" s="1890"/>
      <c r="K80" s="1890"/>
      <c r="L80" s="1890"/>
      <c r="M80" s="1890"/>
      <c r="N80" s="1890"/>
      <c r="O80" s="1890"/>
      <c r="P80" s="1890"/>
      <c r="Q80" s="1890"/>
      <c r="R80" s="1890"/>
      <c r="S80" s="1890"/>
      <c r="T80" s="1890"/>
      <c r="U80" s="1890"/>
      <c r="V80" s="1890"/>
      <c r="W80" s="1890"/>
      <c r="X80" s="1890"/>
    </row>
    <row r="81" spans="1:24" x14ac:dyDescent="0.2">
      <c r="A81" s="1890"/>
      <c r="B81" s="1890"/>
      <c r="C81" s="1890"/>
      <c r="D81" s="1890"/>
      <c r="E81" s="1890"/>
      <c r="F81" s="1890"/>
      <c r="G81" s="1890"/>
      <c r="H81" s="1890"/>
      <c r="I81" s="1890"/>
      <c r="J81" s="1890"/>
      <c r="K81" s="1890"/>
      <c r="L81" s="1890"/>
      <c r="M81" s="1890"/>
      <c r="N81" s="1890"/>
      <c r="O81" s="1890"/>
      <c r="P81" s="1890"/>
      <c r="Q81" s="1890"/>
      <c r="R81" s="1890"/>
      <c r="S81" s="1890"/>
      <c r="T81" s="1890"/>
      <c r="U81" s="1890"/>
      <c r="V81" s="1890"/>
      <c r="W81" s="1890"/>
      <c r="X81" s="1890"/>
    </row>
    <row r="82" spans="1:24" x14ac:dyDescent="0.2">
      <c r="A82" s="1890"/>
      <c r="B82" s="1890"/>
      <c r="C82" s="1890"/>
      <c r="D82" s="1890"/>
      <c r="E82" s="1890"/>
      <c r="F82" s="1890"/>
      <c r="G82" s="1890"/>
      <c r="H82" s="1890"/>
      <c r="I82" s="1890"/>
      <c r="J82" s="1890"/>
      <c r="K82" s="1890"/>
      <c r="L82" s="1890"/>
      <c r="M82" s="1890"/>
      <c r="N82" s="1890"/>
      <c r="O82" s="1890"/>
      <c r="P82" s="1890"/>
      <c r="Q82" s="1890"/>
      <c r="R82" s="1890"/>
      <c r="S82" s="1890"/>
      <c r="T82" s="1890"/>
      <c r="U82" s="1890"/>
      <c r="V82" s="1890"/>
      <c r="W82" s="1890"/>
      <c r="X82" s="1890"/>
    </row>
    <row r="83" spans="1:24" x14ac:dyDescent="0.2">
      <c r="A83" s="1890"/>
      <c r="B83" s="1890"/>
      <c r="C83" s="1890"/>
      <c r="D83" s="1890"/>
      <c r="E83" s="1890"/>
      <c r="F83" s="1890"/>
      <c r="G83" s="1890"/>
      <c r="H83" s="1890"/>
      <c r="I83" s="1890"/>
      <c r="J83" s="1890"/>
      <c r="K83" s="1890"/>
      <c r="L83" s="1890"/>
      <c r="M83" s="1890"/>
      <c r="N83" s="1890"/>
      <c r="O83" s="1890"/>
      <c r="P83" s="1890"/>
      <c r="Q83" s="1890"/>
      <c r="R83" s="1890"/>
      <c r="S83" s="1890"/>
      <c r="T83" s="1890"/>
      <c r="U83" s="1890"/>
      <c r="V83" s="1890"/>
      <c r="W83" s="1890"/>
      <c r="X83" s="1890"/>
    </row>
    <row r="84" spans="1:24" x14ac:dyDescent="0.2">
      <c r="A84" s="1890"/>
      <c r="B84" s="1890"/>
      <c r="C84" s="1890"/>
      <c r="D84" s="1890"/>
      <c r="E84" s="1890"/>
      <c r="F84" s="1890"/>
      <c r="G84" s="1890"/>
      <c r="H84" s="1890"/>
      <c r="I84" s="1890"/>
      <c r="J84" s="1890"/>
      <c r="K84" s="1890"/>
      <c r="L84" s="1890"/>
      <c r="M84" s="1890"/>
      <c r="N84" s="1890"/>
      <c r="O84" s="1890"/>
      <c r="P84" s="1890"/>
      <c r="Q84" s="1890"/>
      <c r="R84" s="1890"/>
      <c r="S84" s="1890"/>
      <c r="T84" s="1890"/>
      <c r="U84" s="1890"/>
      <c r="V84" s="1890"/>
      <c r="W84" s="1890"/>
      <c r="X84" s="1890"/>
    </row>
    <row r="85" spans="1:24" x14ac:dyDescent="0.2">
      <c r="A85" s="1890"/>
      <c r="B85" s="1890"/>
      <c r="C85" s="1890"/>
      <c r="D85" s="1890"/>
      <c r="E85" s="1890"/>
      <c r="F85" s="1890"/>
      <c r="G85" s="1890"/>
      <c r="H85" s="1890"/>
      <c r="I85" s="1890"/>
      <c r="J85" s="1890"/>
      <c r="K85" s="1890"/>
      <c r="L85" s="1890"/>
      <c r="M85" s="1890"/>
      <c r="N85" s="1890"/>
      <c r="O85" s="1890"/>
      <c r="P85" s="1890"/>
      <c r="Q85" s="1890"/>
      <c r="R85" s="1890"/>
      <c r="S85" s="1890"/>
      <c r="T85" s="1890"/>
      <c r="U85" s="1890"/>
      <c r="V85" s="1890"/>
      <c r="W85" s="1890"/>
      <c r="X85" s="1890"/>
    </row>
    <row r="86" spans="1:24" x14ac:dyDescent="0.2">
      <c r="A86" s="1890"/>
      <c r="B86" s="1890"/>
      <c r="C86" s="1890"/>
      <c r="D86" s="1890"/>
      <c r="E86" s="1890"/>
      <c r="F86" s="1890"/>
      <c r="G86" s="1890"/>
      <c r="H86" s="1890"/>
      <c r="I86" s="1890"/>
      <c r="J86" s="1890"/>
      <c r="K86" s="1890"/>
      <c r="L86" s="1890"/>
      <c r="M86" s="1890"/>
      <c r="N86" s="1890"/>
      <c r="O86" s="1890"/>
      <c r="P86" s="1890"/>
      <c r="Q86" s="1890"/>
      <c r="R86" s="1890"/>
      <c r="S86" s="1890"/>
      <c r="T86" s="1890"/>
      <c r="U86" s="1890"/>
      <c r="V86" s="1890"/>
      <c r="W86" s="1890"/>
      <c r="X86" s="1890"/>
    </row>
    <row r="87" spans="1:24" x14ac:dyDescent="0.2">
      <c r="A87" s="1890"/>
      <c r="B87" s="1890"/>
      <c r="C87" s="1890"/>
      <c r="D87" s="1890"/>
      <c r="E87" s="1890"/>
      <c r="F87" s="1890"/>
      <c r="G87" s="1890"/>
      <c r="H87" s="1890"/>
      <c r="I87" s="1890"/>
      <c r="J87" s="1890"/>
      <c r="K87" s="1890"/>
      <c r="L87" s="1890"/>
      <c r="M87" s="1890"/>
      <c r="N87" s="1890"/>
      <c r="O87" s="1890"/>
      <c r="P87" s="1890"/>
      <c r="Q87" s="1890"/>
      <c r="R87" s="1890"/>
      <c r="S87" s="1890"/>
      <c r="T87" s="1890"/>
      <c r="U87" s="1890"/>
      <c r="V87" s="1890"/>
      <c r="W87" s="1890"/>
      <c r="X87" s="1890"/>
    </row>
    <row r="88" spans="1:24" x14ac:dyDescent="0.2">
      <c r="A88" s="1890"/>
      <c r="B88" s="1890"/>
      <c r="C88" s="1890"/>
      <c r="D88" s="1890"/>
      <c r="E88" s="1890"/>
      <c r="F88" s="1890"/>
      <c r="G88" s="1890"/>
      <c r="H88" s="1890"/>
      <c r="I88" s="1890"/>
      <c r="J88" s="1890"/>
      <c r="K88" s="1890"/>
      <c r="L88" s="1890"/>
      <c r="M88" s="1890"/>
      <c r="N88" s="1890"/>
      <c r="O88" s="1890"/>
      <c r="P88" s="1890"/>
      <c r="Q88" s="1890"/>
      <c r="R88" s="1890"/>
      <c r="S88" s="1890"/>
      <c r="T88" s="1890"/>
      <c r="U88" s="1890"/>
      <c r="V88" s="1890"/>
      <c r="W88" s="1890"/>
      <c r="X88" s="1890"/>
    </row>
    <row r="89" spans="1:24" x14ac:dyDescent="0.2">
      <c r="A89" s="1890"/>
      <c r="B89" s="1890"/>
      <c r="C89" s="1890"/>
      <c r="D89" s="1890"/>
      <c r="E89" s="1890"/>
      <c r="F89" s="1890"/>
      <c r="G89" s="1890"/>
      <c r="H89" s="1890"/>
      <c r="I89" s="1890"/>
      <c r="J89" s="1890"/>
      <c r="K89" s="1890"/>
      <c r="L89" s="1890"/>
      <c r="M89" s="1890"/>
      <c r="N89" s="1890"/>
      <c r="O89" s="1890"/>
      <c r="P89" s="1890"/>
      <c r="Q89" s="1890"/>
      <c r="R89" s="1890"/>
      <c r="S89" s="1890"/>
      <c r="T89" s="1890"/>
      <c r="U89" s="1890"/>
      <c r="V89" s="1890"/>
      <c r="W89" s="1890"/>
      <c r="X89" s="1890"/>
    </row>
    <row r="90" spans="1:24" x14ac:dyDescent="0.2">
      <c r="A90" s="1890"/>
      <c r="B90" s="1890"/>
      <c r="C90" s="1890"/>
      <c r="D90" s="1890"/>
      <c r="E90" s="1890"/>
      <c r="F90" s="1890"/>
      <c r="G90" s="1890"/>
      <c r="H90" s="1890"/>
      <c r="I90" s="1890"/>
      <c r="J90" s="1890"/>
      <c r="K90" s="1890"/>
      <c r="L90" s="1890"/>
      <c r="M90" s="1890"/>
      <c r="N90" s="1890"/>
      <c r="O90" s="1890"/>
      <c r="P90" s="1890"/>
      <c r="Q90" s="1890"/>
      <c r="R90" s="1890"/>
      <c r="S90" s="1890"/>
      <c r="T90" s="1890"/>
      <c r="U90" s="1890"/>
      <c r="V90" s="1890"/>
      <c r="W90" s="1890"/>
      <c r="X90" s="1890"/>
    </row>
    <row r="91" spans="1:24" x14ac:dyDescent="0.2">
      <c r="A91" s="1890"/>
      <c r="B91" s="1890"/>
      <c r="C91" s="1890"/>
      <c r="D91" s="1890"/>
      <c r="E91" s="1890"/>
      <c r="F91" s="1890"/>
      <c r="G91" s="1890"/>
      <c r="H91" s="1890"/>
      <c r="I91" s="1890"/>
      <c r="J91" s="1890"/>
      <c r="K91" s="1890"/>
      <c r="L91" s="1890"/>
      <c r="M91" s="1890"/>
      <c r="N91" s="1890"/>
      <c r="O91" s="1890"/>
      <c r="P91" s="1890"/>
      <c r="Q91" s="1890"/>
      <c r="R91" s="1890"/>
      <c r="S91" s="1890"/>
      <c r="T91" s="1890"/>
      <c r="U91" s="1890"/>
      <c r="V91" s="1890"/>
      <c r="W91" s="1890"/>
      <c r="X91" s="1890"/>
    </row>
    <row r="92" spans="1:24" x14ac:dyDescent="0.2">
      <c r="A92" s="1890"/>
      <c r="B92" s="1890"/>
      <c r="C92" s="1890"/>
      <c r="D92" s="1890"/>
      <c r="E92" s="1890"/>
      <c r="F92" s="1890"/>
      <c r="G92" s="1890"/>
      <c r="H92" s="1890"/>
      <c r="I92" s="1890"/>
      <c r="J92" s="1890"/>
      <c r="K92" s="1890"/>
      <c r="L92" s="1890"/>
      <c r="M92" s="1890"/>
      <c r="N92" s="1890"/>
      <c r="O92" s="1890"/>
      <c r="P92" s="1890"/>
      <c r="Q92" s="1890"/>
      <c r="R92" s="1890"/>
      <c r="S92" s="1890"/>
      <c r="T92" s="1890"/>
      <c r="U92" s="1890"/>
      <c r="V92" s="1890"/>
      <c r="W92" s="1890"/>
      <c r="X92" s="1890"/>
    </row>
    <row r="93" spans="1:24" x14ac:dyDescent="0.2">
      <c r="A93" s="1890"/>
      <c r="B93" s="1890"/>
      <c r="C93" s="1890"/>
      <c r="D93" s="1890"/>
      <c r="E93" s="1890"/>
      <c r="F93" s="1890"/>
      <c r="G93" s="1890"/>
      <c r="H93" s="1890"/>
      <c r="I93" s="1890"/>
      <c r="J93" s="1890"/>
      <c r="K93" s="1890"/>
      <c r="L93" s="1890"/>
      <c r="M93" s="1890"/>
      <c r="N93" s="1890"/>
      <c r="O93" s="1890"/>
      <c r="P93" s="1890"/>
      <c r="Q93" s="1890"/>
      <c r="R93" s="1890"/>
      <c r="S93" s="1890"/>
      <c r="T93" s="1890"/>
      <c r="U93" s="1890"/>
      <c r="V93" s="1890"/>
      <c r="W93" s="1890"/>
      <c r="X93" s="1890"/>
    </row>
    <row r="94" spans="1:24" x14ac:dyDescent="0.2">
      <c r="A94" s="1890"/>
      <c r="B94" s="1890"/>
      <c r="C94" s="1890"/>
      <c r="D94" s="1890"/>
      <c r="E94" s="1890"/>
      <c r="F94" s="1890"/>
      <c r="G94" s="1890"/>
      <c r="H94" s="1890"/>
      <c r="I94" s="1890"/>
      <c r="J94" s="1890"/>
      <c r="K94" s="1890"/>
      <c r="L94" s="1890"/>
      <c r="M94" s="1890"/>
      <c r="N94" s="1890"/>
      <c r="O94" s="1890"/>
      <c r="P94" s="1890"/>
      <c r="Q94" s="1890"/>
      <c r="R94" s="1890"/>
      <c r="S94" s="1890"/>
      <c r="T94" s="1890"/>
      <c r="U94" s="1890"/>
      <c r="V94" s="1890"/>
      <c r="W94" s="1890"/>
      <c r="X94" s="1890"/>
    </row>
    <row r="95" spans="1:24" x14ac:dyDescent="0.2">
      <c r="A95" s="1890"/>
      <c r="B95" s="1890"/>
      <c r="C95" s="1890"/>
      <c r="D95" s="1890"/>
      <c r="E95" s="1890"/>
      <c r="F95" s="1890"/>
      <c r="G95" s="1890"/>
      <c r="H95" s="1890"/>
      <c r="I95" s="1890"/>
      <c r="J95" s="1890"/>
      <c r="K95" s="1890"/>
      <c r="L95" s="1890"/>
      <c r="M95" s="1890"/>
      <c r="N95" s="1890"/>
      <c r="O95" s="1890"/>
      <c r="P95" s="1890"/>
      <c r="Q95" s="1890"/>
      <c r="R95" s="1890"/>
      <c r="S95" s="1890"/>
      <c r="T95" s="1890"/>
      <c r="U95" s="1890"/>
      <c r="V95" s="1890"/>
      <c r="W95" s="1890"/>
      <c r="X95" s="1890"/>
    </row>
    <row r="96" spans="1:24" x14ac:dyDescent="0.2">
      <c r="A96" s="1890"/>
      <c r="B96" s="1890"/>
      <c r="C96" s="1890"/>
      <c r="D96" s="1890"/>
      <c r="E96" s="1890"/>
      <c r="F96" s="1890"/>
      <c r="G96" s="1890"/>
      <c r="H96" s="1890"/>
      <c r="I96" s="1890"/>
      <c r="J96" s="1890"/>
      <c r="K96" s="1890"/>
      <c r="L96" s="1890"/>
      <c r="M96" s="1890"/>
      <c r="N96" s="1890"/>
      <c r="O96" s="1890"/>
      <c r="P96" s="1890"/>
      <c r="Q96" s="1890"/>
      <c r="R96" s="1890"/>
      <c r="S96" s="1890"/>
      <c r="T96" s="1890"/>
      <c r="U96" s="1890"/>
      <c r="V96" s="1890"/>
      <c r="W96" s="1890"/>
      <c r="X96" s="1890"/>
    </row>
    <row r="97" spans="1:24" x14ac:dyDescent="0.2">
      <c r="A97" s="1890"/>
      <c r="B97" s="1890"/>
      <c r="C97" s="1890"/>
      <c r="D97" s="1890"/>
      <c r="E97" s="1890"/>
      <c r="F97" s="1890"/>
      <c r="G97" s="1890"/>
      <c r="H97" s="1890"/>
      <c r="I97" s="1890"/>
      <c r="J97" s="1890"/>
      <c r="K97" s="1890"/>
      <c r="L97" s="1890"/>
      <c r="M97" s="1890"/>
      <c r="N97" s="1890"/>
      <c r="O97" s="1890"/>
      <c r="P97" s="1890"/>
      <c r="Q97" s="1890"/>
      <c r="R97" s="1890"/>
      <c r="S97" s="1890"/>
      <c r="T97" s="1890"/>
      <c r="U97" s="1890"/>
      <c r="V97" s="1890"/>
      <c r="W97" s="1890"/>
      <c r="X97" s="1890"/>
    </row>
    <row r="98" spans="1:24" x14ac:dyDescent="0.2">
      <c r="A98" s="1890"/>
      <c r="B98" s="1890"/>
      <c r="C98" s="1890"/>
      <c r="D98" s="1890"/>
      <c r="E98" s="1890"/>
      <c r="F98" s="1890"/>
      <c r="G98" s="1890"/>
      <c r="H98" s="1890"/>
      <c r="I98" s="1890"/>
      <c r="J98" s="1890"/>
      <c r="K98" s="1890"/>
      <c r="L98" s="1890"/>
      <c r="M98" s="1890"/>
      <c r="N98" s="1890"/>
      <c r="O98" s="1890"/>
      <c r="P98" s="1890"/>
      <c r="Q98" s="1890"/>
      <c r="R98" s="1890"/>
      <c r="S98" s="1890"/>
      <c r="T98" s="1890"/>
      <c r="U98" s="1890"/>
      <c r="V98" s="1890"/>
      <c r="W98" s="1890"/>
      <c r="X98" s="1890"/>
    </row>
    <row r="99" spans="1:24" x14ac:dyDescent="0.2">
      <c r="A99" s="1890"/>
      <c r="B99" s="1890"/>
      <c r="C99" s="1890"/>
      <c r="D99" s="1890"/>
      <c r="E99" s="1890"/>
      <c r="F99" s="1890"/>
      <c r="G99" s="1890"/>
      <c r="H99" s="1890"/>
      <c r="I99" s="1890"/>
      <c r="J99" s="1890"/>
      <c r="K99" s="1890"/>
      <c r="L99" s="1890"/>
      <c r="M99" s="1890"/>
      <c r="N99" s="1890"/>
      <c r="O99" s="1890"/>
      <c r="P99" s="1890"/>
      <c r="Q99" s="1890"/>
      <c r="R99" s="1890"/>
      <c r="S99" s="1890"/>
      <c r="T99" s="1890"/>
      <c r="U99" s="1890"/>
      <c r="V99" s="1890"/>
      <c r="W99" s="1890"/>
      <c r="X99" s="1890"/>
    </row>
    <row r="100" spans="1:24" x14ac:dyDescent="0.2">
      <c r="A100" s="1890"/>
      <c r="B100" s="1890"/>
      <c r="C100" s="1890"/>
      <c r="D100" s="1890"/>
      <c r="E100" s="1890"/>
      <c r="F100" s="1890"/>
      <c r="G100" s="1890"/>
      <c r="H100" s="1890"/>
      <c r="I100" s="1890"/>
      <c r="J100" s="1890"/>
      <c r="K100" s="1890"/>
      <c r="L100" s="1890"/>
      <c r="M100" s="1890"/>
      <c r="N100" s="1890"/>
      <c r="O100" s="1890"/>
      <c r="P100" s="1890"/>
      <c r="Q100" s="1890"/>
      <c r="R100" s="1890"/>
      <c r="S100" s="1890"/>
      <c r="T100" s="1890"/>
      <c r="U100" s="1890"/>
      <c r="V100" s="1890"/>
      <c r="W100" s="1890"/>
      <c r="X100" s="1890"/>
    </row>
    <row r="101" spans="1:24" x14ac:dyDescent="0.2">
      <c r="A101" s="1890"/>
      <c r="B101" s="1890"/>
      <c r="C101" s="1890"/>
      <c r="D101" s="1890"/>
      <c r="E101" s="1890"/>
      <c r="F101" s="1890"/>
      <c r="G101" s="1890"/>
      <c r="H101" s="1890"/>
      <c r="I101" s="1890"/>
      <c r="J101" s="1890"/>
      <c r="K101" s="1890"/>
      <c r="L101" s="1890"/>
      <c r="M101" s="1890"/>
      <c r="N101" s="1890"/>
      <c r="O101" s="1890"/>
      <c r="P101" s="1890"/>
      <c r="Q101" s="1890"/>
      <c r="R101" s="1890"/>
      <c r="S101" s="1890"/>
      <c r="T101" s="1890"/>
      <c r="U101" s="1890"/>
      <c r="V101" s="1890"/>
      <c r="W101" s="1890"/>
      <c r="X101" s="1890"/>
    </row>
    <row r="102" spans="1:24" x14ac:dyDescent="0.2">
      <c r="A102" s="1890"/>
      <c r="B102" s="1890"/>
      <c r="C102" s="1890"/>
      <c r="D102" s="1890"/>
      <c r="E102" s="1890"/>
      <c r="F102" s="1890"/>
      <c r="G102" s="1890"/>
      <c r="H102" s="1890"/>
      <c r="I102" s="1890"/>
      <c r="J102" s="1890"/>
      <c r="K102" s="1890"/>
      <c r="L102" s="1890"/>
      <c r="M102" s="1890"/>
      <c r="N102" s="1890"/>
      <c r="O102" s="1890"/>
      <c r="P102" s="1890"/>
      <c r="Q102" s="1890"/>
      <c r="R102" s="1890"/>
      <c r="S102" s="1890"/>
      <c r="T102" s="1890"/>
      <c r="U102" s="1890"/>
      <c r="V102" s="1890"/>
      <c r="W102" s="1890"/>
      <c r="X102" s="1890"/>
    </row>
    <row r="103" spans="1:24" x14ac:dyDescent="0.2">
      <c r="A103" s="1890"/>
      <c r="B103" s="1890"/>
      <c r="C103" s="1890"/>
      <c r="D103" s="1890"/>
      <c r="E103" s="1890"/>
      <c r="F103" s="1890"/>
      <c r="G103" s="1890"/>
      <c r="H103" s="1890"/>
      <c r="I103" s="1890"/>
      <c r="J103" s="1890"/>
      <c r="K103" s="1890"/>
      <c r="L103" s="1890"/>
      <c r="M103" s="1890"/>
      <c r="N103" s="1890"/>
      <c r="O103" s="1890"/>
      <c r="P103" s="1890"/>
      <c r="Q103" s="1890"/>
      <c r="R103" s="1890"/>
      <c r="S103" s="1890"/>
      <c r="T103" s="1890"/>
      <c r="U103" s="1890"/>
      <c r="V103" s="1890"/>
      <c r="W103" s="1890"/>
      <c r="X103" s="1890"/>
    </row>
    <row r="104" spans="1:24" x14ac:dyDescent="0.2">
      <c r="A104" s="1890"/>
      <c r="B104" s="1890"/>
      <c r="C104" s="1890"/>
      <c r="D104" s="1890"/>
      <c r="E104" s="1890"/>
      <c r="F104" s="1890"/>
      <c r="G104" s="1890"/>
      <c r="H104" s="1890"/>
      <c r="I104" s="1890"/>
      <c r="J104" s="1890"/>
      <c r="K104" s="1890"/>
      <c r="L104" s="1890"/>
      <c r="M104" s="1890"/>
      <c r="N104" s="1890"/>
      <c r="O104" s="1890"/>
      <c r="P104" s="1890"/>
      <c r="Q104" s="1890"/>
      <c r="R104" s="1890"/>
      <c r="S104" s="1890"/>
      <c r="T104" s="1890"/>
      <c r="U104" s="1890"/>
      <c r="V104" s="1890"/>
      <c r="W104" s="1890"/>
      <c r="X104" s="1890"/>
    </row>
    <row r="105" spans="1:24" x14ac:dyDescent="0.2">
      <c r="A105" s="1890"/>
      <c r="B105" s="1890"/>
      <c r="C105" s="1890"/>
      <c r="D105" s="1890"/>
      <c r="E105" s="1890"/>
      <c r="F105" s="1890"/>
      <c r="G105" s="1890"/>
      <c r="H105" s="1890"/>
      <c r="I105" s="1890"/>
      <c r="J105" s="1890"/>
      <c r="K105" s="1890"/>
      <c r="L105" s="1890"/>
      <c r="M105" s="1890"/>
      <c r="N105" s="1890"/>
      <c r="O105" s="1890"/>
      <c r="P105" s="1890"/>
      <c r="Q105" s="1890"/>
      <c r="R105" s="1890"/>
      <c r="S105" s="1890"/>
      <c r="T105" s="1890"/>
      <c r="U105" s="1890"/>
      <c r="V105" s="1890"/>
      <c r="W105" s="1890"/>
      <c r="X105" s="1890"/>
    </row>
    <row r="106" spans="1:24" x14ac:dyDescent="0.2">
      <c r="A106" s="1890"/>
      <c r="B106" s="1890"/>
      <c r="C106" s="1890"/>
      <c r="D106" s="1890"/>
      <c r="E106" s="1890"/>
      <c r="F106" s="1890"/>
      <c r="G106" s="1890"/>
      <c r="H106" s="1890"/>
      <c r="I106" s="1890"/>
      <c r="J106" s="1890"/>
      <c r="K106" s="1890"/>
      <c r="L106" s="1890"/>
      <c r="M106" s="1890"/>
      <c r="N106" s="1890"/>
      <c r="O106" s="1890"/>
      <c r="P106" s="1890"/>
      <c r="Q106" s="1890"/>
      <c r="R106" s="1890"/>
      <c r="S106" s="1890"/>
      <c r="T106" s="1890"/>
      <c r="U106" s="1890"/>
      <c r="V106" s="1890"/>
      <c r="W106" s="1890"/>
      <c r="X106" s="1890"/>
    </row>
    <row r="107" spans="1:24" x14ac:dyDescent="0.2">
      <c r="A107" s="1890"/>
      <c r="B107" s="1890"/>
      <c r="C107" s="1890"/>
      <c r="D107" s="1890"/>
      <c r="E107" s="1890"/>
      <c r="F107" s="1890"/>
      <c r="G107" s="1890"/>
      <c r="H107" s="1890"/>
      <c r="I107" s="1890"/>
      <c r="J107" s="1890"/>
      <c r="K107" s="1890"/>
      <c r="L107" s="1890"/>
      <c r="M107" s="1890"/>
      <c r="N107" s="1890"/>
      <c r="O107" s="1890"/>
      <c r="P107" s="1890"/>
      <c r="Q107" s="1890"/>
      <c r="R107" s="1890"/>
      <c r="S107" s="1890"/>
      <c r="T107" s="1890"/>
      <c r="U107" s="1890"/>
      <c r="V107" s="1890"/>
      <c r="W107" s="1890"/>
      <c r="X107" s="1890"/>
    </row>
    <row r="108" spans="1:24" x14ac:dyDescent="0.2">
      <c r="A108" s="1890"/>
      <c r="B108" s="1890"/>
      <c r="C108" s="1890"/>
      <c r="D108" s="1890"/>
      <c r="E108" s="1890"/>
      <c r="F108" s="1890"/>
      <c r="G108" s="1890"/>
      <c r="H108" s="1890"/>
      <c r="I108" s="1890"/>
      <c r="J108" s="1890"/>
      <c r="K108" s="1890"/>
      <c r="L108" s="1890"/>
      <c r="M108" s="1890"/>
      <c r="N108" s="1890"/>
      <c r="O108" s="1890"/>
      <c r="P108" s="1890"/>
      <c r="Q108" s="1890"/>
      <c r="R108" s="1890"/>
      <c r="S108" s="1890"/>
      <c r="T108" s="1890"/>
      <c r="U108" s="1890"/>
      <c r="V108" s="1890"/>
      <c r="W108" s="1890"/>
      <c r="X108" s="1890"/>
    </row>
    <row r="109" spans="1:24" x14ac:dyDescent="0.2">
      <c r="A109" s="1890"/>
      <c r="B109" s="1890"/>
      <c r="C109" s="1890"/>
      <c r="D109" s="1890"/>
      <c r="E109" s="1890"/>
      <c r="F109" s="1890"/>
      <c r="G109" s="1890"/>
      <c r="H109" s="1890"/>
      <c r="I109" s="1890"/>
      <c r="J109" s="1890"/>
      <c r="K109" s="1890"/>
      <c r="L109" s="1890"/>
      <c r="M109" s="1890"/>
      <c r="N109" s="1890"/>
      <c r="O109" s="1890"/>
      <c r="P109" s="1890"/>
      <c r="Q109" s="1890"/>
      <c r="R109" s="1890"/>
      <c r="S109" s="1890"/>
      <c r="T109" s="1890"/>
      <c r="U109" s="1890"/>
      <c r="V109" s="1890"/>
      <c r="W109" s="1890"/>
      <c r="X109" s="1890"/>
    </row>
    <row r="110" spans="1:24" x14ac:dyDescent="0.2">
      <c r="A110" s="1890"/>
      <c r="B110" s="1890"/>
      <c r="C110" s="1890"/>
      <c r="D110" s="1890"/>
      <c r="E110" s="1890"/>
      <c r="F110" s="1890"/>
      <c r="G110" s="1890"/>
      <c r="H110" s="1890"/>
      <c r="I110" s="1890"/>
      <c r="J110" s="1890"/>
      <c r="K110" s="1890"/>
      <c r="L110" s="1890"/>
      <c r="M110" s="1890"/>
      <c r="N110" s="1890"/>
      <c r="O110" s="1890"/>
      <c r="P110" s="1890"/>
      <c r="Q110" s="1890"/>
      <c r="R110" s="1890"/>
      <c r="S110" s="1890"/>
      <c r="T110" s="1890"/>
      <c r="U110" s="1890"/>
      <c r="V110" s="1890"/>
      <c r="W110" s="1890"/>
      <c r="X110" s="1890"/>
    </row>
    <row r="111" spans="1:24" x14ac:dyDescent="0.2">
      <c r="A111" s="1890"/>
      <c r="B111" s="1890"/>
      <c r="C111" s="1890"/>
      <c r="D111" s="1890"/>
      <c r="E111" s="1890"/>
      <c r="F111" s="1890"/>
      <c r="G111" s="1890"/>
      <c r="H111" s="1890"/>
      <c r="I111" s="1890"/>
      <c r="J111" s="1890"/>
      <c r="K111" s="1890"/>
      <c r="L111" s="1890"/>
      <c r="M111" s="1890"/>
      <c r="N111" s="1890"/>
      <c r="O111" s="1890"/>
      <c r="P111" s="1890"/>
      <c r="Q111" s="1890"/>
      <c r="R111" s="1890"/>
      <c r="S111" s="1890"/>
      <c r="T111" s="1890"/>
      <c r="U111" s="1890"/>
      <c r="V111" s="1890"/>
      <c r="W111" s="1890"/>
      <c r="X111" s="1890"/>
    </row>
    <row r="112" spans="1:24" x14ac:dyDescent="0.2">
      <c r="A112" s="1890"/>
      <c r="B112" s="1890"/>
      <c r="C112" s="1890"/>
      <c r="D112" s="1890"/>
      <c r="E112" s="1890"/>
      <c r="F112" s="1890"/>
      <c r="G112" s="1890"/>
      <c r="H112" s="1890"/>
      <c r="I112" s="1890"/>
      <c r="J112" s="1890"/>
      <c r="K112" s="1890"/>
      <c r="L112" s="1890"/>
      <c r="M112" s="1890"/>
      <c r="N112" s="1890"/>
      <c r="O112" s="1890"/>
      <c r="P112" s="1890"/>
      <c r="Q112" s="1890"/>
      <c r="R112" s="1890"/>
      <c r="S112" s="1890"/>
      <c r="T112" s="1890"/>
      <c r="U112" s="1890"/>
      <c r="V112" s="1890"/>
      <c r="W112" s="1890"/>
      <c r="X112" s="1890"/>
    </row>
    <row r="113" spans="1:24" x14ac:dyDescent="0.2">
      <c r="A113" s="1890"/>
      <c r="B113" s="1890"/>
      <c r="C113" s="1890"/>
      <c r="D113" s="1890"/>
      <c r="E113" s="1890"/>
      <c r="F113" s="1890"/>
      <c r="G113" s="1890"/>
      <c r="H113" s="1890"/>
      <c r="I113" s="1890"/>
      <c r="J113" s="1890"/>
      <c r="K113" s="1890"/>
      <c r="L113" s="1890"/>
      <c r="M113" s="1890"/>
      <c r="N113" s="1890"/>
      <c r="O113" s="1890"/>
      <c r="P113" s="1890"/>
      <c r="Q113" s="1890"/>
      <c r="R113" s="1890"/>
      <c r="S113" s="1890"/>
      <c r="T113" s="1890"/>
      <c r="U113" s="1890"/>
      <c r="V113" s="1890"/>
      <c r="W113" s="1890"/>
      <c r="X113" s="1890"/>
    </row>
    <row r="114" spans="1:24" x14ac:dyDescent="0.2">
      <c r="A114" s="1890"/>
      <c r="B114" s="1890"/>
      <c r="C114" s="1890"/>
      <c r="D114" s="1890"/>
      <c r="E114" s="1890"/>
      <c r="F114" s="1890"/>
      <c r="G114" s="1890"/>
      <c r="H114" s="1890"/>
      <c r="I114" s="1890"/>
      <c r="J114" s="1890"/>
      <c r="K114" s="1890"/>
      <c r="L114" s="1890"/>
      <c r="M114" s="1890"/>
      <c r="N114" s="1890"/>
      <c r="O114" s="1890"/>
      <c r="P114" s="1890"/>
      <c r="Q114" s="1890"/>
      <c r="R114" s="1890"/>
      <c r="S114" s="1890"/>
      <c r="T114" s="1890"/>
      <c r="U114" s="1890"/>
      <c r="V114" s="1890"/>
      <c r="W114" s="1890"/>
      <c r="X114" s="1890"/>
    </row>
    <row r="115" spans="1:24" x14ac:dyDescent="0.2">
      <c r="A115" s="1890"/>
      <c r="B115" s="1890"/>
      <c r="C115" s="1890"/>
      <c r="D115" s="1890"/>
      <c r="E115" s="1890"/>
      <c r="F115" s="1890"/>
      <c r="G115" s="1890"/>
      <c r="H115" s="1890"/>
      <c r="I115" s="1890"/>
      <c r="J115" s="1890"/>
      <c r="K115" s="1890"/>
      <c r="L115" s="1890"/>
      <c r="M115" s="1890"/>
      <c r="N115" s="1890"/>
      <c r="O115" s="1890"/>
      <c r="P115" s="1890"/>
      <c r="Q115" s="1890"/>
      <c r="R115" s="1890"/>
      <c r="S115" s="1890"/>
      <c r="T115" s="1890"/>
      <c r="U115" s="1890"/>
      <c r="V115" s="1890"/>
      <c r="W115" s="1890"/>
      <c r="X115" s="1890"/>
    </row>
    <row r="116" spans="1:24" x14ac:dyDescent="0.2">
      <c r="A116" s="1890"/>
      <c r="B116" s="1890"/>
      <c r="C116" s="1890"/>
      <c r="D116" s="1890"/>
      <c r="E116" s="1890"/>
      <c r="F116" s="1890"/>
      <c r="G116" s="1890"/>
      <c r="H116" s="1890"/>
      <c r="I116" s="1890"/>
      <c r="J116" s="1890"/>
      <c r="K116" s="1890"/>
      <c r="L116" s="1890"/>
      <c r="M116" s="1890"/>
      <c r="N116" s="1890"/>
      <c r="O116" s="1890"/>
      <c r="P116" s="1890"/>
      <c r="Q116" s="1890"/>
      <c r="R116" s="1890"/>
      <c r="S116" s="1890"/>
      <c r="T116" s="1890"/>
      <c r="U116" s="1890"/>
      <c r="V116" s="1890"/>
      <c r="W116" s="1890"/>
      <c r="X116" s="1890"/>
    </row>
    <row r="117" spans="1:24" x14ac:dyDescent="0.2">
      <c r="A117" s="1890"/>
      <c r="B117" s="1890"/>
      <c r="C117" s="1890"/>
      <c r="D117" s="1890"/>
      <c r="E117" s="1890"/>
      <c r="F117" s="1890"/>
      <c r="G117" s="1890"/>
      <c r="H117" s="1890"/>
      <c r="I117" s="1890"/>
      <c r="J117" s="1890"/>
      <c r="K117" s="1890"/>
      <c r="L117" s="1890"/>
      <c r="M117" s="1890"/>
      <c r="N117" s="1890"/>
      <c r="O117" s="1890"/>
      <c r="P117" s="1890"/>
      <c r="Q117" s="1890"/>
      <c r="R117" s="1890"/>
      <c r="S117" s="1890"/>
      <c r="T117" s="1890"/>
      <c r="U117" s="1890"/>
      <c r="V117" s="1890"/>
      <c r="W117" s="1890"/>
      <c r="X117" s="1890"/>
    </row>
    <row r="118" spans="1:24" x14ac:dyDescent="0.2">
      <c r="A118" s="1890"/>
      <c r="B118" s="1890"/>
      <c r="C118" s="1890"/>
      <c r="D118" s="1890"/>
      <c r="E118" s="1890"/>
      <c r="F118" s="1890"/>
      <c r="G118" s="1890"/>
      <c r="H118" s="1890"/>
      <c r="I118" s="1890"/>
      <c r="J118" s="1890"/>
      <c r="K118" s="1890"/>
      <c r="L118" s="1890"/>
      <c r="M118" s="1890"/>
      <c r="N118" s="1890"/>
      <c r="O118" s="1890"/>
      <c r="P118" s="1890"/>
      <c r="Q118" s="1890"/>
      <c r="R118" s="1890"/>
      <c r="S118" s="1890"/>
      <c r="T118" s="1890"/>
      <c r="U118" s="1890"/>
      <c r="V118" s="1890"/>
      <c r="W118" s="1890"/>
      <c r="X118" s="1890"/>
    </row>
    <row r="119" spans="1:24" x14ac:dyDescent="0.2">
      <c r="A119" s="1890"/>
      <c r="B119" s="1890"/>
      <c r="C119" s="1890"/>
      <c r="D119" s="1890"/>
      <c r="E119" s="1890"/>
      <c r="F119" s="1890"/>
      <c r="G119" s="1890"/>
      <c r="H119" s="1890"/>
      <c r="I119" s="1890"/>
      <c r="J119" s="1890"/>
      <c r="K119" s="1890"/>
      <c r="L119" s="1890"/>
      <c r="M119" s="1890"/>
      <c r="N119" s="1890"/>
      <c r="O119" s="1890"/>
      <c r="P119" s="1890"/>
      <c r="Q119" s="1890"/>
      <c r="R119" s="1890"/>
      <c r="S119" s="1890"/>
      <c r="T119" s="1890"/>
      <c r="U119" s="1890"/>
      <c r="V119" s="1890"/>
      <c r="W119" s="1890"/>
      <c r="X119" s="1890"/>
    </row>
    <row r="120" spans="1:24" x14ac:dyDescent="0.2">
      <c r="A120" s="1890"/>
      <c r="B120" s="1890"/>
      <c r="C120" s="1890"/>
      <c r="D120" s="1890"/>
      <c r="E120" s="1890"/>
      <c r="F120" s="1890"/>
      <c r="G120" s="1890"/>
      <c r="H120" s="1890"/>
      <c r="I120" s="1890"/>
      <c r="J120" s="1890"/>
      <c r="K120" s="1890"/>
      <c r="L120" s="1890"/>
      <c r="M120" s="1890"/>
      <c r="N120" s="1890"/>
      <c r="O120" s="1890"/>
      <c r="P120" s="1890"/>
      <c r="Q120" s="1890"/>
      <c r="R120" s="1890"/>
      <c r="S120" s="1890"/>
      <c r="T120" s="1890"/>
      <c r="U120" s="1890"/>
      <c r="V120" s="1890"/>
      <c r="W120" s="1890"/>
      <c r="X120" s="1890"/>
    </row>
    <row r="121" spans="1:24" x14ac:dyDescent="0.2">
      <c r="A121" s="1890"/>
      <c r="B121" s="1890"/>
      <c r="C121" s="1890"/>
      <c r="D121" s="1890"/>
      <c r="E121" s="1890"/>
      <c r="F121" s="1890"/>
      <c r="G121" s="1890"/>
      <c r="H121" s="1890"/>
      <c r="I121" s="1890"/>
      <c r="J121" s="1890"/>
      <c r="K121" s="1890"/>
      <c r="L121" s="1890"/>
      <c r="M121" s="1890"/>
      <c r="N121" s="1890"/>
      <c r="O121" s="1890"/>
      <c r="P121" s="1890"/>
      <c r="Q121" s="1890"/>
      <c r="R121" s="1890"/>
      <c r="S121" s="1890"/>
      <c r="T121" s="1890"/>
      <c r="U121" s="1890"/>
      <c r="V121" s="1890"/>
      <c r="W121" s="1890"/>
      <c r="X121" s="1890"/>
    </row>
    <row r="122" spans="1:24" x14ac:dyDescent="0.2">
      <c r="A122" s="1890"/>
      <c r="B122" s="1890"/>
      <c r="C122" s="1890"/>
      <c r="D122" s="1890"/>
      <c r="E122" s="1890"/>
      <c r="F122" s="1890"/>
      <c r="G122" s="1890"/>
      <c r="H122" s="1890"/>
      <c r="I122" s="1890"/>
      <c r="J122" s="1890"/>
      <c r="K122" s="1890"/>
      <c r="L122" s="1890"/>
      <c r="M122" s="1890"/>
      <c r="N122" s="1890"/>
      <c r="O122" s="1890"/>
      <c r="P122" s="1890"/>
      <c r="Q122" s="1890"/>
      <c r="R122" s="1890"/>
      <c r="S122" s="1890"/>
      <c r="T122" s="1890"/>
      <c r="U122" s="1890"/>
      <c r="V122" s="1890"/>
      <c r="W122" s="1890"/>
      <c r="X122" s="1890"/>
    </row>
    <row r="123" spans="1:24" x14ac:dyDescent="0.2">
      <c r="A123" s="1890"/>
      <c r="B123" s="1890"/>
      <c r="C123" s="1890"/>
      <c r="D123" s="1890"/>
      <c r="E123" s="1890"/>
      <c r="F123" s="1890"/>
      <c r="G123" s="1890"/>
      <c r="H123" s="1890"/>
      <c r="I123" s="1890"/>
      <c r="J123" s="1890"/>
      <c r="K123" s="1890"/>
      <c r="L123" s="1890"/>
      <c r="M123" s="1890"/>
      <c r="N123" s="1890"/>
      <c r="O123" s="1890"/>
      <c r="P123" s="1890"/>
      <c r="Q123" s="1890"/>
      <c r="R123" s="1890"/>
      <c r="S123" s="1890"/>
      <c r="T123" s="1890"/>
      <c r="U123" s="1890"/>
      <c r="V123" s="1890"/>
      <c r="W123" s="1890"/>
      <c r="X123" s="1890"/>
    </row>
    <row r="124" spans="1:24" x14ac:dyDescent="0.2">
      <c r="A124" s="1890"/>
      <c r="B124" s="1890"/>
      <c r="C124" s="1890"/>
      <c r="D124" s="1890"/>
      <c r="E124" s="1890"/>
      <c r="F124" s="1890"/>
      <c r="G124" s="1890"/>
      <c r="H124" s="1890"/>
      <c r="I124" s="1890"/>
      <c r="J124" s="1890"/>
      <c r="K124" s="1890"/>
      <c r="L124" s="1890"/>
      <c r="M124" s="1890"/>
      <c r="N124" s="1890"/>
      <c r="O124" s="1890"/>
      <c r="P124" s="1890"/>
      <c r="Q124" s="1890"/>
      <c r="R124" s="1890"/>
      <c r="S124" s="1890"/>
      <c r="T124" s="1890"/>
      <c r="U124" s="1890"/>
      <c r="V124" s="1890"/>
      <c r="W124" s="1890"/>
      <c r="X124" s="1890"/>
    </row>
    <row r="125" spans="1:24" x14ac:dyDescent="0.2">
      <c r="A125" s="1890"/>
      <c r="B125" s="1890"/>
      <c r="C125" s="1890"/>
      <c r="D125" s="1890"/>
      <c r="E125" s="1890"/>
      <c r="F125" s="1890"/>
      <c r="G125" s="1890"/>
      <c r="H125" s="1890"/>
      <c r="I125" s="1890"/>
      <c r="J125" s="1890"/>
      <c r="K125" s="1890"/>
      <c r="L125" s="1890"/>
      <c r="M125" s="1890"/>
      <c r="N125" s="1890"/>
      <c r="O125" s="1890"/>
      <c r="P125" s="1890"/>
      <c r="Q125" s="1890"/>
      <c r="R125" s="1890"/>
      <c r="S125" s="1890"/>
      <c r="T125" s="1890"/>
      <c r="U125" s="1890"/>
      <c r="V125" s="1890"/>
      <c r="W125" s="1890"/>
      <c r="X125" s="1890"/>
    </row>
    <row r="126" spans="1:24" x14ac:dyDescent="0.2">
      <c r="A126" s="1890"/>
      <c r="B126" s="1890"/>
      <c r="C126" s="1890"/>
      <c r="D126" s="1890"/>
      <c r="E126" s="1890"/>
      <c r="F126" s="1890"/>
      <c r="G126" s="1890"/>
      <c r="H126" s="1890"/>
      <c r="I126" s="1890"/>
      <c r="J126" s="1890"/>
      <c r="K126" s="1890"/>
      <c r="L126" s="1890"/>
      <c r="M126" s="1890"/>
      <c r="N126" s="1890"/>
      <c r="O126" s="1890"/>
      <c r="P126" s="1890"/>
      <c r="Q126" s="1890"/>
      <c r="R126" s="1890"/>
      <c r="S126" s="1890"/>
      <c r="T126" s="1890"/>
      <c r="U126" s="1890"/>
      <c r="V126" s="1890"/>
      <c r="W126" s="1890"/>
      <c r="X126" s="1890"/>
    </row>
    <row r="127" spans="1:24" x14ac:dyDescent="0.2">
      <c r="A127" s="1890"/>
      <c r="B127" s="1890"/>
      <c r="C127" s="1890"/>
      <c r="D127" s="1890"/>
      <c r="E127" s="1890"/>
      <c r="F127" s="1890"/>
      <c r="G127" s="1890"/>
      <c r="H127" s="1890"/>
      <c r="I127" s="1890"/>
      <c r="J127" s="1890"/>
      <c r="K127" s="1890"/>
      <c r="L127" s="1890"/>
      <c r="M127" s="1890"/>
      <c r="N127" s="1890"/>
      <c r="O127" s="1890"/>
      <c r="P127" s="1890"/>
      <c r="Q127" s="1890"/>
      <c r="R127" s="1890"/>
      <c r="S127" s="1890"/>
      <c r="T127" s="1890"/>
      <c r="U127" s="1890"/>
      <c r="V127" s="1890"/>
      <c r="W127" s="1890"/>
      <c r="X127" s="1890"/>
    </row>
    <row r="128" spans="1:24" x14ac:dyDescent="0.2">
      <c r="A128" s="1890"/>
      <c r="B128" s="1890"/>
      <c r="C128" s="1890"/>
      <c r="D128" s="1890"/>
      <c r="E128" s="1890"/>
      <c r="F128" s="1890"/>
      <c r="G128" s="1890"/>
      <c r="H128" s="1890"/>
      <c r="I128" s="1890"/>
      <c r="J128" s="1890"/>
      <c r="K128" s="1890"/>
      <c r="L128" s="1890"/>
      <c r="M128" s="1890"/>
      <c r="N128" s="1890"/>
      <c r="O128" s="1890"/>
      <c r="P128" s="1890"/>
      <c r="Q128" s="1890"/>
      <c r="R128" s="1890"/>
      <c r="S128" s="1890"/>
      <c r="T128" s="1890"/>
      <c r="U128" s="1890"/>
      <c r="V128" s="1890"/>
      <c r="W128" s="1890"/>
      <c r="X128" s="1890"/>
    </row>
    <row r="129" spans="1:24" x14ac:dyDescent="0.2">
      <c r="A129" s="1890"/>
      <c r="B129" s="1890"/>
      <c r="C129" s="1890"/>
      <c r="D129" s="1890"/>
      <c r="E129" s="1890"/>
      <c r="F129" s="1890"/>
      <c r="G129" s="1890"/>
      <c r="H129" s="1890"/>
      <c r="I129" s="1890"/>
      <c r="J129" s="1890"/>
      <c r="K129" s="1890"/>
      <c r="L129" s="1890"/>
      <c r="M129" s="1890"/>
      <c r="N129" s="1890"/>
      <c r="O129" s="1890"/>
      <c r="P129" s="1890"/>
      <c r="Q129" s="1890"/>
      <c r="R129" s="1890"/>
      <c r="S129" s="1890"/>
      <c r="T129" s="1890"/>
      <c r="U129" s="1890"/>
      <c r="V129" s="1890"/>
      <c r="W129" s="1890"/>
      <c r="X129" s="1890"/>
    </row>
    <row r="130" spans="1:24" x14ac:dyDescent="0.2">
      <c r="A130" s="1890"/>
      <c r="B130" s="1890"/>
      <c r="C130" s="1890"/>
      <c r="D130" s="1890"/>
      <c r="E130" s="1890"/>
      <c r="F130" s="1890"/>
      <c r="G130" s="1890"/>
      <c r="H130" s="1890"/>
      <c r="I130" s="1890"/>
      <c r="J130" s="1890"/>
      <c r="K130" s="1890"/>
      <c r="L130" s="1890"/>
      <c r="M130" s="1890"/>
      <c r="N130" s="1890"/>
      <c r="O130" s="1890"/>
      <c r="P130" s="1890"/>
      <c r="Q130" s="1890"/>
      <c r="R130" s="1890"/>
      <c r="S130" s="1890"/>
      <c r="T130" s="1890"/>
      <c r="U130" s="1890"/>
      <c r="V130" s="1890"/>
      <c r="W130" s="1890"/>
      <c r="X130" s="1890"/>
    </row>
    <row r="131" spans="1:24" x14ac:dyDescent="0.2">
      <c r="A131" s="1890"/>
      <c r="B131" s="1890"/>
      <c r="C131" s="1890"/>
      <c r="D131" s="1890"/>
      <c r="E131" s="1890"/>
      <c r="F131" s="1890"/>
      <c r="G131" s="1890"/>
      <c r="H131" s="1890"/>
      <c r="I131" s="1890"/>
      <c r="J131" s="1890"/>
      <c r="K131" s="1890"/>
      <c r="L131" s="1890"/>
      <c r="M131" s="1890"/>
      <c r="N131" s="1890"/>
      <c r="O131" s="1890"/>
      <c r="P131" s="1890"/>
      <c r="Q131" s="1890"/>
      <c r="R131" s="1890"/>
      <c r="S131" s="1890"/>
      <c r="T131" s="1890"/>
      <c r="U131" s="1890"/>
      <c r="V131" s="1890"/>
      <c r="W131" s="1890"/>
      <c r="X131" s="1890"/>
    </row>
    <row r="132" spans="1:24" x14ac:dyDescent="0.2">
      <c r="A132" s="1890"/>
      <c r="B132" s="1890"/>
      <c r="C132" s="1890"/>
      <c r="D132" s="1890"/>
      <c r="E132" s="1890"/>
      <c r="F132" s="1890"/>
      <c r="G132" s="1890"/>
      <c r="H132" s="1890"/>
      <c r="I132" s="1890"/>
      <c r="J132" s="1890"/>
      <c r="K132" s="1890"/>
      <c r="L132" s="1890"/>
      <c r="M132" s="1890"/>
      <c r="N132" s="1890"/>
      <c r="O132" s="1890"/>
      <c r="P132" s="1890"/>
      <c r="Q132" s="1890"/>
      <c r="R132" s="1890"/>
      <c r="S132" s="1890"/>
      <c r="T132" s="1890"/>
      <c r="U132" s="1890"/>
      <c r="V132" s="1890"/>
      <c r="W132" s="1890"/>
      <c r="X132" s="1890"/>
    </row>
    <row r="133" spans="1:24" x14ac:dyDescent="0.2">
      <c r="A133" s="1890"/>
      <c r="B133" s="1890"/>
      <c r="C133" s="1890"/>
      <c r="D133" s="1890"/>
      <c r="E133" s="1890"/>
      <c r="F133" s="1890"/>
      <c r="G133" s="1890"/>
      <c r="H133" s="1890"/>
      <c r="I133" s="1890"/>
      <c r="J133" s="1890"/>
      <c r="K133" s="1890"/>
      <c r="L133" s="1890"/>
      <c r="M133" s="1890"/>
      <c r="N133" s="1890"/>
      <c r="O133" s="1890"/>
      <c r="P133" s="1890"/>
      <c r="Q133" s="1890"/>
      <c r="R133" s="1890"/>
      <c r="S133" s="1890"/>
      <c r="T133" s="1890"/>
      <c r="U133" s="1890"/>
      <c r="V133" s="1890"/>
      <c r="W133" s="1890"/>
      <c r="X133" s="1890"/>
    </row>
    <row r="134" spans="1:24" x14ac:dyDescent="0.2">
      <c r="A134" s="1890"/>
      <c r="B134" s="1890"/>
      <c r="C134" s="1890"/>
      <c r="D134" s="1890"/>
      <c r="E134" s="1890"/>
      <c r="F134" s="1890"/>
      <c r="G134" s="1890"/>
      <c r="H134" s="1890"/>
      <c r="I134" s="1890"/>
      <c r="J134" s="1890"/>
      <c r="K134" s="1890"/>
      <c r="L134" s="1890"/>
      <c r="M134" s="1890"/>
      <c r="N134" s="1890"/>
      <c r="O134" s="1890"/>
      <c r="P134" s="1890"/>
      <c r="Q134" s="1890"/>
      <c r="R134" s="1890"/>
      <c r="S134" s="1890"/>
      <c r="T134" s="1890"/>
      <c r="U134" s="1890"/>
      <c r="V134" s="1890"/>
      <c r="W134" s="1890"/>
      <c r="X134" s="1890"/>
    </row>
    <row r="135" spans="1:24" x14ac:dyDescent="0.2">
      <c r="A135" s="1890"/>
      <c r="B135" s="1890"/>
      <c r="C135" s="1890"/>
      <c r="D135" s="1890"/>
      <c r="E135" s="1890"/>
      <c r="F135" s="1890"/>
      <c r="G135" s="1890"/>
      <c r="H135" s="1890"/>
      <c r="I135" s="1890"/>
      <c r="J135" s="1890"/>
      <c r="K135" s="1890"/>
      <c r="L135" s="1890"/>
      <c r="M135" s="1890"/>
      <c r="N135" s="1890"/>
      <c r="O135" s="1890"/>
      <c r="P135" s="1890"/>
      <c r="Q135" s="1890"/>
      <c r="R135" s="1890"/>
      <c r="S135" s="1890"/>
      <c r="T135" s="1890"/>
      <c r="U135" s="1890"/>
      <c r="V135" s="1890"/>
      <c r="W135" s="1890"/>
      <c r="X135" s="1890"/>
    </row>
    <row r="136" spans="1:24" x14ac:dyDescent="0.2">
      <c r="A136" s="1890"/>
      <c r="B136" s="1890"/>
      <c r="C136" s="1890"/>
      <c r="D136" s="1890"/>
      <c r="E136" s="1890"/>
      <c r="F136" s="1890"/>
      <c r="G136" s="1890"/>
      <c r="H136" s="1890"/>
      <c r="I136" s="1890"/>
      <c r="J136" s="1890"/>
      <c r="K136" s="1890"/>
      <c r="L136" s="1890"/>
      <c r="M136" s="1890"/>
      <c r="N136" s="1890"/>
      <c r="O136" s="1890"/>
      <c r="P136" s="1890"/>
      <c r="Q136" s="1890"/>
      <c r="R136" s="1890"/>
      <c r="S136" s="1890"/>
      <c r="T136" s="1890"/>
      <c r="U136" s="1890"/>
      <c r="V136" s="1890"/>
      <c r="W136" s="1890"/>
      <c r="X136" s="1890"/>
    </row>
    <row r="137" spans="1:24" x14ac:dyDescent="0.2">
      <c r="A137" s="1890"/>
      <c r="B137" s="1890"/>
      <c r="C137" s="1890"/>
      <c r="D137" s="1890"/>
      <c r="E137" s="1890"/>
      <c r="F137" s="1890"/>
      <c r="G137" s="1890"/>
      <c r="H137" s="1890"/>
      <c r="I137" s="1890"/>
      <c r="J137" s="1890"/>
      <c r="K137" s="1890"/>
      <c r="L137" s="1890"/>
      <c r="M137" s="1890"/>
      <c r="N137" s="1890"/>
      <c r="O137" s="1890"/>
      <c r="P137" s="1890"/>
      <c r="Q137" s="1890"/>
      <c r="R137" s="1890"/>
      <c r="S137" s="1890"/>
      <c r="T137" s="1890"/>
      <c r="U137" s="1890"/>
      <c r="V137" s="1890"/>
      <c r="W137" s="1890"/>
      <c r="X137" s="1890"/>
    </row>
    <row r="138" spans="1:24" x14ac:dyDescent="0.2">
      <c r="A138" s="1890"/>
      <c r="B138" s="1890"/>
      <c r="C138" s="1890"/>
      <c r="D138" s="1890"/>
      <c r="E138" s="1890"/>
      <c r="F138" s="1890"/>
      <c r="G138" s="1890"/>
      <c r="H138" s="1890"/>
      <c r="I138" s="1890"/>
      <c r="J138" s="1890"/>
      <c r="K138" s="1890"/>
      <c r="L138" s="1890"/>
      <c r="M138" s="1890"/>
      <c r="N138" s="1890"/>
      <c r="O138" s="1890"/>
      <c r="P138" s="1890"/>
      <c r="Q138" s="1890"/>
      <c r="R138" s="1890"/>
      <c r="S138" s="1890"/>
      <c r="T138" s="1890"/>
      <c r="U138" s="1890"/>
      <c r="V138" s="1890"/>
      <c r="W138" s="1890"/>
      <c r="X138" s="1890"/>
    </row>
    <row r="139" spans="1:24" x14ac:dyDescent="0.2">
      <c r="A139" s="1890"/>
      <c r="B139" s="1890"/>
      <c r="C139" s="1890"/>
      <c r="D139" s="1890"/>
      <c r="E139" s="1890"/>
      <c r="F139" s="1890"/>
      <c r="G139" s="1890"/>
      <c r="H139" s="1890"/>
      <c r="I139" s="1890"/>
      <c r="J139" s="1890"/>
      <c r="K139" s="1890"/>
      <c r="L139" s="1890"/>
      <c r="M139" s="1890"/>
      <c r="N139" s="1890"/>
      <c r="O139" s="1890"/>
      <c r="P139" s="1890"/>
      <c r="Q139" s="1890"/>
      <c r="R139" s="1890"/>
      <c r="S139" s="1890"/>
      <c r="T139" s="1890"/>
      <c r="U139" s="1890"/>
      <c r="V139" s="1890"/>
      <c r="W139" s="1890"/>
      <c r="X139" s="1890"/>
    </row>
    <row r="140" spans="1:24" x14ac:dyDescent="0.2">
      <c r="A140" s="1890"/>
      <c r="B140" s="1890"/>
      <c r="C140" s="1890"/>
      <c r="D140" s="1890"/>
      <c r="E140" s="1890"/>
      <c r="F140" s="1890"/>
      <c r="G140" s="1890"/>
      <c r="H140" s="1890"/>
      <c r="I140" s="1890"/>
      <c r="J140" s="1890"/>
      <c r="K140" s="1890"/>
      <c r="L140" s="1890"/>
      <c r="M140" s="1890"/>
      <c r="N140" s="1890"/>
      <c r="O140" s="1890"/>
      <c r="P140" s="1890"/>
      <c r="Q140" s="1890"/>
      <c r="R140" s="1890"/>
      <c r="S140" s="1890"/>
      <c r="T140" s="1890"/>
      <c r="U140" s="1890"/>
      <c r="V140" s="1890"/>
      <c r="W140" s="1890"/>
      <c r="X140" s="1890"/>
    </row>
    <row r="141" spans="1:24" x14ac:dyDescent="0.2">
      <c r="A141" s="1890"/>
      <c r="B141" s="1890"/>
      <c r="C141" s="1890"/>
      <c r="D141" s="1890"/>
      <c r="E141" s="1890"/>
      <c r="F141" s="1890"/>
      <c r="G141" s="1890"/>
      <c r="H141" s="1890"/>
      <c r="I141" s="1890"/>
      <c r="J141" s="1890"/>
      <c r="K141" s="1890"/>
      <c r="L141" s="1890"/>
      <c r="M141" s="1890"/>
      <c r="N141" s="1890"/>
      <c r="O141" s="1890"/>
      <c r="P141" s="1890"/>
      <c r="Q141" s="1890"/>
      <c r="R141" s="1890"/>
      <c r="S141" s="1890"/>
      <c r="T141" s="1890"/>
      <c r="U141" s="1890"/>
      <c r="V141" s="1890"/>
      <c r="W141" s="1890"/>
      <c r="X141" s="1890"/>
    </row>
  </sheetData>
  <sheetProtection selectLockedCells="1" selectUnlockedCells="1"/>
  <pageMargins left="0.78740157499999996" right="0.78740157499999996" top="0.984251969" bottom="0.984251969" header="0.4921259845" footer="0.4921259845"/>
  <pageSetup paperSize="9" orientation="portrait" r:id="rId1"/>
  <headerFooter alignWithMargins="0"/>
  <drawing r:id="rId2"/>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7D5965-9452-4A49-8B70-CD15A67C21A9}">
  <dimension ref="A1:AL187"/>
  <sheetViews>
    <sheetView showGridLines="0" topLeftCell="N1" zoomScale="70" zoomScaleNormal="70" workbookViewId="0">
      <selection activeCell="L13" sqref="L13"/>
    </sheetView>
  </sheetViews>
  <sheetFormatPr defaultColWidth="10.85546875" defaultRowHeight="12.75" x14ac:dyDescent="0.2"/>
  <cols>
    <col min="1" max="1" width="11.42578125" style="2229" customWidth="1"/>
    <col min="2" max="2" width="47.28515625" style="2229" customWidth="1"/>
    <col min="3" max="3" width="16.140625" style="2229" customWidth="1"/>
    <col min="4" max="4" width="15.140625" style="2229" customWidth="1"/>
    <col min="5" max="7" width="18" style="2229" customWidth="1"/>
    <col min="8" max="8" width="16.42578125" style="2229" customWidth="1"/>
    <col min="9" max="11" width="17.42578125" style="2229" customWidth="1"/>
    <col min="12" max="12" width="21.42578125" style="2229" customWidth="1"/>
    <col min="13" max="13" width="2.140625" style="2446" customWidth="1"/>
    <col min="14" max="14" width="71.42578125" style="2229" bestFit="1" customWidth="1"/>
    <col min="15" max="15" width="22.5703125" style="2229" customWidth="1"/>
    <col min="16" max="16" width="21.42578125" style="2229" customWidth="1"/>
    <col min="17" max="20" width="14.85546875" style="2229" bestFit="1" customWidth="1"/>
    <col min="21" max="21" width="13.140625" style="2229" customWidth="1"/>
    <col min="22" max="24" width="13.42578125" style="2229" customWidth="1"/>
    <col min="25" max="25" width="12" style="2229" customWidth="1"/>
    <col min="26" max="26" width="10.85546875" style="2229"/>
    <col min="27" max="27" width="2.140625" style="2438" customWidth="1"/>
    <col min="28" max="28" width="12.42578125" style="2229" customWidth="1"/>
    <col min="29" max="29" width="25.42578125" style="2642" customWidth="1"/>
    <col min="30" max="30" width="13.42578125" style="2229" customWidth="1"/>
    <col min="31" max="33" width="12" style="2229" customWidth="1"/>
    <col min="34" max="34" width="12.42578125" style="2229" customWidth="1"/>
    <col min="35" max="37" width="12.140625" style="2229" bestFit="1" customWidth="1"/>
    <col min="38" max="38" width="2.140625" style="2438" customWidth="1"/>
    <col min="39" max="16384" width="10.85546875" style="2229"/>
  </cols>
  <sheetData>
    <row r="1" spans="1:37" ht="18" customHeight="1" x14ac:dyDescent="0.2">
      <c r="A1" s="2429" t="s">
        <v>1272</v>
      </c>
      <c r="B1" s="2430"/>
      <c r="C1" s="2430"/>
      <c r="D1" s="2430"/>
      <c r="E1" s="2431"/>
      <c r="F1" s="2431"/>
      <c r="G1" s="2431"/>
      <c r="H1" s="2432"/>
      <c r="I1" s="2430"/>
      <c r="J1" s="2430"/>
      <c r="K1" s="2430"/>
      <c r="L1" s="2430"/>
      <c r="M1" s="2433"/>
      <c r="N1" s="2429" t="s">
        <v>1273</v>
      </c>
      <c r="O1" s="2430"/>
      <c r="P1" s="2065"/>
      <c r="Q1" s="2065"/>
      <c r="R1" s="2065"/>
      <c r="S1" s="2065"/>
      <c r="T1" s="2065"/>
      <c r="U1" s="2065"/>
      <c r="V1" s="2065"/>
      <c r="W1" s="2065"/>
      <c r="X1" s="2065"/>
      <c r="Y1" s="2065"/>
      <c r="Z1" s="2434"/>
      <c r="AA1" s="2435"/>
      <c r="AB1" s="2429" t="s">
        <v>1274</v>
      </c>
      <c r="AC1" s="2436"/>
      <c r="AD1" s="2437"/>
      <c r="AE1" s="2437"/>
      <c r="AF1" s="2437"/>
      <c r="AG1" s="2437"/>
      <c r="AH1" s="2437"/>
      <c r="AI1" s="2437"/>
      <c r="AJ1" s="2437"/>
      <c r="AK1" s="2437"/>
    </row>
    <row r="2" spans="1:37" ht="18" customHeight="1" x14ac:dyDescent="0.2">
      <c r="A2" s="2439"/>
      <c r="B2" s="2065"/>
      <c r="C2" s="2065"/>
      <c r="D2" s="2065"/>
      <c r="E2" s="2065"/>
      <c r="F2" s="2065"/>
      <c r="G2" s="2065"/>
      <c r="H2" s="2064"/>
      <c r="I2" s="2065"/>
      <c r="J2" s="2065"/>
      <c r="K2" s="2065"/>
      <c r="L2" s="2065"/>
      <c r="M2" s="2433"/>
      <c r="N2" s="2065"/>
      <c r="O2" s="2065"/>
      <c r="P2" s="2065"/>
      <c r="Q2" s="2065"/>
      <c r="R2" s="2065"/>
      <c r="S2" s="2065"/>
      <c r="T2" s="2065"/>
      <c r="U2" s="2065"/>
      <c r="V2" s="2065"/>
      <c r="W2" s="2065"/>
      <c r="X2" s="2065"/>
      <c r="Y2" s="2065"/>
      <c r="Z2" s="2065"/>
      <c r="AA2" s="2435"/>
      <c r="AB2" s="2065"/>
      <c r="AC2" s="2440"/>
      <c r="AD2" s="2064"/>
      <c r="AE2" s="2064"/>
      <c r="AF2" s="2064"/>
      <c r="AG2" s="2064"/>
      <c r="AH2" s="2064"/>
      <c r="AI2" s="2064"/>
      <c r="AJ2" s="2064"/>
      <c r="AK2" s="2064"/>
    </row>
    <row r="3" spans="1:37" ht="18" customHeight="1" x14ac:dyDescent="0.2">
      <c r="A3" s="2441"/>
      <c r="B3" s="2221" t="s">
        <v>1275</v>
      </c>
      <c r="C3" s="2442">
        <f>+'CO2 - Início'!E67</f>
        <v>75.900000000000006</v>
      </c>
      <c r="D3" s="2209" t="s">
        <v>1276</v>
      </c>
      <c r="E3" s="2166"/>
      <c r="F3" s="2167" t="s">
        <v>1277</v>
      </c>
      <c r="G3" s="2065"/>
      <c r="J3" s="2065"/>
      <c r="K3" s="2065"/>
      <c r="L3" s="2065"/>
      <c r="M3" s="2433"/>
      <c r="N3" s="2979" t="s">
        <v>1278</v>
      </c>
      <c r="O3" s="2980"/>
      <c r="P3" s="2980"/>
      <c r="Q3" s="2981"/>
      <c r="R3" s="2065"/>
      <c r="S3" s="2065"/>
      <c r="T3" s="2065"/>
      <c r="U3" s="2065"/>
      <c r="V3" s="2065"/>
      <c r="W3" s="2065"/>
      <c r="X3" s="2065"/>
      <c r="Y3" s="2065"/>
      <c r="Z3" s="2065"/>
      <c r="AA3" s="2435"/>
      <c r="AB3" s="2065"/>
      <c r="AC3" s="2440"/>
      <c r="AD3" s="2079" t="str">
        <f t="shared" ref="AD3:AK3" si="0">+D72</f>
        <v>Cenário-Base</v>
      </c>
      <c r="AE3" s="2079" t="str">
        <f t="shared" si="0"/>
        <v>Biodigestão RT1A + CDR TM</v>
      </c>
      <c r="AF3" s="2079" t="str">
        <f t="shared" si="0"/>
        <v>Biodigestão RT1B + CDR TM</v>
      </c>
      <c r="AG3" s="2079" t="str">
        <f t="shared" si="0"/>
        <v>Biodigestão RT1C + CDR TM</v>
      </c>
      <c r="AH3" s="2079" t="str">
        <f t="shared" si="0"/>
        <v>Compostagem + CDR TM</v>
      </c>
      <c r="AI3" s="2079" t="str">
        <f t="shared" si="0"/>
        <v xml:space="preserve">Biosecagem + CDR TMB </v>
      </c>
      <c r="AJ3" s="2079" t="str">
        <f t="shared" si="0"/>
        <v>Incineração Mass Burning</v>
      </c>
      <c r="AK3" s="2079" t="str">
        <f t="shared" si="0"/>
        <v>Incineração Mass Burn. Descentralizada</v>
      </c>
    </row>
    <row r="4" spans="1:37" ht="18" customHeight="1" x14ac:dyDescent="0.2">
      <c r="A4" s="2064"/>
      <c r="B4" s="2221" t="s">
        <v>1279</v>
      </c>
      <c r="C4" s="2443">
        <v>333.78523660527316</v>
      </c>
      <c r="D4" s="2209" t="s">
        <v>1280</v>
      </c>
      <c r="E4" s="2444"/>
      <c r="F4" s="2445" t="s">
        <v>1281</v>
      </c>
      <c r="G4" s="2065"/>
      <c r="J4" s="2065"/>
      <c r="K4" s="2065"/>
      <c r="L4" s="2065"/>
      <c r="M4" s="2446" t="s">
        <v>1282</v>
      </c>
      <c r="N4" s="2079" t="s">
        <v>1283</v>
      </c>
      <c r="O4" s="2079" t="s">
        <v>1178</v>
      </c>
      <c r="P4" s="2079" t="s">
        <v>1178</v>
      </c>
      <c r="Q4" s="2079" t="s">
        <v>1284</v>
      </c>
      <c r="R4" s="2079" t="s">
        <v>427</v>
      </c>
      <c r="S4" s="2079" t="s">
        <v>1285</v>
      </c>
      <c r="T4" s="2079" t="s">
        <v>1111</v>
      </c>
      <c r="U4" s="2079" t="s">
        <v>1109</v>
      </c>
      <c r="V4" s="2079" t="s">
        <v>1112</v>
      </c>
      <c r="AA4" s="2435"/>
      <c r="AB4" s="2065"/>
      <c r="AC4" s="1979" t="s">
        <v>1286</v>
      </c>
      <c r="AD4" s="2447" t="s">
        <v>1287</v>
      </c>
      <c r="AE4" s="2448"/>
      <c r="AF4" s="2448"/>
      <c r="AG4" s="2448"/>
      <c r="AH4" s="2448"/>
      <c r="AI4" s="2448"/>
      <c r="AJ4" s="2448"/>
      <c r="AK4" s="2448"/>
    </row>
    <row r="5" spans="1:37" ht="18" customHeight="1" x14ac:dyDescent="0.2">
      <c r="A5" s="2064"/>
      <c r="B5" s="2221" t="s">
        <v>1288</v>
      </c>
      <c r="C5" s="2443">
        <v>1010.75399769561</v>
      </c>
      <c r="D5" s="2209" t="s">
        <v>1137</v>
      </c>
      <c r="E5" s="2444"/>
      <c r="F5" s="2445" t="s">
        <v>1281</v>
      </c>
      <c r="G5" s="2065"/>
      <c r="J5" s="2065"/>
      <c r="K5" s="2065"/>
      <c r="L5" s="2065"/>
      <c r="M5" s="2433"/>
      <c r="N5" s="2449"/>
      <c r="O5" s="2079" t="s">
        <v>1289</v>
      </c>
      <c r="P5" s="2079" t="s">
        <v>131</v>
      </c>
      <c r="Q5" s="2079" t="s">
        <v>1290</v>
      </c>
      <c r="R5" s="2079" t="s">
        <v>1291</v>
      </c>
      <c r="S5" s="2162"/>
      <c r="T5" s="2162"/>
      <c r="U5" s="2449"/>
      <c r="V5" s="2449"/>
      <c r="AA5" s="2435"/>
      <c r="AB5" s="2065"/>
      <c r="AC5" s="2450" t="s">
        <v>1106</v>
      </c>
      <c r="AD5" s="2451">
        <f t="shared" ref="AD5:AK12" si="1">+D73</f>
        <v>0</v>
      </c>
      <c r="AE5" s="2451">
        <f t="shared" si="1"/>
        <v>0</v>
      </c>
      <c r="AF5" s="2451">
        <f t="shared" si="1"/>
        <v>0</v>
      </c>
      <c r="AG5" s="2451">
        <f t="shared" si="1"/>
        <v>0</v>
      </c>
      <c r="AH5" s="2451">
        <f t="shared" si="1"/>
        <v>0</v>
      </c>
      <c r="AI5" s="2451">
        <f t="shared" si="1"/>
        <v>0</v>
      </c>
      <c r="AJ5" s="2451">
        <f t="shared" si="1"/>
        <v>0</v>
      </c>
      <c r="AK5" s="2451">
        <f t="shared" si="1"/>
        <v>0</v>
      </c>
    </row>
    <row r="6" spans="1:37" ht="18" customHeight="1" x14ac:dyDescent="0.2">
      <c r="A6" s="2064"/>
      <c r="B6" s="2452" t="s">
        <v>1292</v>
      </c>
      <c r="C6" s="2453">
        <f>94*3.6</f>
        <v>338.40000000000003</v>
      </c>
      <c r="D6" s="2209" t="s">
        <v>1137</v>
      </c>
      <c r="E6" s="2166" t="s">
        <v>1293</v>
      </c>
      <c r="F6" s="2445" t="s">
        <v>1281</v>
      </c>
      <c r="G6" s="2065"/>
      <c r="J6" s="2065"/>
      <c r="K6" s="2065"/>
      <c r="L6" s="2065"/>
      <c r="M6" s="2433"/>
      <c r="N6" s="2454" t="s">
        <v>1250</v>
      </c>
      <c r="O6" s="2448">
        <v>90</v>
      </c>
      <c r="P6" s="2448">
        <v>95</v>
      </c>
      <c r="Q6" s="2448">
        <v>1256</v>
      </c>
      <c r="R6" s="2448">
        <f>604*0.8</f>
        <v>483.20000000000005</v>
      </c>
      <c r="S6" s="1924">
        <v>64</v>
      </c>
      <c r="T6" s="1924">
        <v>697</v>
      </c>
      <c r="U6" s="2455">
        <v>410</v>
      </c>
      <c r="V6" s="2448">
        <v>0</v>
      </c>
      <c r="AA6" s="2435"/>
      <c r="AB6" s="2065"/>
      <c r="AC6" s="2450" t="s">
        <v>1107</v>
      </c>
      <c r="AD6" s="2451">
        <f t="shared" si="1"/>
        <v>0</v>
      </c>
      <c r="AE6" s="2451">
        <f t="shared" si="1"/>
        <v>0</v>
      </c>
      <c r="AF6" s="2451">
        <f t="shared" si="1"/>
        <v>0</v>
      </c>
      <c r="AG6" s="2451">
        <f t="shared" si="1"/>
        <v>0</v>
      </c>
      <c r="AH6" s="2451">
        <f t="shared" si="1"/>
        <v>0</v>
      </c>
      <c r="AI6" s="2451">
        <f t="shared" si="1"/>
        <v>0</v>
      </c>
      <c r="AJ6" s="2451">
        <f t="shared" si="1"/>
        <v>0</v>
      </c>
      <c r="AK6" s="2451">
        <f t="shared" si="1"/>
        <v>0</v>
      </c>
    </row>
    <row r="7" spans="1:37" ht="18" customHeight="1" x14ac:dyDescent="0.2">
      <c r="A7" s="2429" t="s">
        <v>1294</v>
      </c>
      <c r="B7" s="2456"/>
      <c r="C7" s="2430"/>
      <c r="D7" s="2430"/>
      <c r="E7" s="2457"/>
      <c r="F7" s="2457"/>
      <c r="G7" s="2457"/>
      <c r="H7" s="2430"/>
      <c r="I7" s="2430"/>
      <c r="J7" s="2430"/>
      <c r="K7" s="2430"/>
      <c r="L7" s="2430"/>
      <c r="M7" s="2433"/>
      <c r="N7" s="2454" t="s">
        <v>1251</v>
      </c>
      <c r="O7" s="2448">
        <v>23.9</v>
      </c>
      <c r="P7" s="2448">
        <v>23.9</v>
      </c>
      <c r="Q7" s="2448">
        <v>1548</v>
      </c>
      <c r="R7" s="2448">
        <v>604</v>
      </c>
      <c r="S7" s="1924">
        <v>1712</v>
      </c>
      <c r="T7" s="1924">
        <v>9880</v>
      </c>
      <c r="U7" s="2455">
        <f>1870*0.3+1630*0.29+2190*0.13+1990*0.19+2370*0.09</f>
        <v>1909.8</v>
      </c>
      <c r="V7" s="2448">
        <v>0</v>
      </c>
      <c r="AA7" s="2435"/>
      <c r="AB7" s="2065"/>
      <c r="AC7" s="2450" t="s">
        <v>1108</v>
      </c>
      <c r="AD7" s="2451">
        <f t="shared" si="1"/>
        <v>301.63535999999999</v>
      </c>
      <c r="AE7" s="2451">
        <f t="shared" si="1"/>
        <v>1004.4457488</v>
      </c>
      <c r="AF7" s="2451">
        <f t="shared" si="1"/>
        <v>1004.4457488</v>
      </c>
      <c r="AG7" s="2451">
        <f t="shared" si="1"/>
        <v>1004.4457488</v>
      </c>
      <c r="AH7" s="2451">
        <f t="shared" si="1"/>
        <v>1004.4457488</v>
      </c>
      <c r="AI7" s="2451">
        <f t="shared" si="1"/>
        <v>1004.4457488</v>
      </c>
      <c r="AJ7" s="2451">
        <f t="shared" si="1"/>
        <v>1004.4457488</v>
      </c>
      <c r="AK7" s="2451">
        <f t="shared" si="1"/>
        <v>1004.4457488</v>
      </c>
    </row>
    <row r="8" spans="1:37" ht="18" customHeight="1" x14ac:dyDescent="0.2">
      <c r="A8" s="2065"/>
      <c r="B8" s="2065"/>
      <c r="C8" s="2065"/>
      <c r="D8" s="2065"/>
      <c r="E8" s="2065"/>
      <c r="F8" s="2065"/>
      <c r="G8" s="2065"/>
      <c r="H8" s="2982" t="s">
        <v>1295</v>
      </c>
      <c r="I8" s="2983"/>
      <c r="J8" s="2084"/>
      <c r="K8" s="2084"/>
      <c r="M8" s="2433"/>
      <c r="N8" s="2306" t="s">
        <v>1296</v>
      </c>
      <c r="O8" s="2458">
        <f t="shared" ref="O8:R8" si="2">+O6-O7</f>
        <v>66.099999999999994</v>
      </c>
      <c r="P8" s="2458">
        <f t="shared" si="2"/>
        <v>71.099999999999994</v>
      </c>
      <c r="Q8" s="2458">
        <f t="shared" si="2"/>
        <v>-292</v>
      </c>
      <c r="R8" s="2458">
        <f t="shared" si="2"/>
        <v>-120.79999999999995</v>
      </c>
      <c r="S8" s="2458">
        <f>+S6-S7</f>
        <v>-1648</v>
      </c>
      <c r="T8" s="2458">
        <f>+T6-T7</f>
        <v>-9183</v>
      </c>
      <c r="U8" s="2458">
        <f>+U6-U7</f>
        <v>-1499.8</v>
      </c>
      <c r="V8" s="2458">
        <f>+V6-V7</f>
        <v>0</v>
      </c>
      <c r="AA8" s="2435"/>
      <c r="AB8" s="2065"/>
      <c r="AC8" s="2450" t="s">
        <v>1109</v>
      </c>
      <c r="AD8" s="2451">
        <f t="shared" si="1"/>
        <v>310.84560000000005</v>
      </c>
      <c r="AE8" s="2451">
        <f t="shared" si="1"/>
        <v>683.86032</v>
      </c>
      <c r="AF8" s="2451">
        <f t="shared" si="1"/>
        <v>683.86032</v>
      </c>
      <c r="AG8" s="2451">
        <f t="shared" si="1"/>
        <v>683.86032</v>
      </c>
      <c r="AH8" s="2451">
        <f t="shared" si="1"/>
        <v>683.86032</v>
      </c>
      <c r="AI8" s="2451">
        <f t="shared" si="1"/>
        <v>683.86032</v>
      </c>
      <c r="AJ8" s="2451">
        <f t="shared" si="1"/>
        <v>683.86032</v>
      </c>
      <c r="AK8" s="2451">
        <f t="shared" si="1"/>
        <v>683.86032</v>
      </c>
    </row>
    <row r="9" spans="1:37" ht="18" customHeight="1" x14ac:dyDescent="0.2">
      <c r="A9" s="2065"/>
      <c r="B9" s="2459"/>
      <c r="C9" s="2460" t="s">
        <v>1297</v>
      </c>
      <c r="D9" s="2461"/>
      <c r="E9" s="2065"/>
      <c r="F9" s="2065"/>
      <c r="G9" s="2065"/>
      <c r="H9" s="2462" t="s">
        <v>1298</v>
      </c>
      <c r="I9" s="2462" t="s">
        <v>1299</v>
      </c>
      <c r="J9" s="2462" t="s">
        <v>1298</v>
      </c>
      <c r="M9" s="2433"/>
      <c r="N9" s="2065"/>
      <c r="O9" s="2065"/>
      <c r="P9" s="2065"/>
      <c r="Q9" s="2065"/>
      <c r="R9" s="2065"/>
      <c r="S9" s="2065"/>
      <c r="T9" s="2065"/>
      <c r="U9" s="2065"/>
      <c r="V9" s="2065"/>
      <c r="W9" s="2065"/>
      <c r="X9" s="2065"/>
      <c r="Z9" s="2065"/>
      <c r="AA9" s="2435"/>
      <c r="AB9" s="2065"/>
      <c r="AC9" s="2450" t="s">
        <v>50</v>
      </c>
      <c r="AD9" s="2451">
        <f t="shared" si="1"/>
        <v>0</v>
      </c>
      <c r="AE9" s="2451">
        <f t="shared" si="1"/>
        <v>0</v>
      </c>
      <c r="AF9" s="2451">
        <f t="shared" si="1"/>
        <v>0</v>
      </c>
      <c r="AG9" s="2451">
        <f t="shared" si="1"/>
        <v>0</v>
      </c>
      <c r="AH9" s="2451">
        <f t="shared" si="1"/>
        <v>0</v>
      </c>
      <c r="AI9" s="2451">
        <f t="shared" si="1"/>
        <v>0</v>
      </c>
      <c r="AJ9" s="2451">
        <f t="shared" si="1"/>
        <v>0</v>
      </c>
      <c r="AK9" s="2451">
        <f t="shared" si="1"/>
        <v>0</v>
      </c>
    </row>
    <row r="10" spans="1:37" ht="18" customHeight="1" x14ac:dyDescent="0.2">
      <c r="A10" s="2065"/>
      <c r="B10" s="2463" t="s">
        <v>1300</v>
      </c>
      <c r="C10" s="1962" t="s">
        <v>1298</v>
      </c>
      <c r="D10" s="1962" t="s">
        <v>1301</v>
      </c>
      <c r="E10" s="2065"/>
      <c r="F10" s="2065"/>
      <c r="G10" s="2065"/>
      <c r="H10" s="2306" t="s">
        <v>1302</v>
      </c>
      <c r="I10" s="2306" t="s">
        <v>1303</v>
      </c>
      <c r="J10" s="2464" t="s">
        <v>1303</v>
      </c>
      <c r="M10" s="2433"/>
      <c r="N10" s="1989" t="s">
        <v>1304</v>
      </c>
      <c r="O10" s="1990"/>
      <c r="P10" s="2465" t="s">
        <v>1305</v>
      </c>
      <c r="Q10" s="2466"/>
      <c r="R10" s="2448">
        <v>100</v>
      </c>
      <c r="S10" s="2064" t="s">
        <v>1306</v>
      </c>
      <c r="T10" s="2064"/>
      <c r="U10" s="2064"/>
      <c r="V10" s="2065"/>
      <c r="W10" s="2065"/>
      <c r="X10" s="2065"/>
      <c r="Z10" s="2434"/>
      <c r="AA10" s="2435"/>
      <c r="AB10" s="2065"/>
      <c r="AC10" s="2450" t="s">
        <v>1110</v>
      </c>
      <c r="AD10" s="2451">
        <f t="shared" si="1"/>
        <v>105.91776</v>
      </c>
      <c r="AE10" s="2451">
        <f t="shared" si="1"/>
        <v>503.10935999999998</v>
      </c>
      <c r="AF10" s="2451">
        <f t="shared" si="1"/>
        <v>503.10935999999998</v>
      </c>
      <c r="AG10" s="2451">
        <f t="shared" si="1"/>
        <v>503.10935999999998</v>
      </c>
      <c r="AH10" s="2451">
        <f t="shared" si="1"/>
        <v>503.10935999999998</v>
      </c>
      <c r="AI10" s="2451">
        <f t="shared" si="1"/>
        <v>503.10935999999998</v>
      </c>
      <c r="AJ10" s="2451">
        <f t="shared" si="1"/>
        <v>503.10935999999998</v>
      </c>
      <c r="AK10" s="2451">
        <f t="shared" si="1"/>
        <v>503.10935999999998</v>
      </c>
    </row>
    <row r="11" spans="1:37" ht="18" customHeight="1" x14ac:dyDescent="0.2">
      <c r="A11" s="2065"/>
      <c r="B11" s="2450" t="s">
        <v>1106</v>
      </c>
      <c r="C11" s="2467">
        <v>0.152</v>
      </c>
      <c r="D11" s="2468">
        <v>0</v>
      </c>
      <c r="E11" s="2064" t="s">
        <v>1303</v>
      </c>
      <c r="F11" s="2064"/>
      <c r="G11" s="2064"/>
      <c r="H11" s="2213">
        <v>0.38</v>
      </c>
      <c r="I11" s="2213">
        <v>0.4</v>
      </c>
      <c r="J11" s="2469">
        <f t="shared" ref="J11:J23" si="3">+I11*H11</f>
        <v>0.15200000000000002</v>
      </c>
      <c r="M11" s="2433"/>
      <c r="N11" s="2065"/>
      <c r="O11" s="2065"/>
      <c r="P11" s="2465" t="s">
        <v>1307</v>
      </c>
      <c r="Q11" s="2466"/>
      <c r="R11" s="2468">
        <v>0.6</v>
      </c>
      <c r="S11" s="2064" t="s">
        <v>1308</v>
      </c>
      <c r="T11" s="2064"/>
      <c r="U11" s="2064"/>
      <c r="V11" s="2065"/>
      <c r="W11" s="2065"/>
      <c r="X11" s="2065"/>
      <c r="Z11" s="2434"/>
      <c r="AA11" s="2435"/>
      <c r="AB11" s="2065"/>
      <c r="AC11" s="2450" t="s">
        <v>1111</v>
      </c>
      <c r="AD11" s="2451">
        <f t="shared" si="1"/>
        <v>27.630719999999997</v>
      </c>
      <c r="AE11" s="2451">
        <f t="shared" si="1"/>
        <v>131.24591999999998</v>
      </c>
      <c r="AF11" s="2451">
        <f t="shared" si="1"/>
        <v>131.24591999999998</v>
      </c>
      <c r="AG11" s="2451">
        <f t="shared" si="1"/>
        <v>131.24591999999998</v>
      </c>
      <c r="AH11" s="2451">
        <f t="shared" si="1"/>
        <v>131.24591999999998</v>
      </c>
      <c r="AI11" s="2451">
        <f t="shared" si="1"/>
        <v>131.24591999999998</v>
      </c>
      <c r="AJ11" s="2451">
        <f t="shared" si="1"/>
        <v>131.24591999999998</v>
      </c>
      <c r="AK11" s="2451">
        <f t="shared" si="1"/>
        <v>131.24591999999998</v>
      </c>
    </row>
    <row r="12" spans="1:37" ht="18" customHeight="1" x14ac:dyDescent="0.2">
      <c r="A12" s="2065"/>
      <c r="B12" s="2450" t="s">
        <v>1107</v>
      </c>
      <c r="C12" s="2467">
        <v>0.19600000000000001</v>
      </c>
      <c r="D12" s="2468">
        <v>0</v>
      </c>
      <c r="E12" s="2064" t="s">
        <v>1303</v>
      </c>
      <c r="F12" s="2064"/>
      <c r="G12" s="2064"/>
      <c r="H12" s="2213">
        <v>0.49</v>
      </c>
      <c r="I12" s="2213">
        <v>0.4</v>
      </c>
      <c r="J12" s="2469">
        <f t="shared" si="3"/>
        <v>0.19600000000000001</v>
      </c>
      <c r="M12" s="2433"/>
      <c r="N12" s="2065"/>
      <c r="O12" s="2065"/>
      <c r="P12" s="2465" t="s">
        <v>1309</v>
      </c>
      <c r="Q12" s="2466"/>
      <c r="R12" s="2468">
        <v>0.3</v>
      </c>
      <c r="S12" s="2064" t="s">
        <v>194</v>
      </c>
      <c r="T12" s="2064"/>
      <c r="U12" s="2064"/>
      <c r="V12" s="2065"/>
      <c r="W12" s="2065"/>
      <c r="X12" s="2065"/>
      <c r="Z12" s="2434"/>
      <c r="AA12" s="2435"/>
      <c r="AB12" s="2065"/>
      <c r="AC12" s="2450" t="s">
        <v>1112</v>
      </c>
      <c r="AD12" s="2451">
        <f t="shared" si="1"/>
        <v>0</v>
      </c>
      <c r="AE12" s="2451">
        <f t="shared" si="1"/>
        <v>0</v>
      </c>
      <c r="AF12" s="2451">
        <f t="shared" si="1"/>
        <v>0</v>
      </c>
      <c r="AG12" s="2451">
        <f t="shared" si="1"/>
        <v>0</v>
      </c>
      <c r="AH12" s="2451">
        <f t="shared" si="1"/>
        <v>0</v>
      </c>
      <c r="AI12" s="2451">
        <f t="shared" si="1"/>
        <v>0</v>
      </c>
      <c r="AJ12" s="2451">
        <f t="shared" si="1"/>
        <v>0</v>
      </c>
      <c r="AK12" s="2451">
        <f t="shared" si="1"/>
        <v>0</v>
      </c>
    </row>
    <row r="13" spans="1:37" ht="18" customHeight="1" x14ac:dyDescent="0.2">
      <c r="A13" s="2470"/>
      <c r="B13" s="2450" t="s">
        <v>1108</v>
      </c>
      <c r="C13" s="2467">
        <v>0.41399999999999998</v>
      </c>
      <c r="D13" s="2468">
        <v>0.01</v>
      </c>
      <c r="E13" s="2064" t="s">
        <v>1303</v>
      </c>
      <c r="F13" s="2064"/>
      <c r="G13" s="2064"/>
      <c r="H13" s="2213">
        <v>0.46</v>
      </c>
      <c r="I13" s="2213">
        <v>0.9</v>
      </c>
      <c r="J13" s="2469">
        <f t="shared" si="3"/>
        <v>0.41400000000000003</v>
      </c>
      <c r="M13" s="2433"/>
      <c r="N13" s="2065"/>
      <c r="O13" s="2065"/>
      <c r="P13" s="2465" t="s">
        <v>1310</v>
      </c>
      <c r="Q13" s="2466"/>
      <c r="R13" s="2448">
        <f>+R10*R11*10*R12</f>
        <v>180</v>
      </c>
      <c r="S13" s="2064" t="s">
        <v>1311</v>
      </c>
      <c r="T13" s="2064"/>
      <c r="U13" s="2064"/>
      <c r="V13" s="2065"/>
      <c r="W13" s="2065"/>
      <c r="X13" s="2065"/>
      <c r="Z13" s="2434"/>
      <c r="AA13" s="2435"/>
      <c r="AB13" s="2065"/>
      <c r="AC13" s="2471" t="s">
        <v>1312</v>
      </c>
      <c r="AD13" s="2307">
        <f t="shared" ref="AD13:AJ13" si="4">SUM(AD5:AD12)</f>
        <v>746.02944000000014</v>
      </c>
      <c r="AE13" s="2307">
        <f t="shared" si="4"/>
        <v>2322.6613487999998</v>
      </c>
      <c r="AF13" s="2307">
        <f t="shared" ref="AF13" si="5">SUM(AF5:AF12)</f>
        <v>2322.6613487999998</v>
      </c>
      <c r="AG13" s="2307">
        <f t="shared" si="4"/>
        <v>2322.6613487999998</v>
      </c>
      <c r="AH13" s="2307">
        <f t="shared" si="4"/>
        <v>2322.6613487999998</v>
      </c>
      <c r="AI13" s="2307">
        <f t="shared" si="4"/>
        <v>2322.6613487999998</v>
      </c>
      <c r="AJ13" s="2307">
        <f t="shared" si="4"/>
        <v>2322.6613487999998</v>
      </c>
      <c r="AK13" s="2307">
        <f t="shared" ref="AK13" si="6">SUM(AK5:AK12)</f>
        <v>2322.6613487999998</v>
      </c>
    </row>
    <row r="14" spans="1:37" ht="18" customHeight="1" x14ac:dyDescent="0.2">
      <c r="A14" s="2065"/>
      <c r="B14" s="2450" t="s">
        <v>1109</v>
      </c>
      <c r="C14" s="2467">
        <v>0.75</v>
      </c>
      <c r="D14" s="2468">
        <v>1</v>
      </c>
      <c r="E14" s="2064" t="s">
        <v>1303</v>
      </c>
      <c r="F14" s="2064"/>
      <c r="G14" s="2064"/>
      <c r="H14" s="2213">
        <v>0.75</v>
      </c>
      <c r="I14" s="2213">
        <v>1</v>
      </c>
      <c r="J14" s="2469">
        <f t="shared" si="3"/>
        <v>0.75</v>
      </c>
      <c r="M14" s="2433"/>
      <c r="N14" s="2065"/>
      <c r="O14" s="2065"/>
      <c r="P14" s="2465" t="s">
        <v>1313</v>
      </c>
      <c r="Q14" s="2466"/>
      <c r="R14" s="2472">
        <f>R10*R11*10</f>
        <v>600</v>
      </c>
      <c r="S14" s="2064" t="s">
        <v>1311</v>
      </c>
      <c r="T14" s="2064"/>
      <c r="U14" s="2064"/>
      <c r="V14" s="2065"/>
      <c r="W14" s="2065"/>
      <c r="X14" s="2065"/>
      <c r="Z14" s="2434"/>
      <c r="AA14" s="2435"/>
      <c r="AB14" s="2065"/>
      <c r="AC14" s="2440"/>
      <c r="AD14" s="2064"/>
      <c r="AE14" s="2064"/>
      <c r="AF14" s="2064"/>
      <c r="AG14" s="2064"/>
      <c r="AH14" s="2064"/>
      <c r="AI14" s="2064"/>
      <c r="AJ14" s="2064"/>
      <c r="AK14" s="2064"/>
    </row>
    <row r="15" spans="1:37" ht="18" customHeight="1" x14ac:dyDescent="0.2">
      <c r="A15" s="2065"/>
      <c r="B15" s="2450" t="s">
        <v>50</v>
      </c>
      <c r="C15" s="2468">
        <v>0</v>
      </c>
      <c r="D15" s="2468">
        <v>0</v>
      </c>
      <c r="E15" s="2064" t="s">
        <v>1303</v>
      </c>
      <c r="F15" s="2064"/>
      <c r="G15" s="2064"/>
      <c r="H15" s="2213">
        <v>0</v>
      </c>
      <c r="I15" s="2213">
        <v>1</v>
      </c>
      <c r="J15" s="2469">
        <f t="shared" si="3"/>
        <v>0</v>
      </c>
      <c r="M15" s="2446" t="s">
        <v>1282</v>
      </c>
      <c r="N15" s="2064"/>
      <c r="O15" s="2065"/>
      <c r="P15" s="2065"/>
      <c r="Q15" s="2065"/>
      <c r="R15" s="2065"/>
      <c r="S15" s="2065"/>
      <c r="T15" s="2065"/>
      <c r="U15" s="2065"/>
      <c r="V15" s="2065"/>
      <c r="W15" s="2065"/>
      <c r="X15" s="2065"/>
      <c r="Y15" s="2065"/>
      <c r="Z15" s="2434"/>
      <c r="AA15" s="2435"/>
      <c r="AB15" s="2065"/>
      <c r="AC15" s="1979" t="s">
        <v>1250</v>
      </c>
      <c r="AD15" s="2473" t="s">
        <v>1314</v>
      </c>
      <c r="AE15" s="2064"/>
      <c r="AF15" s="2064"/>
      <c r="AG15" s="2064"/>
      <c r="AH15" s="2064"/>
      <c r="AI15" s="2064"/>
      <c r="AJ15" s="2064"/>
      <c r="AK15" s="2064"/>
    </row>
    <row r="16" spans="1:37" ht="18" customHeight="1" x14ac:dyDescent="0.2">
      <c r="A16" s="2065"/>
      <c r="B16" s="2450" t="s">
        <v>1315</v>
      </c>
      <c r="C16" s="2468">
        <v>0</v>
      </c>
      <c r="D16" s="2468">
        <v>0</v>
      </c>
      <c r="E16" s="2064" t="s">
        <v>1303</v>
      </c>
      <c r="F16" s="2064"/>
      <c r="G16" s="2064"/>
      <c r="H16" s="2213">
        <v>0</v>
      </c>
      <c r="I16" s="2213">
        <v>1</v>
      </c>
      <c r="J16" s="2469">
        <f t="shared" si="3"/>
        <v>0</v>
      </c>
      <c r="M16" s="2433"/>
      <c r="N16" s="1989" t="s">
        <v>1316</v>
      </c>
      <c r="O16" s="1990"/>
      <c r="P16" s="2199"/>
      <c r="Q16" s="2065"/>
      <c r="R16" s="2065"/>
      <c r="S16" s="2065"/>
      <c r="T16" s="2065"/>
      <c r="U16" s="2065"/>
      <c r="V16" s="2065"/>
      <c r="W16" s="2065"/>
      <c r="X16" s="2065"/>
      <c r="Y16" s="2065"/>
      <c r="Z16" s="2434"/>
      <c r="AA16" s="2435"/>
      <c r="AB16" s="2065"/>
      <c r="AC16" s="2450" t="str">
        <f t="shared" ref="AC16:AC23" si="7">+$AC5</f>
        <v>Resíduos de alimentos</v>
      </c>
      <c r="AD16" s="2451">
        <f>+AD5*((1-'CO2 - Reciclagem'!E31)*$P$6+'CO2 - Reciclagem'!E31*$O$6)/1000</f>
        <v>0</v>
      </c>
      <c r="AE16" s="2451">
        <f>+AE5*((1-'CO2 - Reciclagem'!G31)*$P$6+'CO2 - Reciclagem'!G31*$O$6)/1000</f>
        <v>0</v>
      </c>
      <c r="AF16" s="2451">
        <f>+AF5*((1-'CO2 - Reciclagem'!H31)*$P$6+'CO2 - Reciclagem'!H31*$O$6)/1000</f>
        <v>0</v>
      </c>
      <c r="AG16" s="2451">
        <f>+AG5*((1-'CO2 - Reciclagem'!I31)*$P$6+'CO2 - Reciclagem'!I31*$O$6)/1000</f>
        <v>0</v>
      </c>
      <c r="AH16" s="2451">
        <f>+AH5*((1-'CO2 - Reciclagem'!J31)*$P$6+'CO2 - Reciclagem'!J31*$O$6)/1000</f>
        <v>0</v>
      </c>
      <c r="AI16" s="2451">
        <f>+AI5*((1-'CO2 - Reciclagem'!K31)*$P$6+'CO2 - Reciclagem'!K31*$O$6)/1000</f>
        <v>0</v>
      </c>
      <c r="AJ16" s="2451">
        <f>+AJ5*((1-'CO2 - Reciclagem'!L31)*$P$6+'CO2 - Reciclagem'!L31*$O$6)/1000</f>
        <v>0</v>
      </c>
      <c r="AK16" s="2451">
        <f>+AK5*((1-'CO2 - Reciclagem'!M31)*$P$6+'CO2 - Reciclagem'!M31*$O$6)/1000</f>
        <v>0</v>
      </c>
    </row>
    <row r="17" spans="1:37" ht="18" customHeight="1" x14ac:dyDescent="0.2">
      <c r="A17" s="2065"/>
      <c r="B17" s="2450" t="s">
        <v>1111</v>
      </c>
      <c r="C17" s="2468">
        <v>0</v>
      </c>
      <c r="D17" s="2468">
        <v>0</v>
      </c>
      <c r="E17" s="2064" t="s">
        <v>1303</v>
      </c>
      <c r="F17" s="2064"/>
      <c r="G17" s="2064"/>
      <c r="H17" s="2213">
        <v>0</v>
      </c>
      <c r="I17" s="2213">
        <v>1</v>
      </c>
      <c r="J17" s="2469">
        <f t="shared" si="3"/>
        <v>0</v>
      </c>
      <c r="M17" s="2433"/>
      <c r="N17" s="2084"/>
      <c r="O17" s="2084"/>
      <c r="P17" s="2084"/>
      <c r="Q17" s="2079" t="str">
        <f>+$D$72</f>
        <v>Cenário-Base</v>
      </c>
      <c r="R17" s="2079" t="str">
        <f t="shared" ref="R17:X17" si="8">+E72</f>
        <v>Biodigestão RT1A + CDR TM</v>
      </c>
      <c r="S17" s="2079" t="str">
        <f t="shared" si="8"/>
        <v>Biodigestão RT1B + CDR TM</v>
      </c>
      <c r="T17" s="2079" t="str">
        <f t="shared" si="8"/>
        <v>Biodigestão RT1C + CDR TM</v>
      </c>
      <c r="U17" s="2079" t="str">
        <f t="shared" si="8"/>
        <v>Compostagem + CDR TM</v>
      </c>
      <c r="V17" s="2079" t="str">
        <f t="shared" si="8"/>
        <v xml:space="preserve">Biosecagem + CDR TMB </v>
      </c>
      <c r="W17" s="2079" t="str">
        <f t="shared" si="8"/>
        <v>Incineração Mass Burning</v>
      </c>
      <c r="X17" s="2079" t="str">
        <f t="shared" si="8"/>
        <v>Incineração Mass Burn. Descentralizada</v>
      </c>
      <c r="Y17" s="2065"/>
      <c r="Z17" s="2434"/>
      <c r="AA17" s="2435"/>
      <c r="AB17" s="2065"/>
      <c r="AC17" s="2450" t="str">
        <f t="shared" si="7"/>
        <v>Resíduos de jardins e parques</v>
      </c>
      <c r="AD17" s="2451">
        <f>+AD6*((1-'CO2 - Reciclagem'!E31)*$P$6+'CO2 - Reciclagem'!E31*$O$6)/1000</f>
        <v>0</v>
      </c>
      <c r="AE17" s="2451">
        <f>+AE6*((1-'CO2 - Reciclagem'!G31)*$P$6+'CO2 - Reciclagem'!G31*$O$6)/1000</f>
        <v>0</v>
      </c>
      <c r="AF17" s="2451">
        <f>+AF6*((1-'CO2 - Reciclagem'!H31)*$P$6+'CO2 - Reciclagem'!H31*$O$6)/1000</f>
        <v>0</v>
      </c>
      <c r="AG17" s="2451">
        <f>+AG6*((1-'CO2 - Reciclagem'!I31)*$P$6+'CO2 - Reciclagem'!I31*$O$6)/1000</f>
        <v>0</v>
      </c>
      <c r="AH17" s="2451">
        <f>+AH6*((1-'CO2 - Reciclagem'!J31)*$P$6+'CO2 - Reciclagem'!J31*$O$6)/1000</f>
        <v>0</v>
      </c>
      <c r="AI17" s="2451">
        <f>+AI6*((1-'CO2 - Reciclagem'!K31)*$P$6+'CO2 - Reciclagem'!K31*$O$6)/1000</f>
        <v>0</v>
      </c>
      <c r="AJ17" s="2451">
        <f>+AJ6*((1-'CO2 - Reciclagem'!L31)*$P$6+'CO2 - Reciclagem'!L31*$O$6)/1000</f>
        <v>0</v>
      </c>
      <c r="AK17" s="2451">
        <f>+AK6*((1-'CO2 - Reciclagem'!M31)*$P$6+'CO2 - Reciclagem'!M31*$O$6)/1000</f>
        <v>0</v>
      </c>
    </row>
    <row r="18" spans="1:37" ht="18" customHeight="1" x14ac:dyDescent="0.2">
      <c r="A18" s="2065"/>
      <c r="B18" s="2450" t="s">
        <v>1112</v>
      </c>
      <c r="C18" s="2467">
        <v>0.4</v>
      </c>
      <c r="D18" s="2468">
        <v>0.2</v>
      </c>
      <c r="E18" s="2064" t="s">
        <v>1303</v>
      </c>
      <c r="F18" s="2064"/>
      <c r="G18" s="2064"/>
      <c r="H18" s="2213">
        <v>0.5</v>
      </c>
      <c r="I18" s="2213">
        <v>0.8</v>
      </c>
      <c r="J18" s="2469">
        <f t="shared" si="3"/>
        <v>0.4</v>
      </c>
      <c r="M18" s="2433"/>
      <c r="N18" s="2465" t="s">
        <v>1193</v>
      </c>
      <c r="O18" s="2466"/>
      <c r="P18" s="2474"/>
      <c r="Q18" s="2472"/>
      <c r="R18" s="2472"/>
      <c r="S18" s="2472"/>
      <c r="T18" s="2472"/>
      <c r="U18" s="2472"/>
      <c r="V18" s="2472"/>
      <c r="W18" s="2472"/>
      <c r="X18" s="2472"/>
      <c r="Y18" s="2065"/>
      <c r="Z18" s="2434"/>
      <c r="AA18" s="2435"/>
      <c r="AB18" s="2065"/>
      <c r="AC18" s="2450" t="str">
        <f t="shared" si="7"/>
        <v>Papel, papelão</v>
      </c>
      <c r="AD18" s="2451">
        <f t="shared" ref="AD18:AK18" si="9">+AD7*$Q$6/1000</f>
        <v>378.85401215999997</v>
      </c>
      <c r="AE18" s="2451">
        <f t="shared" si="9"/>
        <v>1261.5838604928001</v>
      </c>
      <c r="AF18" s="2451">
        <f t="shared" si="9"/>
        <v>1261.5838604928001</v>
      </c>
      <c r="AG18" s="2451">
        <f t="shared" si="9"/>
        <v>1261.5838604928001</v>
      </c>
      <c r="AH18" s="2451">
        <f t="shared" si="9"/>
        <v>1261.5838604928001</v>
      </c>
      <c r="AI18" s="2451">
        <f t="shared" si="9"/>
        <v>1261.5838604928001</v>
      </c>
      <c r="AJ18" s="2451">
        <f t="shared" si="9"/>
        <v>1261.5838604928001</v>
      </c>
      <c r="AK18" s="2451">
        <f t="shared" si="9"/>
        <v>1261.5838604928001</v>
      </c>
    </row>
    <row r="19" spans="1:37" ht="18" customHeight="1" x14ac:dyDescent="0.2">
      <c r="A19" s="2065"/>
      <c r="B19" s="2450" t="s">
        <v>1317</v>
      </c>
      <c r="C19" s="2467">
        <v>0.56299999999999994</v>
      </c>
      <c r="D19" s="2468">
        <v>0.2</v>
      </c>
      <c r="E19" s="2064" t="s">
        <v>1303</v>
      </c>
      <c r="F19" s="2064"/>
      <c r="G19" s="2064"/>
      <c r="H19" s="2213">
        <v>0.67</v>
      </c>
      <c r="I19" s="2213">
        <v>0.84</v>
      </c>
      <c r="J19" s="2469">
        <f t="shared" si="3"/>
        <v>0.56279999999999997</v>
      </c>
      <c r="M19" s="2433"/>
      <c r="N19" s="2475" t="s">
        <v>1318</v>
      </c>
      <c r="O19" s="2466"/>
      <c r="P19" s="2474"/>
      <c r="Q19" s="2476">
        <f t="shared" ref="Q19:X19" si="10">+D120</f>
        <v>0.10246513642000825</v>
      </c>
      <c r="R19" s="2476">
        <f t="shared" si="10"/>
        <v>9.661471714229472E-2</v>
      </c>
      <c r="S19" s="2476">
        <f t="shared" si="10"/>
        <v>9.661471714229472E-2</v>
      </c>
      <c r="T19" s="2476">
        <f t="shared" si="10"/>
        <v>9.661471714229472E-2</v>
      </c>
      <c r="U19" s="2476">
        <f t="shared" si="10"/>
        <v>9.661471714229472E-2</v>
      </c>
      <c r="V19" s="2476">
        <f t="shared" si="10"/>
        <v>9.661471714229472E-2</v>
      </c>
      <c r="W19" s="2476">
        <f t="shared" si="10"/>
        <v>9.661471714229472E-2</v>
      </c>
      <c r="X19" s="2476">
        <f t="shared" si="10"/>
        <v>9.661471714229472E-2</v>
      </c>
      <c r="Y19" s="2064" t="s">
        <v>1303</v>
      </c>
      <c r="Z19" s="2434"/>
      <c r="AA19" s="2435"/>
      <c r="AB19" s="2065"/>
      <c r="AC19" s="2450" t="str">
        <f t="shared" si="7"/>
        <v>Plásticos</v>
      </c>
      <c r="AD19" s="2451">
        <f t="shared" ref="AD19:AK19" si="11">+AD8*$U$6/1000</f>
        <v>127.44669600000003</v>
      </c>
      <c r="AE19" s="2451">
        <f t="shared" si="11"/>
        <v>280.38273119999997</v>
      </c>
      <c r="AF19" s="2451">
        <f t="shared" si="11"/>
        <v>280.38273119999997</v>
      </c>
      <c r="AG19" s="2451">
        <f t="shared" si="11"/>
        <v>280.38273119999997</v>
      </c>
      <c r="AH19" s="2451">
        <f t="shared" si="11"/>
        <v>280.38273119999997</v>
      </c>
      <c r="AI19" s="2451">
        <f t="shared" si="11"/>
        <v>280.38273119999997</v>
      </c>
      <c r="AJ19" s="2451">
        <f t="shared" si="11"/>
        <v>280.38273119999997</v>
      </c>
      <c r="AK19" s="2451">
        <f t="shared" si="11"/>
        <v>280.38273119999997</v>
      </c>
    </row>
    <row r="20" spans="1:37" ht="18" customHeight="1" x14ac:dyDescent="0.2">
      <c r="A20" s="2065"/>
      <c r="B20" s="2450" t="s">
        <v>1319</v>
      </c>
      <c r="C20" s="2467">
        <v>0.28000000000000003</v>
      </c>
      <c r="D20" s="2468">
        <v>0.1</v>
      </c>
      <c r="E20" s="2064" t="s">
        <v>1303</v>
      </c>
      <c r="F20" s="2064"/>
      <c r="G20" s="2064"/>
      <c r="H20" s="2213">
        <v>0.7</v>
      </c>
      <c r="I20" s="2213">
        <v>0.4</v>
      </c>
      <c r="J20" s="2469">
        <f t="shared" si="3"/>
        <v>0.27999999999999997</v>
      </c>
      <c r="M20" s="2433"/>
      <c r="N20" s="2465" t="s">
        <v>1320</v>
      </c>
      <c r="O20" s="2477"/>
      <c r="P20" s="2478"/>
      <c r="Q20" s="2479">
        <f t="shared" ref="Q20:X20" si="12">+Q19*44/12*1000</f>
        <v>375.70550020669691</v>
      </c>
      <c r="R20" s="2479">
        <f t="shared" si="12"/>
        <v>354.25396285508066</v>
      </c>
      <c r="S20" s="2479">
        <f t="shared" si="12"/>
        <v>354.25396285508066</v>
      </c>
      <c r="T20" s="2479">
        <f t="shared" si="12"/>
        <v>354.25396285508066</v>
      </c>
      <c r="U20" s="2479">
        <f t="shared" si="12"/>
        <v>354.25396285508066</v>
      </c>
      <c r="V20" s="2479">
        <f t="shared" si="12"/>
        <v>354.25396285508066</v>
      </c>
      <c r="W20" s="2479">
        <f t="shared" si="12"/>
        <v>354.25396285508066</v>
      </c>
      <c r="X20" s="2479">
        <f t="shared" si="12"/>
        <v>354.25396285508066</v>
      </c>
      <c r="Y20" s="2473" t="s">
        <v>1321</v>
      </c>
      <c r="Z20" s="2434"/>
      <c r="AA20" s="2435"/>
      <c r="AB20" s="2065"/>
      <c r="AC20" s="2450" t="str">
        <f t="shared" si="7"/>
        <v>Vidros</v>
      </c>
      <c r="AD20" s="2451">
        <f t="shared" ref="AD20:AK20" si="13">+AD9*$R$6/1000</f>
        <v>0</v>
      </c>
      <c r="AE20" s="2451">
        <f t="shared" si="13"/>
        <v>0</v>
      </c>
      <c r="AF20" s="2451">
        <f t="shared" si="13"/>
        <v>0</v>
      </c>
      <c r="AG20" s="2451">
        <f t="shared" si="13"/>
        <v>0</v>
      </c>
      <c r="AH20" s="2451">
        <f t="shared" si="13"/>
        <v>0</v>
      </c>
      <c r="AI20" s="2451">
        <f t="shared" si="13"/>
        <v>0</v>
      </c>
      <c r="AJ20" s="2451">
        <f t="shared" si="13"/>
        <v>0</v>
      </c>
      <c r="AK20" s="2451">
        <f t="shared" si="13"/>
        <v>0</v>
      </c>
    </row>
    <row r="21" spans="1:37" ht="18" customHeight="1" x14ac:dyDescent="0.2">
      <c r="A21" s="2065"/>
      <c r="B21" s="2450" t="s">
        <v>1115</v>
      </c>
      <c r="C21" s="2467">
        <v>0.42499999999999999</v>
      </c>
      <c r="D21" s="2468">
        <v>0</v>
      </c>
      <c r="E21" s="2064" t="s">
        <v>1303</v>
      </c>
      <c r="F21" s="2064"/>
      <c r="G21" s="2064"/>
      <c r="H21" s="2213">
        <v>0.5</v>
      </c>
      <c r="I21" s="2213">
        <v>0.85</v>
      </c>
      <c r="J21" s="2469">
        <f t="shared" si="3"/>
        <v>0.42499999999999999</v>
      </c>
      <c r="M21" s="2433"/>
      <c r="N21" s="2065"/>
      <c r="O21" s="2065"/>
      <c r="P21" s="2065"/>
      <c r="Q21" s="2065"/>
      <c r="R21" s="2065"/>
      <c r="S21" s="2065"/>
      <c r="T21" s="2065"/>
      <c r="U21" s="2065"/>
      <c r="V21" s="2065"/>
      <c r="W21" s="2065"/>
      <c r="X21" s="2065"/>
      <c r="Y21" s="2065"/>
      <c r="Z21" s="2434"/>
      <c r="AA21" s="2435"/>
      <c r="AB21" s="2065"/>
      <c r="AC21" s="2450" t="str">
        <f t="shared" si="7"/>
        <v>Metais ferrosos</v>
      </c>
      <c r="AD21" s="2451">
        <f t="shared" ref="AD21:AK21" si="14">+AD10*$S$6/1000</f>
        <v>6.77873664</v>
      </c>
      <c r="AE21" s="2451">
        <f t="shared" si="14"/>
        <v>32.198999039999997</v>
      </c>
      <c r="AF21" s="2451">
        <f t="shared" si="14"/>
        <v>32.198999039999997</v>
      </c>
      <c r="AG21" s="2451">
        <f t="shared" si="14"/>
        <v>32.198999039999997</v>
      </c>
      <c r="AH21" s="2451">
        <f t="shared" si="14"/>
        <v>32.198999039999997</v>
      </c>
      <c r="AI21" s="2451">
        <f t="shared" si="14"/>
        <v>32.198999039999997</v>
      </c>
      <c r="AJ21" s="2451">
        <f t="shared" si="14"/>
        <v>32.198999039999997</v>
      </c>
      <c r="AK21" s="2451">
        <f t="shared" si="14"/>
        <v>32.198999039999997</v>
      </c>
    </row>
    <row r="22" spans="1:37" ht="18" customHeight="1" x14ac:dyDescent="0.2">
      <c r="A22" s="2065"/>
      <c r="B22" s="2450" t="s">
        <v>1116</v>
      </c>
      <c r="C22" s="2467">
        <v>0</v>
      </c>
      <c r="D22" s="2468">
        <v>0</v>
      </c>
      <c r="E22" s="2064" t="s">
        <v>1303</v>
      </c>
      <c r="F22" s="2064"/>
      <c r="G22" s="2064"/>
      <c r="H22" s="2213">
        <v>0</v>
      </c>
      <c r="I22" s="2213">
        <v>1</v>
      </c>
      <c r="J22" s="2469">
        <f t="shared" si="3"/>
        <v>0</v>
      </c>
      <c r="M22" s="2433"/>
      <c r="N22" s="1989" t="s">
        <v>225</v>
      </c>
      <c r="O22" s="1990"/>
      <c r="P22" s="2199"/>
      <c r="Q22" s="2065"/>
      <c r="R22" s="2065"/>
      <c r="S22" s="2065"/>
      <c r="T22" s="2065"/>
      <c r="U22" s="2065"/>
      <c r="V22" s="2065"/>
      <c r="W22" s="2065"/>
      <c r="X22" s="2065"/>
      <c r="Y22" s="2065"/>
      <c r="Z22" s="2434"/>
      <c r="AA22" s="2435"/>
      <c r="AB22" s="2065"/>
      <c r="AC22" s="2450" t="str">
        <f t="shared" si="7"/>
        <v>Alumínio</v>
      </c>
      <c r="AD22" s="2451">
        <f t="shared" ref="AD22:AK22" si="15">+AD11*$T$6/1000</f>
        <v>19.258611839999997</v>
      </c>
      <c r="AE22" s="2451">
        <f t="shared" si="15"/>
        <v>91.478406239999984</v>
      </c>
      <c r="AF22" s="2451">
        <f t="shared" si="15"/>
        <v>91.478406239999984</v>
      </c>
      <c r="AG22" s="2451">
        <f t="shared" si="15"/>
        <v>91.478406239999984</v>
      </c>
      <c r="AH22" s="2451">
        <f t="shared" si="15"/>
        <v>91.478406239999984</v>
      </c>
      <c r="AI22" s="2451">
        <f t="shared" si="15"/>
        <v>91.478406239999984</v>
      </c>
      <c r="AJ22" s="2451">
        <f t="shared" si="15"/>
        <v>91.478406239999984</v>
      </c>
      <c r="AK22" s="2451">
        <f t="shared" si="15"/>
        <v>91.478406239999984</v>
      </c>
    </row>
    <row r="23" spans="1:37" ht="18" customHeight="1" x14ac:dyDescent="0.2">
      <c r="A23" s="2065"/>
      <c r="B23" s="2450" t="s">
        <v>1117</v>
      </c>
      <c r="C23" s="2467">
        <v>2.7E-2</v>
      </c>
      <c r="D23" s="2468">
        <v>1</v>
      </c>
      <c r="E23" s="2064" t="s">
        <v>1303</v>
      </c>
      <c r="F23" s="2064"/>
      <c r="G23" s="2064"/>
      <c r="H23" s="2213">
        <v>0.03</v>
      </c>
      <c r="I23" s="2213">
        <v>0.9</v>
      </c>
      <c r="J23" s="2469">
        <f t="shared" si="3"/>
        <v>2.7E-2</v>
      </c>
      <c r="M23" s="2433"/>
      <c r="N23" s="2465" t="s">
        <v>1322</v>
      </c>
      <c r="O23" s="2480"/>
      <c r="P23" s="2481"/>
      <c r="Q23" s="2065"/>
      <c r="R23" s="2065"/>
      <c r="S23" s="2065"/>
      <c r="T23" s="2065"/>
      <c r="U23" s="2065"/>
      <c r="V23" s="2065"/>
      <c r="W23" s="2065"/>
      <c r="X23" s="2065"/>
      <c r="Y23" s="2065"/>
      <c r="Z23" s="2434"/>
      <c r="AA23" s="2435"/>
      <c r="AB23" s="2065"/>
      <c r="AC23" s="2450" t="str">
        <f t="shared" si="7"/>
        <v>Têxteis</v>
      </c>
      <c r="AD23" s="2451">
        <f t="shared" ref="AD23:AK23" si="16">+AD12*$V$6/1000</f>
        <v>0</v>
      </c>
      <c r="AE23" s="2451">
        <f t="shared" si="16"/>
        <v>0</v>
      </c>
      <c r="AF23" s="2451">
        <f t="shared" si="16"/>
        <v>0</v>
      </c>
      <c r="AG23" s="2451">
        <f t="shared" si="16"/>
        <v>0</v>
      </c>
      <c r="AH23" s="2451">
        <f t="shared" si="16"/>
        <v>0</v>
      </c>
      <c r="AI23" s="2451">
        <f t="shared" si="16"/>
        <v>0</v>
      </c>
      <c r="AJ23" s="2451">
        <f t="shared" si="16"/>
        <v>0</v>
      </c>
      <c r="AK23" s="2451">
        <f t="shared" si="16"/>
        <v>0</v>
      </c>
    </row>
    <row r="24" spans="1:37" ht="18" customHeight="1" x14ac:dyDescent="0.2">
      <c r="A24" s="2065"/>
      <c r="B24" s="2065"/>
      <c r="C24" s="2065"/>
      <c r="D24" s="2065"/>
      <c r="E24" s="2065"/>
      <c r="F24" s="2065"/>
      <c r="G24" s="2065"/>
      <c r="H24" s="2065"/>
      <c r="I24" s="2065"/>
      <c r="J24" s="2065"/>
      <c r="K24" s="2065"/>
      <c r="L24" s="2065"/>
      <c r="M24" s="2433"/>
      <c r="N24" s="2465" t="s">
        <v>1323</v>
      </c>
      <c r="O24" s="2480"/>
      <c r="P24" s="2481"/>
      <c r="Q24" s="2467">
        <f t="shared" ref="Q24:X24" si="17">D121</f>
        <v>0.16485824100868124</v>
      </c>
      <c r="R24" s="2467">
        <f t="shared" si="17"/>
        <v>0.16349934683309472</v>
      </c>
      <c r="S24" s="2467">
        <f t="shared" si="17"/>
        <v>0.16349934683309472</v>
      </c>
      <c r="T24" s="2467">
        <f t="shared" si="17"/>
        <v>0.16349934683309472</v>
      </c>
      <c r="U24" s="2467">
        <f t="shared" si="17"/>
        <v>0.16349934683309472</v>
      </c>
      <c r="V24" s="2467">
        <f t="shared" si="17"/>
        <v>0.16349934683309472</v>
      </c>
      <c r="W24" s="2467">
        <f t="shared" si="17"/>
        <v>0.16349934683309472</v>
      </c>
      <c r="X24" s="2467">
        <f t="shared" si="17"/>
        <v>0.16349934683309472</v>
      </c>
      <c r="Y24" s="2064" t="s">
        <v>1303</v>
      </c>
      <c r="Z24" s="2434" t="s">
        <v>1324</v>
      </c>
      <c r="AA24" s="2435"/>
      <c r="AB24" s="2065"/>
      <c r="AC24" s="1979" t="s">
        <v>1251</v>
      </c>
      <c r="AD24" s="2473" t="s">
        <v>1314</v>
      </c>
      <c r="AE24" s="2064"/>
      <c r="AF24" s="2064"/>
      <c r="AG24" s="2064"/>
      <c r="AH24" s="2064"/>
      <c r="AI24" s="2064"/>
      <c r="AJ24" s="2064"/>
      <c r="AK24" s="2064"/>
    </row>
    <row r="25" spans="1:37" ht="18" customHeight="1" x14ac:dyDescent="0.2">
      <c r="A25" s="2429" t="s">
        <v>1325</v>
      </c>
      <c r="B25" s="2430"/>
      <c r="C25" s="2430"/>
      <c r="D25" s="2430"/>
      <c r="E25" s="2430"/>
      <c r="F25" s="2430"/>
      <c r="G25" s="2430"/>
      <c r="H25" s="2430"/>
      <c r="I25" s="2430"/>
      <c r="J25" s="2430"/>
      <c r="K25" s="2430"/>
      <c r="L25" s="2430"/>
      <c r="M25" s="2433"/>
      <c r="N25" s="2465" t="s">
        <v>1326</v>
      </c>
      <c r="O25" s="2480"/>
      <c r="P25" s="2481"/>
      <c r="Q25" s="2468">
        <v>0.5</v>
      </c>
      <c r="R25" s="2468">
        <v>0.5</v>
      </c>
      <c r="S25" s="2468">
        <v>0.5</v>
      </c>
      <c r="T25" s="2468">
        <v>0.5</v>
      </c>
      <c r="U25" s="2468">
        <v>0.5</v>
      </c>
      <c r="V25" s="2468">
        <v>0.5</v>
      </c>
      <c r="W25" s="2468">
        <v>0.5</v>
      </c>
      <c r="X25" s="2468">
        <v>0.5</v>
      </c>
      <c r="Y25" s="2064" t="s">
        <v>1327</v>
      </c>
      <c r="Z25" s="2434"/>
      <c r="AA25" s="2435"/>
      <c r="AB25" s="2065"/>
      <c r="AC25" s="2482" t="str">
        <f t="shared" ref="AC25:AC32" si="18">+$AC5</f>
        <v>Resíduos de alimentos</v>
      </c>
      <c r="AD25" s="2451">
        <f>+AD5*((1-'CO2 - Reciclagem'!$E$31)*$P$7+'CO2 - Reciclagem'!$E$31*($R$13*$C$3*'CO2 - Reciclagem'!$E$34/1000+$R$14*$C$6*'CO2 - Reciclagem'!$E$35/1000+$O$7))/1000*(-1)</f>
        <v>0</v>
      </c>
      <c r="AE25" s="2451">
        <f>+AE5*((1-'CO2 - Reciclagem'!$G$31)*$P$7+'CO2 - Reciclagem'!$G$31*($R$13*$C$3*'CO2 - Reciclagem'!$G$34/1000+$R$14*$C$6*'CO2 - Reciclagem'!$G$35/1000+$O$7))/1000*(-1)</f>
        <v>0</v>
      </c>
      <c r="AF25" s="2451">
        <f>+AF5*((1-'CO2 - Reciclagem'!$H$31)*$P$7+'CO2 - Reciclagem'!$H$31*($R$13*$C$3*'CO2 - Reciclagem'!$H$34/1000+$R$14*$C$6*'CO2 - Reciclagem'!$H$35/1000+$O$7))/1000*(-1)</f>
        <v>0</v>
      </c>
      <c r="AG25" s="2451">
        <f>+AG5*((1-'CO2 - Reciclagem'!$I$31)*$P$7+'CO2 - Reciclagem'!$I$31*($R$13*$C$3*'CO2 - Reciclagem'!$I$34/1000+$R$14*$C$6*'CO2 - Reciclagem'!$I$35/1000+$O$7))/1000*(-1)</f>
        <v>0</v>
      </c>
      <c r="AH25" s="2451">
        <f>+AH5*((1-'CO2 - Reciclagem'!$J$31)*$P$7+'CO2 - Reciclagem'!$J$31*($R$13*$C$3*'CO2 - Reciclagem'!$J$34/1000+$R$14*$C$6*'CO2 - Reciclagem'!$J$35/1000+$O$7))/1000*(-1)</f>
        <v>0</v>
      </c>
      <c r="AI25" s="2451">
        <f>+AI5*((1-'CO2 - Reciclagem'!$K$31)*$P$7+'CO2 - Reciclagem'!$K$31*($R$13*$C$3*'CO2 - Reciclagem'!$K$34/1000+$R$14*$C$6*'CO2 - Reciclagem'!$K$35/1000+$O$7))/1000*(-1)</f>
        <v>0</v>
      </c>
      <c r="AJ25" s="2451">
        <f>+AJ5*((1-'CO2 - Reciclagem'!$L$31)*$P$7+'CO2 - Reciclagem'!$L$31*($R$13*$C$3*'CO2 - Reciclagem'!$L$34/1000+$R$14*$C$6*'CO2 - Reciclagem'!$L$35/1000+$O$7))/1000*(-1)</f>
        <v>0</v>
      </c>
      <c r="AK25" s="2451">
        <f>+AK5*((1-'CO2 - Reciclagem'!$M$31)*$P$7+'CO2 - Reciclagem'!$M$31*($R$13*$C$3*'CO2 - Reciclagem'!$M$34/1000+$R$14*$C$6*'CO2 - Reciclagem'!$M$35/1000+$O$7))/1000*(-1)</f>
        <v>0</v>
      </c>
    </row>
    <row r="26" spans="1:37" ht="18" customHeight="1" x14ac:dyDescent="0.2">
      <c r="A26" s="2065"/>
      <c r="B26" s="2065"/>
      <c r="C26" s="2065"/>
      <c r="D26" s="2065"/>
      <c r="E26" s="2065"/>
      <c r="F26" s="2065"/>
      <c r="G26" s="2065"/>
      <c r="H26" s="2065"/>
      <c r="I26" s="2065"/>
      <c r="J26" s="2065"/>
      <c r="K26" s="2065"/>
      <c r="L26" s="2065"/>
      <c r="M26" s="2433"/>
      <c r="N26" s="2465" t="s">
        <v>1328</v>
      </c>
      <c r="O26" s="2480"/>
      <c r="P26" s="2481"/>
      <c r="Q26" s="2468">
        <v>0.55000000000000004</v>
      </c>
      <c r="R26" s="2468">
        <v>0.55000000000000004</v>
      </c>
      <c r="S26" s="2468">
        <v>0.55000000000000004</v>
      </c>
      <c r="T26" s="2468">
        <v>0.55000000000000004</v>
      </c>
      <c r="U26" s="2468">
        <v>0.55000000000000004</v>
      </c>
      <c r="V26" s="2468">
        <v>0.55000000000000004</v>
      </c>
      <c r="W26" s="2468">
        <v>0.55000000000000004</v>
      </c>
      <c r="X26" s="2468">
        <v>0.55000000000000004</v>
      </c>
      <c r="Y26" s="2064" t="s">
        <v>1308</v>
      </c>
      <c r="Z26" s="2434"/>
      <c r="AA26" s="2435"/>
      <c r="AB26" s="2065"/>
      <c r="AC26" s="2482" t="str">
        <f t="shared" si="18"/>
        <v>Resíduos de jardins e parques</v>
      </c>
      <c r="AD26" s="2451">
        <f>+AD6*((1-'CO2 - Reciclagem'!$E$31)*$P$7+'CO2 - Reciclagem'!$E$31*($R$13*$C$3*'CO2 - Reciclagem'!$E$34/1000+$R$14*$C$6*'CO2 - Reciclagem'!$E$35/1000+$O$7))/1000*(-1)</f>
        <v>0</v>
      </c>
      <c r="AE26" s="2451">
        <f>+AE6*((1-'CO2 - Reciclagem'!$G$31)*$P$7+'CO2 - Reciclagem'!$G$31*($R$13*$C$3*'CO2 - Reciclagem'!$G$34/1000+$R$14*$C$6*'CO2 - Reciclagem'!$G$35/1000+$O$7))/1000*(-1)</f>
        <v>0</v>
      </c>
      <c r="AF26" s="2451">
        <f>+AF6*((1-'CO2 - Reciclagem'!$H$31)*$P$7+'CO2 - Reciclagem'!$H$31*($R$13*$C$3*'CO2 - Reciclagem'!$H$34/1000+$R$14*$C$6*'CO2 - Reciclagem'!$H$35/1000+$O$7))/1000*(-1)</f>
        <v>0</v>
      </c>
      <c r="AG26" s="2451">
        <f>+AG6*((1-'CO2 - Reciclagem'!$I$31)*$P$7+'CO2 - Reciclagem'!$I$31*($R$13*$C$3*'CO2 - Reciclagem'!$I$34/1000+$R$14*$C$6*'CO2 - Reciclagem'!$I$35/1000+$O$7))/1000*(-1)</f>
        <v>0</v>
      </c>
      <c r="AH26" s="2451">
        <f>+AH6*((1-'CO2 - Reciclagem'!$J$31)*$P$7+'CO2 - Reciclagem'!$J$31*($R$13*$C$3*'CO2 - Reciclagem'!$J$34/1000+$R$14*$C$6*'CO2 - Reciclagem'!$J$35/1000+$O$7))/1000*(-1)</f>
        <v>0</v>
      </c>
      <c r="AI26" s="2451">
        <f>+AI6*((1-'CO2 - Reciclagem'!$K$31)*$P$7+'CO2 - Reciclagem'!$K$31*($R$13*$C$3*'CO2 - Reciclagem'!$K$34/1000+$R$14*$C$6*'CO2 - Reciclagem'!$K$35/1000+$O$7))/1000*(-1)</f>
        <v>0</v>
      </c>
      <c r="AJ26" s="2451">
        <f>+AJ6*((1-'CO2 - Reciclagem'!$L$31)*$P$7+'CO2 - Reciclagem'!$L$31*($R$13*$C$3*'CO2 - Reciclagem'!$L$34/1000+$R$14*$C$6*'CO2 - Reciclagem'!$L$35/1000+$O$7))/1000*(-1)</f>
        <v>0</v>
      </c>
      <c r="AK26" s="2451">
        <f>+AK6*((1-'CO2 - Reciclagem'!$M$31)*$P$7+'CO2 - Reciclagem'!$M$31*($R$13*$C$3*'CO2 - Reciclagem'!$M$34/1000+$R$14*$C$6*'CO2 - Reciclagem'!$M$35/1000+$O$7))/1000*(-1)</f>
        <v>0</v>
      </c>
    </row>
    <row r="27" spans="1:37" ht="18" customHeight="1" x14ac:dyDescent="0.2">
      <c r="A27" s="2065"/>
      <c r="B27" s="2483"/>
      <c r="C27" s="2064" t="s">
        <v>1329</v>
      </c>
      <c r="D27" s="2065"/>
      <c r="E27" s="2065"/>
      <c r="F27" s="2065"/>
      <c r="G27" s="2065"/>
      <c r="H27" s="2065"/>
      <c r="I27" s="2065"/>
      <c r="J27" s="2065"/>
      <c r="K27" s="2065"/>
      <c r="L27" s="2064" t="s">
        <v>1282</v>
      </c>
      <c r="M27" s="2433"/>
      <c r="N27" s="2465" t="s">
        <v>1330</v>
      </c>
      <c r="O27" s="2480"/>
      <c r="P27" s="2481"/>
      <c r="Q27" s="2484">
        <f t="shared" ref="Q27:X27" si="19">+Q24*$Q$25*1868</f>
        <v>153.97759710210829</v>
      </c>
      <c r="R27" s="2484">
        <f t="shared" si="19"/>
        <v>152.70838994211047</v>
      </c>
      <c r="S27" s="2484">
        <f t="shared" si="19"/>
        <v>152.70838994211047</v>
      </c>
      <c r="T27" s="2484">
        <f t="shared" si="19"/>
        <v>152.70838994211047</v>
      </c>
      <c r="U27" s="2484">
        <f t="shared" si="19"/>
        <v>152.70838994211047</v>
      </c>
      <c r="V27" s="2484">
        <f t="shared" si="19"/>
        <v>152.70838994211047</v>
      </c>
      <c r="W27" s="2484">
        <f t="shared" si="19"/>
        <v>152.70838994211047</v>
      </c>
      <c r="X27" s="2484">
        <f t="shared" si="19"/>
        <v>152.70838994211047</v>
      </c>
      <c r="Y27" s="2064" t="s">
        <v>1331</v>
      </c>
      <c r="Z27" s="2434"/>
      <c r="AA27" s="2435"/>
      <c r="AB27" s="2065"/>
      <c r="AC27" s="2482" t="str">
        <f t="shared" si="18"/>
        <v>Papel, papelão</v>
      </c>
      <c r="AD27" s="2451">
        <f t="shared" ref="AD27:AK27" si="20">+AD7*$Q$7*(-1)/1000</f>
        <v>-466.93153727999999</v>
      </c>
      <c r="AE27" s="2451">
        <f t="shared" si="20"/>
        <v>-1554.8820191423999</v>
      </c>
      <c r="AF27" s="2451">
        <f t="shared" si="20"/>
        <v>-1554.8820191423999</v>
      </c>
      <c r="AG27" s="2451">
        <f t="shared" si="20"/>
        <v>-1554.8820191423999</v>
      </c>
      <c r="AH27" s="2451">
        <f t="shared" si="20"/>
        <v>-1554.8820191423999</v>
      </c>
      <c r="AI27" s="2451">
        <f t="shared" si="20"/>
        <v>-1554.8820191423999</v>
      </c>
      <c r="AJ27" s="2451">
        <f t="shared" si="20"/>
        <v>-1554.8820191423999</v>
      </c>
      <c r="AK27" s="2451">
        <f t="shared" si="20"/>
        <v>-1554.8820191423999</v>
      </c>
    </row>
    <row r="28" spans="1:37" ht="18" customHeight="1" x14ac:dyDescent="0.2">
      <c r="A28" s="2065"/>
      <c r="B28" s="1979" t="s">
        <v>1300</v>
      </c>
      <c r="C28" s="2079" t="s">
        <v>1332</v>
      </c>
      <c r="D28" s="2065"/>
      <c r="E28" s="2065"/>
      <c r="F28" s="2065"/>
      <c r="G28" s="2065"/>
      <c r="H28" s="2065"/>
      <c r="I28" s="2065"/>
      <c r="J28" s="2065"/>
      <c r="K28" s="2065"/>
      <c r="L28" s="2065"/>
      <c r="M28" s="2433"/>
      <c r="N28" s="1989" t="s">
        <v>1333</v>
      </c>
      <c r="O28" s="2485"/>
      <c r="P28" s="2199"/>
      <c r="Q28" s="2486"/>
      <c r="R28" s="2065"/>
      <c r="S28" s="2065"/>
      <c r="T28" s="2065"/>
      <c r="U28" s="2065"/>
      <c r="V28" s="2065"/>
      <c r="W28" s="2065"/>
      <c r="X28" s="2065"/>
      <c r="Y28" s="2065"/>
      <c r="Z28" s="2434"/>
      <c r="AA28" s="2435"/>
      <c r="AB28" s="2065"/>
      <c r="AC28" s="2482" t="str">
        <f t="shared" si="18"/>
        <v>Plásticos</v>
      </c>
      <c r="AD28" s="2451">
        <f t="shared" ref="AD28:AK28" si="21">+AD8*$U$7/1000*(-1)</f>
        <v>-593.65292688</v>
      </c>
      <c r="AE28" s="2451">
        <f t="shared" si="21"/>
        <v>-1306.0364391359999</v>
      </c>
      <c r="AF28" s="2451">
        <f t="shared" si="21"/>
        <v>-1306.0364391359999</v>
      </c>
      <c r="AG28" s="2451">
        <f t="shared" si="21"/>
        <v>-1306.0364391359999</v>
      </c>
      <c r="AH28" s="2451">
        <f t="shared" si="21"/>
        <v>-1306.0364391359999</v>
      </c>
      <c r="AI28" s="2451">
        <f t="shared" si="21"/>
        <v>-1306.0364391359999</v>
      </c>
      <c r="AJ28" s="2451">
        <f t="shared" si="21"/>
        <v>-1306.0364391359999</v>
      </c>
      <c r="AK28" s="2451">
        <f t="shared" si="21"/>
        <v>-1306.0364391359999</v>
      </c>
    </row>
    <row r="29" spans="1:37" ht="18" customHeight="1" x14ac:dyDescent="0.2">
      <c r="A29" s="2065"/>
      <c r="B29" s="2450" t="s">
        <v>1334</v>
      </c>
      <c r="C29" s="2448">
        <v>4</v>
      </c>
      <c r="D29" s="2064" t="s">
        <v>1335</v>
      </c>
      <c r="E29" s="2065"/>
      <c r="F29" s="2065"/>
      <c r="G29" s="2065"/>
      <c r="H29" s="2065"/>
      <c r="I29" s="2065"/>
      <c r="J29" s="2065"/>
      <c r="K29" s="2065"/>
      <c r="L29" s="2065"/>
      <c r="M29" s="2433"/>
      <c r="N29" s="2475" t="s">
        <v>1336</v>
      </c>
      <c r="O29" s="2487"/>
      <c r="P29" s="2488"/>
      <c r="Q29" s="2484">
        <f t="shared" ref="Q29:X29" si="22">+Q27</f>
        <v>153.97759710210829</v>
      </c>
      <c r="R29" s="2484">
        <f t="shared" si="22"/>
        <v>152.70838994211047</v>
      </c>
      <c r="S29" s="2484">
        <f t="shared" si="22"/>
        <v>152.70838994211047</v>
      </c>
      <c r="T29" s="2484">
        <f t="shared" si="22"/>
        <v>152.70838994211047</v>
      </c>
      <c r="U29" s="2484">
        <f t="shared" si="22"/>
        <v>152.70838994211047</v>
      </c>
      <c r="V29" s="2484">
        <f t="shared" si="22"/>
        <v>152.70838994211047</v>
      </c>
      <c r="W29" s="2484">
        <f t="shared" si="22"/>
        <v>152.70838994211047</v>
      </c>
      <c r="X29" s="2484">
        <f t="shared" si="22"/>
        <v>152.70838994211047</v>
      </c>
      <c r="Y29" s="2064" t="s">
        <v>1331</v>
      </c>
      <c r="Z29" s="2434"/>
      <c r="AA29" s="2435"/>
      <c r="AB29" s="2065"/>
      <c r="AC29" s="2482" t="str">
        <f t="shared" si="18"/>
        <v>Vidros</v>
      </c>
      <c r="AD29" s="2451">
        <f t="shared" ref="AD29:AK29" si="23">+AD9*$R$7/1000*(-1)</f>
        <v>0</v>
      </c>
      <c r="AE29" s="2451">
        <f t="shared" si="23"/>
        <v>0</v>
      </c>
      <c r="AF29" s="2451">
        <f t="shared" si="23"/>
        <v>0</v>
      </c>
      <c r="AG29" s="2451">
        <f t="shared" si="23"/>
        <v>0</v>
      </c>
      <c r="AH29" s="2451">
        <f t="shared" si="23"/>
        <v>0</v>
      </c>
      <c r="AI29" s="2451">
        <f t="shared" si="23"/>
        <v>0</v>
      </c>
      <c r="AJ29" s="2451">
        <f t="shared" si="23"/>
        <v>0</v>
      </c>
      <c r="AK29" s="2451">
        <f t="shared" si="23"/>
        <v>0</v>
      </c>
    </row>
    <row r="30" spans="1:37" ht="18" customHeight="1" x14ac:dyDescent="0.2">
      <c r="A30" s="2065"/>
      <c r="B30" s="2450" t="s">
        <v>1337</v>
      </c>
      <c r="C30" s="2448">
        <v>2</v>
      </c>
      <c r="D30" s="2064" t="s">
        <v>1335</v>
      </c>
      <c r="E30" s="2065"/>
      <c r="F30" s="2065"/>
      <c r="G30" s="2065"/>
      <c r="H30" s="2065"/>
      <c r="I30" s="2065"/>
      <c r="J30" s="2065"/>
      <c r="K30" s="2065"/>
      <c r="L30" s="2065"/>
      <c r="M30" s="2433"/>
      <c r="N30" s="2465" t="s">
        <v>1338</v>
      </c>
      <c r="O30" s="2480"/>
      <c r="P30" s="2481"/>
      <c r="Q30" s="2479">
        <f t="shared" ref="Q30:X30" si="24">+Q29*$Q$26*16/22.4*28</f>
        <v>1693.7535681231914</v>
      </c>
      <c r="R30" s="2479">
        <f t="shared" si="24"/>
        <v>1679.7922893632153</v>
      </c>
      <c r="S30" s="2479">
        <f t="shared" si="24"/>
        <v>1679.7922893632153</v>
      </c>
      <c r="T30" s="2479">
        <f t="shared" si="24"/>
        <v>1679.7922893632153</v>
      </c>
      <c r="U30" s="2479">
        <f t="shared" si="24"/>
        <v>1679.7922893632153</v>
      </c>
      <c r="V30" s="2479">
        <f t="shared" si="24"/>
        <v>1679.7922893632153</v>
      </c>
      <c r="W30" s="2479">
        <f t="shared" si="24"/>
        <v>1679.7922893632153</v>
      </c>
      <c r="X30" s="2479">
        <f t="shared" si="24"/>
        <v>1679.7922893632153</v>
      </c>
      <c r="Y30" s="2473" t="s">
        <v>1321</v>
      </c>
      <c r="Z30" s="2434"/>
      <c r="AA30" s="2435"/>
      <c r="AB30" s="2065"/>
      <c r="AC30" s="2482" t="str">
        <f t="shared" si="18"/>
        <v>Metais ferrosos</v>
      </c>
      <c r="AD30" s="2451">
        <f t="shared" ref="AD30:AK30" si="25">+AD10*$S$7/1000*(-1)</f>
        <v>-181.33120511999999</v>
      </c>
      <c r="AE30" s="2451">
        <f t="shared" si="25"/>
        <v>-861.32322431999989</v>
      </c>
      <c r="AF30" s="2451">
        <f t="shared" si="25"/>
        <v>-861.32322431999989</v>
      </c>
      <c r="AG30" s="2451">
        <f t="shared" si="25"/>
        <v>-861.32322431999989</v>
      </c>
      <c r="AH30" s="2451">
        <f t="shared" si="25"/>
        <v>-861.32322431999989</v>
      </c>
      <c r="AI30" s="2451">
        <f t="shared" si="25"/>
        <v>-861.32322431999989</v>
      </c>
      <c r="AJ30" s="2451">
        <f t="shared" si="25"/>
        <v>-861.32322431999989</v>
      </c>
      <c r="AK30" s="2451">
        <f t="shared" si="25"/>
        <v>-861.32322431999989</v>
      </c>
    </row>
    <row r="31" spans="1:37" ht="18" customHeight="1" x14ac:dyDescent="0.2">
      <c r="A31" s="2065"/>
      <c r="B31" s="2450" t="s">
        <v>1284</v>
      </c>
      <c r="C31" s="2448">
        <v>11.5</v>
      </c>
      <c r="D31" s="2064" t="s">
        <v>1335</v>
      </c>
      <c r="E31" s="2065"/>
      <c r="F31" s="2065"/>
      <c r="G31" s="2065"/>
      <c r="H31" s="2065"/>
      <c r="I31" s="2065"/>
      <c r="J31" s="2065"/>
      <c r="K31" s="2065"/>
      <c r="L31" s="2065"/>
      <c r="M31" s="2433"/>
      <c r="N31" s="1989" t="s">
        <v>1339</v>
      </c>
      <c r="O31" s="1990"/>
      <c r="P31" s="2199"/>
      <c r="Q31" s="2486"/>
      <c r="R31" s="2065"/>
      <c r="S31" s="2065"/>
      <c r="T31" s="2065"/>
      <c r="U31" s="2065"/>
      <c r="V31" s="2065"/>
      <c r="W31" s="2065"/>
      <c r="X31" s="2065"/>
      <c r="Y31" s="2065"/>
      <c r="Z31" s="2434"/>
      <c r="AA31" s="2435"/>
      <c r="AB31" s="2065"/>
      <c r="AC31" s="2482" t="str">
        <f t="shared" si="18"/>
        <v>Alumínio</v>
      </c>
      <c r="AD31" s="2451">
        <f t="shared" ref="AD31:AK31" si="26">+AD11*$T$7/1000*(-1)</f>
        <v>-272.99151359999996</v>
      </c>
      <c r="AE31" s="2451">
        <f t="shared" si="26"/>
        <v>-1296.7096895999998</v>
      </c>
      <c r="AF31" s="2451">
        <f t="shared" si="26"/>
        <v>-1296.7096895999998</v>
      </c>
      <c r="AG31" s="2451">
        <f t="shared" si="26"/>
        <v>-1296.7096895999998</v>
      </c>
      <c r="AH31" s="2451">
        <f t="shared" si="26"/>
        <v>-1296.7096895999998</v>
      </c>
      <c r="AI31" s="2451">
        <f t="shared" si="26"/>
        <v>-1296.7096895999998</v>
      </c>
      <c r="AJ31" s="2451">
        <f t="shared" si="26"/>
        <v>-1296.7096895999998</v>
      </c>
      <c r="AK31" s="2451">
        <f t="shared" si="26"/>
        <v>-1296.7096895999998</v>
      </c>
    </row>
    <row r="32" spans="1:37" ht="18" customHeight="1" x14ac:dyDescent="0.2">
      <c r="A32" s="2065"/>
      <c r="B32" s="2450" t="s">
        <v>1109</v>
      </c>
      <c r="C32" s="2448">
        <v>31.5</v>
      </c>
      <c r="D32" s="2064" t="s">
        <v>1335</v>
      </c>
      <c r="E32" s="2065"/>
      <c r="F32" s="2065"/>
      <c r="G32" s="2065"/>
      <c r="H32" s="2065"/>
      <c r="I32" s="2065"/>
      <c r="J32" s="2065"/>
      <c r="K32" s="2065"/>
      <c r="L32" s="2065"/>
      <c r="M32" s="2433"/>
      <c r="N32" s="2489" t="s">
        <v>1340</v>
      </c>
      <c r="O32" s="2466"/>
      <c r="P32" s="2474"/>
      <c r="Q32" s="2484">
        <f>+Q27*'CO2 - Destinação'!E28</f>
        <v>34.644959347974364</v>
      </c>
      <c r="R32" s="2484">
        <f>+R27*'CO2 - Destinação'!G28</f>
        <v>34.35938773697486</v>
      </c>
      <c r="S32" s="2484">
        <f>+S27*'CO2 - Destinação'!H28</f>
        <v>34.35938773697486</v>
      </c>
      <c r="T32" s="2484">
        <f>+T27*'CO2 - Destinação'!I28</f>
        <v>34.35938773697486</v>
      </c>
      <c r="U32" s="2484">
        <f>+U27*'CO2 - Destinação'!J28</f>
        <v>34.35938773697486</v>
      </c>
      <c r="V32" s="2484">
        <f>+V27*'CO2 - Destinação'!K28</f>
        <v>34.35938773697486</v>
      </c>
      <c r="W32" s="2484">
        <f>+W27*'CO2 - Destinação'!L28</f>
        <v>34.35938773697486</v>
      </c>
      <c r="X32" s="2484">
        <f>+X27*'CO2 - Destinação'!M28</f>
        <v>34.35938773697486</v>
      </c>
      <c r="Y32" s="2490" t="s">
        <v>1331</v>
      </c>
      <c r="Z32" s="2434"/>
      <c r="AA32" s="2435"/>
      <c r="AB32" s="2065"/>
      <c r="AC32" s="2482" t="str">
        <f t="shared" si="18"/>
        <v>Têxteis</v>
      </c>
      <c r="AD32" s="2451">
        <f t="shared" ref="AD32:AK32" si="27">+AD12*$V$7/1000*(-1)</f>
        <v>0</v>
      </c>
      <c r="AE32" s="2451">
        <f t="shared" si="27"/>
        <v>0</v>
      </c>
      <c r="AF32" s="2451">
        <f t="shared" si="27"/>
        <v>0</v>
      </c>
      <c r="AG32" s="2451">
        <f t="shared" si="27"/>
        <v>0</v>
      </c>
      <c r="AH32" s="2451">
        <f t="shared" si="27"/>
        <v>0</v>
      </c>
      <c r="AI32" s="2451">
        <f t="shared" si="27"/>
        <v>0</v>
      </c>
      <c r="AJ32" s="2451">
        <f t="shared" si="27"/>
        <v>0</v>
      </c>
      <c r="AK32" s="2451">
        <f t="shared" si="27"/>
        <v>0</v>
      </c>
    </row>
    <row r="33" spans="1:37" ht="18" customHeight="1" x14ac:dyDescent="0.2">
      <c r="A33" s="2065"/>
      <c r="B33" s="2450" t="s">
        <v>50</v>
      </c>
      <c r="C33" s="2448">
        <v>0</v>
      </c>
      <c r="D33" s="2064" t="s">
        <v>1335</v>
      </c>
      <c r="E33" s="2065"/>
      <c r="F33" s="2065"/>
      <c r="G33" s="2065"/>
      <c r="H33" s="2065"/>
      <c r="I33" s="2065"/>
      <c r="J33" s="2065"/>
      <c r="K33" s="2065"/>
      <c r="L33" s="2065"/>
      <c r="M33" s="2433"/>
      <c r="N33" s="2489" t="s">
        <v>1341</v>
      </c>
      <c r="O33" s="2466"/>
      <c r="P33" s="2474"/>
      <c r="Q33" s="2484">
        <f>+Q32*'CO2 - Destinação'!E32</f>
        <v>0</v>
      </c>
      <c r="R33" s="2484">
        <f>+R32*'CO2 - Destinação'!G32</f>
        <v>0</v>
      </c>
      <c r="S33" s="2484">
        <f>+S32*'CO2 - Destinação'!H32</f>
        <v>0</v>
      </c>
      <c r="T33" s="2484">
        <f>+T32*'CO2 - Destinação'!I32</f>
        <v>0</v>
      </c>
      <c r="U33" s="2484">
        <f>+U32*'CO2 - Destinação'!J32</f>
        <v>0</v>
      </c>
      <c r="V33" s="2484">
        <f>+V32*'CO2 - Destinação'!K32</f>
        <v>0</v>
      </c>
      <c r="W33" s="2484">
        <f>+W32*'CO2 - Destinação'!L32</f>
        <v>0</v>
      </c>
      <c r="X33" s="2484">
        <f>+X32*'CO2 - Destinação'!M32</f>
        <v>0</v>
      </c>
      <c r="Y33" s="2490" t="s">
        <v>1331</v>
      </c>
      <c r="Z33" s="2434"/>
      <c r="AA33" s="2435"/>
      <c r="AB33" s="2065"/>
      <c r="AC33" s="1979" t="s">
        <v>1252</v>
      </c>
      <c r="AD33" s="2473" t="s">
        <v>1314</v>
      </c>
      <c r="AE33" s="2064"/>
      <c r="AF33" s="2064"/>
      <c r="AG33" s="2064"/>
      <c r="AH33" s="2064"/>
      <c r="AI33" s="2064"/>
      <c r="AJ33" s="2064"/>
      <c r="AK33" s="2064"/>
    </row>
    <row r="34" spans="1:37" ht="18" customHeight="1" x14ac:dyDescent="0.2">
      <c r="A34" s="2065"/>
      <c r="B34" s="2450" t="s">
        <v>51</v>
      </c>
      <c r="C34" s="2448">
        <v>0</v>
      </c>
      <c r="D34" s="2064" t="s">
        <v>1335</v>
      </c>
      <c r="E34" s="2065"/>
      <c r="F34" s="2065"/>
      <c r="G34" s="2065"/>
      <c r="H34" s="2065"/>
      <c r="I34" s="2065"/>
      <c r="J34" s="2065"/>
      <c r="K34" s="2065"/>
      <c r="L34" s="2065"/>
      <c r="M34" s="2433"/>
      <c r="N34" s="2489" t="s">
        <v>1342</v>
      </c>
      <c r="O34" s="2466"/>
      <c r="P34" s="2474"/>
      <c r="Q34" s="2484">
        <f>+Q27*(1-'CO2 - Destinação'!E28)*$Q$26</f>
        <v>65.632950764773668</v>
      </c>
      <c r="R34" s="2484">
        <f>+R27*(1-'CO2 - Destinação'!G28)*$Q$26</f>
        <v>65.091951212824597</v>
      </c>
      <c r="S34" s="2484">
        <f>+S27*(1-'CO2 - Destinação'!H28)*$Q$26</f>
        <v>65.091951212824597</v>
      </c>
      <c r="T34" s="2484">
        <f>+T27*(1-'CO2 - Destinação'!I28)*$Q$26</f>
        <v>65.091951212824597</v>
      </c>
      <c r="U34" s="2484">
        <f>+U27*(1-'CO2 - Destinação'!J28)*$Q$26</f>
        <v>65.091951212824597</v>
      </c>
      <c r="V34" s="2484">
        <f>+V27*(1-'CO2 - Destinação'!K28)*$Q$26</f>
        <v>65.091951212824597</v>
      </c>
      <c r="W34" s="2484">
        <f>+W27*(1-'CO2 - Destinação'!L28)*$Q$26</f>
        <v>65.091951212824597</v>
      </c>
      <c r="X34" s="2484">
        <f>+X27*(1-'CO2 - Destinação'!M28)*$Q$26</f>
        <v>65.091951212824597</v>
      </c>
      <c r="Y34" s="2490" t="s">
        <v>1343</v>
      </c>
      <c r="Z34" s="2434"/>
      <c r="AA34" s="2435"/>
      <c r="AB34" s="2065"/>
      <c r="AC34" s="2482" t="str">
        <f t="shared" ref="AC34:AC41" si="28">+$AC5</f>
        <v>Resíduos de alimentos</v>
      </c>
      <c r="AD34" s="2451">
        <f t="shared" ref="AD34:AK41" si="29">+AD16+AD25</f>
        <v>0</v>
      </c>
      <c r="AE34" s="2451">
        <f t="shared" si="29"/>
        <v>0</v>
      </c>
      <c r="AF34" s="2451">
        <f t="shared" si="29"/>
        <v>0</v>
      </c>
      <c r="AG34" s="2451">
        <f t="shared" si="29"/>
        <v>0</v>
      </c>
      <c r="AH34" s="2451">
        <f t="shared" si="29"/>
        <v>0</v>
      </c>
      <c r="AI34" s="2451">
        <f t="shared" si="29"/>
        <v>0</v>
      </c>
      <c r="AJ34" s="2451">
        <f t="shared" si="29"/>
        <v>0</v>
      </c>
      <c r="AK34" s="2451">
        <f t="shared" si="29"/>
        <v>0</v>
      </c>
    </row>
    <row r="35" spans="1:37" ht="18" customHeight="1" x14ac:dyDescent="0.2">
      <c r="A35" s="2065"/>
      <c r="B35" s="2450" t="s">
        <v>1344</v>
      </c>
      <c r="C35" s="2448">
        <v>14.6</v>
      </c>
      <c r="D35" s="2064" t="s">
        <v>1335</v>
      </c>
      <c r="E35" s="2065"/>
      <c r="F35" s="2065"/>
      <c r="G35" s="2065"/>
      <c r="H35" s="2065"/>
      <c r="I35" s="2065"/>
      <c r="J35" s="2065"/>
      <c r="K35" s="2065"/>
      <c r="L35" s="2065"/>
      <c r="M35" s="2433"/>
      <c r="N35" s="2489" t="s">
        <v>1345</v>
      </c>
      <c r="O35" s="2466"/>
      <c r="P35" s="2474"/>
      <c r="Q35" s="2484">
        <f>+Q34*'CO2 - Destinação'!E40</f>
        <v>6.5632950764773668</v>
      </c>
      <c r="R35" s="2484">
        <f>+R34*'CO2 - Destinação'!G40</f>
        <v>6.5091951212824597</v>
      </c>
      <c r="S35" s="2484">
        <f>+S34*'CO2 - Destinação'!H40</f>
        <v>6.5091951212824597</v>
      </c>
      <c r="T35" s="2484">
        <f>+T34*'CO2 - Destinação'!I40</f>
        <v>6.5091951212824597</v>
      </c>
      <c r="U35" s="2484">
        <f>+U34*'CO2 - Destinação'!J40</f>
        <v>6.5091951212824597</v>
      </c>
      <c r="V35" s="2484">
        <f>+V34*'CO2 - Destinação'!K40</f>
        <v>6.5091951212824597</v>
      </c>
      <c r="W35" s="2484">
        <f>+W34*'CO2 - Destinação'!L40</f>
        <v>6.5091951212824597</v>
      </c>
      <c r="X35" s="2484">
        <f>+X34*'CO2 - Destinação'!M40</f>
        <v>6.5091951212824597</v>
      </c>
      <c r="Y35" s="2490" t="s">
        <v>1343</v>
      </c>
      <c r="Z35" s="2434"/>
      <c r="AA35" s="2435"/>
      <c r="AB35" s="2065"/>
      <c r="AC35" s="2482" t="str">
        <f t="shared" si="28"/>
        <v>Resíduos de jardins e parques</v>
      </c>
      <c r="AD35" s="2451">
        <f t="shared" si="29"/>
        <v>0</v>
      </c>
      <c r="AE35" s="2451">
        <f t="shared" si="29"/>
        <v>0</v>
      </c>
      <c r="AF35" s="2451">
        <f t="shared" si="29"/>
        <v>0</v>
      </c>
      <c r="AG35" s="2451">
        <f t="shared" si="29"/>
        <v>0</v>
      </c>
      <c r="AH35" s="2451">
        <f t="shared" si="29"/>
        <v>0</v>
      </c>
      <c r="AI35" s="2451">
        <f t="shared" si="29"/>
        <v>0</v>
      </c>
      <c r="AJ35" s="2451">
        <f t="shared" si="29"/>
        <v>0</v>
      </c>
      <c r="AK35" s="2451">
        <f t="shared" si="29"/>
        <v>0</v>
      </c>
    </row>
    <row r="36" spans="1:37" ht="18" customHeight="1" x14ac:dyDescent="0.2">
      <c r="A36" s="2065"/>
      <c r="B36" s="2450" t="s">
        <v>1115</v>
      </c>
      <c r="C36" s="2448">
        <v>15</v>
      </c>
      <c r="D36" s="2064" t="s">
        <v>1335</v>
      </c>
      <c r="E36" s="2065"/>
      <c r="F36" s="2065"/>
      <c r="G36" s="2065"/>
      <c r="H36" s="2065"/>
      <c r="I36" s="2065"/>
      <c r="J36" s="2065"/>
      <c r="K36" s="2065"/>
      <c r="L36" s="2065"/>
      <c r="M36" s="2433"/>
      <c r="N36" s="2489" t="s">
        <v>1346</v>
      </c>
      <c r="O36" s="2466"/>
      <c r="P36" s="2474"/>
      <c r="Q36" s="2484">
        <f>+(Q33*Q26+(Q34-Q35))*16/22.4</f>
        <v>42.192611205925935</v>
      </c>
      <c r="R36" s="2484">
        <f>+(R33*R26+(R34-R35))*16/22.4</f>
        <v>41.844825779672959</v>
      </c>
      <c r="S36" s="2484">
        <f>+(S33*S26+(S34-S35))*16/22.4</f>
        <v>41.844825779672959</v>
      </c>
      <c r="T36" s="2484">
        <f>+(T33*T26+(T34-T35))*16/22.4</f>
        <v>41.844825779672959</v>
      </c>
      <c r="U36" s="2484">
        <f t="shared" ref="U36:X36" si="30">+(U33*U26+(U34-U35))*16/22.4</f>
        <v>41.844825779672959</v>
      </c>
      <c r="V36" s="2484">
        <f t="shared" si="30"/>
        <v>41.844825779672959</v>
      </c>
      <c r="W36" s="2484">
        <f t="shared" si="30"/>
        <v>41.844825779672959</v>
      </c>
      <c r="X36" s="2484">
        <f t="shared" si="30"/>
        <v>41.844825779672959</v>
      </c>
      <c r="Y36" s="2490" t="s">
        <v>1347</v>
      </c>
      <c r="Z36" s="2434"/>
      <c r="AA36" s="2435"/>
      <c r="AB36" s="2065"/>
      <c r="AC36" s="2482" t="str">
        <f t="shared" si="28"/>
        <v>Papel, papelão</v>
      </c>
      <c r="AD36" s="2451">
        <f t="shared" si="29"/>
        <v>-88.077525120000018</v>
      </c>
      <c r="AE36" s="2451">
        <f t="shared" si="29"/>
        <v>-293.29815864959983</v>
      </c>
      <c r="AF36" s="2451">
        <f t="shared" si="29"/>
        <v>-293.29815864959983</v>
      </c>
      <c r="AG36" s="2451">
        <f t="shared" si="29"/>
        <v>-293.29815864959983</v>
      </c>
      <c r="AH36" s="2451">
        <f t="shared" si="29"/>
        <v>-293.29815864959983</v>
      </c>
      <c r="AI36" s="2451">
        <f t="shared" si="29"/>
        <v>-293.29815864959983</v>
      </c>
      <c r="AJ36" s="2451">
        <f t="shared" si="29"/>
        <v>-293.29815864959983</v>
      </c>
      <c r="AK36" s="2451">
        <f t="shared" si="29"/>
        <v>-293.29815864959983</v>
      </c>
    </row>
    <row r="37" spans="1:37" ht="18" customHeight="1" x14ac:dyDescent="0.2">
      <c r="A37" s="2065"/>
      <c r="B37" s="2450" t="s">
        <v>1116</v>
      </c>
      <c r="C37" s="2448">
        <v>0</v>
      </c>
      <c r="D37" s="2064" t="s">
        <v>1335</v>
      </c>
      <c r="E37" s="2065"/>
      <c r="F37" s="2065"/>
      <c r="G37" s="2065"/>
      <c r="H37" s="2065"/>
      <c r="I37" s="2065"/>
      <c r="J37" s="2065"/>
      <c r="K37" s="2065"/>
      <c r="L37" s="2065"/>
      <c r="M37" s="2433"/>
      <c r="N37" s="2489" t="s">
        <v>1348</v>
      </c>
      <c r="O37" s="2466"/>
      <c r="P37" s="2474"/>
      <c r="Q37" s="2484">
        <f t="shared" ref="Q37:X37" si="31">Q36*28</f>
        <v>1181.3931137659263</v>
      </c>
      <c r="R37" s="2484">
        <f t="shared" si="31"/>
        <v>1171.6551218308427</v>
      </c>
      <c r="S37" s="2484">
        <f t="shared" si="31"/>
        <v>1171.6551218308427</v>
      </c>
      <c r="T37" s="2484">
        <f t="shared" si="31"/>
        <v>1171.6551218308427</v>
      </c>
      <c r="U37" s="2484">
        <f t="shared" si="31"/>
        <v>1171.6551218308427</v>
      </c>
      <c r="V37" s="2484">
        <f t="shared" si="31"/>
        <v>1171.6551218308427</v>
      </c>
      <c r="W37" s="2484">
        <f t="shared" si="31"/>
        <v>1171.6551218308427</v>
      </c>
      <c r="X37" s="2484">
        <f t="shared" si="31"/>
        <v>1171.6551218308427</v>
      </c>
      <c r="Y37" s="2490" t="s">
        <v>1349</v>
      </c>
      <c r="Z37" s="2434"/>
      <c r="AA37" s="2435"/>
      <c r="AB37" s="2065"/>
      <c r="AC37" s="2482" t="str">
        <f t="shared" si="28"/>
        <v>Plásticos</v>
      </c>
      <c r="AD37" s="2451">
        <f t="shared" si="29"/>
        <v>-466.20623087999996</v>
      </c>
      <c r="AE37" s="2451">
        <f t="shared" si="29"/>
        <v>-1025.653707936</v>
      </c>
      <c r="AF37" s="2451">
        <f t="shared" si="29"/>
        <v>-1025.653707936</v>
      </c>
      <c r="AG37" s="2451">
        <f t="shared" si="29"/>
        <v>-1025.653707936</v>
      </c>
      <c r="AH37" s="2451">
        <f t="shared" si="29"/>
        <v>-1025.653707936</v>
      </c>
      <c r="AI37" s="2451">
        <f t="shared" si="29"/>
        <v>-1025.653707936</v>
      </c>
      <c r="AJ37" s="2451">
        <f t="shared" si="29"/>
        <v>-1025.653707936</v>
      </c>
      <c r="AK37" s="2451">
        <f t="shared" si="29"/>
        <v>-1025.653707936</v>
      </c>
    </row>
    <row r="38" spans="1:37" ht="18" customHeight="1" x14ac:dyDescent="0.2">
      <c r="A38" s="2065"/>
      <c r="B38" s="2450" t="s">
        <v>1350</v>
      </c>
      <c r="C38" s="2448">
        <v>8.4</v>
      </c>
      <c r="D38" s="2064" t="s">
        <v>1335</v>
      </c>
      <c r="E38" s="2065"/>
      <c r="F38" s="2065"/>
      <c r="G38" s="2065"/>
      <c r="H38" s="2065"/>
      <c r="I38" s="2065"/>
      <c r="J38" s="2065"/>
      <c r="K38" s="2065"/>
      <c r="L38" s="2065"/>
      <c r="M38" s="2433"/>
      <c r="N38" s="2489" t="s">
        <v>1351</v>
      </c>
      <c r="O38" s="2466"/>
      <c r="P38" s="2474"/>
      <c r="Q38" s="2484">
        <f>+Q32*'CO2 - Destinação'!E33</f>
        <v>34.644959347974364</v>
      </c>
      <c r="R38" s="2484">
        <f>+R32*'CO2 - Destinação'!G33</f>
        <v>34.35938773697486</v>
      </c>
      <c r="S38" s="2484">
        <f>+S32*'CO2 - Destinação'!H33</f>
        <v>34.35938773697486</v>
      </c>
      <c r="T38" s="2484">
        <f>+T32*'CO2 - Destinação'!I33</f>
        <v>34.35938773697486</v>
      </c>
      <c r="U38" s="2484">
        <f>+U32*'CO2 - Destinação'!J33</f>
        <v>34.35938773697486</v>
      </c>
      <c r="V38" s="2484">
        <f>+V32*'CO2 - Destinação'!K33</f>
        <v>34.35938773697486</v>
      </c>
      <c r="W38" s="2484">
        <f>+W32*'CO2 - Destinação'!L33</f>
        <v>34.35938773697486</v>
      </c>
      <c r="X38" s="2484">
        <f>+X32*'CO2 - Destinação'!M33</f>
        <v>34.35938773697486</v>
      </c>
      <c r="Y38" s="2490" t="s">
        <v>1331</v>
      </c>
      <c r="Z38" s="2434"/>
      <c r="AA38" s="2435"/>
      <c r="AB38" s="2065"/>
      <c r="AC38" s="2482" t="str">
        <f t="shared" si="28"/>
        <v>Vidros</v>
      </c>
      <c r="AD38" s="2451">
        <f t="shared" si="29"/>
        <v>0</v>
      </c>
      <c r="AE38" s="2451">
        <f t="shared" si="29"/>
        <v>0</v>
      </c>
      <c r="AF38" s="2451">
        <f t="shared" si="29"/>
        <v>0</v>
      </c>
      <c r="AG38" s="2451">
        <f t="shared" si="29"/>
        <v>0</v>
      </c>
      <c r="AH38" s="2451">
        <f t="shared" si="29"/>
        <v>0</v>
      </c>
      <c r="AI38" s="2451">
        <f t="shared" si="29"/>
        <v>0</v>
      </c>
      <c r="AJ38" s="2451">
        <f t="shared" si="29"/>
        <v>0</v>
      </c>
      <c r="AK38" s="2451">
        <f t="shared" si="29"/>
        <v>0</v>
      </c>
    </row>
    <row r="39" spans="1:37" ht="18" customHeight="1" x14ac:dyDescent="0.2">
      <c r="A39" s="2065"/>
      <c r="B39" s="2450" t="s">
        <v>1352</v>
      </c>
      <c r="C39" s="2448">
        <v>5</v>
      </c>
      <c r="D39" s="2064" t="s">
        <v>1335</v>
      </c>
      <c r="E39" s="2065"/>
      <c r="F39" s="2065"/>
      <c r="G39" s="2065"/>
      <c r="H39" s="2065"/>
      <c r="I39" s="2065"/>
      <c r="J39" s="2065"/>
      <c r="K39" s="2065"/>
      <c r="L39" s="2065"/>
      <c r="M39" s="2433"/>
      <c r="N39" s="2489" t="s">
        <v>1353</v>
      </c>
      <c r="O39" s="2466"/>
      <c r="P39" s="2474"/>
      <c r="Q39" s="2484">
        <f>+Q32*'CO2 - Destinação'!E34</f>
        <v>0</v>
      </c>
      <c r="R39" s="2484">
        <f>+R32*'CO2 - Destinação'!G34</f>
        <v>0</v>
      </c>
      <c r="S39" s="2484">
        <f>+S32*'CO2 - Destinação'!H34</f>
        <v>0</v>
      </c>
      <c r="T39" s="2484">
        <f>+T32*'CO2 - Destinação'!I34</f>
        <v>0</v>
      </c>
      <c r="U39" s="2484">
        <f>+U32*'CO2 - Destinação'!J34</f>
        <v>0</v>
      </c>
      <c r="V39" s="2484">
        <f>+V32*'CO2 - Destinação'!K34</f>
        <v>0</v>
      </c>
      <c r="W39" s="2484">
        <f>+W32*'CO2 - Destinação'!L34</f>
        <v>0</v>
      </c>
      <c r="X39" s="2484">
        <f>+X32*'CO2 - Destinação'!M34</f>
        <v>0</v>
      </c>
      <c r="Y39" s="2490" t="s">
        <v>1331</v>
      </c>
      <c r="Z39" s="2434"/>
      <c r="AA39" s="2435"/>
      <c r="AB39" s="2065"/>
      <c r="AC39" s="2482" t="str">
        <f t="shared" si="28"/>
        <v>Metais ferrosos</v>
      </c>
      <c r="AD39" s="2451">
        <f t="shared" si="29"/>
        <v>-174.55246847999999</v>
      </c>
      <c r="AE39" s="2451">
        <f t="shared" si="29"/>
        <v>-829.12422527999991</v>
      </c>
      <c r="AF39" s="2451">
        <f t="shared" si="29"/>
        <v>-829.12422527999991</v>
      </c>
      <c r="AG39" s="2451">
        <f t="shared" si="29"/>
        <v>-829.12422527999991</v>
      </c>
      <c r="AH39" s="2451">
        <f t="shared" si="29"/>
        <v>-829.12422527999991</v>
      </c>
      <c r="AI39" s="2451">
        <f t="shared" si="29"/>
        <v>-829.12422527999991</v>
      </c>
      <c r="AJ39" s="2451">
        <f t="shared" si="29"/>
        <v>-829.12422527999991</v>
      </c>
      <c r="AK39" s="2451">
        <f t="shared" si="29"/>
        <v>-829.12422527999991</v>
      </c>
    </row>
    <row r="40" spans="1:37" ht="18" customHeight="1" x14ac:dyDescent="0.2">
      <c r="A40" s="2065"/>
      <c r="B40" s="2065"/>
      <c r="C40" s="2065"/>
      <c r="D40" s="2065"/>
      <c r="E40" s="2065"/>
      <c r="F40" s="2065"/>
      <c r="G40" s="2065"/>
      <c r="H40" s="2065"/>
      <c r="I40" s="2065"/>
      <c r="J40" s="2065"/>
      <c r="K40" s="2065"/>
      <c r="L40" s="2065"/>
      <c r="M40" s="2433"/>
      <c r="N40" s="2489" t="s">
        <v>1354</v>
      </c>
      <c r="O40" s="2491"/>
      <c r="P40" s="2474"/>
      <c r="Q40" s="2484">
        <f>+Q32*'CO2 - Destinação'!$E$35</f>
        <v>0</v>
      </c>
      <c r="R40" s="2484">
        <f>+R32*'CO2 - Destinação'!G35</f>
        <v>0</v>
      </c>
      <c r="S40" s="2484">
        <f>+S32*'CO2 - Destinação'!H35</f>
        <v>0</v>
      </c>
      <c r="T40" s="2484">
        <f>+T32*'CO2 - Destinação'!I35</f>
        <v>0</v>
      </c>
      <c r="U40" s="2484">
        <f>+U32*'CO2 - Destinação'!J35</f>
        <v>0</v>
      </c>
      <c r="V40" s="2484">
        <f>+V32*'CO2 - Destinação'!K35</f>
        <v>0</v>
      </c>
      <c r="W40" s="2484">
        <f>+W32*'CO2 - Destinação'!L35</f>
        <v>0</v>
      </c>
      <c r="X40" s="2484">
        <f>+X32*'CO2 - Destinação'!M35</f>
        <v>0</v>
      </c>
      <c r="Y40" s="2490" t="s">
        <v>1331</v>
      </c>
      <c r="Z40" s="2434"/>
      <c r="AA40" s="2435"/>
      <c r="AB40" s="2065"/>
      <c r="AC40" s="2482" t="str">
        <f t="shared" si="28"/>
        <v>Alumínio</v>
      </c>
      <c r="AD40" s="2451">
        <f t="shared" si="29"/>
        <v>-253.73290175999998</v>
      </c>
      <c r="AE40" s="2451">
        <f t="shared" si="29"/>
        <v>-1205.2312833599999</v>
      </c>
      <c r="AF40" s="2451">
        <f t="shared" si="29"/>
        <v>-1205.2312833599999</v>
      </c>
      <c r="AG40" s="2451">
        <f t="shared" si="29"/>
        <v>-1205.2312833599999</v>
      </c>
      <c r="AH40" s="2451">
        <f t="shared" si="29"/>
        <v>-1205.2312833599999</v>
      </c>
      <c r="AI40" s="2451">
        <f t="shared" si="29"/>
        <v>-1205.2312833599999</v>
      </c>
      <c r="AJ40" s="2451">
        <f t="shared" si="29"/>
        <v>-1205.2312833599999</v>
      </c>
      <c r="AK40" s="2451">
        <f t="shared" si="29"/>
        <v>-1205.2312833599999</v>
      </c>
    </row>
    <row r="41" spans="1:37" ht="18" customHeight="1" x14ac:dyDescent="0.2">
      <c r="A41" s="2429" t="s">
        <v>1355</v>
      </c>
      <c r="B41" s="2430"/>
      <c r="C41" s="2430"/>
      <c r="D41" s="2430"/>
      <c r="E41" s="2430"/>
      <c r="F41" s="2430"/>
      <c r="G41" s="2430"/>
      <c r="H41" s="2430"/>
      <c r="I41" s="2430"/>
      <c r="J41" s="2430"/>
      <c r="K41" s="2430"/>
      <c r="L41" s="2457"/>
      <c r="M41" s="2433"/>
      <c r="N41" s="2492"/>
      <c r="O41" s="2493" t="s">
        <v>1356</v>
      </c>
      <c r="P41" s="2494"/>
      <c r="Q41" s="2495" t="str">
        <f>+IF((Q33+Q38+Q39+Q40)=Q32,"correto","errado")</f>
        <v>correto</v>
      </c>
      <c r="R41" s="2495" t="str">
        <f t="shared" ref="R41:X41" si="32">+IF((R33+R38+R39+R40)=R32,"correto","errado")</f>
        <v>correto</v>
      </c>
      <c r="S41" s="2495" t="str">
        <f t="shared" si="32"/>
        <v>correto</v>
      </c>
      <c r="T41" s="2495" t="str">
        <f t="shared" si="32"/>
        <v>correto</v>
      </c>
      <c r="U41" s="2495" t="str">
        <f t="shared" si="32"/>
        <v>correto</v>
      </c>
      <c r="V41" s="2495" t="str">
        <f t="shared" si="32"/>
        <v>correto</v>
      </c>
      <c r="W41" s="2495" t="str">
        <f t="shared" si="32"/>
        <v>correto</v>
      </c>
      <c r="X41" s="2495" t="str">
        <f t="shared" si="32"/>
        <v>correto</v>
      </c>
      <c r="Y41" s="2496"/>
      <c r="Z41" s="2434"/>
      <c r="AA41" s="2435"/>
      <c r="AB41" s="2065"/>
      <c r="AC41" s="2482" t="str">
        <f t="shared" si="28"/>
        <v>Têxteis</v>
      </c>
      <c r="AD41" s="2451">
        <f t="shared" si="29"/>
        <v>0</v>
      </c>
      <c r="AE41" s="2451">
        <f t="shared" si="29"/>
        <v>0</v>
      </c>
      <c r="AF41" s="2451">
        <f t="shared" si="29"/>
        <v>0</v>
      </c>
      <c r="AG41" s="2451">
        <f t="shared" si="29"/>
        <v>0</v>
      </c>
      <c r="AH41" s="2451">
        <f t="shared" si="29"/>
        <v>0</v>
      </c>
      <c r="AI41" s="2451">
        <f t="shared" si="29"/>
        <v>0</v>
      </c>
      <c r="AJ41" s="2451">
        <f t="shared" si="29"/>
        <v>0</v>
      </c>
      <c r="AK41" s="2451">
        <f t="shared" si="29"/>
        <v>0</v>
      </c>
    </row>
    <row r="42" spans="1:37" ht="18" customHeight="1" x14ac:dyDescent="0.2">
      <c r="A42" s="2439"/>
      <c r="B42" s="2065"/>
      <c r="C42" s="2065"/>
      <c r="D42" s="2065"/>
      <c r="E42" s="2065"/>
      <c r="F42" s="2065"/>
      <c r="G42" s="2065"/>
      <c r="H42" s="2065"/>
      <c r="I42" s="2065"/>
      <c r="J42" s="2065"/>
      <c r="K42" s="2065"/>
      <c r="L42" s="2497"/>
      <c r="M42" s="2433"/>
      <c r="N42" s="1989" t="s">
        <v>1310</v>
      </c>
      <c r="O42" s="2076"/>
      <c r="P42" s="2076"/>
      <c r="Q42" s="2484">
        <f t="shared" ref="Q42:X42" si="33">+Q39*Q26*10*$R$12</f>
        <v>0</v>
      </c>
      <c r="R42" s="2484">
        <f t="shared" si="33"/>
        <v>0</v>
      </c>
      <c r="S42" s="2484">
        <f t="shared" si="33"/>
        <v>0</v>
      </c>
      <c r="T42" s="2484">
        <f t="shared" si="33"/>
        <v>0</v>
      </c>
      <c r="U42" s="2484">
        <f t="shared" si="33"/>
        <v>0</v>
      </c>
      <c r="V42" s="2484">
        <f t="shared" si="33"/>
        <v>0</v>
      </c>
      <c r="W42" s="2484">
        <f t="shared" si="33"/>
        <v>0</v>
      </c>
      <c r="X42" s="2484">
        <f t="shared" si="33"/>
        <v>0</v>
      </c>
      <c r="Y42" s="2064" t="s">
        <v>1357</v>
      </c>
      <c r="Z42" s="2065"/>
      <c r="AA42" s="2435"/>
      <c r="AB42" s="2065"/>
      <c r="AC42" s="2440"/>
      <c r="AD42" s="2498"/>
      <c r="AE42" s="2064"/>
      <c r="AF42" s="2064"/>
      <c r="AG42" s="2064"/>
      <c r="AH42" s="2064"/>
      <c r="AI42" s="2064"/>
      <c r="AJ42" s="2064"/>
      <c r="AK42" s="2064"/>
    </row>
    <row r="43" spans="1:37" ht="18" customHeight="1" x14ac:dyDescent="0.2">
      <c r="A43" s="2439"/>
      <c r="B43" s="2065"/>
      <c r="C43" s="2499" t="s">
        <v>1303</v>
      </c>
      <c r="D43" s="2500" t="s">
        <v>1358</v>
      </c>
      <c r="E43" s="2497"/>
      <c r="F43" s="2497"/>
      <c r="G43" s="2497"/>
      <c r="H43" s="2497"/>
      <c r="I43" s="2497"/>
      <c r="J43" s="2497"/>
      <c r="K43" s="2497"/>
      <c r="L43" s="2497"/>
      <c r="M43" s="2433"/>
      <c r="N43" s="2162" t="s">
        <v>1359</v>
      </c>
      <c r="O43" s="2484">
        <f>7.2/3.6</f>
        <v>2</v>
      </c>
      <c r="P43" s="2162" t="s">
        <v>1360</v>
      </c>
      <c r="Q43" s="2484">
        <f t="shared" ref="Q43:X43" si="34">+$O$43*$C$3/1000</f>
        <v>0.15180000000000002</v>
      </c>
      <c r="R43" s="2484">
        <f t="shared" si="34"/>
        <v>0.15180000000000002</v>
      </c>
      <c r="S43" s="2484">
        <f t="shared" si="34"/>
        <v>0.15180000000000002</v>
      </c>
      <c r="T43" s="2484">
        <f t="shared" si="34"/>
        <v>0.15180000000000002</v>
      </c>
      <c r="U43" s="2484">
        <f t="shared" si="34"/>
        <v>0.15180000000000002</v>
      </c>
      <c r="V43" s="2484">
        <f t="shared" si="34"/>
        <v>0.15180000000000002</v>
      </c>
      <c r="W43" s="2484">
        <f t="shared" si="34"/>
        <v>0.15180000000000002</v>
      </c>
      <c r="X43" s="2484">
        <f t="shared" si="34"/>
        <v>0.15180000000000002</v>
      </c>
      <c r="Y43" s="2064" t="s">
        <v>1321</v>
      </c>
      <c r="Z43" s="2065"/>
      <c r="AA43" s="2435"/>
      <c r="AB43" s="2429" t="s">
        <v>1361</v>
      </c>
      <c r="AC43" s="2436"/>
      <c r="AD43" s="2437"/>
      <c r="AE43" s="2437"/>
      <c r="AF43" s="2437"/>
      <c r="AG43" s="2437"/>
      <c r="AH43" s="2437"/>
      <c r="AI43" s="2437"/>
      <c r="AJ43" s="2437"/>
      <c r="AK43" s="2437"/>
    </row>
    <row r="44" spans="1:37" ht="18" customHeight="1" x14ac:dyDescent="0.2">
      <c r="A44" s="2439"/>
      <c r="B44" s="2306" t="s">
        <v>1082</v>
      </c>
      <c r="C44" s="2332"/>
      <c r="D44" s="2332">
        <f>+'CO2 - Início'!J24</f>
        <v>23025.599999999999</v>
      </c>
      <c r="E44" s="2501"/>
      <c r="F44" s="2501"/>
      <c r="G44" s="2501"/>
      <c r="H44" s="2501"/>
      <c r="I44" s="2501"/>
      <c r="J44" s="2501"/>
      <c r="K44" s="2501"/>
      <c r="L44" s="2497"/>
      <c r="M44" s="2433"/>
      <c r="N44" s="2162" t="s">
        <v>1362</v>
      </c>
      <c r="O44" s="2484">
        <f>1.4573/3.6*0</f>
        <v>0</v>
      </c>
      <c r="P44" s="2162" t="s">
        <v>1360</v>
      </c>
      <c r="Q44" s="2484">
        <f t="shared" ref="Q44:X44" si="35">+$O$44*$C$4/1000</f>
        <v>0</v>
      </c>
      <c r="R44" s="2484">
        <f t="shared" si="35"/>
        <v>0</v>
      </c>
      <c r="S44" s="2484">
        <f t="shared" si="35"/>
        <v>0</v>
      </c>
      <c r="T44" s="2484">
        <f t="shared" si="35"/>
        <v>0</v>
      </c>
      <c r="U44" s="2484">
        <f t="shared" si="35"/>
        <v>0</v>
      </c>
      <c r="V44" s="2484">
        <f t="shared" si="35"/>
        <v>0</v>
      </c>
      <c r="W44" s="2484">
        <f t="shared" si="35"/>
        <v>0</v>
      </c>
      <c r="X44" s="2484">
        <f t="shared" si="35"/>
        <v>0</v>
      </c>
      <c r="Y44" s="2064" t="s">
        <v>1321</v>
      </c>
      <c r="Z44" s="2065"/>
      <c r="AA44" s="2435"/>
      <c r="AB44" s="2439"/>
      <c r="AC44" s="2440"/>
      <c r="AD44" s="2064"/>
      <c r="AE44" s="2064"/>
      <c r="AF44" s="2064"/>
      <c r="AG44" s="2064"/>
      <c r="AH44" s="2064"/>
      <c r="AI44" s="2064"/>
      <c r="AJ44" s="2064"/>
      <c r="AK44" s="2064"/>
    </row>
    <row r="45" spans="1:37" ht="18" customHeight="1" x14ac:dyDescent="0.2">
      <c r="A45" s="2439"/>
      <c r="B45" s="2502" t="s">
        <v>1363</v>
      </c>
      <c r="C45" s="2472"/>
      <c r="D45" s="2503"/>
      <c r="E45" s="2065"/>
      <c r="F45" s="2065"/>
      <c r="G45" s="2065"/>
      <c r="H45" s="2065"/>
      <c r="I45" s="2065"/>
      <c r="J45" s="2065"/>
      <c r="K45" s="2065"/>
      <c r="L45" s="2497"/>
      <c r="M45" s="2433"/>
      <c r="N45" s="2162" t="s">
        <v>1364</v>
      </c>
      <c r="O45" s="2484">
        <f>10.994/3.6</f>
        <v>3.0538888888888889</v>
      </c>
      <c r="P45" s="2162" t="s">
        <v>1360</v>
      </c>
      <c r="Q45" s="2484">
        <f t="shared" ref="Q45:X45" si="36">+$O$45*$C$5/1000</f>
        <v>3.0867304029626488</v>
      </c>
      <c r="R45" s="2484">
        <f t="shared" si="36"/>
        <v>3.0867304029626488</v>
      </c>
      <c r="S45" s="2484">
        <f t="shared" si="36"/>
        <v>3.0867304029626488</v>
      </c>
      <c r="T45" s="2484">
        <f t="shared" si="36"/>
        <v>3.0867304029626488</v>
      </c>
      <c r="U45" s="2484">
        <f t="shared" si="36"/>
        <v>3.0867304029626488</v>
      </c>
      <c r="V45" s="2484">
        <f t="shared" si="36"/>
        <v>3.0867304029626488</v>
      </c>
      <c r="W45" s="2484">
        <f t="shared" si="36"/>
        <v>3.0867304029626488</v>
      </c>
      <c r="X45" s="2484">
        <f t="shared" si="36"/>
        <v>3.0867304029626488</v>
      </c>
      <c r="Y45" s="2064" t="s">
        <v>1321</v>
      </c>
      <c r="Z45" s="2065"/>
      <c r="AA45" s="2435"/>
      <c r="AB45" s="2065"/>
      <c r="AC45" s="2504"/>
      <c r="AD45" s="2079" t="str">
        <f t="shared" ref="AD45:AK45" si="37">+D72</f>
        <v>Cenário-Base</v>
      </c>
      <c r="AE45" s="2079" t="str">
        <f t="shared" si="37"/>
        <v>Biodigestão RT1A + CDR TM</v>
      </c>
      <c r="AF45" s="2079" t="str">
        <f t="shared" si="37"/>
        <v>Biodigestão RT1B + CDR TM</v>
      </c>
      <c r="AG45" s="2079" t="str">
        <f t="shared" si="37"/>
        <v>Biodigestão RT1C + CDR TM</v>
      </c>
      <c r="AH45" s="2079" t="str">
        <f t="shared" si="37"/>
        <v>Compostagem + CDR TM</v>
      </c>
      <c r="AI45" s="2079" t="str">
        <f t="shared" si="37"/>
        <v xml:space="preserve">Biosecagem + CDR TMB </v>
      </c>
      <c r="AJ45" s="2079" t="str">
        <f t="shared" si="37"/>
        <v>Incineração Mass Burning</v>
      </c>
      <c r="AK45" s="2079" t="str">
        <f t="shared" si="37"/>
        <v>Incineração Mass Burn. Descentralizada</v>
      </c>
    </row>
    <row r="46" spans="1:37" ht="18" customHeight="1" x14ac:dyDescent="0.2">
      <c r="A46" s="2439"/>
      <c r="B46" s="2450" t="s">
        <v>1106</v>
      </c>
      <c r="C46" s="2505">
        <f>+'CO2 - Início'!E35</f>
        <v>0.48399999999999999</v>
      </c>
      <c r="D46" s="2451">
        <f>+$D$44*C46</f>
        <v>11144.390399999998</v>
      </c>
      <c r="E46" s="2065"/>
      <c r="F46" s="2065"/>
      <c r="G46" s="2065"/>
      <c r="H46" s="2065"/>
      <c r="I46" s="2065"/>
      <c r="J46" s="2065"/>
      <c r="K46" s="2065"/>
      <c r="L46" s="2497"/>
      <c r="M46" s="2433"/>
      <c r="N46" s="1989" t="s">
        <v>1365</v>
      </c>
      <c r="O46" s="2076"/>
      <c r="P46" s="2506"/>
      <c r="Q46" s="2507">
        <f t="shared" ref="Q46:X46" si="38">+Q37+$Q$43+$Q$44+$Q$45</f>
        <v>1184.6316441688891</v>
      </c>
      <c r="R46" s="2507">
        <f t="shared" si="38"/>
        <v>1174.8936522338056</v>
      </c>
      <c r="S46" s="2507">
        <f t="shared" si="38"/>
        <v>1174.8936522338056</v>
      </c>
      <c r="T46" s="2507">
        <f t="shared" si="38"/>
        <v>1174.8936522338056</v>
      </c>
      <c r="U46" s="2507">
        <f t="shared" si="38"/>
        <v>1174.8936522338056</v>
      </c>
      <c r="V46" s="2507">
        <f t="shared" si="38"/>
        <v>1174.8936522338056</v>
      </c>
      <c r="W46" s="2507">
        <f t="shared" si="38"/>
        <v>1174.8936522338056</v>
      </c>
      <c r="X46" s="2507">
        <f t="shared" si="38"/>
        <v>1174.8936522338056</v>
      </c>
      <c r="Y46" s="2508" t="s">
        <v>1321</v>
      </c>
      <c r="Z46" s="2065"/>
      <c r="AA46" s="2435"/>
      <c r="AB46" s="2065"/>
      <c r="AC46" s="2509" t="s">
        <v>1286</v>
      </c>
      <c r="AD46" s="2447" t="s">
        <v>1287</v>
      </c>
      <c r="AE46" s="2448"/>
      <c r="AF46" s="2448"/>
      <c r="AG46" s="2448"/>
      <c r="AH46" s="2448"/>
      <c r="AI46" s="2448"/>
      <c r="AJ46" s="2448"/>
      <c r="AK46" s="2448"/>
    </row>
    <row r="47" spans="1:37" ht="18" customHeight="1" x14ac:dyDescent="0.2">
      <c r="A47" s="2439"/>
      <c r="B47" s="2450" t="s">
        <v>1107</v>
      </c>
      <c r="C47" s="2505">
        <f>+'CO2 - Início'!E36</f>
        <v>0.03</v>
      </c>
      <c r="D47" s="2451">
        <f>+$D$44*C47</f>
        <v>690.76799999999992</v>
      </c>
      <c r="E47" s="2065"/>
      <c r="F47" s="2065"/>
      <c r="G47" s="2065"/>
      <c r="H47" s="2065"/>
      <c r="I47" s="2065"/>
      <c r="J47" s="2065"/>
      <c r="K47" s="2065"/>
      <c r="L47" s="2497"/>
      <c r="M47" s="2433"/>
      <c r="N47" s="2306" t="s">
        <v>1366</v>
      </c>
      <c r="O47" s="2510"/>
      <c r="P47" s="2510"/>
      <c r="Q47" s="2507">
        <f t="shared" ref="Q47:X47" si="39">((+Q42*$C$3)+(Q40*Q26*10*$C$6))/1000</f>
        <v>0</v>
      </c>
      <c r="R47" s="2507">
        <f t="shared" si="39"/>
        <v>0</v>
      </c>
      <c r="S47" s="2507">
        <f t="shared" si="39"/>
        <v>0</v>
      </c>
      <c r="T47" s="2507">
        <f t="shared" si="39"/>
        <v>0</v>
      </c>
      <c r="U47" s="2507">
        <f t="shared" si="39"/>
        <v>0</v>
      </c>
      <c r="V47" s="2507">
        <f t="shared" si="39"/>
        <v>0</v>
      </c>
      <c r="W47" s="2507">
        <f t="shared" si="39"/>
        <v>0</v>
      </c>
      <c r="X47" s="2507">
        <f t="shared" si="39"/>
        <v>0</v>
      </c>
      <c r="Y47" s="2508" t="s">
        <v>1321</v>
      </c>
      <c r="Z47" s="2065"/>
      <c r="AA47" s="2435"/>
      <c r="AB47" s="2065"/>
      <c r="AC47" s="2511" t="s">
        <v>1241</v>
      </c>
      <c r="AD47" s="2451">
        <f>+D$97*'CO2 - Destinação'!E7</f>
        <v>0</v>
      </c>
      <c r="AE47" s="2451">
        <f>+E$97*'CO2 - Destinação'!G7</f>
        <v>0</v>
      </c>
      <c r="AF47" s="2451">
        <f>+F$97*'CO2 - Destinação'!H7</f>
        <v>0</v>
      </c>
      <c r="AG47" s="2451">
        <f>+G$97*'CO2 - Destinação'!I7</f>
        <v>0</v>
      </c>
      <c r="AH47" s="2451">
        <f>+H$97*'CO2 - Destinação'!J7</f>
        <v>0</v>
      </c>
      <c r="AI47" s="2451">
        <f>+I$97*'CO2 - Destinação'!K7</f>
        <v>0</v>
      </c>
      <c r="AJ47" s="2451">
        <f>+J$97*'CO2 - Destinação'!L7</f>
        <v>0</v>
      </c>
      <c r="AK47" s="2451">
        <f>+K$97*'CO2 - Destinação'!M7</f>
        <v>0</v>
      </c>
    </row>
    <row r="48" spans="1:37" ht="18" customHeight="1" x14ac:dyDescent="0.2">
      <c r="A48" s="2439"/>
      <c r="B48" s="2450" t="s">
        <v>1108</v>
      </c>
      <c r="C48" s="2505">
        <f>+'CO2 - Início'!E37</f>
        <v>0.13100000000000001</v>
      </c>
      <c r="D48" s="2451">
        <f t="shared" ref="D48:D58" si="40">+$D$44*C48</f>
        <v>3016.3535999999999</v>
      </c>
      <c r="E48" s="2065"/>
      <c r="F48" s="2065"/>
      <c r="G48" s="2065"/>
      <c r="H48" s="2065"/>
      <c r="I48" s="2065"/>
      <c r="J48" s="2065"/>
      <c r="K48" s="2065"/>
      <c r="L48" s="2497"/>
      <c r="M48" s="2433"/>
      <c r="N48" s="2439"/>
      <c r="O48" s="2439"/>
      <c r="P48" s="2439"/>
      <c r="Q48" s="2439"/>
      <c r="R48" s="2512"/>
      <c r="S48" s="2512"/>
      <c r="T48" s="2512"/>
      <c r="U48" s="2512"/>
      <c r="V48" s="2439"/>
      <c r="W48" s="2439"/>
      <c r="X48" s="2439"/>
      <c r="Y48" s="2065"/>
      <c r="Z48" s="2065"/>
      <c r="AA48" s="2435"/>
      <c r="AB48" s="2065"/>
      <c r="AC48" s="2511" t="s">
        <v>1242</v>
      </c>
      <c r="AD48" s="2451">
        <f>+D$97*'CO2 - Destinação'!E8</f>
        <v>0</v>
      </c>
      <c r="AE48" s="2451">
        <f>+E$97*'CO2 - Destinação'!G8</f>
        <v>0</v>
      </c>
      <c r="AF48" s="2451">
        <f>+F$97*'CO2 - Destinação'!H8</f>
        <v>0</v>
      </c>
      <c r="AG48" s="2451">
        <f>+G$97*'CO2 - Destinação'!I8</f>
        <v>0</v>
      </c>
      <c r="AH48" s="2451">
        <f>+H$97*'CO2 - Destinação'!J8</f>
        <v>0</v>
      </c>
      <c r="AI48" s="2451">
        <f>+I$97*'CO2 - Destinação'!K8</f>
        <v>0</v>
      </c>
      <c r="AJ48" s="2451">
        <f>+J$97*'CO2 - Destinação'!L8</f>
        <v>0</v>
      </c>
      <c r="AK48" s="2451">
        <f>+K$97*'CO2 - Destinação'!M8</f>
        <v>0</v>
      </c>
    </row>
    <row r="49" spans="1:37" ht="18" customHeight="1" x14ac:dyDescent="0.2">
      <c r="A49" s="2439"/>
      <c r="B49" s="2450" t="s">
        <v>1109</v>
      </c>
      <c r="C49" s="2505">
        <f>+'CO2 - Início'!E38</f>
        <v>0.13500000000000001</v>
      </c>
      <c r="D49" s="2451">
        <f t="shared" si="40"/>
        <v>3108.4560000000001</v>
      </c>
      <c r="E49" s="2065"/>
      <c r="F49" s="2065"/>
      <c r="G49" s="2065"/>
      <c r="H49" s="2065"/>
      <c r="I49" s="2065"/>
      <c r="J49" s="2065"/>
      <c r="K49" s="2065"/>
      <c r="L49" s="2497"/>
      <c r="M49" s="2433"/>
      <c r="N49" s="2513" t="s">
        <v>1367</v>
      </c>
      <c r="O49" s="2514"/>
      <c r="P49" s="2514"/>
      <c r="Q49" s="2065"/>
      <c r="R49" s="2065"/>
      <c r="S49" s="2065"/>
      <c r="T49" s="2065"/>
      <c r="U49" s="2065"/>
      <c r="V49" s="2065"/>
      <c r="W49" s="2065"/>
      <c r="X49" s="2065"/>
      <c r="Y49" s="2065"/>
      <c r="Z49" s="2065"/>
      <c r="AA49" s="2435"/>
      <c r="AB49" s="2065"/>
      <c r="AC49" s="2511" t="s">
        <v>1243</v>
      </c>
      <c r="AD49" s="2451">
        <f>+D$97*'CO2 - Destinação'!E10</f>
        <v>0</v>
      </c>
      <c r="AE49" s="2451">
        <f>+E$97*'CO2 - Destinação'!G10</f>
        <v>0</v>
      </c>
      <c r="AF49" s="2451">
        <f>+F$97*'CO2 - Destinação'!H10</f>
        <v>0</v>
      </c>
      <c r="AG49" s="2451">
        <f>+G$97*'CO2 - Destinação'!I10</f>
        <v>0</v>
      </c>
      <c r="AH49" s="2451">
        <f>+H$97*'CO2 - Destinação'!J10</f>
        <v>0</v>
      </c>
      <c r="AI49" s="2451">
        <f>+I$97*'CO2 - Destinação'!K10</f>
        <v>0</v>
      </c>
      <c r="AJ49" s="2451">
        <f>+J$97*'CO2 - Destinação'!L10</f>
        <v>0</v>
      </c>
      <c r="AK49" s="2451">
        <f>+K$97*'CO2 - Destinação'!M10</f>
        <v>0</v>
      </c>
    </row>
    <row r="50" spans="1:37" ht="18" customHeight="1" x14ac:dyDescent="0.2">
      <c r="A50" s="2439"/>
      <c r="B50" s="2450" t="s">
        <v>50</v>
      </c>
      <c r="C50" s="2505">
        <f>+'CO2 - Início'!E39</f>
        <v>2.4E-2</v>
      </c>
      <c r="D50" s="2451">
        <f t="shared" si="40"/>
        <v>552.61439999999993</v>
      </c>
      <c r="E50" s="2065"/>
      <c r="F50" s="2065"/>
      <c r="G50" s="2065"/>
      <c r="H50" s="2065"/>
      <c r="I50" s="2065"/>
      <c r="J50" s="2065"/>
      <c r="K50" s="2065"/>
      <c r="L50" s="2497"/>
      <c r="M50" s="2433"/>
      <c r="N50" s="2515" t="s">
        <v>1368</v>
      </c>
      <c r="O50" s="2516"/>
      <c r="P50" s="2517"/>
      <c r="Q50" s="2065"/>
      <c r="R50" s="2065"/>
      <c r="S50" s="2065"/>
      <c r="T50" s="2065"/>
      <c r="U50" s="2065"/>
      <c r="V50" s="2065"/>
      <c r="W50" s="2065"/>
      <c r="X50" s="2065"/>
      <c r="Y50" s="2065"/>
      <c r="Z50" s="2065"/>
      <c r="AA50" s="2435"/>
      <c r="AB50" s="2065"/>
      <c r="AC50" s="2511" t="s">
        <v>1244</v>
      </c>
      <c r="AD50" s="2451">
        <f>+D$97*'CO2 - Destinação'!E11</f>
        <v>0</v>
      </c>
      <c r="AE50" s="2451">
        <f>+E$97*'CO2 - Destinação'!G11</f>
        <v>0</v>
      </c>
      <c r="AF50" s="2451">
        <f>+F$97*'CO2 - Destinação'!H11</f>
        <v>0</v>
      </c>
      <c r="AG50" s="2451">
        <f>+G$97*'CO2 - Destinação'!I11</f>
        <v>0</v>
      </c>
      <c r="AH50" s="2451">
        <f>+H$97*'CO2 - Destinação'!J11</f>
        <v>0</v>
      </c>
      <c r="AI50" s="2451">
        <f>+I$97*'CO2 - Destinação'!K11</f>
        <v>6210.8815953599997</v>
      </c>
      <c r="AJ50" s="2451">
        <f>+J$97*'CO2 - Destinação'!L11</f>
        <v>3105.4407976799998</v>
      </c>
      <c r="AK50" s="2451">
        <f>+K$97*'CO2 - Destinação'!M11</f>
        <v>3105.4407976799998</v>
      </c>
    </row>
    <row r="51" spans="1:37" ht="18" customHeight="1" x14ac:dyDescent="0.2">
      <c r="A51" s="2439"/>
      <c r="B51" s="2450" t="s">
        <v>1110</v>
      </c>
      <c r="C51" s="2505">
        <f>+'CO2 - Início'!E40</f>
        <v>2.3E-2</v>
      </c>
      <c r="D51" s="2451">
        <f t="shared" si="40"/>
        <v>529.58879999999999</v>
      </c>
      <c r="E51" s="2065"/>
      <c r="F51" s="2065"/>
      <c r="G51" s="2065"/>
      <c r="H51" s="2065"/>
      <c r="I51" s="2065"/>
      <c r="J51" s="2065"/>
      <c r="K51" s="2065"/>
      <c r="L51" s="2497"/>
      <c r="M51" s="2433"/>
      <c r="N51" s="2515" t="s">
        <v>1369</v>
      </c>
      <c r="O51" s="2518"/>
      <c r="P51" s="2519"/>
      <c r="Q51" s="2520">
        <f t="shared" ref="Q51:X51" si="41">D120</f>
        <v>0.10246513642000825</v>
      </c>
      <c r="R51" s="2520">
        <f t="shared" si="41"/>
        <v>9.661471714229472E-2</v>
      </c>
      <c r="S51" s="2520">
        <f t="shared" si="41"/>
        <v>9.661471714229472E-2</v>
      </c>
      <c r="T51" s="2520">
        <f t="shared" si="41"/>
        <v>9.661471714229472E-2</v>
      </c>
      <c r="U51" s="2520">
        <f t="shared" si="41"/>
        <v>9.661471714229472E-2</v>
      </c>
      <c r="V51" s="2520">
        <f t="shared" si="41"/>
        <v>9.661471714229472E-2</v>
      </c>
      <c r="W51" s="2520">
        <f t="shared" si="41"/>
        <v>9.661471714229472E-2</v>
      </c>
      <c r="X51" s="2520">
        <f t="shared" si="41"/>
        <v>9.661471714229472E-2</v>
      </c>
      <c r="Y51" s="2064" t="s">
        <v>194</v>
      </c>
      <c r="Z51" s="2065"/>
      <c r="AA51" s="2435"/>
      <c r="AB51" s="2065"/>
      <c r="AC51" s="2511" t="s">
        <v>64</v>
      </c>
      <c r="AD51" s="2451">
        <f>+D$97*'CO2 - Destinação'!E12</f>
        <v>22279.57056</v>
      </c>
      <c r="AE51" s="2451">
        <f>+E$97*'CO2 - Destinação'!G12</f>
        <v>7246.0285279199989</v>
      </c>
      <c r="AF51" s="2451">
        <f>+F$97*'CO2 - Destinação'!H12</f>
        <v>7246.0285279199989</v>
      </c>
      <c r="AG51" s="2451">
        <f>+G$97*'CO2 - Destinação'!I12</f>
        <v>7246.0285279199989</v>
      </c>
      <c r="AH51" s="2451">
        <f>+H$97*'CO2 - Destinação'!J12</f>
        <v>7763.6019941999994</v>
      </c>
      <c r="AI51" s="2451">
        <f>+I$97*'CO2 - Destinação'!K12</f>
        <v>0</v>
      </c>
      <c r="AJ51" s="2451">
        <f>+J$97*'CO2 - Destinação'!L12</f>
        <v>0</v>
      </c>
      <c r="AK51" s="2451">
        <f>+K$97*'CO2 - Destinação'!M12</f>
        <v>0</v>
      </c>
    </row>
    <row r="52" spans="1:37" ht="18" customHeight="1" x14ac:dyDescent="0.2">
      <c r="A52" s="2439"/>
      <c r="B52" s="2450" t="s">
        <v>1111</v>
      </c>
      <c r="C52" s="2505">
        <f>+'CO2 - Início'!E41</f>
        <v>6.0000000000000001E-3</v>
      </c>
      <c r="D52" s="2451">
        <f t="shared" si="40"/>
        <v>138.15359999999998</v>
      </c>
      <c r="E52" s="2065"/>
      <c r="F52" s="2065"/>
      <c r="G52" s="2065"/>
      <c r="H52" s="2065"/>
      <c r="I52" s="2065"/>
      <c r="J52" s="2065"/>
      <c r="K52" s="2065"/>
      <c r="L52" s="2497"/>
      <c r="M52" s="2433"/>
      <c r="N52" s="2521" t="s">
        <v>1370</v>
      </c>
      <c r="O52" s="2522"/>
      <c r="P52" s="2523"/>
      <c r="Q52" s="2524">
        <f t="shared" ref="Q52:X52" si="42">1000*Q51*44/12</f>
        <v>375.70550020669697</v>
      </c>
      <c r="R52" s="2524">
        <f t="shared" si="42"/>
        <v>354.2539628550806</v>
      </c>
      <c r="S52" s="2524">
        <f t="shared" si="42"/>
        <v>354.2539628550806</v>
      </c>
      <c r="T52" s="2524">
        <f t="shared" si="42"/>
        <v>354.2539628550806</v>
      </c>
      <c r="U52" s="2524">
        <f t="shared" si="42"/>
        <v>354.2539628550806</v>
      </c>
      <c r="V52" s="2524">
        <f t="shared" si="42"/>
        <v>354.2539628550806</v>
      </c>
      <c r="W52" s="2524">
        <f t="shared" si="42"/>
        <v>354.2539628550806</v>
      </c>
      <c r="X52" s="2524">
        <f t="shared" si="42"/>
        <v>354.2539628550806</v>
      </c>
      <c r="Y52" s="2473" t="s">
        <v>1371</v>
      </c>
      <c r="Z52" s="2065"/>
      <c r="AA52" s="2435"/>
      <c r="AB52" s="2065"/>
      <c r="AC52" s="2511" t="s">
        <v>1245</v>
      </c>
      <c r="AD52" s="2451">
        <f>+D$97*'CO2 - Destinação'!E14</f>
        <v>0</v>
      </c>
      <c r="AE52" s="2451">
        <f>+E$97*'CO2 - Destinação'!G14</f>
        <v>0</v>
      </c>
      <c r="AF52" s="2451">
        <f>+F$97*'CO2 - Destinação'!H14</f>
        <v>0</v>
      </c>
      <c r="AG52" s="2451">
        <f>+G$97*'CO2 - Destinação'!I14</f>
        <v>0</v>
      </c>
      <c r="AH52" s="2451">
        <f>+H$97*'CO2 - Destinação'!J14</f>
        <v>12939.336657</v>
      </c>
      <c r="AI52" s="2451">
        <f>+I$97*'CO2 - Destinação'!K14</f>
        <v>0</v>
      </c>
      <c r="AJ52" s="2451">
        <f>+J$97*'CO2 - Destinação'!L14</f>
        <v>0</v>
      </c>
      <c r="AK52" s="2451">
        <f>+K$97*'CO2 - Destinação'!M14</f>
        <v>0</v>
      </c>
    </row>
    <row r="53" spans="1:37" ht="18" customHeight="1" x14ac:dyDescent="0.2">
      <c r="A53" s="2439"/>
      <c r="B53" s="2450" t="s">
        <v>1112</v>
      </c>
      <c r="C53" s="2505">
        <f>+'CO2 - Início'!E42</f>
        <v>4.4500000000000005E-2</v>
      </c>
      <c r="D53" s="2451">
        <f t="shared" si="40"/>
        <v>1024.6392000000001</v>
      </c>
      <c r="E53" s="2065"/>
      <c r="F53" s="2065"/>
      <c r="G53" s="2065"/>
      <c r="H53" s="2065"/>
      <c r="I53" s="2065"/>
      <c r="J53" s="2065"/>
      <c r="K53" s="2065"/>
      <c r="L53" s="2497"/>
      <c r="M53" s="2433"/>
      <c r="N53" s="2515" t="s">
        <v>1372</v>
      </c>
      <c r="O53" s="2516"/>
      <c r="P53" s="2517"/>
      <c r="Q53" s="2525">
        <f t="shared" ref="Q53:X53" si="43">+(D124+D125)/3.6*1000</f>
        <v>2303.0809333517063</v>
      </c>
      <c r="R53" s="2525">
        <f t="shared" si="43"/>
        <v>2212.3760974070779</v>
      </c>
      <c r="S53" s="2525">
        <f t="shared" si="43"/>
        <v>2212.3760974070779</v>
      </c>
      <c r="T53" s="2525">
        <f t="shared" si="43"/>
        <v>2212.3760974070779</v>
      </c>
      <c r="U53" s="2525">
        <f t="shared" si="43"/>
        <v>2212.3760974070779</v>
      </c>
      <c r="V53" s="2525">
        <f t="shared" si="43"/>
        <v>2212.3760974070779</v>
      </c>
      <c r="W53" s="2525">
        <f t="shared" si="43"/>
        <v>2212.3760974070779</v>
      </c>
      <c r="X53" s="2525">
        <f t="shared" si="43"/>
        <v>2212.3760974070779</v>
      </c>
      <c r="Y53" s="2064" t="s">
        <v>1357</v>
      </c>
      <c r="Z53" s="2065"/>
      <c r="AA53" s="2435"/>
      <c r="AB53" s="2065"/>
      <c r="AC53" s="2511" t="s">
        <v>1246</v>
      </c>
      <c r="AD53" s="2451">
        <f>+D$97*'CO2 - Destinação'!E15</f>
        <v>0</v>
      </c>
      <c r="AE53" s="2451">
        <f>+E$97*'CO2 - Destinação'!G15</f>
        <v>2587.8673313999998</v>
      </c>
      <c r="AF53" s="2451">
        <f>+F$97*'CO2 - Destinação'!H15</f>
        <v>2587.8673313999998</v>
      </c>
      <c r="AG53" s="2451">
        <f>+G$97*'CO2 - Destinação'!I15</f>
        <v>2587.8673313999998</v>
      </c>
      <c r="AH53" s="2451">
        <f>+H$97*'CO2 - Destinação'!J15</f>
        <v>0</v>
      </c>
      <c r="AI53" s="2451">
        <f>+I$97*'CO2 - Destinação'!K15</f>
        <v>0</v>
      </c>
      <c r="AJ53" s="2451">
        <f>+J$97*'CO2 - Destinação'!L15</f>
        <v>0</v>
      </c>
      <c r="AK53" s="2451">
        <f>+K$97*'CO2 - Destinação'!M15</f>
        <v>0</v>
      </c>
    </row>
    <row r="54" spans="1:37" ht="18" customHeight="1" x14ac:dyDescent="0.2">
      <c r="A54" s="2439"/>
      <c r="B54" s="2450" t="s">
        <v>1373</v>
      </c>
      <c r="C54" s="2505">
        <f>+'CO2 - Início'!E43</f>
        <v>9.5999999999999992E-3</v>
      </c>
      <c r="D54" s="2451">
        <f t="shared" si="40"/>
        <v>221.04575999999997</v>
      </c>
      <c r="E54" s="2065"/>
      <c r="F54" s="2065"/>
      <c r="G54" s="2065"/>
      <c r="H54" s="2065"/>
      <c r="I54" s="2065"/>
      <c r="J54" s="2065"/>
      <c r="K54" s="2065"/>
      <c r="L54" s="2497"/>
      <c r="M54" s="2433"/>
      <c r="N54" s="2515" t="s">
        <v>1374</v>
      </c>
      <c r="O54" s="2516"/>
      <c r="P54" s="2517"/>
      <c r="Q54" s="2526">
        <f>+Q53*'CO2 - Destinação'!E58</f>
        <v>345.46214000275592</v>
      </c>
      <c r="R54" s="2526">
        <f>+R53*'CO2 - Destinação'!G58</f>
        <v>331.85641461106167</v>
      </c>
      <c r="S54" s="2526">
        <f>+S53*'CO2 - Destinação'!H58</f>
        <v>331.85641461106167</v>
      </c>
      <c r="T54" s="2526">
        <f>+T53*'CO2 - Destinação'!I58</f>
        <v>331.85641461106167</v>
      </c>
      <c r="U54" s="2526">
        <f>+U53*'CO2 - Destinação'!J58</f>
        <v>331.85641461106167</v>
      </c>
      <c r="V54" s="2526">
        <f>+V53*'CO2 - Destinação'!K58</f>
        <v>331.85641461106167</v>
      </c>
      <c r="W54" s="2526">
        <f>+W53*'CO2 - Destinação'!L58</f>
        <v>331.85641461106167</v>
      </c>
      <c r="X54" s="2526">
        <f>+X53*'CO2 - Destinação'!M58</f>
        <v>331.85641461106167</v>
      </c>
      <c r="Y54" s="2064" t="s">
        <v>1357</v>
      </c>
      <c r="Z54" s="2065"/>
      <c r="AA54" s="2435"/>
      <c r="AB54" s="2065"/>
      <c r="AC54" s="2511" t="s">
        <v>1247</v>
      </c>
      <c r="AD54" s="2451">
        <f>+D$97*'CO2 - Destinação'!E16</f>
        <v>0</v>
      </c>
      <c r="AE54" s="2451">
        <f>+E$97*'CO2 - Destinação'!G16</f>
        <v>10869.04279188</v>
      </c>
      <c r="AF54" s="2451">
        <f>+F$97*'CO2 - Destinação'!H16</f>
        <v>10869.04279188</v>
      </c>
      <c r="AG54" s="2451">
        <f>+G$97*'CO2 - Destinação'!I16</f>
        <v>10869.04279188</v>
      </c>
      <c r="AH54" s="2451">
        <f>+H$97*'CO2 - Destinação'!J16</f>
        <v>0</v>
      </c>
      <c r="AI54" s="2451">
        <f>+I$97*'CO2 - Destinação'!K16</f>
        <v>0</v>
      </c>
      <c r="AJ54" s="2451">
        <f>+J$97*'CO2 - Destinação'!L16</f>
        <v>0</v>
      </c>
      <c r="AK54" s="2451">
        <f>+K$97*'CO2 - Destinação'!M16</f>
        <v>0</v>
      </c>
    </row>
    <row r="55" spans="1:37" ht="18" customHeight="1" x14ac:dyDescent="0.2">
      <c r="A55" s="2439"/>
      <c r="B55" s="2450" t="s">
        <v>1319</v>
      </c>
      <c r="C55" s="2505">
        <f>+'CO2 - Início'!E44</f>
        <v>0.04</v>
      </c>
      <c r="D55" s="2451">
        <f t="shared" si="40"/>
        <v>921.024</v>
      </c>
      <c r="E55" s="2065"/>
      <c r="F55" s="2065"/>
      <c r="G55" s="2065"/>
      <c r="H55" s="2065"/>
      <c r="I55" s="2065"/>
      <c r="J55" s="2065"/>
      <c r="K55" s="2065"/>
      <c r="L55" s="2497"/>
      <c r="M55" s="2433"/>
      <c r="N55" s="2515" t="s">
        <v>1375</v>
      </c>
      <c r="O55" s="2516"/>
      <c r="P55" s="2517"/>
      <c r="Q55" s="2526">
        <f t="shared" ref="Q55:X55" si="44">+Q54*$C$3/1000</f>
        <v>26.220576426209178</v>
      </c>
      <c r="R55" s="2526">
        <f t="shared" si="44"/>
        <v>25.18790186897958</v>
      </c>
      <c r="S55" s="2526">
        <f t="shared" si="44"/>
        <v>25.18790186897958</v>
      </c>
      <c r="T55" s="2526">
        <f t="shared" si="44"/>
        <v>25.18790186897958</v>
      </c>
      <c r="U55" s="2526">
        <f t="shared" si="44"/>
        <v>25.18790186897958</v>
      </c>
      <c r="V55" s="2526">
        <f t="shared" si="44"/>
        <v>25.18790186897958</v>
      </c>
      <c r="W55" s="2526">
        <f t="shared" si="44"/>
        <v>25.18790186897958</v>
      </c>
      <c r="X55" s="2526">
        <f t="shared" si="44"/>
        <v>25.18790186897958</v>
      </c>
      <c r="Y55" s="2064" t="s">
        <v>1321</v>
      </c>
      <c r="Z55" s="2065"/>
      <c r="AA55" s="2435"/>
      <c r="AB55" s="2064"/>
      <c r="AC55" s="2511" t="s">
        <v>1248</v>
      </c>
      <c r="AD55" s="2451">
        <f>+D$97*'CO2 - Destinação'!E17</f>
        <v>0</v>
      </c>
      <c r="AE55" s="2451">
        <f>+E$97*'CO2 - Destinação'!G17</f>
        <v>0</v>
      </c>
      <c r="AF55" s="2451">
        <f>+F$97*'CO2 - Destinação'!H17</f>
        <v>0</v>
      </c>
      <c r="AG55" s="2451">
        <f>+G$97*'CO2 - Destinação'!I17</f>
        <v>0</v>
      </c>
      <c r="AH55" s="2451">
        <f>+H$97*'CO2 - Destinação'!J17</f>
        <v>0</v>
      </c>
      <c r="AI55" s="2451">
        <f>+I$97*'CO2 - Destinação'!K17</f>
        <v>14492.057055839998</v>
      </c>
      <c r="AJ55" s="2451">
        <f>+J$97*'CO2 - Destinação'!L17</f>
        <v>0</v>
      </c>
      <c r="AK55" s="2451">
        <f>+K$97*'CO2 - Destinação'!M17</f>
        <v>0</v>
      </c>
    </row>
    <row r="56" spans="1:37" ht="18" customHeight="1" x14ac:dyDescent="0.2">
      <c r="A56" s="2439"/>
      <c r="B56" s="2450" t="s">
        <v>1115</v>
      </c>
      <c r="C56" s="2505">
        <f>+'CO2 - Início'!E45</f>
        <v>7.3000000000000001E-3</v>
      </c>
      <c r="D56" s="2451">
        <f t="shared" si="40"/>
        <v>168.08687999999998</v>
      </c>
      <c r="E56" s="2065"/>
      <c r="F56" s="2065"/>
      <c r="G56" s="2065"/>
      <c r="H56" s="2065"/>
      <c r="I56" s="2065"/>
      <c r="J56" s="2065"/>
      <c r="K56" s="2065"/>
      <c r="L56" s="2497"/>
      <c r="M56" s="2433"/>
      <c r="N56" s="2515" t="s">
        <v>1376</v>
      </c>
      <c r="O56" s="2527"/>
      <c r="P56" s="2517"/>
      <c r="Q56" s="2526">
        <f>+Q53*'CO2 - Destinação'!E59</f>
        <v>0</v>
      </c>
      <c r="R56" s="2526">
        <f>+R53*'CO2 - Destinação'!G59</f>
        <v>0</v>
      </c>
      <c r="S56" s="2526">
        <f>+S53*'CO2 - Destinação'!H59</f>
        <v>0</v>
      </c>
      <c r="T56" s="2526">
        <f>+T53*'CO2 - Destinação'!I59</f>
        <v>0</v>
      </c>
      <c r="U56" s="2526">
        <f>+U53*'CO2 - Destinação'!J59</f>
        <v>0</v>
      </c>
      <c r="V56" s="2526">
        <f>+V53*'CO2 - Destinação'!K59</f>
        <v>0</v>
      </c>
      <c r="W56" s="2526">
        <f>+W53*'CO2 - Destinação'!L59</f>
        <v>0</v>
      </c>
      <c r="X56" s="2526">
        <f>+X53*'CO2 - Destinação'!M59</f>
        <v>0</v>
      </c>
      <c r="Y56" s="2064" t="s">
        <v>1357</v>
      </c>
      <c r="Z56" s="2065"/>
      <c r="AA56" s="2435"/>
      <c r="AB56" s="2065"/>
      <c r="AC56" s="2511" t="s">
        <v>63</v>
      </c>
      <c r="AD56" s="2451">
        <f>+D$97*'CO2 - Destinação'!E19</f>
        <v>0</v>
      </c>
      <c r="AE56" s="2451">
        <f>+E$97*'CO2 - Destinação'!G19</f>
        <v>0</v>
      </c>
      <c r="AF56" s="2451">
        <f>+F$97*'CO2 - Destinação'!H19</f>
        <v>0</v>
      </c>
      <c r="AG56" s="2451">
        <f>+G$97*'CO2 - Destinação'!I19</f>
        <v>0</v>
      </c>
      <c r="AH56" s="2451">
        <f>+H$97*'CO2 - Destinação'!J19</f>
        <v>0</v>
      </c>
      <c r="AI56" s="2451">
        <f>+I$97*'CO2 - Destinação'!K19</f>
        <v>0</v>
      </c>
      <c r="AJ56" s="2451">
        <f>+J$97*'CO2 - Destinação'!L19</f>
        <v>17597.497853519999</v>
      </c>
      <c r="AK56" s="2451">
        <f>+K$97*'CO2 - Destinação'!M19</f>
        <v>17597.497853519999</v>
      </c>
    </row>
    <row r="57" spans="1:37" ht="18" customHeight="1" x14ac:dyDescent="0.2">
      <c r="A57" s="2439"/>
      <c r="B57" s="2450" t="s">
        <v>1116</v>
      </c>
      <c r="C57" s="2505">
        <f>+'CO2 - Início'!E46</f>
        <v>0</v>
      </c>
      <c r="D57" s="2451">
        <f t="shared" si="40"/>
        <v>0</v>
      </c>
      <c r="E57" s="2065"/>
      <c r="F57" s="2065"/>
      <c r="G57" s="2065"/>
      <c r="H57" s="2065"/>
      <c r="I57" s="2065"/>
      <c r="J57" s="2065"/>
      <c r="K57" s="2065"/>
      <c r="L57" s="2497"/>
      <c r="M57" s="2433"/>
      <c r="N57" s="2515" t="s">
        <v>1377</v>
      </c>
      <c r="O57" s="2516"/>
      <c r="P57" s="2517"/>
      <c r="Q57" s="2526">
        <f t="shared" ref="Q57:X57" si="45">+Q56*$C$4/1000</f>
        <v>0</v>
      </c>
      <c r="R57" s="2526">
        <f t="shared" si="45"/>
        <v>0</v>
      </c>
      <c r="S57" s="2526">
        <f t="shared" si="45"/>
        <v>0</v>
      </c>
      <c r="T57" s="2526">
        <f t="shared" si="45"/>
        <v>0</v>
      </c>
      <c r="U57" s="2526">
        <f t="shared" si="45"/>
        <v>0</v>
      </c>
      <c r="V57" s="2526">
        <f t="shared" si="45"/>
        <v>0</v>
      </c>
      <c r="W57" s="2526">
        <f t="shared" si="45"/>
        <v>0</v>
      </c>
      <c r="X57" s="2526">
        <f t="shared" si="45"/>
        <v>0</v>
      </c>
      <c r="Y57" s="2064" t="s">
        <v>1321</v>
      </c>
      <c r="Z57" s="2065"/>
      <c r="AA57" s="2435"/>
      <c r="AB57" s="2065"/>
      <c r="AC57" s="2509" t="s">
        <v>1378</v>
      </c>
      <c r="AD57" s="2377">
        <f t="shared" ref="AD57:AJ57" si="46">SUM(AD47:AD56)</f>
        <v>22279.57056</v>
      </c>
      <c r="AE57" s="2377">
        <f t="shared" si="46"/>
        <v>20702.938651199998</v>
      </c>
      <c r="AF57" s="2377">
        <f t="shared" ref="AF57" si="47">SUM(AF47:AF56)</f>
        <v>20702.938651199998</v>
      </c>
      <c r="AG57" s="2377">
        <f t="shared" si="46"/>
        <v>20702.938651199998</v>
      </c>
      <c r="AH57" s="2377">
        <f t="shared" si="46"/>
        <v>20702.938651199998</v>
      </c>
      <c r="AI57" s="2377">
        <f t="shared" si="46"/>
        <v>20702.938651199998</v>
      </c>
      <c r="AJ57" s="2377">
        <f t="shared" si="46"/>
        <v>20702.938651199998</v>
      </c>
      <c r="AK57" s="2377">
        <f t="shared" ref="AK57" si="48">SUM(AK47:AK56)</f>
        <v>20702.938651199998</v>
      </c>
    </row>
    <row r="58" spans="1:37" ht="18" customHeight="1" x14ac:dyDescent="0.2">
      <c r="A58" s="2439"/>
      <c r="B58" s="2450" t="s">
        <v>1117</v>
      </c>
      <c r="C58" s="2505">
        <f>+'CO2 - Início'!E47</f>
        <v>6.5600000000000019E-2</v>
      </c>
      <c r="D58" s="2451">
        <f t="shared" si="40"/>
        <v>1510.4793600000003</v>
      </c>
      <c r="E58" s="2065"/>
      <c r="F58" s="2065"/>
      <c r="G58" s="2065"/>
      <c r="H58" s="2065"/>
      <c r="I58" s="2065"/>
      <c r="J58" s="2065"/>
      <c r="K58" s="2065"/>
      <c r="L58" s="2497"/>
      <c r="M58" s="2433"/>
      <c r="N58" s="2528" t="s">
        <v>1379</v>
      </c>
      <c r="O58" s="2516"/>
      <c r="P58" s="2517"/>
      <c r="Q58" s="2524">
        <f t="shared" ref="Q58:X58" si="49">+Q55+Q57</f>
        <v>26.220576426209178</v>
      </c>
      <c r="R58" s="2524">
        <f t="shared" si="49"/>
        <v>25.18790186897958</v>
      </c>
      <c r="S58" s="2524">
        <f t="shared" si="49"/>
        <v>25.18790186897958</v>
      </c>
      <c r="T58" s="2524">
        <f t="shared" si="49"/>
        <v>25.18790186897958</v>
      </c>
      <c r="U58" s="2524">
        <f t="shared" si="49"/>
        <v>25.18790186897958</v>
      </c>
      <c r="V58" s="2524">
        <f t="shared" si="49"/>
        <v>25.18790186897958</v>
      </c>
      <c r="W58" s="2524">
        <f t="shared" si="49"/>
        <v>25.18790186897958</v>
      </c>
      <c r="X58" s="2524">
        <f t="shared" si="49"/>
        <v>25.18790186897958</v>
      </c>
      <c r="Y58" s="2473" t="s">
        <v>1321</v>
      </c>
      <c r="Z58" s="2065"/>
      <c r="AA58" s="2435"/>
      <c r="AB58" s="2065"/>
      <c r="AC58" s="2529" t="s">
        <v>1380</v>
      </c>
      <c r="AD58" s="2530">
        <f t="shared" ref="AD58:AK58" si="50">+AD57+AD13</f>
        <v>23025.599999999999</v>
      </c>
      <c r="AE58" s="2530">
        <f t="shared" si="50"/>
        <v>23025.599999999999</v>
      </c>
      <c r="AF58" s="2530">
        <f t="shared" si="50"/>
        <v>23025.599999999999</v>
      </c>
      <c r="AG58" s="2530">
        <f t="shared" si="50"/>
        <v>23025.599999999999</v>
      </c>
      <c r="AH58" s="2530">
        <f t="shared" si="50"/>
        <v>23025.599999999999</v>
      </c>
      <c r="AI58" s="2530">
        <f t="shared" si="50"/>
        <v>23025.599999999999</v>
      </c>
      <c r="AJ58" s="2530">
        <f t="shared" si="50"/>
        <v>23025.599999999999</v>
      </c>
      <c r="AK58" s="2530">
        <f t="shared" si="50"/>
        <v>23025.599999999999</v>
      </c>
    </row>
    <row r="59" spans="1:37" ht="18" customHeight="1" x14ac:dyDescent="0.2">
      <c r="A59" s="2439"/>
      <c r="B59" s="2531" t="s">
        <v>1381</v>
      </c>
      <c r="C59" s="2532">
        <f>SUM(C46:C58)</f>
        <v>1.0000000000000002</v>
      </c>
      <c r="D59" s="2307">
        <f>SUM(D46:D58)</f>
        <v>23025.600000000006</v>
      </c>
      <c r="E59" s="2065"/>
      <c r="F59" s="2065"/>
      <c r="G59" s="2065"/>
      <c r="H59" s="2065"/>
      <c r="I59" s="2065"/>
      <c r="J59" s="2065"/>
      <c r="K59" s="2065"/>
      <c r="L59" s="2497"/>
      <c r="M59" s="2433"/>
      <c r="N59" s="2065"/>
      <c r="O59" s="2065"/>
      <c r="P59" s="2065"/>
      <c r="Q59" s="2065"/>
      <c r="R59" s="2065"/>
      <c r="S59" s="2065"/>
      <c r="T59" s="2065"/>
      <c r="U59" s="2065"/>
      <c r="V59" s="2065"/>
      <c r="W59" s="2065"/>
      <c r="X59" s="2065"/>
      <c r="Y59" s="2065"/>
      <c r="Z59" s="2065"/>
      <c r="AA59" s="2435"/>
      <c r="AB59" s="2065"/>
      <c r="AC59" s="2533"/>
      <c r="AD59" s="2534" t="str">
        <f t="shared" ref="AD59:AK59" si="51">IF(AD58=$D$44,"correto","errado")</f>
        <v>correto</v>
      </c>
      <c r="AE59" s="2534" t="str">
        <f t="shared" si="51"/>
        <v>correto</v>
      </c>
      <c r="AF59" s="2534" t="str">
        <f t="shared" si="51"/>
        <v>correto</v>
      </c>
      <c r="AG59" s="2534" t="str">
        <f t="shared" si="51"/>
        <v>correto</v>
      </c>
      <c r="AH59" s="2534" t="str">
        <f t="shared" si="51"/>
        <v>correto</v>
      </c>
      <c r="AI59" s="2534" t="str">
        <f t="shared" si="51"/>
        <v>correto</v>
      </c>
      <c r="AJ59" s="2534" t="str">
        <f t="shared" si="51"/>
        <v>correto</v>
      </c>
      <c r="AK59" s="2534" t="str">
        <f t="shared" si="51"/>
        <v>correto</v>
      </c>
    </row>
    <row r="60" spans="1:37" ht="18" customHeight="1" x14ac:dyDescent="0.2">
      <c r="A60" s="2439"/>
      <c r="B60" s="2065"/>
      <c r="C60" s="2065"/>
      <c r="D60" s="2065"/>
      <c r="E60" s="2065"/>
      <c r="F60" s="2065"/>
      <c r="G60" s="2065"/>
      <c r="H60" s="2065"/>
      <c r="I60" s="2065"/>
      <c r="J60" s="2065"/>
      <c r="K60" s="2065"/>
      <c r="L60" s="2497"/>
      <c r="M60" s="2433"/>
      <c r="N60" s="2535" t="s">
        <v>1200</v>
      </c>
      <c r="O60" s="2536"/>
      <c r="P60" s="2537"/>
      <c r="Q60" s="2065"/>
      <c r="R60" s="2065"/>
      <c r="S60" s="2065"/>
      <c r="T60" s="2065"/>
      <c r="U60" s="2065"/>
      <c r="V60" s="2065"/>
      <c r="W60" s="2065"/>
      <c r="X60" s="2065"/>
      <c r="Y60" s="2065"/>
      <c r="Z60" s="2065"/>
      <c r="AA60" s="2435"/>
      <c r="AB60" s="2065"/>
      <c r="AC60" s="2538" t="s">
        <v>1250</v>
      </c>
      <c r="AD60" s="2473" t="s">
        <v>1314</v>
      </c>
      <c r="AE60" s="2064"/>
      <c r="AF60" s="2064"/>
      <c r="AG60" s="2064"/>
      <c r="AH60" s="2064"/>
      <c r="AI60" s="2064"/>
      <c r="AJ60" s="2064"/>
      <c r="AK60" s="2064"/>
    </row>
    <row r="61" spans="1:37" ht="18" customHeight="1" x14ac:dyDescent="0.2">
      <c r="A61" s="2439"/>
      <c r="B61" s="2531" t="s">
        <v>1382</v>
      </c>
      <c r="C61" s="2199"/>
      <c r="D61" s="2065"/>
      <c r="E61" s="2065"/>
      <c r="F61" s="2065"/>
      <c r="G61" s="2065"/>
      <c r="H61" s="2065"/>
      <c r="I61" s="2065"/>
      <c r="J61" s="2065"/>
      <c r="K61" s="2065"/>
      <c r="L61" s="2497"/>
      <c r="M61" s="2433"/>
      <c r="N61" s="2539" t="s">
        <v>1383</v>
      </c>
      <c r="O61" s="2540"/>
      <c r="P61" s="2541"/>
      <c r="Q61" s="2064"/>
      <c r="R61" s="2064"/>
      <c r="S61" s="2064"/>
      <c r="T61" s="2064"/>
      <c r="U61" s="2064"/>
      <c r="V61" s="2064"/>
      <c r="W61" s="2064"/>
      <c r="X61" s="2064"/>
      <c r="Y61" s="2064"/>
      <c r="Z61" s="2064"/>
      <c r="AA61" s="2435"/>
      <c r="AB61" s="2065"/>
      <c r="AC61" s="2450" t="str">
        <f>+AC47</f>
        <v>Resíduos dispersos</v>
      </c>
      <c r="AD61" s="2451">
        <v>0</v>
      </c>
      <c r="AE61" s="2451">
        <v>0</v>
      </c>
      <c r="AF61" s="2451">
        <v>0</v>
      </c>
      <c r="AG61" s="2451">
        <v>0</v>
      </c>
      <c r="AH61" s="2451">
        <v>0</v>
      </c>
      <c r="AI61" s="2451">
        <v>0</v>
      </c>
      <c r="AJ61" s="2451">
        <v>0</v>
      </c>
      <c r="AK61" s="2451">
        <v>0</v>
      </c>
    </row>
    <row r="62" spans="1:37" ht="18" customHeight="1" x14ac:dyDescent="0.2">
      <c r="A62" s="2439"/>
      <c r="B62" s="2450" t="s">
        <v>1384</v>
      </c>
      <c r="C62" s="2476">
        <f>+C46*C11+C47*C12+C48*C13+C49*C14+C50*C15+C51*C16+C52*C17+C53*C18+C54*C19+C55*C20+C56*C21+C57*C22+C58*C23</f>
        <v>0.27421050000000002</v>
      </c>
      <c r="D62" s="2064" t="s">
        <v>1303</v>
      </c>
      <c r="E62" s="2065"/>
      <c r="F62" s="2065"/>
      <c r="G62" s="2065"/>
      <c r="H62" s="2065"/>
      <c r="I62" s="2065"/>
      <c r="J62" s="2065"/>
      <c r="K62" s="2065"/>
      <c r="L62" s="2497"/>
      <c r="M62" s="2433"/>
      <c r="N62" s="2542" t="s">
        <v>1385</v>
      </c>
      <c r="O62" s="2543"/>
      <c r="P62" s="2541"/>
      <c r="Q62" s="2544">
        <v>0.35</v>
      </c>
      <c r="R62" s="2544">
        <v>0.35</v>
      </c>
      <c r="S62" s="2544">
        <v>0.35</v>
      </c>
      <c r="T62" s="2544">
        <v>0.35</v>
      </c>
      <c r="U62" s="2544">
        <v>0.35</v>
      </c>
      <c r="V62" s="2544">
        <v>0.35</v>
      </c>
      <c r="W62" s="2544">
        <v>0.35</v>
      </c>
      <c r="X62" s="2544">
        <v>0.35</v>
      </c>
      <c r="Y62" s="2064" t="s">
        <v>1327</v>
      </c>
      <c r="Z62" s="2065"/>
      <c r="AA62" s="2435"/>
      <c r="AB62" s="2065"/>
      <c r="AC62" s="2450" t="str">
        <f>+AC48</f>
        <v>Queima a céu aberto</v>
      </c>
      <c r="AD62" s="2451">
        <f>+AD48*Q20/1000</f>
        <v>0</v>
      </c>
      <c r="AE62" s="2451">
        <f>+AE48*R20/1000</f>
        <v>0</v>
      </c>
      <c r="AF62" s="2451">
        <f>+AF48*T20/1000</f>
        <v>0</v>
      </c>
      <c r="AG62" s="2451">
        <f>+AG48*U20/1000</f>
        <v>0</v>
      </c>
      <c r="AH62" s="2451">
        <f>+AH48*U20/1000</f>
        <v>0</v>
      </c>
      <c r="AI62" s="2451">
        <f>+AI48*V20/1000</f>
        <v>0</v>
      </c>
      <c r="AJ62" s="2451">
        <f>+AJ48*W20/1000</f>
        <v>0</v>
      </c>
      <c r="AK62" s="2451">
        <f>+AK48*X20/1000</f>
        <v>0</v>
      </c>
    </row>
    <row r="63" spans="1:37" ht="18" customHeight="1" x14ac:dyDescent="0.2">
      <c r="A63" s="2439"/>
      <c r="B63" s="2450" t="s">
        <v>1386</v>
      </c>
      <c r="C63" s="2476">
        <f>+C46*C11*D11+C47*C12*D12+C48*C13*D13+C49*C14*D14+C50*C15*D15+C51*C16*D16+C52*C17*D17+C53*C18*D18+C54*C19*D19+C55*C20*D20+C56*C21*D21+C57*C22*D22+C58*C23*D23</f>
        <v>0.10932450000000002</v>
      </c>
      <c r="D63" s="2064" t="s">
        <v>1303</v>
      </c>
      <c r="E63" s="2065"/>
      <c r="F63" s="2065"/>
      <c r="G63" s="2065"/>
      <c r="H63" s="2065"/>
      <c r="I63" s="2065"/>
      <c r="J63" s="2065"/>
      <c r="K63" s="2065"/>
      <c r="L63" s="2497"/>
      <c r="M63" s="2433"/>
      <c r="N63" s="2542" t="s">
        <v>1387</v>
      </c>
      <c r="O63" s="2536"/>
      <c r="P63" s="2537"/>
      <c r="Q63" s="2545">
        <f t="shared" ref="Q63:X63" si="52">0.82*28+0.045*265</f>
        <v>34.884999999999998</v>
      </c>
      <c r="R63" s="2545">
        <f t="shared" si="52"/>
        <v>34.884999999999998</v>
      </c>
      <c r="S63" s="2545">
        <f t="shared" si="52"/>
        <v>34.884999999999998</v>
      </c>
      <c r="T63" s="2545">
        <f t="shared" si="52"/>
        <v>34.884999999999998</v>
      </c>
      <c r="U63" s="2545">
        <f t="shared" si="52"/>
        <v>34.884999999999998</v>
      </c>
      <c r="V63" s="2545">
        <f t="shared" si="52"/>
        <v>34.884999999999998</v>
      </c>
      <c r="W63" s="2545">
        <f t="shared" si="52"/>
        <v>34.884999999999998</v>
      </c>
      <c r="X63" s="2545">
        <f t="shared" si="52"/>
        <v>34.884999999999998</v>
      </c>
      <c r="Y63" s="2064" t="s">
        <v>1321</v>
      </c>
      <c r="Z63" s="2064"/>
      <c r="AA63" s="2435"/>
      <c r="AB63" s="2065"/>
      <c r="AC63" s="2450" t="str">
        <f>+AC49</f>
        <v>Lixão não controlado</v>
      </c>
      <c r="AD63" s="2451">
        <f>+AD49*Q30/1000*0.4</f>
        <v>0</v>
      </c>
      <c r="AE63" s="2451">
        <f>+AE49*R30/1000*0.4</f>
        <v>0</v>
      </c>
      <c r="AF63" s="2451">
        <f>+AF49*T30/1000*0.4</f>
        <v>0</v>
      </c>
      <c r="AG63" s="2451">
        <f>+AG49*U30/1000*0.4</f>
        <v>0</v>
      </c>
      <c r="AH63" s="2451">
        <f>+AH49*U30/1000*0.4</f>
        <v>0</v>
      </c>
      <c r="AI63" s="2451">
        <f>+AI49*V30/1000*0.4</f>
        <v>0</v>
      </c>
      <c r="AJ63" s="2451">
        <f>+AJ49*W30/1000*0.4</f>
        <v>0</v>
      </c>
      <c r="AK63" s="2451">
        <f>+AK49*X30/1000*0.4</f>
        <v>0</v>
      </c>
    </row>
    <row r="64" spans="1:37" ht="18" customHeight="1" x14ac:dyDescent="0.2">
      <c r="A64" s="2439"/>
      <c r="B64" s="2450" t="s">
        <v>1388</v>
      </c>
      <c r="C64" s="2467">
        <f>+C62-C63</f>
        <v>0.164886</v>
      </c>
      <c r="D64" s="2064" t="s">
        <v>1303</v>
      </c>
      <c r="E64" s="2065"/>
      <c r="F64" s="2065"/>
      <c r="G64" s="2065"/>
      <c r="H64" s="2065"/>
      <c r="I64" s="2065"/>
      <c r="J64" s="2065"/>
      <c r="K64" s="2065"/>
      <c r="L64" s="2497"/>
      <c r="M64" s="2433"/>
      <c r="N64" s="2542" t="s">
        <v>1389</v>
      </c>
      <c r="O64" s="2543"/>
      <c r="P64" s="2541"/>
      <c r="Q64" s="2546">
        <v>5</v>
      </c>
      <c r="R64" s="2546">
        <v>5</v>
      </c>
      <c r="S64" s="2546">
        <v>5</v>
      </c>
      <c r="T64" s="2546">
        <v>5</v>
      </c>
      <c r="U64" s="2546">
        <v>5</v>
      </c>
      <c r="V64" s="2546">
        <v>5</v>
      </c>
      <c r="W64" s="2546">
        <v>5</v>
      </c>
      <c r="X64" s="2546">
        <v>5</v>
      </c>
      <c r="Y64" s="2064" t="s">
        <v>1390</v>
      </c>
      <c r="Z64" s="2065"/>
      <c r="AA64" s="2435"/>
      <c r="AB64" s="2065"/>
      <c r="AC64" s="2450" t="str">
        <f>+AC50</f>
        <v>Aterro controlado</v>
      </c>
      <c r="AD64" s="2451">
        <f>+AD50*Q30/1000*0.8</f>
        <v>0</v>
      </c>
      <c r="AE64" s="2451">
        <f>+AE50*R30/1000*0.8</f>
        <v>0</v>
      </c>
      <c r="AF64" s="2451">
        <f>+AF50*T30/1000*0.8</f>
        <v>0</v>
      </c>
      <c r="AG64" s="2451">
        <f>+AG50*U30/1000*0.8</f>
        <v>0</v>
      </c>
      <c r="AH64" s="2451">
        <f>+AH50*U30/1000*0.8</f>
        <v>0</v>
      </c>
      <c r="AI64" s="2451">
        <f>+AI50*V30/1000*0.8</f>
        <v>8346.3928112269059</v>
      </c>
      <c r="AJ64" s="2451">
        <f>+AJ50*W30/1000*0.8</f>
        <v>4173.196405613453</v>
      </c>
      <c r="AK64" s="2451">
        <f>+AK50*X30/1000*0.8</f>
        <v>4173.196405613453</v>
      </c>
    </row>
    <row r="65" spans="1:37" ht="18" customHeight="1" x14ac:dyDescent="0.2">
      <c r="A65" s="2439"/>
      <c r="B65" s="2065"/>
      <c r="C65" s="2065"/>
      <c r="D65" s="2065"/>
      <c r="E65" s="2065"/>
      <c r="F65" s="2065"/>
      <c r="G65" s="2065"/>
      <c r="H65" s="2065"/>
      <c r="I65" s="2065"/>
      <c r="J65" s="2065"/>
      <c r="K65" s="2065"/>
      <c r="L65" s="2497"/>
      <c r="M65" s="2433"/>
      <c r="N65" s="2542" t="s">
        <v>1391</v>
      </c>
      <c r="O65" s="2547"/>
      <c r="P65" s="2541"/>
      <c r="Q65" s="2546">
        <f>+Q64*$C$3/1000</f>
        <v>0.3795</v>
      </c>
      <c r="R65" s="2546">
        <f t="shared" ref="R65:X65" si="53">+R64*$C$3/1000</f>
        <v>0.3795</v>
      </c>
      <c r="S65" s="2546">
        <f t="shared" si="53"/>
        <v>0.3795</v>
      </c>
      <c r="T65" s="2546">
        <f t="shared" si="53"/>
        <v>0.3795</v>
      </c>
      <c r="U65" s="2546">
        <f t="shared" si="53"/>
        <v>0.3795</v>
      </c>
      <c r="V65" s="2546">
        <f t="shared" si="53"/>
        <v>0.3795</v>
      </c>
      <c r="W65" s="2546">
        <f t="shared" si="53"/>
        <v>0.3795</v>
      </c>
      <c r="X65" s="2546">
        <f t="shared" si="53"/>
        <v>0.3795</v>
      </c>
      <c r="Y65" s="2064" t="s">
        <v>1321</v>
      </c>
      <c r="Z65" s="2064"/>
      <c r="AA65" s="2435"/>
      <c r="AB65" s="2065"/>
      <c r="AC65" s="2450" t="str">
        <f>+AC51</f>
        <v>Aterro sanitário</v>
      </c>
      <c r="AD65" s="2451">
        <f>+AD51*Q46/1000</f>
        <v>26393.084303869578</v>
      </c>
      <c r="AE65" s="2451">
        <f>+AE51*R46/1000</f>
        <v>8513.3129213582743</v>
      </c>
      <c r="AF65" s="2451">
        <f>+AF51*T46/1000</f>
        <v>8513.3129213582743</v>
      </c>
      <c r="AG65" s="2451">
        <f>+AG51*U46/1000</f>
        <v>8513.3129213582743</v>
      </c>
      <c r="AH65" s="2451">
        <f>+AH51*U46/1000</f>
        <v>9121.4067014552929</v>
      </c>
      <c r="AI65" s="2451">
        <f>+AI51*V46/1000</f>
        <v>0</v>
      </c>
      <c r="AJ65" s="2451">
        <f>+AJ51*W46/1000</f>
        <v>0</v>
      </c>
      <c r="AK65" s="2451">
        <f>+AK51*X46/1000</f>
        <v>0</v>
      </c>
    </row>
    <row r="66" spans="1:37" ht="18" customHeight="1" x14ac:dyDescent="0.2">
      <c r="A66" s="2065"/>
      <c r="B66" s="2531" t="s">
        <v>1392</v>
      </c>
      <c r="C66" s="2199"/>
      <c r="D66" s="2065"/>
      <c r="E66" s="2065"/>
      <c r="F66" s="2065"/>
      <c r="G66" s="2065"/>
      <c r="H66" s="2065"/>
      <c r="I66" s="2065"/>
      <c r="J66" s="2065"/>
      <c r="K66" s="2065"/>
      <c r="L66" s="2065"/>
      <c r="M66" s="2433"/>
      <c r="N66" s="2542" t="s">
        <v>1393</v>
      </c>
      <c r="O66" s="2543"/>
      <c r="P66" s="2541"/>
      <c r="Q66" s="2546">
        <f>Q63+Q65</f>
        <v>35.264499999999998</v>
      </c>
      <c r="R66" s="2546">
        <f t="shared" ref="R66:X66" si="54">R63+R65</f>
        <v>35.264499999999998</v>
      </c>
      <c r="S66" s="2546">
        <f t="shared" si="54"/>
        <v>35.264499999999998</v>
      </c>
      <c r="T66" s="2546">
        <f t="shared" si="54"/>
        <v>35.264499999999998</v>
      </c>
      <c r="U66" s="2546">
        <f t="shared" si="54"/>
        <v>35.264499999999998</v>
      </c>
      <c r="V66" s="2546">
        <f t="shared" si="54"/>
        <v>35.264499999999998</v>
      </c>
      <c r="W66" s="2546">
        <f t="shared" si="54"/>
        <v>35.264499999999998</v>
      </c>
      <c r="X66" s="2546">
        <f t="shared" si="54"/>
        <v>35.264499999999998</v>
      </c>
      <c r="Y66" s="2064" t="s">
        <v>1321</v>
      </c>
      <c r="Z66" s="2064"/>
      <c r="AA66" s="2435"/>
      <c r="AB66" s="2065"/>
      <c r="AC66" s="2450" t="str">
        <f t="shared" ref="AC66:AC69" si="55">+AC52</f>
        <v>Trat. biol + cobertura at.</v>
      </c>
      <c r="AD66" s="2451">
        <f>+AD52*Q86/1000</f>
        <v>0</v>
      </c>
      <c r="AE66" s="2451">
        <f>+AE52*R86/1000</f>
        <v>0</v>
      </c>
      <c r="AF66" s="2451">
        <f>+AF52*T86/1000</f>
        <v>0</v>
      </c>
      <c r="AG66" s="2451">
        <f>+AG52*U86/1000</f>
        <v>0</v>
      </c>
      <c r="AH66" s="2451">
        <f>+AH52*U86/1000</f>
        <v>456.29923754077652</v>
      </c>
      <c r="AI66" s="2451">
        <f>+AI52*V86/1000</f>
        <v>0</v>
      </c>
      <c r="AJ66" s="2451">
        <f>+AJ52*W86/1000</f>
        <v>0</v>
      </c>
      <c r="AK66" s="2451">
        <f>+AK52*X86/1000</f>
        <v>0</v>
      </c>
    </row>
    <row r="67" spans="1:37" ht="18" customHeight="1" x14ac:dyDescent="0.2">
      <c r="A67" s="2065"/>
      <c r="B67" s="2450" t="s">
        <v>1394</v>
      </c>
      <c r="C67" s="2548">
        <f>+((C46+C47)*$C$29+C48*$C$31+C49*$C$32+C50*$C$33+(C51+C52)*$C$34+(C53+C54+C55)*$C$35+C56*$C$36+C57*$C$37+C58*$C$38)*'CO2 - Início'!$E$55</f>
        <v>0</v>
      </c>
      <c r="D67" s="2064" t="s">
        <v>1395</v>
      </c>
      <c r="E67" s="2065"/>
      <c r="F67" s="2065"/>
      <c r="G67" s="2065"/>
      <c r="H67" s="2065"/>
      <c r="I67" s="2065"/>
      <c r="J67" s="2065"/>
      <c r="K67" s="2065"/>
      <c r="L67" s="2065"/>
      <c r="M67" s="2433"/>
      <c r="N67" s="2539" t="s">
        <v>1396</v>
      </c>
      <c r="O67" s="2543"/>
      <c r="P67" s="2541"/>
      <c r="Q67" s="2549"/>
      <c r="R67" s="2549"/>
      <c r="S67" s="2549"/>
      <c r="T67" s="2549"/>
      <c r="U67" s="2549"/>
      <c r="V67" s="2549"/>
      <c r="W67" s="2549"/>
      <c r="X67" s="2549"/>
      <c r="Y67" s="2064"/>
      <c r="Z67" s="2064"/>
      <c r="AA67" s="2435"/>
      <c r="AB67" s="2065"/>
      <c r="AC67" s="2450" t="str">
        <f t="shared" si="55"/>
        <v>CDR seco + rejeito aterro</v>
      </c>
      <c r="AD67" s="2451">
        <f>+AD53*Q96/1000</f>
        <v>0</v>
      </c>
      <c r="AE67" s="2451">
        <f>+AE53*R96/1000</f>
        <v>1557.9926977483726</v>
      </c>
      <c r="AF67" s="2451">
        <f>+AF53*T96/1000</f>
        <v>1557.9926977483726</v>
      </c>
      <c r="AG67" s="2451">
        <f>+AG53*U96/1000</f>
        <v>1557.9926977483726</v>
      </c>
      <c r="AH67" s="2451">
        <f>+AH53*U96/1000</f>
        <v>0</v>
      </c>
      <c r="AI67" s="2451">
        <f>+AI53*V96/1000</f>
        <v>0</v>
      </c>
      <c r="AJ67" s="2451">
        <f>+AJ53*W96/1000</f>
        <v>0</v>
      </c>
      <c r="AK67" s="2451">
        <f>+AK53*X96/1000</f>
        <v>0</v>
      </c>
    </row>
    <row r="68" spans="1:37" ht="18" customHeight="1" x14ac:dyDescent="0.2">
      <c r="A68" s="2065"/>
      <c r="B68" s="2450" t="s">
        <v>1397</v>
      </c>
      <c r="C68" s="2448">
        <f>+((C46+C47)*$C$30+C48*$C$31+C49*$C$32+C50*$C$33+C51*$C$34+(C53+C54+C55)*$C$35+C56*$C$36+C57*$C$37+C58*$C$39)*'CO2 - Início'!$E$56</f>
        <v>8.5983600000000013</v>
      </c>
      <c r="D68" s="2064" t="s">
        <v>1395</v>
      </c>
      <c r="E68" s="2065"/>
      <c r="F68" s="2065"/>
      <c r="G68" s="2065"/>
      <c r="H68" s="2065"/>
      <c r="I68" s="2065"/>
      <c r="J68" s="2065"/>
      <c r="K68" s="2065"/>
      <c r="L68" s="2065"/>
      <c r="M68" s="2433"/>
      <c r="N68" s="2542" t="s">
        <v>1398</v>
      </c>
      <c r="O68" s="2543"/>
      <c r="P68" s="2541"/>
      <c r="Q68" s="2544">
        <f>Q62</f>
        <v>0.35</v>
      </c>
      <c r="R68" s="2544">
        <f t="shared" ref="R68:X68" si="56">R62</f>
        <v>0.35</v>
      </c>
      <c r="S68" s="2544">
        <f t="shared" si="56"/>
        <v>0.35</v>
      </c>
      <c r="T68" s="2544">
        <f t="shared" si="56"/>
        <v>0.35</v>
      </c>
      <c r="U68" s="2544">
        <f t="shared" si="56"/>
        <v>0.35</v>
      </c>
      <c r="V68" s="2544">
        <f t="shared" si="56"/>
        <v>0.35</v>
      </c>
      <c r="W68" s="2544">
        <f t="shared" si="56"/>
        <v>0.35</v>
      </c>
      <c r="X68" s="2544">
        <f t="shared" si="56"/>
        <v>0.35</v>
      </c>
      <c r="Y68" s="2064" t="s">
        <v>1327</v>
      </c>
      <c r="Z68" s="2064"/>
      <c r="AA68" s="2435"/>
      <c r="AB68" s="2065"/>
      <c r="AC68" s="2450" t="str">
        <f t="shared" si="55"/>
        <v>CDR seco + trat. biol.</v>
      </c>
      <c r="AD68" s="2451">
        <f>+AD54*Q131/1000</f>
        <v>0</v>
      </c>
      <c r="AE68" s="2451">
        <f>+AE54*R131/1000</f>
        <v>1149.6270448781202</v>
      </c>
      <c r="AF68" s="2451">
        <f>+AF54*T131/1000</f>
        <v>1149.6270448781202</v>
      </c>
      <c r="AG68" s="2451">
        <f>+AG54*U131/1000</f>
        <v>1094.0904253692274</v>
      </c>
      <c r="AH68" s="2451">
        <f>+AH54*U131/1000</f>
        <v>0</v>
      </c>
      <c r="AI68" s="2451">
        <f>+AI54*V131/1000</f>
        <v>0</v>
      </c>
      <c r="AJ68" s="2451">
        <f>+AJ54*W131/1000</f>
        <v>0</v>
      </c>
      <c r="AK68" s="2451">
        <f>+AK54*X131/1000</f>
        <v>0</v>
      </c>
    </row>
    <row r="69" spans="1:37" ht="18" customHeight="1" x14ac:dyDescent="0.2">
      <c r="A69" s="2065"/>
      <c r="B69" s="2065"/>
      <c r="C69" s="2065"/>
      <c r="D69" s="2065"/>
      <c r="E69" s="2065"/>
      <c r="F69" s="2065"/>
      <c r="G69" s="2065"/>
      <c r="H69" s="2065"/>
      <c r="I69" s="2065"/>
      <c r="J69" s="2065"/>
      <c r="K69" s="2065"/>
      <c r="L69" s="2065"/>
      <c r="M69" s="2433"/>
      <c r="N69" s="2542" t="s">
        <v>1399</v>
      </c>
      <c r="O69" s="2543"/>
      <c r="P69" s="2541"/>
      <c r="Q69" s="2550">
        <f>$Q$24*Q68*1868</f>
        <v>107.78431797147579</v>
      </c>
      <c r="R69" s="2550">
        <f>$R$24*R68*1868</f>
        <v>106.89587295947732</v>
      </c>
      <c r="S69" s="2550">
        <f>$R$24*S68*1868</f>
        <v>106.89587295947732</v>
      </c>
      <c r="T69" s="2550">
        <f>$R$24*T68*1868</f>
        <v>106.89587295947732</v>
      </c>
      <c r="U69" s="2550">
        <f>$U$24*U68*1868</f>
        <v>106.89587295947732</v>
      </c>
      <c r="V69" s="2550">
        <f>$V$24*V68*1868</f>
        <v>106.89587295947732</v>
      </c>
      <c r="W69" s="2550">
        <f>$V$24*W68*1868</f>
        <v>106.89587295947732</v>
      </c>
      <c r="X69" s="2550">
        <f>$V$24*X68*1868</f>
        <v>106.89587295947732</v>
      </c>
      <c r="Y69" s="2064" t="s">
        <v>1400</v>
      </c>
      <c r="Z69" s="2064"/>
      <c r="AA69" s="2435"/>
      <c r="AB69" s="2064"/>
      <c r="AC69" s="2450" t="str">
        <f t="shared" si="55"/>
        <v>CDR seco + CDR org.</v>
      </c>
      <c r="AD69" s="2451">
        <f>+AD55*Q151/1000</f>
        <v>0</v>
      </c>
      <c r="AE69" s="2451">
        <f>+AE55*R151/1000</f>
        <v>0</v>
      </c>
      <c r="AF69" s="2451">
        <f>+AF55*T151/1000</f>
        <v>0</v>
      </c>
      <c r="AG69" s="2451">
        <f>+AG55*U151/1000</f>
        <v>0</v>
      </c>
      <c r="AH69" s="2451">
        <f>+AH55*U151/1000</f>
        <v>0</v>
      </c>
      <c r="AI69" s="2451">
        <f>+AI55*V151/1000</f>
        <v>2254.8862787014923</v>
      </c>
      <c r="AJ69" s="2451">
        <f>+AJ55*W151/1000</f>
        <v>0</v>
      </c>
      <c r="AK69" s="2451">
        <f>+AK55*X151/1000</f>
        <v>0</v>
      </c>
    </row>
    <row r="70" spans="1:37" ht="18" customHeight="1" x14ac:dyDescent="0.2">
      <c r="A70" s="2429" t="s">
        <v>1401</v>
      </c>
      <c r="B70" s="2430"/>
      <c r="C70" s="2430"/>
      <c r="D70" s="2430"/>
      <c r="E70" s="2430"/>
      <c r="F70" s="2430"/>
      <c r="G70" s="2430"/>
      <c r="H70" s="2430"/>
      <c r="I70" s="2430"/>
      <c r="J70" s="2430"/>
      <c r="K70" s="2430"/>
      <c r="L70" s="2457"/>
      <c r="M70" s="2433"/>
      <c r="N70" s="2542" t="s">
        <v>1402</v>
      </c>
      <c r="O70" s="2543"/>
      <c r="P70" s="2541"/>
      <c r="Q70" s="2544">
        <v>0.6</v>
      </c>
      <c r="R70" s="2544">
        <v>0.6</v>
      </c>
      <c r="S70" s="2544">
        <v>0.6</v>
      </c>
      <c r="T70" s="2544">
        <v>0.6</v>
      </c>
      <c r="U70" s="2544">
        <v>0.6</v>
      </c>
      <c r="V70" s="2544">
        <v>0.6</v>
      </c>
      <c r="W70" s="2544">
        <v>0.6</v>
      </c>
      <c r="X70" s="2544">
        <v>0.6</v>
      </c>
      <c r="Y70" s="2064" t="s">
        <v>1403</v>
      </c>
      <c r="Z70" s="2064"/>
      <c r="AA70" s="2435"/>
      <c r="AB70" s="2065"/>
      <c r="AC70" s="2450" t="str">
        <f>+AC56</f>
        <v>Incineração</v>
      </c>
      <c r="AD70" s="2451">
        <f>+AD56*Q52/1000</f>
        <v>0</v>
      </c>
      <c r="AE70" s="2451">
        <f>+AE56*R52/1000</f>
        <v>0</v>
      </c>
      <c r="AF70" s="2451">
        <f>+AF56*T52/1000</f>
        <v>0</v>
      </c>
      <c r="AG70" s="2451">
        <f>+AG56*U52/1000</f>
        <v>0</v>
      </c>
      <c r="AH70" s="2451">
        <f>+AH56*U52/1000</f>
        <v>0</v>
      </c>
      <c r="AI70" s="2451">
        <f>+AI56*V52/1000</f>
        <v>0</v>
      </c>
      <c r="AJ70" s="2451">
        <f>+AJ56*W52/1000</f>
        <v>6233.9833509432347</v>
      </c>
      <c r="AK70" s="2451">
        <f>+AK56*X52/1000</f>
        <v>6233.9833509432347</v>
      </c>
    </row>
    <row r="71" spans="1:37" ht="18" customHeight="1" x14ac:dyDescent="0.2">
      <c r="A71" s="2439"/>
      <c r="B71" s="2065"/>
      <c r="C71" s="2065"/>
      <c r="D71" s="2065"/>
      <c r="E71" s="2065"/>
      <c r="F71" s="2065"/>
      <c r="G71" s="2065"/>
      <c r="H71" s="2065"/>
      <c r="I71" s="2065"/>
      <c r="J71" s="2065"/>
      <c r="K71" s="2065"/>
      <c r="L71" s="2497"/>
      <c r="M71" s="2433"/>
      <c r="N71" s="2542" t="s">
        <v>1404</v>
      </c>
      <c r="O71" s="2543"/>
      <c r="P71" s="2541"/>
      <c r="Q71" s="2546">
        <f>Q69*'CO2 - Destinação'!$E$46</f>
        <v>0</v>
      </c>
      <c r="R71" s="2546">
        <f>R69*'CO2 - Destinação'!$G$46</f>
        <v>0</v>
      </c>
      <c r="S71" s="2546">
        <f>S69*'CO2 - Destinação'!$H$46</f>
        <v>0</v>
      </c>
      <c r="T71" s="2546">
        <f>T69*'CO2 - Destinação'!$I$46</f>
        <v>0</v>
      </c>
      <c r="U71" s="2546">
        <f>U69*'CO2 - Destinação'!$J$46</f>
        <v>0</v>
      </c>
      <c r="V71" s="2546">
        <f>V69*'CO2 - Destinação'!$K$46</f>
        <v>0</v>
      </c>
      <c r="W71" s="2546">
        <f>W69*'CO2 - Destinação'!$K$46</f>
        <v>0</v>
      </c>
      <c r="X71" s="2546">
        <f>X69*'CO2 - Destinação'!$M$46</f>
        <v>0</v>
      </c>
      <c r="Y71" s="2064" t="s">
        <v>1400</v>
      </c>
      <c r="Z71" s="2064"/>
      <c r="AA71" s="2435"/>
      <c r="AB71" s="2065"/>
      <c r="AC71" s="2538" t="s">
        <v>1251</v>
      </c>
      <c r="AD71" s="2473" t="s">
        <v>1314</v>
      </c>
      <c r="AE71" s="2064"/>
      <c r="AF71" s="2064"/>
      <c r="AG71" s="2064"/>
      <c r="AH71" s="2064"/>
      <c r="AI71" s="2064"/>
      <c r="AJ71" s="2064"/>
      <c r="AK71" s="2064"/>
    </row>
    <row r="72" spans="1:37" ht="18" customHeight="1" x14ac:dyDescent="0.2">
      <c r="A72" s="2439"/>
      <c r="B72" s="2531" t="s">
        <v>1405</v>
      </c>
      <c r="C72" s="2199"/>
      <c r="D72" s="2079" t="str">
        <f>+'CO2 - Reciclagem'!E8</f>
        <v>Cenário-Base</v>
      </c>
      <c r="E72" s="2079" t="str">
        <f>+'CO2 - Reciclagem'!G8</f>
        <v>Biodigestão RT1A + CDR TM</v>
      </c>
      <c r="F72" s="2079" t="str">
        <f>+'CO2 - Reciclagem'!H8</f>
        <v>Biodigestão RT1B + CDR TM</v>
      </c>
      <c r="G72" s="2079" t="str">
        <f>+'CO2 - Reciclagem'!I8</f>
        <v>Biodigestão RT1C + CDR TM</v>
      </c>
      <c r="H72" s="2079" t="str">
        <f>+'CO2 - Reciclagem'!J8</f>
        <v>Compostagem + CDR TM</v>
      </c>
      <c r="I72" s="2079" t="str">
        <f>+'CO2 - Reciclagem'!K8</f>
        <v xml:space="preserve">Biosecagem + CDR TMB </v>
      </c>
      <c r="J72" s="2079" t="str">
        <f>+'CO2 - Reciclagem'!L8</f>
        <v>Incineração Mass Burning</v>
      </c>
      <c r="K72" s="2079" t="str">
        <f>+'CO2 - Reciclagem'!M8</f>
        <v>Incineração Mass Burn. Descentralizada</v>
      </c>
      <c r="L72" s="2497"/>
      <c r="M72" s="2433"/>
      <c r="N72" s="2542" t="s">
        <v>1406</v>
      </c>
      <c r="O72" s="2543"/>
      <c r="P72" s="2541"/>
      <c r="Q72" s="2546">
        <f>Q69*'CO2 - Destinação'!$E$47</f>
        <v>0</v>
      </c>
      <c r="R72" s="2546">
        <f>R69*'CO2 - Destinação'!$G$47</f>
        <v>0</v>
      </c>
      <c r="S72" s="2546">
        <f>S69*'CO2 - Destinação'!$H$47</f>
        <v>0</v>
      </c>
      <c r="T72" s="2546">
        <f>T69*'CO2 - Destinação'!$I$47</f>
        <v>0</v>
      </c>
      <c r="U72" s="2546">
        <f>U69*'CO2 - Destinação'!$J$47</f>
        <v>0</v>
      </c>
      <c r="V72" s="2546">
        <f>V69*'CO2 - Destinação'!$K$47</f>
        <v>0</v>
      </c>
      <c r="W72" s="2546">
        <f>W69*'CO2 - Destinação'!$K$47</f>
        <v>0</v>
      </c>
      <c r="X72" s="2546">
        <f>X69*'CO2 - Destinação'!$M$47</f>
        <v>0</v>
      </c>
      <c r="Y72" s="2064" t="s">
        <v>1400</v>
      </c>
      <c r="Z72" s="2064"/>
      <c r="AA72" s="2435"/>
      <c r="AB72" s="2065"/>
      <c r="AC72" s="2450" t="str">
        <f>+AC47</f>
        <v>Resíduos dispersos</v>
      </c>
      <c r="AD72" s="2451">
        <v>0</v>
      </c>
      <c r="AE72" s="2451">
        <v>0</v>
      </c>
      <c r="AF72" s="2451">
        <v>0</v>
      </c>
      <c r="AG72" s="2451">
        <v>0</v>
      </c>
      <c r="AH72" s="2451">
        <v>0</v>
      </c>
      <c r="AI72" s="2451">
        <v>0</v>
      </c>
      <c r="AJ72" s="2451">
        <v>0</v>
      </c>
      <c r="AK72" s="2451">
        <v>0</v>
      </c>
    </row>
    <row r="73" spans="1:37" ht="18" customHeight="1" x14ac:dyDescent="0.2">
      <c r="A73" s="2439"/>
      <c r="B73" s="2551" t="s">
        <v>1106</v>
      </c>
      <c r="C73" s="2474"/>
      <c r="D73" s="2552">
        <f>+$D$46*'CO2 - Reciclagem'!E24</f>
        <v>0</v>
      </c>
      <c r="E73" s="2552">
        <f>+$D$46*'CO2 - Reciclagem'!G24</f>
        <v>0</v>
      </c>
      <c r="F73" s="2552">
        <f>+$D$46*'CO2 - Reciclagem'!H24</f>
        <v>0</v>
      </c>
      <c r="G73" s="2552">
        <f>+$D$46*'CO2 - Reciclagem'!I24</f>
        <v>0</v>
      </c>
      <c r="H73" s="2552">
        <f>+$D$46*'CO2 - Reciclagem'!J24</f>
        <v>0</v>
      </c>
      <c r="I73" s="2552">
        <f>+$D$46*'CO2 - Reciclagem'!K24</f>
        <v>0</v>
      </c>
      <c r="J73" s="2552">
        <f>+$D$46*'CO2 - Reciclagem'!L24</f>
        <v>0</v>
      </c>
      <c r="K73" s="2552">
        <f>+$D$46*'CO2 - Reciclagem'!M24</f>
        <v>0</v>
      </c>
      <c r="L73" s="2441" t="s">
        <v>1085</v>
      </c>
      <c r="M73" s="2433"/>
      <c r="N73" s="2542" t="s">
        <v>1407</v>
      </c>
      <c r="O73" s="2543"/>
      <c r="P73" s="2541"/>
      <c r="Q73" s="2546">
        <f t="shared" ref="Q73:X73" si="57">+Q71*Q70*10*$R$12</f>
        <v>0</v>
      </c>
      <c r="R73" s="2546">
        <f t="shared" si="57"/>
        <v>0</v>
      </c>
      <c r="S73" s="2546">
        <f t="shared" si="57"/>
        <v>0</v>
      </c>
      <c r="T73" s="2546">
        <f t="shared" si="57"/>
        <v>0</v>
      </c>
      <c r="U73" s="2546">
        <f t="shared" si="57"/>
        <v>0</v>
      </c>
      <c r="V73" s="2546">
        <f t="shared" si="57"/>
        <v>0</v>
      </c>
      <c r="W73" s="2546">
        <f t="shared" si="57"/>
        <v>0</v>
      </c>
      <c r="X73" s="2546">
        <f t="shared" si="57"/>
        <v>0</v>
      </c>
      <c r="Y73" s="2064" t="s">
        <v>1390</v>
      </c>
      <c r="Z73" s="2064"/>
      <c r="AA73" s="2435"/>
      <c r="AB73" s="2065"/>
      <c r="AC73" s="2450" t="str">
        <f>+AC48</f>
        <v>Queima a céu aberto</v>
      </c>
      <c r="AD73" s="2451">
        <v>0</v>
      </c>
      <c r="AE73" s="2451">
        <v>0</v>
      </c>
      <c r="AF73" s="2451">
        <v>0</v>
      </c>
      <c r="AG73" s="2451">
        <v>0</v>
      </c>
      <c r="AH73" s="2451">
        <v>0</v>
      </c>
      <c r="AI73" s="2451">
        <v>0</v>
      </c>
      <c r="AJ73" s="2451">
        <v>0</v>
      </c>
      <c r="AK73" s="2451">
        <v>0</v>
      </c>
    </row>
    <row r="74" spans="1:37" ht="18" customHeight="1" x14ac:dyDescent="0.2">
      <c r="A74" s="2439"/>
      <c r="B74" s="2551" t="s">
        <v>1107</v>
      </c>
      <c r="C74" s="2474"/>
      <c r="D74" s="2552">
        <f>+$D$47*'CO2 - Reciclagem'!E25</f>
        <v>0</v>
      </c>
      <c r="E74" s="2552">
        <f>+$D$47*'CO2 - Reciclagem'!G25</f>
        <v>0</v>
      </c>
      <c r="F74" s="2552">
        <f>+$D$47*'CO2 - Reciclagem'!H25</f>
        <v>0</v>
      </c>
      <c r="G74" s="2552">
        <f>+$D$47*'CO2 - Reciclagem'!I25</f>
        <v>0</v>
      </c>
      <c r="H74" s="2552">
        <f>+$D$47*'CO2 - Reciclagem'!J25</f>
        <v>0</v>
      </c>
      <c r="I74" s="2552">
        <f>+$D$47*'CO2 - Reciclagem'!K25</f>
        <v>0</v>
      </c>
      <c r="J74" s="2552">
        <f>+$D$47*'CO2 - Reciclagem'!L25</f>
        <v>0</v>
      </c>
      <c r="K74" s="2552">
        <f>+$D$47*'CO2 - Reciclagem'!M25</f>
        <v>0</v>
      </c>
      <c r="L74" s="2441" t="s">
        <v>1085</v>
      </c>
      <c r="M74" s="2433"/>
      <c r="N74" s="2542" t="s">
        <v>1219</v>
      </c>
      <c r="O74" s="2543"/>
      <c r="P74" s="2541"/>
      <c r="Q74" s="2546">
        <f>Q72*Q70*10</f>
        <v>0</v>
      </c>
      <c r="R74" s="2546">
        <f t="shared" ref="R74:X74" si="58">R72*R70*10</f>
        <v>0</v>
      </c>
      <c r="S74" s="2546">
        <f t="shared" si="58"/>
        <v>0</v>
      </c>
      <c r="T74" s="2546">
        <f t="shared" si="58"/>
        <v>0</v>
      </c>
      <c r="U74" s="2546">
        <f t="shared" si="58"/>
        <v>0</v>
      </c>
      <c r="V74" s="2546">
        <f t="shared" si="58"/>
        <v>0</v>
      </c>
      <c r="W74" s="2546">
        <f t="shared" si="58"/>
        <v>0</v>
      </c>
      <c r="X74" s="2546">
        <f t="shared" si="58"/>
        <v>0</v>
      </c>
      <c r="Y74" s="2064" t="s">
        <v>1390</v>
      </c>
      <c r="Z74" s="2064"/>
      <c r="AA74" s="2435"/>
      <c r="AB74" s="2065"/>
      <c r="AC74" s="2450" t="str">
        <f>+AC49</f>
        <v>Lixão não controlado</v>
      </c>
      <c r="AD74" s="2451">
        <v>0</v>
      </c>
      <c r="AE74" s="2451">
        <v>0</v>
      </c>
      <c r="AF74" s="2451">
        <v>0</v>
      </c>
      <c r="AG74" s="2451">
        <v>0</v>
      </c>
      <c r="AH74" s="2451">
        <v>0</v>
      </c>
      <c r="AI74" s="2451">
        <v>0</v>
      </c>
      <c r="AJ74" s="2451">
        <v>0</v>
      </c>
      <c r="AK74" s="2451">
        <v>0</v>
      </c>
    </row>
    <row r="75" spans="1:37" ht="18" customHeight="1" x14ac:dyDescent="0.2">
      <c r="A75" s="2439"/>
      <c r="B75" s="2551" t="s">
        <v>1108</v>
      </c>
      <c r="C75" s="2474"/>
      <c r="D75" s="2552">
        <f>+$D$48*'CO2 - Reciclagem'!E13</f>
        <v>301.63535999999999</v>
      </c>
      <c r="E75" s="2552">
        <f>+$D$48*'CO2 - Reciclagem'!G13</f>
        <v>1004.4457488</v>
      </c>
      <c r="F75" s="2552">
        <f>+$D$48*'CO2 - Reciclagem'!H13</f>
        <v>1004.4457488</v>
      </c>
      <c r="G75" s="2552">
        <f>+$D$48*'CO2 - Reciclagem'!I13</f>
        <v>1004.4457488</v>
      </c>
      <c r="H75" s="2552">
        <f>+$D$48*'CO2 - Reciclagem'!J13</f>
        <v>1004.4457488</v>
      </c>
      <c r="I75" s="2552">
        <f>+$D$48*'CO2 - Reciclagem'!K13</f>
        <v>1004.4457488</v>
      </c>
      <c r="J75" s="2552">
        <f>+$D$48*'CO2 - Reciclagem'!L13</f>
        <v>1004.4457488</v>
      </c>
      <c r="K75" s="2552">
        <f>+$D$48*'CO2 - Reciclagem'!M13</f>
        <v>1004.4457488</v>
      </c>
      <c r="L75" s="2441" t="s">
        <v>1085</v>
      </c>
      <c r="M75" s="2433"/>
      <c r="N75" s="2542" t="s">
        <v>1408</v>
      </c>
      <c r="O75" s="2543"/>
      <c r="P75" s="2541"/>
      <c r="Q75" s="2545">
        <f t="shared" ref="Q75:X75" si="59">0.82*28+0.045*265</f>
        <v>34.884999999999998</v>
      </c>
      <c r="R75" s="2545">
        <f t="shared" si="59"/>
        <v>34.884999999999998</v>
      </c>
      <c r="S75" s="2545">
        <f t="shared" si="59"/>
        <v>34.884999999999998</v>
      </c>
      <c r="T75" s="2545">
        <f t="shared" si="59"/>
        <v>34.884999999999998</v>
      </c>
      <c r="U75" s="2545">
        <f t="shared" si="59"/>
        <v>34.884999999999998</v>
      </c>
      <c r="V75" s="2545">
        <f t="shared" si="59"/>
        <v>34.884999999999998</v>
      </c>
      <c r="W75" s="2545">
        <f t="shared" si="59"/>
        <v>34.884999999999998</v>
      </c>
      <c r="X75" s="2545">
        <f t="shared" si="59"/>
        <v>34.884999999999998</v>
      </c>
      <c r="Y75" s="2064" t="s">
        <v>1321</v>
      </c>
      <c r="Z75" s="2064"/>
      <c r="AA75" s="2435"/>
      <c r="AB75" s="2065"/>
      <c r="AC75" s="2450" t="str">
        <f>+AC50</f>
        <v>Aterro controlado</v>
      </c>
      <c r="AD75" s="2451">
        <v>0</v>
      </c>
      <c r="AE75" s="2451">
        <v>0</v>
      </c>
      <c r="AF75" s="2451">
        <v>0</v>
      </c>
      <c r="AG75" s="2451">
        <v>0</v>
      </c>
      <c r="AH75" s="2451">
        <v>0</v>
      </c>
      <c r="AI75" s="2451">
        <v>0</v>
      </c>
      <c r="AJ75" s="2451">
        <v>0</v>
      </c>
      <c r="AK75" s="2451">
        <v>0</v>
      </c>
    </row>
    <row r="76" spans="1:37" ht="18" customHeight="1" x14ac:dyDescent="0.2">
      <c r="A76" s="2439"/>
      <c r="B76" s="2551" t="s">
        <v>1109</v>
      </c>
      <c r="C76" s="2474"/>
      <c r="D76" s="2552">
        <f>+$D$49*'CO2 - Reciclagem'!E14</f>
        <v>310.84560000000005</v>
      </c>
      <c r="E76" s="2552">
        <f>+$D$49*'CO2 - Reciclagem'!G14</f>
        <v>683.86032</v>
      </c>
      <c r="F76" s="2552">
        <f>+$D$49*'CO2 - Reciclagem'!H14</f>
        <v>683.86032</v>
      </c>
      <c r="G76" s="2552">
        <f>+$D$49*'CO2 - Reciclagem'!I14</f>
        <v>683.86032</v>
      </c>
      <c r="H76" s="2552">
        <f>+$D$49*'CO2 - Reciclagem'!J14</f>
        <v>683.86032</v>
      </c>
      <c r="I76" s="2552">
        <f>+$D$49*'CO2 - Reciclagem'!K14</f>
        <v>683.86032</v>
      </c>
      <c r="J76" s="2552">
        <f>+$D$49*'CO2 - Reciclagem'!L14</f>
        <v>683.86032</v>
      </c>
      <c r="K76" s="2552">
        <f>+$D$49*'CO2 - Reciclagem'!M14</f>
        <v>683.86032</v>
      </c>
      <c r="L76" s="2441" t="s">
        <v>1085</v>
      </c>
      <c r="M76" s="2433"/>
      <c r="N76" s="2542" t="s">
        <v>1409</v>
      </c>
      <c r="O76" s="2543"/>
      <c r="P76" s="2541"/>
      <c r="Q76" s="2553">
        <v>100</v>
      </c>
      <c r="R76" s="2553">
        <v>100</v>
      </c>
      <c r="S76" s="2553">
        <v>100</v>
      </c>
      <c r="T76" s="2553">
        <v>100</v>
      </c>
      <c r="U76" s="2553">
        <v>100</v>
      </c>
      <c r="V76" s="2553">
        <v>100</v>
      </c>
      <c r="W76" s="2553">
        <v>100</v>
      </c>
      <c r="X76" s="2553">
        <v>100</v>
      </c>
      <c r="Y76" s="2064" t="s">
        <v>1390</v>
      </c>
      <c r="Z76" s="2064"/>
      <c r="AA76" s="2435"/>
      <c r="AB76" s="2065"/>
      <c r="AC76" s="2450" t="str">
        <f>+AC51</f>
        <v>Aterro sanitário</v>
      </c>
      <c r="AD76" s="2451">
        <f>+AD51*Q47/1000*(-1)</f>
        <v>0</v>
      </c>
      <c r="AE76" s="2451">
        <f>+AE51*R47/1000*(-1)</f>
        <v>0</v>
      </c>
      <c r="AF76" s="2451">
        <f>+AF51*T47/1000*(-1)</f>
        <v>0</v>
      </c>
      <c r="AG76" s="2451">
        <f>+AG51*U47/1000*(-1)</f>
        <v>0</v>
      </c>
      <c r="AH76" s="2451">
        <f>+AH51*U47/1000*(-1)</f>
        <v>0</v>
      </c>
      <c r="AI76" s="2451">
        <f>+AI51*V47/1000*(-1)</f>
        <v>0</v>
      </c>
      <c r="AJ76" s="2451">
        <f>+AJ51*W47/1000*(-1)</f>
        <v>0</v>
      </c>
      <c r="AK76" s="2451">
        <f>+AK51*X47/1000*(-1)</f>
        <v>0</v>
      </c>
    </row>
    <row r="77" spans="1:37" ht="18" customHeight="1" x14ac:dyDescent="0.2">
      <c r="A77" s="2439"/>
      <c r="B77" s="2551" t="s">
        <v>50</v>
      </c>
      <c r="C77" s="2474"/>
      <c r="D77" s="2552">
        <f>+$D$50*'CO2 - Reciclagem'!E15</f>
        <v>0</v>
      </c>
      <c r="E77" s="2552">
        <f>+$D$50*'CO2 - Reciclagem'!G15</f>
        <v>0</v>
      </c>
      <c r="F77" s="2552">
        <f>+$D$50*'CO2 - Reciclagem'!H15</f>
        <v>0</v>
      </c>
      <c r="G77" s="2552">
        <f>+$D$50*'CO2 - Reciclagem'!I15</f>
        <v>0</v>
      </c>
      <c r="H77" s="2552">
        <f>+$D$50*'CO2 - Reciclagem'!J15</f>
        <v>0</v>
      </c>
      <c r="I77" s="2552">
        <f>+$D$50*'CO2 - Reciclagem'!K15</f>
        <v>0</v>
      </c>
      <c r="J77" s="2552">
        <f>+$D$50*'CO2 - Reciclagem'!L15</f>
        <v>0</v>
      </c>
      <c r="K77" s="2552">
        <f>+$D$50*'CO2 - Reciclagem'!M15</f>
        <v>0</v>
      </c>
      <c r="L77" s="2441" t="s">
        <v>1085</v>
      </c>
      <c r="M77" s="2433"/>
      <c r="N77" s="2542" t="s">
        <v>1410</v>
      </c>
      <c r="O77" s="2543"/>
      <c r="P77" s="2541"/>
      <c r="Q77" s="2546">
        <f>Q76*$C$3/1000</f>
        <v>7.5900000000000007</v>
      </c>
      <c r="R77" s="2546">
        <f t="shared" ref="R77:X77" si="60">R76*$C$3/1000</f>
        <v>7.5900000000000007</v>
      </c>
      <c r="S77" s="2546">
        <f t="shared" si="60"/>
        <v>7.5900000000000007</v>
      </c>
      <c r="T77" s="2546">
        <f t="shared" si="60"/>
        <v>7.5900000000000007</v>
      </c>
      <c r="U77" s="2546">
        <f t="shared" si="60"/>
        <v>7.5900000000000007</v>
      </c>
      <c r="V77" s="2546">
        <f t="shared" si="60"/>
        <v>7.5900000000000007</v>
      </c>
      <c r="W77" s="2546">
        <f t="shared" si="60"/>
        <v>7.5900000000000007</v>
      </c>
      <c r="X77" s="2546">
        <f t="shared" si="60"/>
        <v>7.5900000000000007</v>
      </c>
      <c r="Y77" s="2490" t="s">
        <v>1321</v>
      </c>
      <c r="Z77" s="2064"/>
      <c r="AA77" s="2435"/>
      <c r="AB77" s="2065"/>
      <c r="AC77" s="2450" t="str">
        <f t="shared" ref="AC77:AC80" si="61">+AC52</f>
        <v>Trat. biol + cobertura at.</v>
      </c>
      <c r="AD77" s="2451">
        <f>+AD52*Q87/1000*(-1)</f>
        <v>0</v>
      </c>
      <c r="AE77" s="2451">
        <f>+AE52*R87/1000*(-1)</f>
        <v>0</v>
      </c>
      <c r="AF77" s="2451">
        <f>+AF52*T87/1000*(-1)</f>
        <v>0</v>
      </c>
      <c r="AG77" s="2451">
        <f>+AG52*U87/1000*(-1)</f>
        <v>0</v>
      </c>
      <c r="AH77" s="2451">
        <f>+AH52*U87/1000*(-1)</f>
        <v>0</v>
      </c>
      <c r="AI77" s="2451">
        <f>+AI52*V87/1000*(-1)</f>
        <v>0</v>
      </c>
      <c r="AJ77" s="2451">
        <f>+AJ52*W87/1000*(-1)</f>
        <v>0</v>
      </c>
      <c r="AK77" s="2451">
        <f>+AK52*X87/1000*(-1)</f>
        <v>0</v>
      </c>
    </row>
    <row r="78" spans="1:37" ht="18" customHeight="1" x14ac:dyDescent="0.2">
      <c r="A78" s="2439"/>
      <c r="B78" s="2551" t="s">
        <v>1110</v>
      </c>
      <c r="C78" s="2474"/>
      <c r="D78" s="2552">
        <f>+$D$51*'CO2 - Reciclagem'!E16</f>
        <v>105.91776</v>
      </c>
      <c r="E78" s="2552">
        <f>+$D$51*'CO2 - Reciclagem'!G16</f>
        <v>503.10935999999998</v>
      </c>
      <c r="F78" s="2552">
        <f>+$D$51*'CO2 - Reciclagem'!H16</f>
        <v>503.10935999999998</v>
      </c>
      <c r="G78" s="2552">
        <f>+$D$51*'CO2 - Reciclagem'!I16</f>
        <v>503.10935999999998</v>
      </c>
      <c r="H78" s="2552">
        <f>+$D$51*'CO2 - Reciclagem'!J16</f>
        <v>503.10935999999998</v>
      </c>
      <c r="I78" s="2552">
        <f>+$D$51*'CO2 - Reciclagem'!K16</f>
        <v>503.10935999999998</v>
      </c>
      <c r="J78" s="2552">
        <f>+$D$51*'CO2 - Reciclagem'!L16</f>
        <v>503.10935999999998</v>
      </c>
      <c r="K78" s="2552">
        <f>+$D$51*'CO2 - Reciclagem'!M16</f>
        <v>503.10935999999998</v>
      </c>
      <c r="L78" s="2441" t="s">
        <v>1085</v>
      </c>
      <c r="M78" s="2433"/>
      <c r="N78" s="2542" t="s">
        <v>1411</v>
      </c>
      <c r="O78" s="2543"/>
      <c r="P78" s="2541"/>
      <c r="Q78" s="2546">
        <f>Q75+Q77</f>
        <v>42.475000000000001</v>
      </c>
      <c r="R78" s="2546">
        <f t="shared" ref="R78:X78" si="62">R75+R77</f>
        <v>42.475000000000001</v>
      </c>
      <c r="S78" s="2546">
        <f t="shared" si="62"/>
        <v>42.475000000000001</v>
      </c>
      <c r="T78" s="2546">
        <f t="shared" si="62"/>
        <v>42.475000000000001</v>
      </c>
      <c r="U78" s="2546">
        <f t="shared" si="62"/>
        <v>42.475000000000001</v>
      </c>
      <c r="V78" s="2546">
        <f t="shared" si="62"/>
        <v>42.475000000000001</v>
      </c>
      <c r="W78" s="2546">
        <f t="shared" si="62"/>
        <v>42.475000000000001</v>
      </c>
      <c r="X78" s="2546">
        <f t="shared" si="62"/>
        <v>42.475000000000001</v>
      </c>
      <c r="Y78" s="2490" t="s">
        <v>1321</v>
      </c>
      <c r="Z78" s="2064"/>
      <c r="AA78" s="2435"/>
      <c r="AB78" s="2065"/>
      <c r="AC78" s="2450" t="str">
        <f t="shared" si="61"/>
        <v>CDR seco + rejeito aterro</v>
      </c>
      <c r="AD78" s="2451">
        <f>+AD53*Q102/1000*(-1)</f>
        <v>0</v>
      </c>
      <c r="AE78" s="2451">
        <f>+AE53*R102/1000*(-1)</f>
        <v>-1295.3249665304779</v>
      </c>
      <c r="AF78" s="2451">
        <f>+AF53*T102/1000*(-1)</f>
        <v>-1295.3249665304779</v>
      </c>
      <c r="AG78" s="2451">
        <f>+AG53*U102/1000*(-1)</f>
        <v>-1295.3249665304779</v>
      </c>
      <c r="AH78" s="2451">
        <f>+AH53*U102/1000*(-1)</f>
        <v>0</v>
      </c>
      <c r="AI78" s="2451">
        <f>+AI53*V102/1000*(-1)</f>
        <v>0</v>
      </c>
      <c r="AJ78" s="2451">
        <f>+AJ53*W102/1000*(-1)</f>
        <v>0</v>
      </c>
      <c r="AK78" s="2451">
        <f>+AK53*X102/1000*(-1)</f>
        <v>0</v>
      </c>
    </row>
    <row r="79" spans="1:37" ht="18" customHeight="1" x14ac:dyDescent="0.2">
      <c r="A79" s="2439"/>
      <c r="B79" s="2551" t="s">
        <v>1111</v>
      </c>
      <c r="C79" s="2474"/>
      <c r="D79" s="2552">
        <f>+$D$52*'CO2 - Reciclagem'!E17</f>
        <v>27.630719999999997</v>
      </c>
      <c r="E79" s="2552">
        <f>+$D$52*'CO2 - Reciclagem'!G17</f>
        <v>131.24591999999998</v>
      </c>
      <c r="F79" s="2552">
        <f>+$D$52*'CO2 - Reciclagem'!H17</f>
        <v>131.24591999999998</v>
      </c>
      <c r="G79" s="2552">
        <f>+$D$52*'CO2 - Reciclagem'!I17</f>
        <v>131.24591999999998</v>
      </c>
      <c r="H79" s="2552">
        <f>+$D$52*'CO2 - Reciclagem'!J17</f>
        <v>131.24591999999998</v>
      </c>
      <c r="I79" s="2552">
        <f>+$D$52*'CO2 - Reciclagem'!K17</f>
        <v>131.24591999999998</v>
      </c>
      <c r="J79" s="2552">
        <f>+$D$52*'CO2 - Reciclagem'!L17</f>
        <v>131.24591999999998</v>
      </c>
      <c r="K79" s="2552">
        <f>+$D$52*'CO2 - Reciclagem'!M17</f>
        <v>131.24591999999998</v>
      </c>
      <c r="L79" s="2441" t="s">
        <v>1085</v>
      </c>
      <c r="M79" s="2433"/>
      <c r="N79" s="2539" t="s">
        <v>1412</v>
      </c>
      <c r="O79" s="2543"/>
      <c r="P79" s="2541"/>
      <c r="Q79" s="2554"/>
      <c r="R79" s="2553"/>
      <c r="S79" s="2553"/>
      <c r="T79" s="2553"/>
      <c r="U79" s="2553"/>
      <c r="V79" s="2553"/>
      <c r="W79" s="2553"/>
      <c r="X79" s="2553"/>
      <c r="Y79" s="2490"/>
      <c r="Z79" s="2064" t="s">
        <v>1413</v>
      </c>
      <c r="AA79" s="2435"/>
      <c r="AB79" s="2065"/>
      <c r="AC79" s="2450" t="str">
        <f t="shared" si="61"/>
        <v>CDR seco + trat. biol.</v>
      </c>
      <c r="AD79" s="2451">
        <f>+AD54*Q135/1000*(-1)</f>
        <v>0</v>
      </c>
      <c r="AE79" s="2451">
        <f>+AE54*R135/1000*(-1)</f>
        <v>-5511.3645994213884</v>
      </c>
      <c r="AF79" s="2451">
        <f>+AF54*T135/1000*(-1)</f>
        <v>-6495.5388609106576</v>
      </c>
      <c r="AG79" s="2451">
        <f>+AG54*U135/1000*(-1)</f>
        <v>-5440.3648594280085</v>
      </c>
      <c r="AH79" s="2451">
        <f>+AH54*U135/1000*(-1)</f>
        <v>0</v>
      </c>
      <c r="AI79" s="2451">
        <f>+AI54*V135/1000*(-1)</f>
        <v>0</v>
      </c>
      <c r="AJ79" s="2451">
        <f>+AJ54*W135/1000*(-1)</f>
        <v>0</v>
      </c>
      <c r="AK79" s="2451">
        <f>+AK54*X135/1000*(-1)</f>
        <v>0</v>
      </c>
    </row>
    <row r="80" spans="1:37" ht="18" customHeight="1" x14ac:dyDescent="0.2">
      <c r="A80" s="2439"/>
      <c r="B80" s="2551" t="s">
        <v>1112</v>
      </c>
      <c r="C80" s="2474"/>
      <c r="D80" s="2552">
        <f>+$D$53*'CO2 - Reciclagem'!E18</f>
        <v>0</v>
      </c>
      <c r="E80" s="2552">
        <f>+$D$53*'CO2 - Reciclagem'!G18</f>
        <v>0</v>
      </c>
      <c r="F80" s="2552">
        <f>+$D$53*'CO2 - Reciclagem'!H18</f>
        <v>0</v>
      </c>
      <c r="G80" s="2552">
        <f>+$D$53*'CO2 - Reciclagem'!I18</f>
        <v>0</v>
      </c>
      <c r="H80" s="2552">
        <f>+$D$53*'CO2 - Reciclagem'!J18</f>
        <v>0</v>
      </c>
      <c r="I80" s="2552">
        <f>+$D$53*'CO2 - Reciclagem'!K18</f>
        <v>0</v>
      </c>
      <c r="J80" s="2552">
        <f>+$D$53*'CO2 - Reciclagem'!L18</f>
        <v>0</v>
      </c>
      <c r="K80" s="2552">
        <f>+$D$53*'CO2 - Reciclagem'!M18</f>
        <v>0</v>
      </c>
      <c r="L80" s="2441" t="s">
        <v>1085</v>
      </c>
      <c r="M80" s="2433"/>
      <c r="N80" s="2542" t="s">
        <v>1414</v>
      </c>
      <c r="O80" s="2547"/>
      <c r="P80" s="2541"/>
      <c r="Q80" s="2555">
        <f>$Q$43+$Q$44+$Q$45</f>
        <v>3.2385304029626489</v>
      </c>
      <c r="R80" s="2555">
        <f>$R$43+$R$44+$R$45</f>
        <v>3.2385304029626489</v>
      </c>
      <c r="S80" s="2555">
        <f>$R$43+$R$44+$R$45</f>
        <v>3.2385304029626489</v>
      </c>
      <c r="T80" s="2555">
        <f>$R$43+$R$44+$R$45</f>
        <v>3.2385304029626489</v>
      </c>
      <c r="U80" s="2555">
        <f>$U$43+$U$44+$U$45</f>
        <v>3.2385304029626489</v>
      </c>
      <c r="V80" s="2555">
        <f>$V$43+$V$44+$V$45</f>
        <v>3.2385304029626489</v>
      </c>
      <c r="W80" s="2555">
        <f>$V$43+$V$44+$V$45</f>
        <v>3.2385304029626489</v>
      </c>
      <c r="X80" s="2555">
        <f>$V$43+$V$44+$V$45</f>
        <v>3.2385304029626489</v>
      </c>
      <c r="Y80" s="2556" t="s">
        <v>1321</v>
      </c>
      <c r="Z80" s="2064" t="s">
        <v>1413</v>
      </c>
      <c r="AA80" s="2435"/>
      <c r="AB80" s="2064"/>
      <c r="AC80" s="2450" t="str">
        <f t="shared" si="61"/>
        <v>CDR seco + CDR org.</v>
      </c>
      <c r="AD80" s="2451">
        <f>+AD55*Q154/1000*(-1)</f>
        <v>0</v>
      </c>
      <c r="AE80" s="2451">
        <f>+AE55*R154/1000*(-1)</f>
        <v>0</v>
      </c>
      <c r="AF80" s="2451">
        <f>+AF55*T154/1000*(-1)</f>
        <v>0</v>
      </c>
      <c r="AG80" s="2451">
        <f>+AG55*U154/1000*(-1)</f>
        <v>0</v>
      </c>
      <c r="AH80" s="2451">
        <f>+AH55*U154/1000*(-1)</f>
        <v>0</v>
      </c>
      <c r="AI80" s="2451">
        <f>+AI55*V154/1000*(-1)</f>
        <v>-12742.065710846115</v>
      </c>
      <c r="AJ80" s="2451">
        <f>+AJ55*W154/1000*(-1)</f>
        <v>0</v>
      </c>
      <c r="AK80" s="2451">
        <f>+AK55*X154/1000*(-1)</f>
        <v>0</v>
      </c>
    </row>
    <row r="81" spans="1:37" ht="18" customHeight="1" x14ac:dyDescent="0.2">
      <c r="A81" s="2439"/>
      <c r="B81" s="2531" t="s">
        <v>52</v>
      </c>
      <c r="C81" s="2506"/>
      <c r="D81" s="2377">
        <f t="shared" ref="D81:J81" si="63">SUM(D73:D80)</f>
        <v>746.02944000000014</v>
      </c>
      <c r="E81" s="2377">
        <f t="shared" si="63"/>
        <v>2322.6613487999998</v>
      </c>
      <c r="F81" s="2377">
        <f t="shared" ref="F81" si="64">SUM(F73:F80)</f>
        <v>2322.6613487999998</v>
      </c>
      <c r="G81" s="2377">
        <f t="shared" si="63"/>
        <v>2322.6613487999998</v>
      </c>
      <c r="H81" s="2377">
        <f t="shared" si="63"/>
        <v>2322.6613487999998</v>
      </c>
      <c r="I81" s="2377">
        <f t="shared" si="63"/>
        <v>2322.6613487999998</v>
      </c>
      <c r="J81" s="2377">
        <f t="shared" si="63"/>
        <v>2322.6613487999998</v>
      </c>
      <c r="K81" s="2377">
        <f t="shared" ref="K81" si="65">SUM(K73:K80)</f>
        <v>2322.6613487999998</v>
      </c>
      <c r="L81" s="2441" t="s">
        <v>1085</v>
      </c>
      <c r="M81" s="2433"/>
      <c r="N81" s="2542" t="s">
        <v>1415</v>
      </c>
      <c r="O81" s="2536"/>
      <c r="P81" s="2537"/>
      <c r="Q81" s="2557">
        <f>+$Q$24*(1-Q62)</f>
        <v>0.10715785665564281</v>
      </c>
      <c r="R81" s="2557">
        <f>+$R$24*(1-R62)</f>
        <v>0.10627457544151157</v>
      </c>
      <c r="S81" s="2557">
        <f>+$R$24*(1-S62)</f>
        <v>0.10627457544151157</v>
      </c>
      <c r="T81" s="2557">
        <f>+$R$24*(1-T62)</f>
        <v>0.10627457544151157</v>
      </c>
      <c r="U81" s="2557">
        <f>+$U$24*(1-U62)</f>
        <v>0.10627457544151157</v>
      </c>
      <c r="V81" s="2557">
        <f>+$V$24*(1-V62)</f>
        <v>0.10627457544151157</v>
      </c>
      <c r="W81" s="2557">
        <f>+$V$24*(1-W62)</f>
        <v>0.10627457544151157</v>
      </c>
      <c r="X81" s="2557">
        <f>+$V$24*(1-X62)</f>
        <v>0.10627457544151157</v>
      </c>
      <c r="Y81" s="2556" t="s">
        <v>1416</v>
      </c>
      <c r="Z81" s="2064" t="s">
        <v>1413</v>
      </c>
      <c r="AA81" s="2435"/>
      <c r="AB81" s="2065"/>
      <c r="AC81" s="2450" t="str">
        <f>+AC56</f>
        <v>Incineração</v>
      </c>
      <c r="AD81" s="2451">
        <f>+AD56*Q58/1000*(-1)</f>
        <v>0</v>
      </c>
      <c r="AE81" s="2451">
        <f>+AE56*R58/1000*(-1)</f>
        <v>0</v>
      </c>
      <c r="AF81" s="2451">
        <f>+AF56*T58/1000*(-1)</f>
        <v>0</v>
      </c>
      <c r="AG81" s="2451">
        <f>+AG56*U58/1000*(-1)</f>
        <v>0</v>
      </c>
      <c r="AH81" s="2451">
        <f>+AH56*U58/1000*(-1)</f>
        <v>0</v>
      </c>
      <c r="AI81" s="2451">
        <f>+AI56*V58/1000*(-1)</f>
        <v>0</v>
      </c>
      <c r="AJ81" s="2451">
        <f>+AJ56*W58/1000*(-1)</f>
        <v>-443.24404907404056</v>
      </c>
      <c r="AK81" s="2451">
        <f>+AK56*X58/1000*(-1)</f>
        <v>-443.24404907404056</v>
      </c>
    </row>
    <row r="82" spans="1:37" ht="18" customHeight="1" x14ac:dyDescent="0.2">
      <c r="A82" s="2439"/>
      <c r="B82" s="2483"/>
      <c r="C82" s="2065"/>
      <c r="D82" s="2065"/>
      <c r="E82" s="2065"/>
      <c r="F82" s="2065"/>
      <c r="G82" s="2065"/>
      <c r="H82" s="2065"/>
      <c r="I82" s="2065"/>
      <c r="J82" s="2065"/>
      <c r="K82" s="2065"/>
      <c r="L82" s="2483"/>
      <c r="M82" s="2433"/>
      <c r="N82" s="2542" t="s">
        <v>1326</v>
      </c>
      <c r="O82" s="2558"/>
      <c r="P82" s="2537"/>
      <c r="Q82" s="2559">
        <v>0.3</v>
      </c>
      <c r="R82" s="2559">
        <v>0.3</v>
      </c>
      <c r="S82" s="2559">
        <v>0.3</v>
      </c>
      <c r="T82" s="2559">
        <v>0.3</v>
      </c>
      <c r="U82" s="2559">
        <v>0.3</v>
      </c>
      <c r="V82" s="2559">
        <v>0.3</v>
      </c>
      <c r="W82" s="2559">
        <v>0.3</v>
      </c>
      <c r="X82" s="2559">
        <v>0.3</v>
      </c>
      <c r="Y82" s="2556" t="s">
        <v>1327</v>
      </c>
      <c r="Z82" s="2064" t="s">
        <v>1413</v>
      </c>
      <c r="AA82" s="2435"/>
      <c r="AB82" s="2065"/>
      <c r="AC82" s="2538" t="s">
        <v>1252</v>
      </c>
      <c r="AD82" s="2473" t="s">
        <v>1314</v>
      </c>
      <c r="AE82" s="2064"/>
      <c r="AF82" s="2064"/>
      <c r="AG82" s="2064"/>
      <c r="AH82" s="2064"/>
      <c r="AI82" s="2064"/>
      <c r="AJ82" s="2064"/>
      <c r="AK82" s="2064"/>
    </row>
    <row r="83" spans="1:37" ht="18" customHeight="1" x14ac:dyDescent="0.2">
      <c r="A83" s="2439"/>
      <c r="B83" s="2531" t="s">
        <v>1417</v>
      </c>
      <c r="C83" s="1990"/>
      <c r="D83" s="2079" t="str">
        <f t="shared" ref="D83:K83" si="66">+D72</f>
        <v>Cenário-Base</v>
      </c>
      <c r="E83" s="2079" t="str">
        <f t="shared" si="66"/>
        <v>Biodigestão RT1A + CDR TM</v>
      </c>
      <c r="F83" s="2079" t="str">
        <f t="shared" si="66"/>
        <v>Biodigestão RT1B + CDR TM</v>
      </c>
      <c r="G83" s="2079" t="str">
        <f t="shared" si="66"/>
        <v>Biodigestão RT1C + CDR TM</v>
      </c>
      <c r="H83" s="2079" t="str">
        <f t="shared" si="66"/>
        <v>Compostagem + CDR TM</v>
      </c>
      <c r="I83" s="2079" t="str">
        <f t="shared" si="66"/>
        <v xml:space="preserve">Biosecagem + CDR TMB </v>
      </c>
      <c r="J83" s="2079" t="str">
        <f t="shared" si="66"/>
        <v>Incineração Mass Burning</v>
      </c>
      <c r="K83" s="2079" t="str">
        <f t="shared" si="66"/>
        <v>Incineração Mass Burn. Descentralizada</v>
      </c>
      <c r="L83" s="2483"/>
      <c r="M83" s="2433"/>
      <c r="N83" s="2542" t="s">
        <v>1418</v>
      </c>
      <c r="O83" s="2558"/>
      <c r="P83" s="2537"/>
      <c r="Q83" s="2555">
        <f>+Q81*Q82*1868</f>
        <v>60.051262869822224</v>
      </c>
      <c r="R83" s="2555">
        <f t="shared" ref="R83:X83" si="67">+R81*R82*1868</f>
        <v>59.556272077423081</v>
      </c>
      <c r="S83" s="2555">
        <f t="shared" si="67"/>
        <v>59.556272077423081</v>
      </c>
      <c r="T83" s="2555">
        <f t="shared" si="67"/>
        <v>59.556272077423081</v>
      </c>
      <c r="U83" s="2555">
        <f t="shared" si="67"/>
        <v>59.556272077423081</v>
      </c>
      <c r="V83" s="2555">
        <f t="shared" si="67"/>
        <v>59.556272077423081</v>
      </c>
      <c r="W83" s="2555">
        <f t="shared" si="67"/>
        <v>59.556272077423081</v>
      </c>
      <c r="X83" s="2555">
        <f t="shared" si="67"/>
        <v>59.556272077423081</v>
      </c>
      <c r="Y83" s="2556" t="s">
        <v>1419</v>
      </c>
      <c r="Z83" s="2064" t="s">
        <v>1413</v>
      </c>
      <c r="AA83" s="2435"/>
      <c r="AB83" s="2065"/>
      <c r="AC83" s="2450" t="str">
        <f t="shared" ref="AC83:AC91" si="68">+AC47</f>
        <v>Resíduos dispersos</v>
      </c>
      <c r="AD83" s="2552">
        <f t="shared" ref="AD83:AK92" si="69">+AD61+AD72</f>
        <v>0</v>
      </c>
      <c r="AE83" s="2552">
        <f t="shared" si="69"/>
        <v>0</v>
      </c>
      <c r="AF83" s="2552">
        <f t="shared" si="69"/>
        <v>0</v>
      </c>
      <c r="AG83" s="2552">
        <f t="shared" si="69"/>
        <v>0</v>
      </c>
      <c r="AH83" s="2552">
        <f t="shared" si="69"/>
        <v>0</v>
      </c>
      <c r="AI83" s="2552">
        <f t="shared" si="69"/>
        <v>0</v>
      </c>
      <c r="AJ83" s="2552">
        <f t="shared" si="69"/>
        <v>0</v>
      </c>
      <c r="AK83" s="2552">
        <f t="shared" si="69"/>
        <v>0</v>
      </c>
    </row>
    <row r="84" spans="1:37" ht="18" customHeight="1" x14ac:dyDescent="0.2">
      <c r="A84" s="2439"/>
      <c r="B84" s="2551" t="s">
        <v>1106</v>
      </c>
      <c r="C84" s="2466"/>
      <c r="D84" s="2451">
        <f t="shared" ref="D84:K84" si="70">+$D$46-D73</f>
        <v>11144.390399999998</v>
      </c>
      <c r="E84" s="2451">
        <f t="shared" si="70"/>
        <v>11144.390399999998</v>
      </c>
      <c r="F84" s="2451">
        <f t="shared" si="70"/>
        <v>11144.390399999998</v>
      </c>
      <c r="G84" s="2451">
        <f t="shared" si="70"/>
        <v>11144.390399999998</v>
      </c>
      <c r="H84" s="2451">
        <f t="shared" si="70"/>
        <v>11144.390399999998</v>
      </c>
      <c r="I84" s="2451">
        <f t="shared" si="70"/>
        <v>11144.390399999998</v>
      </c>
      <c r="J84" s="2451">
        <f t="shared" si="70"/>
        <v>11144.390399999998</v>
      </c>
      <c r="K84" s="2451">
        <f t="shared" si="70"/>
        <v>11144.390399999998</v>
      </c>
      <c r="L84" s="2441" t="s">
        <v>1085</v>
      </c>
      <c r="M84" s="2433"/>
      <c r="N84" s="2542" t="s">
        <v>1420</v>
      </c>
      <c r="O84" s="2543"/>
      <c r="P84" s="2541"/>
      <c r="Q84" s="2555">
        <f>Q83*Q26*(1-'CO2 - Destinação'!$E$40)*16/22.4*28*0</f>
        <v>0</v>
      </c>
      <c r="R84" s="2555">
        <f>R83*R26*(1-'CO2 - Destinação'!$G$40)*16/22.4*28*0</f>
        <v>0</v>
      </c>
      <c r="S84" s="2555">
        <f>S83*S26*(1-'CO2 - Destinação'!$H$40)*16/22.4*28*0</f>
        <v>0</v>
      </c>
      <c r="T84" s="2555">
        <f>T83*T26*(1-'CO2 - Destinação'!$I$40)*16/22.4*28*0</f>
        <v>0</v>
      </c>
      <c r="U84" s="2555">
        <f>U83*U26*(1-'CO2 - Destinação'!$J$40)*16/22.4*28*0</f>
        <v>0</v>
      </c>
      <c r="V84" s="2555">
        <f>V83*V26*(1-'CO2 - Destinação'!$K$40)*16/22.4*28*0</f>
        <v>0</v>
      </c>
      <c r="W84" s="2555">
        <f>W83*W26*(1-'CO2 - Destinação'!$K$40)*16/22.4*28*0</f>
        <v>0</v>
      </c>
      <c r="X84" s="2555">
        <f>X83*X26*(1-'CO2 - Destinação'!$M$40)*16/22.4*28*0</f>
        <v>0</v>
      </c>
      <c r="Y84" s="2556" t="s">
        <v>1321</v>
      </c>
      <c r="Z84" s="2064" t="s">
        <v>1413</v>
      </c>
      <c r="AA84" s="2435"/>
      <c r="AB84" s="2065"/>
      <c r="AC84" s="2450" t="str">
        <f t="shared" si="68"/>
        <v>Queima a céu aberto</v>
      </c>
      <c r="AD84" s="2552">
        <f t="shared" si="69"/>
        <v>0</v>
      </c>
      <c r="AE84" s="2552">
        <f t="shared" si="69"/>
        <v>0</v>
      </c>
      <c r="AF84" s="2552">
        <f t="shared" si="69"/>
        <v>0</v>
      </c>
      <c r="AG84" s="2552">
        <f t="shared" si="69"/>
        <v>0</v>
      </c>
      <c r="AH84" s="2552">
        <f t="shared" si="69"/>
        <v>0</v>
      </c>
      <c r="AI84" s="2552">
        <f t="shared" si="69"/>
        <v>0</v>
      </c>
      <c r="AJ84" s="2552">
        <f t="shared" si="69"/>
        <v>0</v>
      </c>
      <c r="AK84" s="2552">
        <f t="shared" si="69"/>
        <v>0</v>
      </c>
    </row>
    <row r="85" spans="1:37" ht="18" customHeight="1" x14ac:dyDescent="0.2">
      <c r="A85" s="2439"/>
      <c r="B85" s="2551" t="s">
        <v>1107</v>
      </c>
      <c r="C85" s="2466"/>
      <c r="D85" s="2451">
        <f t="shared" ref="D85:K85" si="71">+$D$47-D74</f>
        <v>690.76799999999992</v>
      </c>
      <c r="E85" s="2451">
        <f t="shared" si="71"/>
        <v>690.76799999999992</v>
      </c>
      <c r="F85" s="2451">
        <f t="shared" si="71"/>
        <v>690.76799999999992</v>
      </c>
      <c r="G85" s="2451">
        <f t="shared" si="71"/>
        <v>690.76799999999992</v>
      </c>
      <c r="H85" s="2451">
        <f t="shared" si="71"/>
        <v>690.76799999999992</v>
      </c>
      <c r="I85" s="2451">
        <f t="shared" si="71"/>
        <v>690.76799999999992</v>
      </c>
      <c r="J85" s="2451">
        <f t="shared" si="71"/>
        <v>690.76799999999992</v>
      </c>
      <c r="K85" s="2451">
        <f t="shared" si="71"/>
        <v>690.76799999999992</v>
      </c>
      <c r="L85" s="2483"/>
      <c r="M85" s="2433"/>
      <c r="N85" s="2542" t="s">
        <v>1421</v>
      </c>
      <c r="O85" s="2558"/>
      <c r="P85" s="2537"/>
      <c r="Q85" s="2555">
        <f>(+Q83*'CO2 - Destinação'!$E$28*'CO2 - Destinação'!$E$32+Q83*(1-'CO2 - Destinação'!$E$28)*(1-'CO2 - Destinação'!$E$40))*$Q$26*16/22.4*28*0</f>
        <v>0</v>
      </c>
      <c r="R85" s="2555">
        <f>(+R83*'CO2 - Destinação'!$G$28*'CO2 - Destinação'!$G$32+R83*(1-'CO2 - Destinação'!$G$28)*(1-'CO2 - Destinação'!$G$40))*$R$26*16/22.4*28*0</f>
        <v>0</v>
      </c>
      <c r="S85" s="2555">
        <f>(+S83*'CO2 - Destinação'!$H$28*'CO2 - Destinação'!$H$32+S83*(1-'CO2 - Destinação'!$H$28)*(1-'CO2 - Destinação'!$H$40))*$R$26*16/22.4*28*0</f>
        <v>0</v>
      </c>
      <c r="T85" s="2555">
        <f>(+T83*'CO2 - Destinação'!$I$28*'CO2 - Destinação'!$I$32+T83*(1-'CO2 - Destinação'!$I$28)*(1-'CO2 - Destinação'!$I$40))*$R$26*16/22.4*28*0</f>
        <v>0</v>
      </c>
      <c r="U85" s="2555">
        <f>(+U83*'CO2 - Destinação'!$J$28*'CO2 - Destinação'!$J$32+U83*(1-'CO2 - Destinação'!$J$28)*(1-'CO2 - Destinação'!$J$40))*$U$26*16/22.4*28*0</f>
        <v>0</v>
      </c>
      <c r="V85" s="2555">
        <f>(+V83*'CO2 - Destinação'!$K$28*'CO2 - Destinação'!K32+V83*(1-'CO2 - Destinação'!$K$28)*(1-'CO2 - Destinação'!$K$40))*$V$26*16/22.4*28*0</f>
        <v>0</v>
      </c>
      <c r="W85" s="2555">
        <f>(+W83*'CO2 - Destinação'!$K$28*'CO2 - Destinação'!L32+W83*(1-'CO2 - Destinação'!$K$28)*(1-'CO2 - Destinação'!$K$40))*$V$26*16/22.4*28*0</f>
        <v>0</v>
      </c>
      <c r="X85" s="2555">
        <f>(+X83*'CO2 - Destinação'!$M$28*'CO2 - Destinação'!M32+X83*(1-'CO2 - Destinação'!$M$28)*(1-'CO2 - Destinação'!$M$40))*$V$26*16/22.4*28*0</f>
        <v>0</v>
      </c>
      <c r="Y85" s="2556" t="s">
        <v>1321</v>
      </c>
      <c r="Z85" s="2064" t="s">
        <v>1413</v>
      </c>
      <c r="AA85" s="2435"/>
      <c r="AB85" s="2065"/>
      <c r="AC85" s="2450" t="str">
        <f t="shared" si="68"/>
        <v>Lixão não controlado</v>
      </c>
      <c r="AD85" s="2552">
        <f t="shared" si="69"/>
        <v>0</v>
      </c>
      <c r="AE85" s="2552">
        <f t="shared" si="69"/>
        <v>0</v>
      </c>
      <c r="AF85" s="2552">
        <f t="shared" si="69"/>
        <v>0</v>
      </c>
      <c r="AG85" s="2552">
        <f t="shared" si="69"/>
        <v>0</v>
      </c>
      <c r="AH85" s="2552">
        <f t="shared" si="69"/>
        <v>0</v>
      </c>
      <c r="AI85" s="2552">
        <f t="shared" si="69"/>
        <v>0</v>
      </c>
      <c r="AJ85" s="2552">
        <f t="shared" si="69"/>
        <v>0</v>
      </c>
      <c r="AK85" s="2552">
        <f t="shared" si="69"/>
        <v>0</v>
      </c>
    </row>
    <row r="86" spans="1:37" ht="18" customHeight="1" x14ac:dyDescent="0.2">
      <c r="A86" s="2439"/>
      <c r="B86" s="2551" t="s">
        <v>1108</v>
      </c>
      <c r="C86" s="2466"/>
      <c r="D86" s="2451">
        <f t="shared" ref="D86:K86" si="72">+$D$48-D75</f>
        <v>2714.7182400000002</v>
      </c>
      <c r="E86" s="2451">
        <f t="shared" si="72"/>
        <v>2011.9078511999999</v>
      </c>
      <c r="F86" s="2451">
        <f t="shared" si="72"/>
        <v>2011.9078511999999</v>
      </c>
      <c r="G86" s="2451">
        <f t="shared" si="72"/>
        <v>2011.9078511999999</v>
      </c>
      <c r="H86" s="2451">
        <f t="shared" si="72"/>
        <v>2011.9078511999999</v>
      </c>
      <c r="I86" s="2451">
        <f t="shared" si="72"/>
        <v>2011.9078511999999</v>
      </c>
      <c r="J86" s="2451">
        <f t="shared" si="72"/>
        <v>2011.9078511999999</v>
      </c>
      <c r="K86" s="2451">
        <f t="shared" si="72"/>
        <v>2011.9078511999999</v>
      </c>
      <c r="L86" s="2441" t="s">
        <v>1085</v>
      </c>
      <c r="M86" s="2433"/>
      <c r="N86" s="2560" t="s">
        <v>1365</v>
      </c>
      <c r="O86" s="2561"/>
      <c r="P86" s="2562"/>
      <c r="Q86" s="2546">
        <f>IF(Q71+Q72=0,Q66+Q84,Q78+Q84)</f>
        <v>35.264499999999998</v>
      </c>
      <c r="R86" s="2546">
        <f t="shared" ref="R86:X86" si="73">IF(R71+R72=0,R66+R84,R78+R84)</f>
        <v>35.264499999999998</v>
      </c>
      <c r="S86" s="2546">
        <f t="shared" si="73"/>
        <v>35.264499999999998</v>
      </c>
      <c r="T86" s="2546">
        <f t="shared" si="73"/>
        <v>35.264499999999998</v>
      </c>
      <c r="U86" s="2546">
        <f t="shared" si="73"/>
        <v>35.264499999999998</v>
      </c>
      <c r="V86" s="2546">
        <f t="shared" si="73"/>
        <v>35.264499999999998</v>
      </c>
      <c r="W86" s="2546">
        <f t="shared" si="73"/>
        <v>35.264499999999998</v>
      </c>
      <c r="X86" s="2546">
        <f t="shared" si="73"/>
        <v>35.264499999999998</v>
      </c>
      <c r="Y86" s="2508" t="s">
        <v>1321</v>
      </c>
      <c r="Z86" s="2065"/>
      <c r="AA86" s="2435"/>
      <c r="AB86" s="2065"/>
      <c r="AC86" s="2450" t="str">
        <f t="shared" si="68"/>
        <v>Aterro controlado</v>
      </c>
      <c r="AD86" s="2552">
        <f t="shared" si="69"/>
        <v>0</v>
      </c>
      <c r="AE86" s="2552">
        <f t="shared" si="69"/>
        <v>0</v>
      </c>
      <c r="AF86" s="2552">
        <f t="shared" si="69"/>
        <v>0</v>
      </c>
      <c r="AG86" s="2552">
        <f t="shared" si="69"/>
        <v>0</v>
      </c>
      <c r="AH86" s="2552">
        <f t="shared" si="69"/>
        <v>0</v>
      </c>
      <c r="AI86" s="2552">
        <f t="shared" si="69"/>
        <v>8346.3928112269059</v>
      </c>
      <c r="AJ86" s="2552">
        <f t="shared" si="69"/>
        <v>4173.196405613453</v>
      </c>
      <c r="AK86" s="2552">
        <f t="shared" si="69"/>
        <v>4173.196405613453</v>
      </c>
    </row>
    <row r="87" spans="1:37" ht="18" customHeight="1" x14ac:dyDescent="0.2">
      <c r="A87" s="2439"/>
      <c r="B87" s="2551" t="s">
        <v>1109</v>
      </c>
      <c r="C87" s="2466"/>
      <c r="D87" s="2451">
        <f t="shared" ref="D87:K87" si="74">+$D$49-D76</f>
        <v>2797.6104</v>
      </c>
      <c r="E87" s="2451">
        <f t="shared" si="74"/>
        <v>2424.5956800000004</v>
      </c>
      <c r="F87" s="2451">
        <f t="shared" si="74"/>
        <v>2424.5956800000004</v>
      </c>
      <c r="G87" s="2451">
        <f t="shared" si="74"/>
        <v>2424.5956800000004</v>
      </c>
      <c r="H87" s="2451">
        <f t="shared" si="74"/>
        <v>2424.5956800000004</v>
      </c>
      <c r="I87" s="2451">
        <f t="shared" si="74"/>
        <v>2424.5956800000004</v>
      </c>
      <c r="J87" s="2451">
        <f t="shared" si="74"/>
        <v>2424.5956800000004</v>
      </c>
      <c r="K87" s="2451">
        <f t="shared" si="74"/>
        <v>2424.5956800000004</v>
      </c>
      <c r="L87" s="2441" t="s">
        <v>1085</v>
      </c>
      <c r="M87" s="2433"/>
      <c r="N87" s="2563" t="s">
        <v>1422</v>
      </c>
      <c r="O87" s="2561"/>
      <c r="P87" s="2562"/>
      <c r="Q87" s="2546">
        <f>IF(Q71+Q72=0,0,(Q73*$C$3+Q74*$C$6)/1000)</f>
        <v>0</v>
      </c>
      <c r="R87" s="2546">
        <f t="shared" ref="R87:X87" si="75">IF(R71+R72=0,0,(R73*$C$3+R74*$C$6)/1000)</f>
        <v>0</v>
      </c>
      <c r="S87" s="2546">
        <f t="shared" si="75"/>
        <v>0</v>
      </c>
      <c r="T87" s="2546">
        <f t="shared" si="75"/>
        <v>0</v>
      </c>
      <c r="U87" s="2546">
        <f t="shared" si="75"/>
        <v>0</v>
      </c>
      <c r="V87" s="2546">
        <f t="shared" si="75"/>
        <v>0</v>
      </c>
      <c r="W87" s="2546">
        <f t="shared" si="75"/>
        <v>0</v>
      </c>
      <c r="X87" s="2546">
        <f t="shared" si="75"/>
        <v>0</v>
      </c>
      <c r="Y87" s="2508" t="s">
        <v>1321</v>
      </c>
      <c r="Z87" s="2065"/>
      <c r="AA87" s="2435"/>
      <c r="AB87" s="2065"/>
      <c r="AC87" s="2450" t="str">
        <f t="shared" si="68"/>
        <v>Aterro sanitário</v>
      </c>
      <c r="AD87" s="2552">
        <f t="shared" si="69"/>
        <v>26393.084303869578</v>
      </c>
      <c r="AE87" s="2552">
        <f t="shared" si="69"/>
        <v>8513.3129213582743</v>
      </c>
      <c r="AF87" s="2552">
        <f t="shared" si="69"/>
        <v>8513.3129213582743</v>
      </c>
      <c r="AG87" s="2552">
        <f t="shared" si="69"/>
        <v>8513.3129213582743</v>
      </c>
      <c r="AH87" s="2552">
        <f t="shared" si="69"/>
        <v>9121.4067014552929</v>
      </c>
      <c r="AI87" s="2552">
        <f t="shared" si="69"/>
        <v>0</v>
      </c>
      <c r="AJ87" s="2552">
        <f t="shared" si="69"/>
        <v>0</v>
      </c>
      <c r="AK87" s="2552">
        <f t="shared" si="69"/>
        <v>0</v>
      </c>
    </row>
    <row r="88" spans="1:37" ht="18" customHeight="1" x14ac:dyDescent="0.2">
      <c r="A88" s="2439"/>
      <c r="B88" s="2551" t="s">
        <v>50</v>
      </c>
      <c r="C88" s="2466"/>
      <c r="D88" s="2451">
        <f t="shared" ref="D88:K88" si="76">+$D$50-D77</f>
        <v>552.61439999999993</v>
      </c>
      <c r="E88" s="2451">
        <f t="shared" si="76"/>
        <v>552.61439999999993</v>
      </c>
      <c r="F88" s="2451">
        <f t="shared" si="76"/>
        <v>552.61439999999993</v>
      </c>
      <c r="G88" s="2451">
        <f t="shared" si="76"/>
        <v>552.61439999999993</v>
      </c>
      <c r="H88" s="2451">
        <f t="shared" si="76"/>
        <v>552.61439999999993</v>
      </c>
      <c r="I88" s="2451">
        <f t="shared" si="76"/>
        <v>552.61439999999993</v>
      </c>
      <c r="J88" s="2451">
        <f t="shared" si="76"/>
        <v>552.61439999999993</v>
      </c>
      <c r="K88" s="2451">
        <f t="shared" si="76"/>
        <v>552.61439999999993</v>
      </c>
      <c r="L88" s="2441" t="s">
        <v>1085</v>
      </c>
      <c r="M88" s="2433"/>
      <c r="N88" s="2439"/>
      <c r="O88" s="2065"/>
      <c r="P88" s="2065"/>
      <c r="Q88" s="2486"/>
      <c r="R88" s="2486"/>
      <c r="S88" s="2486"/>
      <c r="T88" s="2486"/>
      <c r="U88" s="2486"/>
      <c r="V88" s="2486"/>
      <c r="W88" s="2486"/>
      <c r="X88" s="2486"/>
      <c r="Y88" s="2064"/>
      <c r="Z88" s="2065"/>
      <c r="AA88" s="2435"/>
      <c r="AB88" s="2065"/>
      <c r="AC88" s="2450" t="str">
        <f t="shared" si="68"/>
        <v>Trat. biol + cobertura at.</v>
      </c>
      <c r="AD88" s="2552">
        <f t="shared" si="69"/>
        <v>0</v>
      </c>
      <c r="AE88" s="2552">
        <f t="shared" si="69"/>
        <v>0</v>
      </c>
      <c r="AF88" s="2552">
        <f t="shared" si="69"/>
        <v>0</v>
      </c>
      <c r="AG88" s="2552">
        <f t="shared" si="69"/>
        <v>0</v>
      </c>
      <c r="AH88" s="2552">
        <f t="shared" si="69"/>
        <v>456.29923754077652</v>
      </c>
      <c r="AI88" s="2552">
        <f t="shared" si="69"/>
        <v>0</v>
      </c>
      <c r="AJ88" s="2552">
        <f t="shared" si="69"/>
        <v>0</v>
      </c>
      <c r="AK88" s="2552">
        <f t="shared" si="69"/>
        <v>0</v>
      </c>
    </row>
    <row r="89" spans="1:37" ht="18" customHeight="1" x14ac:dyDescent="0.2">
      <c r="A89" s="2439"/>
      <c r="B89" s="2551" t="s">
        <v>1110</v>
      </c>
      <c r="C89" s="2466"/>
      <c r="D89" s="2451">
        <f t="shared" ref="D89:K89" si="77">+$D$51-D78</f>
        <v>423.67104</v>
      </c>
      <c r="E89" s="2451">
        <f t="shared" si="77"/>
        <v>26.479440000000011</v>
      </c>
      <c r="F89" s="2451">
        <f t="shared" si="77"/>
        <v>26.479440000000011</v>
      </c>
      <c r="G89" s="2451">
        <f t="shared" si="77"/>
        <v>26.479440000000011</v>
      </c>
      <c r="H89" s="2451">
        <f t="shared" si="77"/>
        <v>26.479440000000011</v>
      </c>
      <c r="I89" s="2451">
        <f t="shared" si="77"/>
        <v>26.479440000000011</v>
      </c>
      <c r="J89" s="2451">
        <f t="shared" si="77"/>
        <v>26.479440000000011</v>
      </c>
      <c r="K89" s="2451">
        <f t="shared" si="77"/>
        <v>26.479440000000011</v>
      </c>
      <c r="L89" s="2441" t="s">
        <v>1085</v>
      </c>
      <c r="M89" s="2433"/>
      <c r="N89" s="2564" t="s">
        <v>1202</v>
      </c>
      <c r="O89" s="2565"/>
      <c r="P89" s="2566"/>
      <c r="Q89" s="2065"/>
      <c r="R89" s="2065"/>
      <c r="S89" s="2065"/>
      <c r="T89" s="2065"/>
      <c r="U89" s="2065"/>
      <c r="V89" s="2065"/>
      <c r="W89" s="2065"/>
      <c r="X89" s="2065"/>
      <c r="Y89" s="2065"/>
      <c r="Z89" s="2065"/>
      <c r="AA89" s="2435"/>
      <c r="AB89" s="2065"/>
      <c r="AC89" s="2450" t="str">
        <f t="shared" si="68"/>
        <v>CDR seco + rejeito aterro</v>
      </c>
      <c r="AD89" s="2552">
        <f t="shared" si="69"/>
        <v>0</v>
      </c>
      <c r="AE89" s="2552">
        <f t="shared" si="69"/>
        <v>262.6677312178947</v>
      </c>
      <c r="AF89" s="2552">
        <f t="shared" si="69"/>
        <v>262.6677312178947</v>
      </c>
      <c r="AG89" s="2552">
        <f t="shared" si="69"/>
        <v>262.6677312178947</v>
      </c>
      <c r="AH89" s="2552">
        <f t="shared" si="69"/>
        <v>0</v>
      </c>
      <c r="AI89" s="2552">
        <f t="shared" si="69"/>
        <v>0</v>
      </c>
      <c r="AJ89" s="2552">
        <f t="shared" si="69"/>
        <v>0</v>
      </c>
      <c r="AK89" s="2552">
        <f t="shared" si="69"/>
        <v>0</v>
      </c>
    </row>
    <row r="90" spans="1:37" ht="18" customHeight="1" x14ac:dyDescent="0.2">
      <c r="A90" s="2439"/>
      <c r="B90" s="2551" t="s">
        <v>1111</v>
      </c>
      <c r="C90" s="2466"/>
      <c r="D90" s="2451">
        <f t="shared" ref="D90:K90" si="78">+$D$52-D79</f>
        <v>110.52287999999999</v>
      </c>
      <c r="E90" s="2451">
        <f t="shared" si="78"/>
        <v>6.9076799999999992</v>
      </c>
      <c r="F90" s="2451">
        <f t="shared" si="78"/>
        <v>6.9076799999999992</v>
      </c>
      <c r="G90" s="2451">
        <f t="shared" si="78"/>
        <v>6.9076799999999992</v>
      </c>
      <c r="H90" s="2451">
        <f t="shared" si="78"/>
        <v>6.9076799999999992</v>
      </c>
      <c r="I90" s="2451">
        <f t="shared" si="78"/>
        <v>6.9076799999999992</v>
      </c>
      <c r="J90" s="2451">
        <f t="shared" si="78"/>
        <v>6.9076799999999992</v>
      </c>
      <c r="K90" s="2451">
        <f t="shared" si="78"/>
        <v>6.9076799999999992</v>
      </c>
      <c r="L90" s="2441" t="s">
        <v>1085</v>
      </c>
      <c r="M90" s="2433"/>
      <c r="N90" s="2567" t="s">
        <v>1423</v>
      </c>
      <c r="O90" s="2565"/>
      <c r="P90" s="2566"/>
      <c r="Q90" s="2568">
        <f>32.5*$C$3/1000</f>
        <v>2.4667500000000002</v>
      </c>
      <c r="R90" s="2568">
        <f t="shared" ref="R90:X90" si="79">32.5*$C$3/1000</f>
        <v>2.4667500000000002</v>
      </c>
      <c r="S90" s="2568">
        <f t="shared" si="79"/>
        <v>2.4667500000000002</v>
      </c>
      <c r="T90" s="2568">
        <f t="shared" si="79"/>
        <v>2.4667500000000002</v>
      </c>
      <c r="U90" s="2568">
        <f t="shared" si="79"/>
        <v>2.4667500000000002</v>
      </c>
      <c r="V90" s="2568">
        <f t="shared" si="79"/>
        <v>2.4667500000000002</v>
      </c>
      <c r="W90" s="2568">
        <f t="shared" si="79"/>
        <v>2.4667500000000002</v>
      </c>
      <c r="X90" s="2568">
        <f t="shared" si="79"/>
        <v>2.4667500000000002</v>
      </c>
      <c r="Y90" s="2064" t="s">
        <v>1321</v>
      </c>
      <c r="Z90" s="2065"/>
      <c r="AA90" s="2435"/>
      <c r="AB90" s="2065"/>
      <c r="AC90" s="2450" t="str">
        <f t="shared" si="68"/>
        <v>CDR seco + trat. biol.</v>
      </c>
      <c r="AD90" s="2552">
        <f t="shared" si="69"/>
        <v>0</v>
      </c>
      <c r="AE90" s="2552">
        <f t="shared" si="69"/>
        <v>-4361.7375545432678</v>
      </c>
      <c r="AF90" s="2552">
        <f t="shared" si="69"/>
        <v>-5345.9118160325379</v>
      </c>
      <c r="AG90" s="2552">
        <f t="shared" si="69"/>
        <v>-4346.2744340587815</v>
      </c>
      <c r="AH90" s="2552">
        <f t="shared" si="69"/>
        <v>0</v>
      </c>
      <c r="AI90" s="2552">
        <f t="shared" si="69"/>
        <v>0</v>
      </c>
      <c r="AJ90" s="2552">
        <f t="shared" si="69"/>
        <v>0</v>
      </c>
      <c r="AK90" s="2552">
        <f t="shared" si="69"/>
        <v>0</v>
      </c>
    </row>
    <row r="91" spans="1:37" ht="18" customHeight="1" x14ac:dyDescent="0.2">
      <c r="A91" s="2439"/>
      <c r="B91" s="2551" t="s">
        <v>1112</v>
      </c>
      <c r="C91" s="2466"/>
      <c r="D91" s="2451">
        <f t="shared" ref="D91:K91" si="80">+$D$53-D80</f>
        <v>1024.6392000000001</v>
      </c>
      <c r="E91" s="2451">
        <f t="shared" si="80"/>
        <v>1024.6392000000001</v>
      </c>
      <c r="F91" s="2451">
        <f t="shared" si="80"/>
        <v>1024.6392000000001</v>
      </c>
      <c r="G91" s="2451">
        <f t="shared" si="80"/>
        <v>1024.6392000000001</v>
      </c>
      <c r="H91" s="2451">
        <f t="shared" si="80"/>
        <v>1024.6392000000001</v>
      </c>
      <c r="I91" s="2451">
        <f t="shared" si="80"/>
        <v>1024.6392000000001</v>
      </c>
      <c r="J91" s="2451">
        <f t="shared" si="80"/>
        <v>1024.6392000000001</v>
      </c>
      <c r="K91" s="2451">
        <f t="shared" si="80"/>
        <v>1024.6392000000001</v>
      </c>
      <c r="L91" s="2441" t="s">
        <v>1085</v>
      </c>
      <c r="M91" s="2433"/>
      <c r="N91" s="2569" t="s">
        <v>1424</v>
      </c>
      <c r="O91" s="2570"/>
      <c r="P91" s="2566"/>
      <c r="Q91" s="2568">
        <f>$D$144*$D$149*44/12*1000</f>
        <v>81.01946997934111</v>
      </c>
      <c r="R91" s="2568">
        <f>$E$144*$E$149*44/12*1000</f>
        <v>73.204738919990888</v>
      </c>
      <c r="S91" s="2568">
        <f>$G$144*$G$149*44/12*1000</f>
        <v>73.204738919990888</v>
      </c>
      <c r="T91" s="2568">
        <f>$G$144*$G$149*44/12*1000</f>
        <v>73.204738919990888</v>
      </c>
      <c r="U91" s="2568">
        <f>$H$144*$H$149*44/12*1000</f>
        <v>73.204738919990888</v>
      </c>
      <c r="V91" s="2568">
        <f>$I$144*$I$149*44/12*1000</f>
        <v>73.204738919990888</v>
      </c>
      <c r="W91" s="2568">
        <f>$I$144*$I$149*44/12*1000</f>
        <v>73.204738919990888</v>
      </c>
      <c r="X91" s="2568">
        <f>$I$144*$I$149*44/12*1000</f>
        <v>73.204738919990888</v>
      </c>
      <c r="Y91" s="2064" t="s">
        <v>1321</v>
      </c>
      <c r="Z91" s="2065"/>
      <c r="AA91" s="2435"/>
      <c r="AB91" s="2064"/>
      <c r="AC91" s="2450" t="str">
        <f t="shared" si="68"/>
        <v>CDR seco + CDR org.</v>
      </c>
      <c r="AD91" s="2552">
        <f t="shared" si="69"/>
        <v>0</v>
      </c>
      <c r="AE91" s="2552">
        <f t="shared" si="69"/>
        <v>0</v>
      </c>
      <c r="AF91" s="2552">
        <f t="shared" si="69"/>
        <v>0</v>
      </c>
      <c r="AG91" s="2552">
        <f t="shared" si="69"/>
        <v>0</v>
      </c>
      <c r="AH91" s="2552">
        <f t="shared" si="69"/>
        <v>0</v>
      </c>
      <c r="AI91" s="2552">
        <f t="shared" si="69"/>
        <v>-10487.179432144621</v>
      </c>
      <c r="AJ91" s="2552">
        <f t="shared" si="69"/>
        <v>0</v>
      </c>
      <c r="AK91" s="2552">
        <f t="shared" si="69"/>
        <v>0</v>
      </c>
    </row>
    <row r="92" spans="1:37" ht="18" customHeight="1" x14ac:dyDescent="0.2">
      <c r="A92" s="2439"/>
      <c r="B92" s="2551" t="s">
        <v>1425</v>
      </c>
      <c r="C92" s="2466"/>
      <c r="D92" s="2451">
        <f t="shared" ref="D92:K92" si="81">+$D$54</f>
        <v>221.04575999999997</v>
      </c>
      <c r="E92" s="2451">
        <f t="shared" si="81"/>
        <v>221.04575999999997</v>
      </c>
      <c r="F92" s="2451">
        <f t="shared" si="81"/>
        <v>221.04575999999997</v>
      </c>
      <c r="G92" s="2451">
        <f t="shared" si="81"/>
        <v>221.04575999999997</v>
      </c>
      <c r="H92" s="2451">
        <f t="shared" si="81"/>
        <v>221.04575999999997</v>
      </c>
      <c r="I92" s="2451">
        <f t="shared" si="81"/>
        <v>221.04575999999997</v>
      </c>
      <c r="J92" s="2451">
        <f t="shared" si="81"/>
        <v>221.04575999999997</v>
      </c>
      <c r="K92" s="2451">
        <f t="shared" si="81"/>
        <v>221.04575999999997</v>
      </c>
      <c r="L92" s="2441" t="s">
        <v>1085</v>
      </c>
      <c r="M92" s="2433"/>
      <c r="N92" s="2567" t="s">
        <v>1426</v>
      </c>
      <c r="O92" s="2565"/>
      <c r="P92" s="2566"/>
      <c r="Q92" s="2571">
        <f>$D$173*$D$179*$Q$25*1868</f>
        <v>64.810120640584103</v>
      </c>
      <c r="R92" s="2571">
        <f>$E$173*$E$179*$R$25*1868</f>
        <v>68.305101133569508</v>
      </c>
      <c r="S92" s="2571">
        <f>$G$173*$G$179*$R$25*1868</f>
        <v>68.305101133569508</v>
      </c>
      <c r="T92" s="2571">
        <f>$G$173*$G$179*$R$25*1868</f>
        <v>68.305101133569508</v>
      </c>
      <c r="U92" s="2571">
        <f>$H$173*$H$179*$U$25*1868</f>
        <v>68.305101133569508</v>
      </c>
      <c r="V92" s="2571">
        <f>$I$173*$I$179*$V$25*1868</f>
        <v>68.305101133569508</v>
      </c>
      <c r="W92" s="2571">
        <f>$I$173*$I$179*$V$25*1868</f>
        <v>68.305101133569508</v>
      </c>
      <c r="X92" s="2571">
        <f>$I$173*$I$179*$V$25*1868</f>
        <v>68.305101133569508</v>
      </c>
      <c r="Y92" s="2064" t="s">
        <v>1400</v>
      </c>
      <c r="Z92" s="2065"/>
      <c r="AA92" s="2435"/>
      <c r="AB92" s="2065"/>
      <c r="AC92" s="2450" t="str">
        <f>+AC56</f>
        <v>Incineração</v>
      </c>
      <c r="AD92" s="2552">
        <f t="shared" si="69"/>
        <v>0</v>
      </c>
      <c r="AE92" s="2552">
        <f t="shared" si="69"/>
        <v>0</v>
      </c>
      <c r="AF92" s="2552">
        <f t="shared" si="69"/>
        <v>0</v>
      </c>
      <c r="AG92" s="2552">
        <f t="shared" si="69"/>
        <v>0</v>
      </c>
      <c r="AH92" s="2552">
        <f t="shared" si="69"/>
        <v>0</v>
      </c>
      <c r="AI92" s="2552">
        <f t="shared" si="69"/>
        <v>0</v>
      </c>
      <c r="AJ92" s="2552">
        <f t="shared" si="69"/>
        <v>5790.7393018691937</v>
      </c>
      <c r="AK92" s="2552">
        <f t="shared" si="69"/>
        <v>5790.7393018691937</v>
      </c>
    </row>
    <row r="93" spans="1:37" ht="18" customHeight="1" x14ac:dyDescent="0.2">
      <c r="A93" s="2439"/>
      <c r="B93" s="2551" t="s">
        <v>1319</v>
      </c>
      <c r="C93" s="2466"/>
      <c r="D93" s="2451">
        <f t="shared" ref="D93:K93" si="82">+$D$55</f>
        <v>921.024</v>
      </c>
      <c r="E93" s="2451">
        <f t="shared" si="82"/>
        <v>921.024</v>
      </c>
      <c r="F93" s="2451">
        <f t="shared" si="82"/>
        <v>921.024</v>
      </c>
      <c r="G93" s="2451">
        <f t="shared" si="82"/>
        <v>921.024</v>
      </c>
      <c r="H93" s="2451">
        <f t="shared" si="82"/>
        <v>921.024</v>
      </c>
      <c r="I93" s="2451">
        <f t="shared" si="82"/>
        <v>921.024</v>
      </c>
      <c r="J93" s="2451">
        <f t="shared" si="82"/>
        <v>921.024</v>
      </c>
      <c r="K93" s="2451">
        <f t="shared" si="82"/>
        <v>921.024</v>
      </c>
      <c r="L93" s="2441" t="s">
        <v>1085</v>
      </c>
      <c r="M93" s="2433"/>
      <c r="N93" s="2567" t="s">
        <v>1340</v>
      </c>
      <c r="O93" s="2565"/>
      <c r="P93" s="2566"/>
      <c r="Q93" s="2568">
        <f>Q92*'CO2 - Destinação'!$E$28</f>
        <v>14.582277144131423</v>
      </c>
      <c r="R93" s="2568">
        <f>R92*'CO2 - Destinação'!$G$28</f>
        <v>15.368647755053139</v>
      </c>
      <c r="S93" s="2568">
        <f>S92*'CO2 - Destinação'!$H$28</f>
        <v>15.368647755053139</v>
      </c>
      <c r="T93" s="2568">
        <f>T92*'CO2 - Destinação'!$I$28</f>
        <v>15.368647755053139</v>
      </c>
      <c r="U93" s="2568">
        <f>U92*'CO2 - Destinação'!$J$28</f>
        <v>15.368647755053139</v>
      </c>
      <c r="V93" s="2568">
        <f>V92*'CO2 - Destinação'!$K$28</f>
        <v>15.368647755053139</v>
      </c>
      <c r="W93" s="2568">
        <f>W92*'CO2 - Destinação'!$K$28</f>
        <v>15.368647755053139</v>
      </c>
      <c r="X93" s="2568">
        <f>X92*'CO2 - Destinação'!$M$28</f>
        <v>15.368647755053139</v>
      </c>
      <c r="Y93" s="2064" t="s">
        <v>1400</v>
      </c>
      <c r="Z93" s="2065"/>
      <c r="AA93" s="2435"/>
      <c r="AB93" s="2030"/>
      <c r="AC93" s="2572"/>
      <c r="AD93" s="1845"/>
      <c r="AE93" s="1845"/>
      <c r="AF93" s="1845"/>
      <c r="AG93" s="1845"/>
      <c r="AH93" s="1845"/>
      <c r="AI93" s="1845"/>
      <c r="AJ93" s="1845"/>
      <c r="AK93" s="1845"/>
    </row>
    <row r="94" spans="1:37" ht="18" customHeight="1" x14ac:dyDescent="0.2">
      <c r="A94" s="2439"/>
      <c r="B94" s="2551" t="s">
        <v>1115</v>
      </c>
      <c r="C94" s="2466"/>
      <c r="D94" s="2451">
        <f t="shared" ref="D94:K94" si="83">+$D$56</f>
        <v>168.08687999999998</v>
      </c>
      <c r="E94" s="2451">
        <f t="shared" si="83"/>
        <v>168.08687999999998</v>
      </c>
      <c r="F94" s="2451">
        <f t="shared" si="83"/>
        <v>168.08687999999998</v>
      </c>
      <c r="G94" s="2451">
        <f t="shared" si="83"/>
        <v>168.08687999999998</v>
      </c>
      <c r="H94" s="2451">
        <f t="shared" si="83"/>
        <v>168.08687999999998</v>
      </c>
      <c r="I94" s="2451">
        <f t="shared" si="83"/>
        <v>168.08687999999998</v>
      </c>
      <c r="J94" s="2451">
        <f t="shared" si="83"/>
        <v>168.08687999999998</v>
      </c>
      <c r="K94" s="2451">
        <f t="shared" si="83"/>
        <v>168.08687999999998</v>
      </c>
      <c r="L94" s="2441" t="s">
        <v>1085</v>
      </c>
      <c r="M94" s="2433"/>
      <c r="N94" s="2567" t="s">
        <v>1427</v>
      </c>
      <c r="O94" s="2565"/>
      <c r="P94" s="2566"/>
      <c r="Q94" s="2568">
        <f>($Q$43+$Q$44+$Q$45)*$D$173</f>
        <v>2.2522446039289221</v>
      </c>
      <c r="R94" s="2568">
        <f>($R$43+$R$44+$R$45)*$E$173</f>
        <v>2.2949368506249961</v>
      </c>
      <c r="S94" s="2568">
        <f>($R$43+$R$44+$R$45)*$E$173</f>
        <v>2.2949368506249961</v>
      </c>
      <c r="T94" s="2568">
        <f>($R$43+$R$44+$R$45)*$E$173</f>
        <v>2.2949368506249961</v>
      </c>
      <c r="U94" s="2568">
        <f>($U$43+$U$44+$U$45)*$H$173</f>
        <v>2.2949368506249961</v>
      </c>
      <c r="V94" s="2573">
        <f>($V$43+$V$44+$V$45)*$I$173</f>
        <v>2.2949368506249961</v>
      </c>
      <c r="W94" s="2573">
        <f>($V$43+$V$44+$V$45)*$I$173</f>
        <v>2.2949368506249961</v>
      </c>
      <c r="X94" s="2573">
        <f>($V$43+$V$44+$V$45)*$I$173</f>
        <v>2.2949368506249961</v>
      </c>
      <c r="Y94" s="2490" t="s">
        <v>1321</v>
      </c>
      <c r="Z94" s="2064"/>
      <c r="AA94" s="2435"/>
      <c r="AB94" s="2030"/>
      <c r="AC94" s="2572"/>
      <c r="AD94" s="1845"/>
      <c r="AE94" s="1845"/>
      <c r="AF94" s="1845"/>
      <c r="AG94" s="1845"/>
      <c r="AH94" s="1845"/>
      <c r="AI94" s="1845"/>
      <c r="AJ94" s="1845"/>
      <c r="AK94" s="1845"/>
    </row>
    <row r="95" spans="1:37" ht="18" customHeight="1" x14ac:dyDescent="0.2">
      <c r="A95" s="2439"/>
      <c r="B95" s="2551" t="s">
        <v>1116</v>
      </c>
      <c r="C95" s="2466"/>
      <c r="D95" s="2451">
        <f t="shared" ref="D95:K95" si="84">+$D$57</f>
        <v>0</v>
      </c>
      <c r="E95" s="2451">
        <f t="shared" si="84"/>
        <v>0</v>
      </c>
      <c r="F95" s="2451">
        <f t="shared" si="84"/>
        <v>0</v>
      </c>
      <c r="G95" s="2451">
        <f t="shared" si="84"/>
        <v>0</v>
      </c>
      <c r="H95" s="2451">
        <f t="shared" si="84"/>
        <v>0</v>
      </c>
      <c r="I95" s="2451">
        <f t="shared" si="84"/>
        <v>0</v>
      </c>
      <c r="J95" s="2451">
        <f t="shared" si="84"/>
        <v>0</v>
      </c>
      <c r="K95" s="2451">
        <f t="shared" si="84"/>
        <v>0</v>
      </c>
      <c r="L95" s="2441" t="s">
        <v>1085</v>
      </c>
      <c r="M95" s="2433"/>
      <c r="N95" s="2567" t="s">
        <v>1428</v>
      </c>
      <c r="O95" s="2565"/>
      <c r="P95" s="2566"/>
      <c r="Q95" s="2568">
        <f>(Q93*'CO2 - Destinação'!$E$32+Q92*(1-'CO2 - Destinação'!$E$28)*(1-'CO2 - Destinação'!$E$40))*$Q$26*16/22.4*28</f>
        <v>497.25565061488169</v>
      </c>
      <c r="R95" s="2568">
        <f>(R93*'CO2 - Destinação'!$G$32+R92*(1-'CO2 - Destinação'!$G$28)*(1-'CO2 - Destinação'!$G$40))*$R$26*16/22.4*28</f>
        <v>524.0708884473122</v>
      </c>
      <c r="S95" s="2568">
        <f>(S93*'CO2 - Destinação'!$H$32+S92*(1-'CO2 - Destinação'!$H$28)*(1-'CO2 - Destinação'!$H$40))*$R$26*16/22.4*28</f>
        <v>524.0708884473122</v>
      </c>
      <c r="T95" s="2568">
        <f>(T93*'CO2 - Destinação'!$I$32+T92*(1-'CO2 - Destinação'!$I$28)*(1-'CO2 - Destinação'!$I$40))*$R$26*16/22.4*28</f>
        <v>524.0708884473122</v>
      </c>
      <c r="U95" s="2568">
        <f>(U93*'CO2 - Destinação'!$J$32+U92*(1-'CO2 - Destinação'!$J$28)*(1-'CO2 - Destinação'!$J$40))*$U$26*16/22.4*28</f>
        <v>524.0708884473122</v>
      </c>
      <c r="V95" s="2573">
        <f>(V93*'CO2 - Destinação'!$K$32+V92*(1-'CO2 - Destinação'!$K$28)*(1-'CO2 - Destinação'!$K$40))*$V$26*16/22.4*28</f>
        <v>524.0708884473122</v>
      </c>
      <c r="W95" s="2573">
        <f>(W93*'CO2 - Destinação'!$K$32+W92*(1-'CO2 - Destinação'!$K$28)*(1-'CO2 - Destinação'!$K$40))*$V$26*16/22.4*28</f>
        <v>524.0708884473122</v>
      </c>
      <c r="X95" s="2573">
        <f>(X93*'CO2 - Destinação'!$M$32+X92*(1-'CO2 - Destinação'!$M$28)*(1-'CO2 - Destinação'!$M$40))*$V$26*16/22.4*28</f>
        <v>524.0708884473122</v>
      </c>
      <c r="Y95" s="2490" t="s">
        <v>1321</v>
      </c>
      <c r="Z95" s="2065"/>
      <c r="AA95" s="2435"/>
      <c r="AB95" s="2030"/>
      <c r="AC95" s="2572"/>
      <c r="AD95" s="1845"/>
      <c r="AE95" s="1845"/>
      <c r="AF95" s="1845"/>
      <c r="AG95" s="1845"/>
      <c r="AH95" s="1845"/>
      <c r="AI95" s="2574"/>
      <c r="AJ95" s="2574"/>
      <c r="AK95" s="2574"/>
    </row>
    <row r="96" spans="1:37" ht="18" customHeight="1" x14ac:dyDescent="0.2">
      <c r="A96" s="2439"/>
      <c r="B96" s="2551" t="s">
        <v>1117</v>
      </c>
      <c r="C96" s="2466"/>
      <c r="D96" s="2451">
        <f t="shared" ref="D96:K96" si="85">+$D$58</f>
        <v>1510.4793600000003</v>
      </c>
      <c r="E96" s="2451">
        <f t="shared" si="85"/>
        <v>1510.4793600000003</v>
      </c>
      <c r="F96" s="2451">
        <f t="shared" si="85"/>
        <v>1510.4793600000003</v>
      </c>
      <c r="G96" s="2451">
        <f t="shared" si="85"/>
        <v>1510.4793600000003</v>
      </c>
      <c r="H96" s="2451">
        <f t="shared" si="85"/>
        <v>1510.4793600000003</v>
      </c>
      <c r="I96" s="2451">
        <f t="shared" si="85"/>
        <v>1510.4793600000003</v>
      </c>
      <c r="J96" s="2451">
        <f t="shared" si="85"/>
        <v>1510.4793600000003</v>
      </c>
      <c r="K96" s="2451">
        <f t="shared" si="85"/>
        <v>1510.4793600000003</v>
      </c>
      <c r="L96" s="2441" t="s">
        <v>1085</v>
      </c>
      <c r="M96" s="2433"/>
      <c r="N96" s="2564" t="s">
        <v>1365</v>
      </c>
      <c r="O96" s="2565"/>
      <c r="P96" s="2566"/>
      <c r="Q96" s="2575">
        <f t="shared" ref="Q96:X96" si="86">Q90+Q91+Q94+Q95</f>
        <v>582.99411519815169</v>
      </c>
      <c r="R96" s="2575">
        <f t="shared" si="86"/>
        <v>602.03731421792804</v>
      </c>
      <c r="S96" s="2575">
        <f t="shared" si="86"/>
        <v>602.03731421792804</v>
      </c>
      <c r="T96" s="2575">
        <f t="shared" si="86"/>
        <v>602.03731421792804</v>
      </c>
      <c r="U96" s="2575">
        <f t="shared" si="86"/>
        <v>602.03731421792804</v>
      </c>
      <c r="V96" s="2575">
        <f t="shared" si="86"/>
        <v>602.03731421792804</v>
      </c>
      <c r="W96" s="2575">
        <f t="shared" si="86"/>
        <v>602.03731421792804</v>
      </c>
      <c r="X96" s="2575">
        <f t="shared" si="86"/>
        <v>602.03731421792804</v>
      </c>
      <c r="Y96" s="2508" t="s">
        <v>1321</v>
      </c>
      <c r="Z96" s="2065"/>
      <c r="AA96" s="2435"/>
      <c r="AB96" s="2030"/>
      <c r="AC96" s="2572"/>
      <c r="AD96" s="1845"/>
      <c r="AE96" s="1845"/>
      <c r="AF96" s="1845"/>
      <c r="AG96" s="1845"/>
      <c r="AH96" s="1845"/>
      <c r="AI96" s="1845"/>
      <c r="AJ96" s="1845"/>
      <c r="AK96" s="1845"/>
    </row>
    <row r="97" spans="1:37" ht="18" customHeight="1" x14ac:dyDescent="0.2">
      <c r="A97" s="2439"/>
      <c r="B97" s="2531" t="s">
        <v>52</v>
      </c>
      <c r="C97" s="1990"/>
      <c r="D97" s="2332">
        <f t="shared" ref="D97:K97" si="87">+$D$44-D81</f>
        <v>22279.57056</v>
      </c>
      <c r="E97" s="2332">
        <f t="shared" si="87"/>
        <v>20702.938651199998</v>
      </c>
      <c r="F97" s="2332">
        <f t="shared" si="87"/>
        <v>20702.938651199998</v>
      </c>
      <c r="G97" s="2332">
        <f t="shared" si="87"/>
        <v>20702.938651199998</v>
      </c>
      <c r="H97" s="2332">
        <f t="shared" si="87"/>
        <v>20702.938651199998</v>
      </c>
      <c r="I97" s="2332">
        <f t="shared" si="87"/>
        <v>20702.938651199998</v>
      </c>
      <c r="J97" s="2332">
        <f t="shared" si="87"/>
        <v>20702.938651199998</v>
      </c>
      <c r="K97" s="2332">
        <f t="shared" si="87"/>
        <v>20702.938651199998</v>
      </c>
      <c r="L97" s="2441" t="s">
        <v>1085</v>
      </c>
      <c r="M97" s="2433"/>
      <c r="N97" s="2576" t="s">
        <v>1351</v>
      </c>
      <c r="O97" s="2565"/>
      <c r="P97" s="2566"/>
      <c r="Q97" s="2568">
        <f>Q93*'CO2 - Destinação'!$E$33</f>
        <v>14.582277144131423</v>
      </c>
      <c r="R97" s="2568">
        <f>R93*'CO2 - Destinação'!$G$33</f>
        <v>15.368647755053139</v>
      </c>
      <c r="S97" s="2568">
        <f>S93*'CO2 - Destinação'!$H$33</f>
        <v>15.368647755053139</v>
      </c>
      <c r="T97" s="2568">
        <f>T93*'CO2 - Destinação'!$I$33</f>
        <v>15.368647755053139</v>
      </c>
      <c r="U97" s="2568">
        <f>U93*'CO2 - Destinação'!$J$33</f>
        <v>15.368647755053139</v>
      </c>
      <c r="V97" s="2568">
        <f>V93*'CO2 - Destinação'!$K$33</f>
        <v>15.368647755053139</v>
      </c>
      <c r="W97" s="2568">
        <f>W93*'CO2 - Destinação'!$K$33</f>
        <v>15.368647755053139</v>
      </c>
      <c r="X97" s="2568">
        <f>X93*'CO2 - Destinação'!$M$33</f>
        <v>15.368647755053139</v>
      </c>
      <c r="Y97" s="2490" t="s">
        <v>1400</v>
      </c>
      <c r="Z97" s="2064"/>
      <c r="AA97" s="2435"/>
      <c r="AB97" s="2030"/>
      <c r="AC97" s="2572"/>
      <c r="AD97" s="1845"/>
      <c r="AE97" s="1845"/>
      <c r="AF97" s="1845"/>
      <c r="AG97" s="1845"/>
      <c r="AH97" s="1845"/>
      <c r="AI97" s="1845"/>
      <c r="AJ97" s="1845"/>
      <c r="AK97" s="1845"/>
    </row>
    <row r="98" spans="1:37" ht="18" customHeight="1" x14ac:dyDescent="0.2">
      <c r="A98" s="2439"/>
      <c r="B98" s="2065"/>
      <c r="C98" s="2065"/>
      <c r="D98" s="2451">
        <f t="shared" ref="D98:J98" si="88">SUM(D84:D96)</f>
        <v>22279.570560000004</v>
      </c>
      <c r="E98" s="2451">
        <f t="shared" si="88"/>
        <v>20702.938651200002</v>
      </c>
      <c r="F98" s="2451">
        <f t="shared" ref="F98" si="89">SUM(F84:F96)</f>
        <v>20702.938651200002</v>
      </c>
      <c r="G98" s="2451">
        <f t="shared" si="88"/>
        <v>20702.938651200002</v>
      </c>
      <c r="H98" s="2451">
        <f t="shared" si="88"/>
        <v>20702.938651200002</v>
      </c>
      <c r="I98" s="2451">
        <f t="shared" si="88"/>
        <v>20702.938651200002</v>
      </c>
      <c r="J98" s="2451">
        <f t="shared" si="88"/>
        <v>20702.938651200002</v>
      </c>
      <c r="K98" s="2451">
        <f t="shared" ref="K98" si="90">SUM(K84:K96)</f>
        <v>20702.938651200002</v>
      </c>
      <c r="L98" s="2441" t="s">
        <v>1085</v>
      </c>
      <c r="M98" s="2433"/>
      <c r="N98" s="2567" t="s">
        <v>1429</v>
      </c>
      <c r="O98" s="2565"/>
      <c r="P98" s="2566"/>
      <c r="Q98" s="2568">
        <f>Q93*'CO2 - Destinação'!$E$34</f>
        <v>0</v>
      </c>
      <c r="R98" s="2568">
        <f>R93*'CO2 - Destinação'!$G$34</f>
        <v>0</v>
      </c>
      <c r="S98" s="2568">
        <f>S93*'CO2 - Destinação'!$H$34</f>
        <v>0</v>
      </c>
      <c r="T98" s="2568">
        <f>T93*'CO2 - Destinação'!$I$34</f>
        <v>0</v>
      </c>
      <c r="U98" s="2568">
        <f>U93*'CO2 - Destinação'!$J$34</f>
        <v>0</v>
      </c>
      <c r="V98" s="2568">
        <f>V93*'CO2 - Destinação'!$K$34</f>
        <v>0</v>
      </c>
      <c r="W98" s="2568">
        <f>W93*'CO2 - Destinação'!$K$34</f>
        <v>0</v>
      </c>
      <c r="X98" s="2568">
        <f>X93*'CO2 - Destinação'!$M$34</f>
        <v>0</v>
      </c>
      <c r="Y98" s="2490" t="s">
        <v>1400</v>
      </c>
      <c r="Z98" s="2065"/>
      <c r="AA98" s="2435"/>
      <c r="AB98" s="2030"/>
      <c r="AC98" s="2572"/>
      <c r="AD98" s="1845"/>
      <c r="AE98" s="1845"/>
      <c r="AF98" s="1845"/>
      <c r="AG98" s="1845"/>
      <c r="AH98" s="1845"/>
      <c r="AI98" s="1845"/>
      <c r="AJ98" s="1845"/>
      <c r="AK98" s="1845"/>
    </row>
    <row r="99" spans="1:37" ht="18" customHeight="1" x14ac:dyDescent="0.2">
      <c r="A99" s="2429" t="s">
        <v>1430</v>
      </c>
      <c r="B99" s="2430"/>
      <c r="C99" s="2430"/>
      <c r="D99" s="2430"/>
      <c r="E99" s="2430"/>
      <c r="F99" s="2430"/>
      <c r="G99" s="2430"/>
      <c r="H99" s="2430"/>
      <c r="I99" s="2430"/>
      <c r="J99" s="2430"/>
      <c r="K99" s="2430"/>
      <c r="L99" s="2457"/>
      <c r="M99" s="2433"/>
      <c r="N99" s="2567" t="s">
        <v>1354</v>
      </c>
      <c r="O99" s="2565"/>
      <c r="P99" s="2566"/>
      <c r="Q99" s="2568">
        <f>Q93*'CO2 - Destinação'!$E$35</f>
        <v>0</v>
      </c>
      <c r="R99" s="2568">
        <f>R93*'CO2 - Destinação'!$G$35</f>
        <v>0</v>
      </c>
      <c r="S99" s="2568">
        <f>S93*'CO2 - Destinação'!$H$35</f>
        <v>0</v>
      </c>
      <c r="T99" s="2568">
        <f>T93*'CO2 - Destinação'!$I$35</f>
        <v>0</v>
      </c>
      <c r="U99" s="2568">
        <f>U93*'CO2 - Destinação'!$J$35</f>
        <v>0</v>
      </c>
      <c r="V99" s="2568">
        <f>V93*'CO2 - Destinação'!$K$35</f>
        <v>0</v>
      </c>
      <c r="W99" s="2568">
        <f>W93*'CO2 - Destinação'!$K$35</f>
        <v>0</v>
      </c>
      <c r="X99" s="2568">
        <f>X93*'CO2 - Destinação'!$M$35</f>
        <v>0</v>
      </c>
      <c r="Y99" s="2490" t="s">
        <v>1400</v>
      </c>
      <c r="Z99" s="2064"/>
      <c r="AA99" s="2435"/>
      <c r="AB99" s="2030"/>
      <c r="AC99" s="2572"/>
      <c r="AD99" s="1845"/>
      <c r="AE99" s="1845"/>
      <c r="AF99" s="1845"/>
      <c r="AG99" s="1845"/>
      <c r="AH99" s="1845"/>
      <c r="AI99" s="1845"/>
      <c r="AJ99" s="1845"/>
      <c r="AK99" s="1845"/>
    </row>
    <row r="100" spans="1:37" ht="18" customHeight="1" x14ac:dyDescent="0.2">
      <c r="A100" s="2065"/>
      <c r="B100" s="2065"/>
      <c r="C100" s="2065"/>
      <c r="D100" s="2065"/>
      <c r="E100" s="2065"/>
      <c r="F100" s="2065"/>
      <c r="G100" s="2065"/>
      <c r="H100" s="2065"/>
      <c r="I100" s="2065"/>
      <c r="J100" s="2065"/>
      <c r="K100" s="2065"/>
      <c r="L100" s="2497"/>
      <c r="M100" s="2433"/>
      <c r="N100" s="2567" t="s">
        <v>1431</v>
      </c>
      <c r="O100" s="2577"/>
      <c r="P100" s="2578"/>
      <c r="Q100" s="2568">
        <f t="shared" ref="Q100:X100" si="91">((Q98*$Q$26*10*$R$12*$C$3)+(Q99*$Q$26*10*$C$6))/1000</f>
        <v>0</v>
      </c>
      <c r="R100" s="2568">
        <f t="shared" si="91"/>
        <v>0</v>
      </c>
      <c r="S100" s="2568">
        <f t="shared" si="91"/>
        <v>0</v>
      </c>
      <c r="T100" s="2568">
        <f t="shared" si="91"/>
        <v>0</v>
      </c>
      <c r="U100" s="2568">
        <f t="shared" si="91"/>
        <v>0</v>
      </c>
      <c r="V100" s="2568">
        <f t="shared" si="91"/>
        <v>0</v>
      </c>
      <c r="W100" s="2568">
        <f t="shared" si="91"/>
        <v>0</v>
      </c>
      <c r="X100" s="2568">
        <f t="shared" si="91"/>
        <v>0</v>
      </c>
      <c r="Y100" s="2490" t="s">
        <v>1321</v>
      </c>
      <c r="Z100" s="2065"/>
      <c r="AA100" s="2435"/>
      <c r="AB100" s="2030"/>
      <c r="AC100" s="2572"/>
      <c r="AD100" s="1845"/>
      <c r="AE100" s="1845"/>
      <c r="AF100" s="1845"/>
      <c r="AG100" s="1845"/>
      <c r="AH100" s="1845"/>
      <c r="AI100" s="1845"/>
      <c r="AJ100" s="1845"/>
      <c r="AK100" s="1845"/>
    </row>
    <row r="101" spans="1:37" ht="18" customHeight="1" x14ac:dyDescent="0.2">
      <c r="A101" s="2065"/>
      <c r="B101" s="2531" t="s">
        <v>1432</v>
      </c>
      <c r="C101" s="2199"/>
      <c r="D101" s="2079" t="str">
        <f t="shared" ref="D101:K101" si="92">+D72</f>
        <v>Cenário-Base</v>
      </c>
      <c r="E101" s="2079" t="str">
        <f t="shared" si="92"/>
        <v>Biodigestão RT1A + CDR TM</v>
      </c>
      <c r="F101" s="2079" t="str">
        <f t="shared" si="92"/>
        <v>Biodigestão RT1B + CDR TM</v>
      </c>
      <c r="G101" s="2079" t="str">
        <f t="shared" si="92"/>
        <v>Biodigestão RT1C + CDR TM</v>
      </c>
      <c r="H101" s="2079" t="str">
        <f t="shared" si="92"/>
        <v>Compostagem + CDR TM</v>
      </c>
      <c r="I101" s="2079" t="str">
        <f t="shared" si="92"/>
        <v xml:space="preserve">Biosecagem + CDR TMB </v>
      </c>
      <c r="J101" s="2079" t="str">
        <f t="shared" si="92"/>
        <v>Incineração Mass Burning</v>
      </c>
      <c r="K101" s="2079" t="str">
        <f t="shared" si="92"/>
        <v>Incineração Mass Burn. Descentralizada</v>
      </c>
      <c r="L101" s="2497"/>
      <c r="M101" s="2433"/>
      <c r="N101" s="2567" t="s">
        <v>1433</v>
      </c>
      <c r="O101" s="2577"/>
      <c r="P101" s="2578"/>
      <c r="Q101" s="2579">
        <f>$D$144*($D$153+$D$154)/33.5*0.9*44/12*1000</f>
        <v>526.49754740147955</v>
      </c>
      <c r="R101" s="2579">
        <f>$E$144*($E$153+$E$154)/33.5*0.9*44/12*1000</f>
        <v>500.53762448082119</v>
      </c>
      <c r="S101" s="2579">
        <f>$E$144*($G$153+$G$154)/33.5*0.9*44/12*1000</f>
        <v>500.53762448082119</v>
      </c>
      <c r="T101" s="2579">
        <f>$E$144*($G$153+$G$154)/33.5*0.9*44/12*1000</f>
        <v>500.53762448082119</v>
      </c>
      <c r="U101" s="2579">
        <f>$H$144*($H$153+$H$154)/33.5*0.9*44/12*1000</f>
        <v>500.53762448082119</v>
      </c>
      <c r="V101" s="2579">
        <f>$I$144*($I$153+$I$154)/33.5*0.9*44/12*1000</f>
        <v>500.53762448082119</v>
      </c>
      <c r="W101" s="2579">
        <f>$I$144*($I$153+$I$154)/33.5*0.9*44/12*1000</f>
        <v>500.53762448082119</v>
      </c>
      <c r="X101" s="2579">
        <f>$I$144*($I$153+$I$154)/33.5*0.9*44/12*1000</f>
        <v>500.53762448082119</v>
      </c>
      <c r="Y101" s="2490" t="s">
        <v>1321</v>
      </c>
      <c r="Z101" s="2065"/>
      <c r="AA101" s="2435"/>
      <c r="AB101" s="2030"/>
      <c r="AC101" s="2572"/>
      <c r="AD101" s="1845"/>
      <c r="AE101" s="1845"/>
      <c r="AF101" s="1845"/>
      <c r="AG101" s="1845"/>
      <c r="AH101" s="1845"/>
      <c r="AI101" s="1845"/>
      <c r="AJ101" s="1845"/>
      <c r="AK101" s="1845"/>
    </row>
    <row r="102" spans="1:37" ht="18" customHeight="1" x14ac:dyDescent="0.2">
      <c r="A102" s="2065"/>
      <c r="B102" s="2551" t="s">
        <v>1106</v>
      </c>
      <c r="C102" s="2474"/>
      <c r="D102" s="2467">
        <f>+D84/IF(D$97=0,1,D$97)</f>
        <v>0.50020669698222398</v>
      </c>
      <c r="E102" s="2467">
        <f t="shared" ref="E102:K114" si="93">+E84/IF(E$97=0,1,E$97)</f>
        <v>0.53829992870862509</v>
      </c>
      <c r="F102" s="2467">
        <f t="shared" si="93"/>
        <v>0.53829992870862509</v>
      </c>
      <c r="G102" s="2467">
        <f t="shared" si="93"/>
        <v>0.53829992870862509</v>
      </c>
      <c r="H102" s="2467">
        <f t="shared" si="93"/>
        <v>0.53829992870862509</v>
      </c>
      <c r="I102" s="2467">
        <f t="shared" si="93"/>
        <v>0.53829992870862509</v>
      </c>
      <c r="J102" s="2467">
        <f t="shared" si="93"/>
        <v>0.53829992870862509</v>
      </c>
      <c r="K102" s="2467">
        <f t="shared" si="93"/>
        <v>0.53829992870862509</v>
      </c>
      <c r="L102" s="2441" t="s">
        <v>194</v>
      </c>
      <c r="M102" s="2433"/>
      <c r="N102" s="2564" t="s">
        <v>1434</v>
      </c>
      <c r="O102" s="2565"/>
      <c r="P102" s="2566"/>
      <c r="Q102" s="2575">
        <f>Q100+Q101</f>
        <v>526.49754740147955</v>
      </c>
      <c r="R102" s="2575">
        <f t="shared" ref="R102:X102" si="94">R100+R101</f>
        <v>500.53762448082119</v>
      </c>
      <c r="S102" s="2575">
        <f t="shared" si="94"/>
        <v>500.53762448082119</v>
      </c>
      <c r="T102" s="2575">
        <f t="shared" si="94"/>
        <v>500.53762448082119</v>
      </c>
      <c r="U102" s="2575">
        <f t="shared" si="94"/>
        <v>500.53762448082119</v>
      </c>
      <c r="V102" s="2575">
        <f t="shared" si="94"/>
        <v>500.53762448082119</v>
      </c>
      <c r="W102" s="2575">
        <f t="shared" si="94"/>
        <v>500.53762448082119</v>
      </c>
      <c r="X102" s="2575">
        <f t="shared" si="94"/>
        <v>500.53762448082119</v>
      </c>
      <c r="Y102" s="2508" t="s">
        <v>1321</v>
      </c>
      <c r="Z102" s="2065"/>
      <c r="AA102" s="2435"/>
      <c r="AB102" s="2030"/>
      <c r="AC102" s="2572"/>
      <c r="AD102" s="1845"/>
      <c r="AE102" s="1845"/>
      <c r="AF102" s="1845"/>
      <c r="AG102" s="1845"/>
      <c r="AH102" s="1845"/>
      <c r="AI102" s="1845"/>
      <c r="AJ102" s="1845"/>
      <c r="AK102" s="1845"/>
    </row>
    <row r="103" spans="1:37" ht="18" customHeight="1" x14ac:dyDescent="0.2">
      <c r="A103" s="2065"/>
      <c r="B103" s="2551" t="s">
        <v>1107</v>
      </c>
      <c r="C103" s="2474"/>
      <c r="D103" s="2467">
        <f t="shared" ref="D103:I114" si="95">+D85/IF(D$97=0,1,D$97)</f>
        <v>3.1004547333608926E-2</v>
      </c>
      <c r="E103" s="2467">
        <f t="shared" si="95"/>
        <v>3.3365698060451969E-2</v>
      </c>
      <c r="F103" s="2467">
        <f t="shared" si="93"/>
        <v>3.3365698060451969E-2</v>
      </c>
      <c r="G103" s="2467">
        <f t="shared" si="93"/>
        <v>3.3365698060451969E-2</v>
      </c>
      <c r="H103" s="2467">
        <f t="shared" si="95"/>
        <v>3.3365698060451969E-2</v>
      </c>
      <c r="I103" s="2467">
        <f t="shared" si="95"/>
        <v>3.3365698060451969E-2</v>
      </c>
      <c r="J103" s="2467">
        <f t="shared" si="93"/>
        <v>3.3365698060451969E-2</v>
      </c>
      <c r="K103" s="2467">
        <f t="shared" si="93"/>
        <v>3.3365698060451969E-2</v>
      </c>
      <c r="L103" s="2441" t="s">
        <v>194</v>
      </c>
      <c r="M103" s="2433"/>
      <c r="N103" s="2064"/>
      <c r="O103" s="2065"/>
      <c r="P103" s="2065"/>
      <c r="Q103" s="2065"/>
      <c r="R103" s="2065"/>
      <c r="S103" s="2065"/>
      <c r="T103" s="2065"/>
      <c r="U103" s="2065"/>
      <c r="V103" s="2065"/>
      <c r="W103" s="2065"/>
      <c r="X103" s="2065"/>
      <c r="Y103" s="2065"/>
      <c r="Z103" s="2065"/>
      <c r="AA103" s="2435"/>
      <c r="AB103" s="2030"/>
      <c r="AC103" s="2572"/>
      <c r="AD103" s="1845"/>
      <c r="AE103" s="1845"/>
      <c r="AF103" s="1845"/>
      <c r="AG103" s="1845"/>
      <c r="AH103" s="1845"/>
      <c r="AI103" s="1845"/>
      <c r="AJ103" s="1845"/>
      <c r="AK103" s="1845"/>
    </row>
    <row r="104" spans="1:37" ht="18" customHeight="1" x14ac:dyDescent="0.2">
      <c r="A104" s="2065"/>
      <c r="B104" s="2551" t="s">
        <v>1108</v>
      </c>
      <c r="C104" s="2474"/>
      <c r="D104" s="2467">
        <f t="shared" si="95"/>
        <v>0.1218478710210831</v>
      </c>
      <c r="E104" s="2467">
        <f t="shared" si="95"/>
        <v>9.7179819980937068E-2</v>
      </c>
      <c r="F104" s="2467">
        <f t="shared" si="93"/>
        <v>9.7179819980937068E-2</v>
      </c>
      <c r="G104" s="2467">
        <f t="shared" si="93"/>
        <v>9.7179819980937068E-2</v>
      </c>
      <c r="H104" s="2467">
        <f t="shared" si="95"/>
        <v>9.7179819980937068E-2</v>
      </c>
      <c r="I104" s="2467">
        <f t="shared" si="95"/>
        <v>9.7179819980937068E-2</v>
      </c>
      <c r="J104" s="2467">
        <f t="shared" si="93"/>
        <v>9.7179819980937068E-2</v>
      </c>
      <c r="K104" s="2467">
        <f t="shared" si="93"/>
        <v>9.7179819980937068E-2</v>
      </c>
      <c r="L104" s="2441" t="s">
        <v>194</v>
      </c>
      <c r="M104" s="2433"/>
      <c r="N104" s="2580" t="s">
        <v>1435</v>
      </c>
      <c r="O104" s="2581"/>
      <c r="P104" s="2582"/>
      <c r="Q104" s="2065"/>
      <c r="R104" s="2065"/>
      <c r="S104" s="2065"/>
      <c r="T104" s="2065"/>
      <c r="U104" s="2065"/>
      <c r="V104" s="2065"/>
      <c r="W104" s="2065"/>
      <c r="X104" s="2065"/>
      <c r="Y104" s="2065"/>
      <c r="Z104" s="2065"/>
      <c r="AA104" s="2435"/>
      <c r="AB104" s="2030"/>
      <c r="AC104" s="2572"/>
      <c r="AD104" s="1845"/>
      <c r="AE104" s="1845"/>
      <c r="AF104" s="1845"/>
      <c r="AG104" s="1845"/>
      <c r="AH104" s="1845"/>
      <c r="AI104" s="1845"/>
      <c r="AJ104" s="1845"/>
      <c r="AK104" s="1845"/>
    </row>
    <row r="105" spans="1:37" ht="18" customHeight="1" x14ac:dyDescent="0.2">
      <c r="A105" s="2065"/>
      <c r="B105" s="2551" t="s">
        <v>1109</v>
      </c>
      <c r="C105" s="2474"/>
      <c r="D105" s="2467">
        <f t="shared" si="95"/>
        <v>0.12556841670111615</v>
      </c>
      <c r="E105" s="2467">
        <f t="shared" si="95"/>
        <v>0.11711360019218645</v>
      </c>
      <c r="F105" s="2467">
        <f t="shared" si="93"/>
        <v>0.11711360019218645</v>
      </c>
      <c r="G105" s="2467">
        <f t="shared" si="93"/>
        <v>0.11711360019218645</v>
      </c>
      <c r="H105" s="2467">
        <f t="shared" si="95"/>
        <v>0.11711360019218645</v>
      </c>
      <c r="I105" s="2467">
        <f t="shared" si="95"/>
        <v>0.11711360019218645</v>
      </c>
      <c r="J105" s="2467">
        <f t="shared" si="93"/>
        <v>0.11711360019218645</v>
      </c>
      <c r="K105" s="2467">
        <f t="shared" si="93"/>
        <v>0.11711360019218645</v>
      </c>
      <c r="L105" s="2441" t="s">
        <v>194</v>
      </c>
      <c r="M105" s="2433"/>
      <c r="N105" s="2583" t="s">
        <v>1423</v>
      </c>
      <c r="O105" s="2581"/>
      <c r="P105" s="2582"/>
      <c r="Q105" s="2584">
        <f>32.5*$C$3/1000</f>
        <v>2.4667500000000002</v>
      </c>
      <c r="R105" s="2584">
        <f t="shared" ref="R105:X105" si="96">32.5*$C$3/1000</f>
        <v>2.4667500000000002</v>
      </c>
      <c r="S105" s="2584">
        <f t="shared" si="96"/>
        <v>2.4667500000000002</v>
      </c>
      <c r="T105" s="2584">
        <f t="shared" si="96"/>
        <v>2.4667500000000002</v>
      </c>
      <c r="U105" s="2584">
        <f t="shared" si="96"/>
        <v>2.4667500000000002</v>
      </c>
      <c r="V105" s="2584">
        <f t="shared" si="96"/>
        <v>2.4667500000000002</v>
      </c>
      <c r="W105" s="2584">
        <f t="shared" si="96"/>
        <v>2.4667500000000002</v>
      </c>
      <c r="X105" s="2584">
        <f t="shared" si="96"/>
        <v>2.4667500000000002</v>
      </c>
      <c r="Y105" s="2490" t="s">
        <v>1321</v>
      </c>
      <c r="Z105" s="2065"/>
      <c r="AA105" s="2435"/>
      <c r="AB105" s="2030"/>
      <c r="AC105" s="2572"/>
      <c r="AD105" s="1845"/>
      <c r="AE105" s="1845"/>
      <c r="AF105" s="1845"/>
      <c r="AG105" s="1845"/>
      <c r="AH105" s="1845"/>
      <c r="AI105" s="1845"/>
      <c r="AJ105" s="1845"/>
      <c r="AK105" s="1845"/>
    </row>
    <row r="106" spans="1:37" ht="18" customHeight="1" x14ac:dyDescent="0.2">
      <c r="A106" s="2065"/>
      <c r="B106" s="2551" t="s">
        <v>50</v>
      </c>
      <c r="C106" s="2474"/>
      <c r="D106" s="2467">
        <f t="shared" si="95"/>
        <v>2.4803637866887142E-2</v>
      </c>
      <c r="E106" s="2467">
        <f t="shared" si="95"/>
        <v>2.6692558448361575E-2</v>
      </c>
      <c r="F106" s="2467">
        <f t="shared" si="93"/>
        <v>2.6692558448361575E-2</v>
      </c>
      <c r="G106" s="2467">
        <f t="shared" si="93"/>
        <v>2.6692558448361575E-2</v>
      </c>
      <c r="H106" s="2467">
        <f t="shared" si="95"/>
        <v>2.6692558448361575E-2</v>
      </c>
      <c r="I106" s="2467">
        <f t="shared" si="95"/>
        <v>2.6692558448361575E-2</v>
      </c>
      <c r="J106" s="2467">
        <f t="shared" si="93"/>
        <v>2.6692558448361575E-2</v>
      </c>
      <c r="K106" s="2467">
        <f t="shared" si="93"/>
        <v>2.6692558448361575E-2</v>
      </c>
      <c r="L106" s="2441" t="s">
        <v>194</v>
      </c>
      <c r="M106" s="2433"/>
      <c r="N106" s="2585" t="s">
        <v>1436</v>
      </c>
      <c r="O106" s="2581"/>
      <c r="P106" s="2582"/>
      <c r="Q106" s="2586">
        <f>$D$144*$D$149*44/12*1000</f>
        <v>81.01946997934111</v>
      </c>
      <c r="R106" s="2586">
        <f>$E$144*$E$149*44/12*1000</f>
        <v>73.204738919990888</v>
      </c>
      <c r="S106" s="2586">
        <f>$G$144*$G$149*44/12*1000</f>
        <v>73.204738919990888</v>
      </c>
      <c r="T106" s="2586">
        <f>$G$144*$G$149*44/12*1000</f>
        <v>73.204738919990888</v>
      </c>
      <c r="U106" s="2586">
        <f>$H$144*$H$149*44/12*1000</f>
        <v>73.204738919990888</v>
      </c>
      <c r="V106" s="2586">
        <f>$I$144*$I$149*44/12*1000</f>
        <v>73.204738919990888</v>
      </c>
      <c r="W106" s="2586">
        <f>$I$144*$I$149*44/12*1000</f>
        <v>73.204738919990888</v>
      </c>
      <c r="X106" s="2586">
        <f>$I$144*$I$149*44/12*1000</f>
        <v>73.204738919990888</v>
      </c>
      <c r="Y106" s="2490" t="s">
        <v>1321</v>
      </c>
      <c r="Z106" s="2065"/>
      <c r="AA106" s="2435"/>
      <c r="AB106" s="2030"/>
      <c r="AC106" s="2572"/>
      <c r="AD106" s="1845"/>
      <c r="AE106" s="1845"/>
      <c r="AF106" s="1845"/>
      <c r="AG106" s="1845"/>
      <c r="AH106" s="1845"/>
      <c r="AI106" s="1845"/>
      <c r="AJ106" s="1845"/>
      <c r="AK106" s="1845"/>
    </row>
    <row r="107" spans="1:37" ht="18" customHeight="1" x14ac:dyDescent="0.2">
      <c r="A107" s="2065"/>
      <c r="B107" s="2551" t="s">
        <v>1110</v>
      </c>
      <c r="C107" s="2474"/>
      <c r="D107" s="2467">
        <f t="shared" si="95"/>
        <v>1.9016122364613478E-2</v>
      </c>
      <c r="E107" s="2467">
        <f t="shared" si="95"/>
        <v>1.2790184256506595E-3</v>
      </c>
      <c r="F107" s="2467">
        <f t="shared" si="93"/>
        <v>1.2790184256506595E-3</v>
      </c>
      <c r="G107" s="2467">
        <f t="shared" si="93"/>
        <v>1.2790184256506595E-3</v>
      </c>
      <c r="H107" s="2467">
        <f t="shared" si="95"/>
        <v>1.2790184256506595E-3</v>
      </c>
      <c r="I107" s="2467">
        <f t="shared" si="95"/>
        <v>1.2790184256506595E-3</v>
      </c>
      <c r="J107" s="2467">
        <f t="shared" si="93"/>
        <v>1.2790184256506595E-3</v>
      </c>
      <c r="K107" s="2467">
        <f t="shared" si="93"/>
        <v>1.2790184256506595E-3</v>
      </c>
      <c r="L107" s="2441" t="s">
        <v>194</v>
      </c>
      <c r="M107" s="2433"/>
      <c r="N107" s="2587" t="s">
        <v>1437</v>
      </c>
      <c r="O107" s="2588"/>
      <c r="P107" s="2589"/>
      <c r="Q107" s="2590"/>
      <c r="R107" s="2590"/>
      <c r="S107" s="2590"/>
      <c r="T107" s="2590"/>
      <c r="U107" s="2590"/>
      <c r="V107" s="2590"/>
      <c r="W107" s="2590"/>
      <c r="X107" s="2590"/>
      <c r="Y107" s="2490"/>
      <c r="Z107" s="2064"/>
      <c r="AA107" s="2435"/>
      <c r="AB107" s="2030"/>
      <c r="AC107" s="2572"/>
      <c r="AD107" s="1845"/>
      <c r="AE107" s="1845"/>
      <c r="AF107" s="1845"/>
      <c r="AG107" s="1845"/>
      <c r="AH107" s="1845"/>
      <c r="AI107" s="1845"/>
      <c r="AJ107" s="1845"/>
      <c r="AK107" s="1845"/>
    </row>
    <row r="108" spans="1:37" ht="18" customHeight="1" x14ac:dyDescent="0.2">
      <c r="A108" s="2065"/>
      <c r="B108" s="2551" t="s">
        <v>1111</v>
      </c>
      <c r="C108" s="2474"/>
      <c r="D108" s="2467">
        <f t="shared" si="95"/>
        <v>4.9607275733774278E-3</v>
      </c>
      <c r="E108" s="2467">
        <f t="shared" si="95"/>
        <v>3.3365698060451972E-4</v>
      </c>
      <c r="F108" s="2467">
        <f t="shared" si="93"/>
        <v>3.3365698060451972E-4</v>
      </c>
      <c r="G108" s="2467">
        <f t="shared" si="93"/>
        <v>3.3365698060451972E-4</v>
      </c>
      <c r="H108" s="2467">
        <f t="shared" si="95"/>
        <v>3.3365698060451972E-4</v>
      </c>
      <c r="I108" s="2467">
        <f t="shared" si="95"/>
        <v>3.3365698060451972E-4</v>
      </c>
      <c r="J108" s="2467">
        <f t="shared" si="93"/>
        <v>3.3365698060451972E-4</v>
      </c>
      <c r="K108" s="2467">
        <f t="shared" si="93"/>
        <v>3.3365698060451972E-4</v>
      </c>
      <c r="L108" s="2441" t="s">
        <v>194</v>
      </c>
      <c r="M108" s="2433"/>
      <c r="N108" s="2583" t="s">
        <v>1385</v>
      </c>
      <c r="O108" s="2591"/>
      <c r="P108" s="2589"/>
      <c r="Q108" s="2592">
        <v>0.35</v>
      </c>
      <c r="R108" s="2592">
        <v>0.35</v>
      </c>
      <c r="S108" s="2592">
        <v>0.35</v>
      </c>
      <c r="T108" s="2592">
        <v>0.35</v>
      </c>
      <c r="U108" s="2592">
        <v>0.35</v>
      </c>
      <c r="V108" s="2592">
        <v>0.35</v>
      </c>
      <c r="W108" s="2592">
        <v>0.35</v>
      </c>
      <c r="X108" s="2592">
        <v>0.35</v>
      </c>
      <c r="Y108" s="2490" t="s">
        <v>1327</v>
      </c>
      <c r="Z108" s="2065"/>
      <c r="AA108" s="2435"/>
      <c r="AB108" s="2030"/>
      <c r="AC108" s="2572"/>
      <c r="AD108" s="1845"/>
      <c r="AE108" s="1845"/>
      <c r="AF108" s="1845"/>
      <c r="AG108" s="1845"/>
      <c r="AH108" s="1845"/>
      <c r="AI108" s="1845"/>
      <c r="AJ108" s="1845"/>
      <c r="AK108" s="1845"/>
    </row>
    <row r="109" spans="1:37" ht="18" customHeight="1" x14ac:dyDescent="0.2">
      <c r="A109" s="2065"/>
      <c r="B109" s="2551" t="s">
        <v>1112</v>
      </c>
      <c r="C109" s="2474"/>
      <c r="D109" s="2467">
        <f t="shared" si="95"/>
        <v>4.599007854485325E-2</v>
      </c>
      <c r="E109" s="2467">
        <f t="shared" si="95"/>
        <v>4.9492452123003766E-2</v>
      </c>
      <c r="F109" s="2467">
        <f t="shared" si="93"/>
        <v>4.9492452123003766E-2</v>
      </c>
      <c r="G109" s="2467">
        <f t="shared" si="93"/>
        <v>4.9492452123003766E-2</v>
      </c>
      <c r="H109" s="2467">
        <f t="shared" si="95"/>
        <v>4.9492452123003766E-2</v>
      </c>
      <c r="I109" s="2467">
        <f t="shared" si="95"/>
        <v>4.9492452123003766E-2</v>
      </c>
      <c r="J109" s="2467">
        <f t="shared" si="93"/>
        <v>4.9492452123003766E-2</v>
      </c>
      <c r="K109" s="2467">
        <f t="shared" si="93"/>
        <v>4.9492452123003766E-2</v>
      </c>
      <c r="L109" s="2441" t="s">
        <v>194</v>
      </c>
      <c r="M109" s="2433"/>
      <c r="N109" s="2583" t="s">
        <v>1387</v>
      </c>
      <c r="O109" s="2593"/>
      <c r="P109" s="2582"/>
      <c r="Q109" s="2586">
        <f>$D$173*(0.82*28+0.045*265)</f>
        <v>24.260866267052492</v>
      </c>
      <c r="R109" s="2586">
        <f>$E$173*(0.82*28+0.045*265)</f>
        <v>24.720741222875077</v>
      </c>
      <c r="S109" s="2586">
        <f>$G$173*(0.82*28+0.045*265)</f>
        <v>24.720741222875077</v>
      </c>
      <c r="T109" s="2586">
        <f>$G$173*(0.82*28+0.045*265)</f>
        <v>24.720741222875077</v>
      </c>
      <c r="U109" s="2586">
        <f>$H$173*(0.82*28+0.045*265)</f>
        <v>24.720741222875077</v>
      </c>
      <c r="V109" s="2586">
        <f>$I$173*(0.82*28+0.045*265)</f>
        <v>24.720741222875077</v>
      </c>
      <c r="W109" s="2586">
        <f>$I$173*(0.82*28+0.045*265)</f>
        <v>24.720741222875077</v>
      </c>
      <c r="X109" s="2586">
        <f>$I$173*(0.82*28+0.045*265)</f>
        <v>24.720741222875077</v>
      </c>
      <c r="Y109" s="2490" t="s">
        <v>1321</v>
      </c>
      <c r="Z109" s="2064"/>
      <c r="AA109" s="2435"/>
      <c r="AB109" s="2030"/>
      <c r="AC109" s="2572"/>
      <c r="AD109" s="1845"/>
      <c r="AE109" s="1845"/>
      <c r="AF109" s="1845"/>
      <c r="AG109" s="1845"/>
      <c r="AH109" s="1845"/>
      <c r="AI109" s="1845"/>
      <c r="AJ109" s="1845"/>
      <c r="AK109" s="1845"/>
    </row>
    <row r="110" spans="1:37" ht="18" customHeight="1" x14ac:dyDescent="0.2">
      <c r="A110" s="2065"/>
      <c r="B110" s="2551" t="s">
        <v>1373</v>
      </c>
      <c r="C110" s="2474"/>
      <c r="D110" s="2467">
        <f t="shared" si="95"/>
        <v>9.9214551467548557E-3</v>
      </c>
      <c r="E110" s="2467">
        <f t="shared" si="95"/>
        <v>1.0677023379344631E-2</v>
      </c>
      <c r="F110" s="2467">
        <f t="shared" si="93"/>
        <v>1.0677023379344631E-2</v>
      </c>
      <c r="G110" s="2467">
        <f t="shared" si="93"/>
        <v>1.0677023379344631E-2</v>
      </c>
      <c r="H110" s="2467">
        <f t="shared" si="95"/>
        <v>1.0677023379344631E-2</v>
      </c>
      <c r="I110" s="2467">
        <f t="shared" si="95"/>
        <v>1.0677023379344631E-2</v>
      </c>
      <c r="J110" s="2467">
        <f t="shared" si="93"/>
        <v>1.0677023379344631E-2</v>
      </c>
      <c r="K110" s="2467">
        <f t="shared" si="93"/>
        <v>1.0677023379344631E-2</v>
      </c>
      <c r="L110" s="2441" t="s">
        <v>194</v>
      </c>
      <c r="M110" s="2433"/>
      <c r="N110" s="2583" t="s">
        <v>1389</v>
      </c>
      <c r="O110" s="2591"/>
      <c r="P110" s="2589"/>
      <c r="Q110" s="2584">
        <f>$D$173*5</f>
        <v>3.4772633319553528</v>
      </c>
      <c r="R110" s="2584">
        <f>$E$173*5</f>
        <v>3.54317632548016</v>
      </c>
      <c r="S110" s="2584">
        <f>$G$173*5</f>
        <v>3.54317632548016</v>
      </c>
      <c r="T110" s="2584">
        <f>$G$173*5</f>
        <v>3.54317632548016</v>
      </c>
      <c r="U110" s="2584">
        <f>$H$173*5</f>
        <v>3.54317632548016</v>
      </c>
      <c r="V110" s="2584">
        <f>$I$173*5</f>
        <v>3.54317632548016</v>
      </c>
      <c r="W110" s="2584">
        <f>$I$173*5</f>
        <v>3.54317632548016</v>
      </c>
      <c r="X110" s="2584">
        <f>$I$173*5</f>
        <v>3.54317632548016</v>
      </c>
      <c r="Y110" s="2490" t="s">
        <v>1390</v>
      </c>
      <c r="Z110" s="2065"/>
      <c r="AA110" s="2435"/>
      <c r="AB110" s="2030"/>
      <c r="AC110" s="2572"/>
      <c r="AD110" s="1845"/>
      <c r="AE110" s="1845"/>
      <c r="AF110" s="1845"/>
      <c r="AG110" s="1845"/>
      <c r="AH110" s="1845"/>
      <c r="AI110" s="1845"/>
      <c r="AJ110" s="1845"/>
      <c r="AK110" s="1845"/>
    </row>
    <row r="111" spans="1:37" ht="18" customHeight="1" x14ac:dyDescent="0.2">
      <c r="A111" s="2065"/>
      <c r="B111" s="2551" t="s">
        <v>1319</v>
      </c>
      <c r="C111" s="2474"/>
      <c r="D111" s="2467">
        <f t="shared" si="95"/>
        <v>4.1339396444811903E-2</v>
      </c>
      <c r="E111" s="2467">
        <f t="shared" si="95"/>
        <v>4.4487597413935966E-2</v>
      </c>
      <c r="F111" s="2467">
        <f t="shared" si="93"/>
        <v>4.4487597413935966E-2</v>
      </c>
      <c r="G111" s="2467">
        <f t="shared" si="93"/>
        <v>4.4487597413935966E-2</v>
      </c>
      <c r="H111" s="2467">
        <f t="shared" si="95"/>
        <v>4.4487597413935966E-2</v>
      </c>
      <c r="I111" s="2467">
        <f t="shared" si="95"/>
        <v>4.4487597413935966E-2</v>
      </c>
      <c r="J111" s="2467">
        <f t="shared" si="93"/>
        <v>4.4487597413935966E-2</v>
      </c>
      <c r="K111" s="2467">
        <f t="shared" si="93"/>
        <v>4.4487597413935966E-2</v>
      </c>
      <c r="L111" s="2441" t="s">
        <v>194</v>
      </c>
      <c r="M111" s="2433"/>
      <c r="N111" s="2583" t="s">
        <v>1438</v>
      </c>
      <c r="O111" s="2594"/>
      <c r="P111" s="2589"/>
      <c r="Q111" s="2584">
        <f t="shared" ref="Q111:X111" si="97">+Q110*$C$3/1000</f>
        <v>0.26392428689541131</v>
      </c>
      <c r="R111" s="2584">
        <f t="shared" si="97"/>
        <v>0.26892708310394414</v>
      </c>
      <c r="S111" s="2584">
        <f t="shared" si="97"/>
        <v>0.26892708310394414</v>
      </c>
      <c r="T111" s="2584">
        <f t="shared" si="97"/>
        <v>0.26892708310394414</v>
      </c>
      <c r="U111" s="2584">
        <f t="shared" si="97"/>
        <v>0.26892708310394414</v>
      </c>
      <c r="V111" s="2584">
        <f t="shared" si="97"/>
        <v>0.26892708310394414</v>
      </c>
      <c r="W111" s="2584">
        <f t="shared" si="97"/>
        <v>0.26892708310394414</v>
      </c>
      <c r="X111" s="2584">
        <f t="shared" si="97"/>
        <v>0.26892708310394414</v>
      </c>
      <c r="Y111" s="2490" t="s">
        <v>1321</v>
      </c>
      <c r="Z111" s="2064"/>
      <c r="AA111" s="2435"/>
      <c r="AB111" s="2030"/>
      <c r="AC111" s="2572"/>
      <c r="AD111" s="1845"/>
      <c r="AE111" s="1845"/>
      <c r="AF111" s="1845"/>
      <c r="AG111" s="1845"/>
      <c r="AH111" s="1845"/>
      <c r="AI111" s="1845"/>
      <c r="AJ111" s="1845"/>
      <c r="AK111" s="1845"/>
    </row>
    <row r="112" spans="1:37" ht="18" customHeight="1" x14ac:dyDescent="0.2">
      <c r="A112" s="2065"/>
      <c r="B112" s="2551" t="s">
        <v>1115</v>
      </c>
      <c r="C112" s="2474"/>
      <c r="D112" s="2467">
        <f t="shared" si="95"/>
        <v>7.5444398511781722E-3</v>
      </c>
      <c r="E112" s="2467">
        <f t="shared" si="95"/>
        <v>8.1189865280433121E-3</v>
      </c>
      <c r="F112" s="2467">
        <f t="shared" si="93"/>
        <v>8.1189865280433121E-3</v>
      </c>
      <c r="G112" s="2467">
        <f t="shared" si="93"/>
        <v>8.1189865280433121E-3</v>
      </c>
      <c r="H112" s="2467">
        <f t="shared" si="95"/>
        <v>8.1189865280433121E-3</v>
      </c>
      <c r="I112" s="2467">
        <f t="shared" si="95"/>
        <v>8.1189865280433121E-3</v>
      </c>
      <c r="J112" s="2467">
        <f t="shared" si="93"/>
        <v>8.1189865280433121E-3</v>
      </c>
      <c r="K112" s="2467">
        <f t="shared" si="93"/>
        <v>8.1189865280433121E-3</v>
      </c>
      <c r="L112" s="2441" t="s">
        <v>194</v>
      </c>
      <c r="M112" s="2433"/>
      <c r="N112" s="2583" t="s">
        <v>1439</v>
      </c>
      <c r="O112" s="2591"/>
      <c r="P112" s="2589"/>
      <c r="Q112" s="2584">
        <f>Q109+Q111</f>
        <v>24.524790553947902</v>
      </c>
      <c r="R112" s="2584">
        <f t="shared" ref="R112:X112" si="98">R109+R111</f>
        <v>24.98966830597902</v>
      </c>
      <c r="S112" s="2584">
        <f t="shared" si="98"/>
        <v>24.98966830597902</v>
      </c>
      <c r="T112" s="2584">
        <f t="shared" si="98"/>
        <v>24.98966830597902</v>
      </c>
      <c r="U112" s="2584">
        <f t="shared" si="98"/>
        <v>24.98966830597902</v>
      </c>
      <c r="V112" s="2584">
        <f t="shared" si="98"/>
        <v>24.98966830597902</v>
      </c>
      <c r="W112" s="2584">
        <f t="shared" si="98"/>
        <v>24.98966830597902</v>
      </c>
      <c r="X112" s="2584">
        <f t="shared" si="98"/>
        <v>24.98966830597902</v>
      </c>
      <c r="Y112" s="2490" t="s">
        <v>1321</v>
      </c>
      <c r="Z112" s="2064"/>
      <c r="AA112" s="2435"/>
      <c r="AB112" s="2030"/>
      <c r="AC112" s="2572"/>
      <c r="AD112" s="1845"/>
      <c r="AE112" s="1845"/>
      <c r="AF112" s="1845"/>
      <c r="AG112" s="1845"/>
      <c r="AH112" s="1845"/>
      <c r="AI112" s="1845"/>
      <c r="AJ112" s="1845"/>
      <c r="AK112" s="1845"/>
    </row>
    <row r="113" spans="1:37" ht="18" customHeight="1" x14ac:dyDescent="0.2">
      <c r="A113" s="2065"/>
      <c r="B113" s="2551" t="s">
        <v>1116</v>
      </c>
      <c r="C113" s="2474"/>
      <c r="D113" s="2467">
        <f t="shared" si="95"/>
        <v>0</v>
      </c>
      <c r="E113" s="2467">
        <f t="shared" si="95"/>
        <v>0</v>
      </c>
      <c r="F113" s="2467">
        <f t="shared" si="93"/>
        <v>0</v>
      </c>
      <c r="G113" s="2467">
        <f t="shared" si="93"/>
        <v>0</v>
      </c>
      <c r="H113" s="2467">
        <f t="shared" si="95"/>
        <v>0</v>
      </c>
      <c r="I113" s="2467">
        <f t="shared" si="95"/>
        <v>0</v>
      </c>
      <c r="J113" s="2467">
        <f t="shared" si="93"/>
        <v>0</v>
      </c>
      <c r="K113" s="2467">
        <f t="shared" si="93"/>
        <v>0</v>
      </c>
      <c r="L113" s="2441" t="s">
        <v>194</v>
      </c>
      <c r="M113" s="2433"/>
      <c r="N113" s="2587" t="s">
        <v>1396</v>
      </c>
      <c r="O113" s="2591"/>
      <c r="P113" s="2589"/>
      <c r="Q113" s="2590"/>
      <c r="R113" s="2590"/>
      <c r="S113" s="2590"/>
      <c r="T113" s="2590"/>
      <c r="U113" s="2590"/>
      <c r="V113" s="2590"/>
      <c r="W113" s="2590"/>
      <c r="X113" s="2590"/>
      <c r="Y113" s="2490"/>
      <c r="Z113" s="2064"/>
      <c r="AA113" s="2435"/>
      <c r="AB113" s="2030"/>
      <c r="AC113" s="2572"/>
      <c r="AD113" s="1845"/>
      <c r="AE113" s="1845"/>
      <c r="AF113" s="1845"/>
      <c r="AG113" s="1845"/>
      <c r="AH113" s="1845"/>
      <c r="AI113" s="1845"/>
      <c r="AJ113" s="1845"/>
      <c r="AK113" s="1845"/>
    </row>
    <row r="114" spans="1:37" ht="18" customHeight="1" x14ac:dyDescent="0.2">
      <c r="A114" s="2065"/>
      <c r="B114" s="2551" t="s">
        <v>1117</v>
      </c>
      <c r="C114" s="2474"/>
      <c r="D114" s="2467">
        <f t="shared" si="95"/>
        <v>6.7796610169491539E-2</v>
      </c>
      <c r="E114" s="2467">
        <f t="shared" si="95"/>
        <v>7.2959659758855003E-2</v>
      </c>
      <c r="F114" s="2467">
        <f t="shared" si="93"/>
        <v>7.2959659758855003E-2</v>
      </c>
      <c r="G114" s="2467">
        <f t="shared" si="93"/>
        <v>7.2959659758855003E-2</v>
      </c>
      <c r="H114" s="2467">
        <f t="shared" si="95"/>
        <v>7.2959659758855003E-2</v>
      </c>
      <c r="I114" s="2595">
        <f t="shared" si="95"/>
        <v>7.2959659758855003E-2</v>
      </c>
      <c r="J114" s="2595">
        <f t="shared" si="93"/>
        <v>7.2959659758855003E-2</v>
      </c>
      <c r="K114" s="2595">
        <f t="shared" si="93"/>
        <v>7.2959659758855003E-2</v>
      </c>
      <c r="L114" s="2441" t="s">
        <v>194</v>
      </c>
      <c r="M114" s="2433"/>
      <c r="N114" s="2583" t="s">
        <v>1398</v>
      </c>
      <c r="O114" s="2591"/>
      <c r="P114" s="2589"/>
      <c r="Q114" s="2592">
        <f>Q108</f>
        <v>0.35</v>
      </c>
      <c r="R114" s="2592">
        <f t="shared" ref="R114:X114" si="99">R108</f>
        <v>0.35</v>
      </c>
      <c r="S114" s="2592">
        <f t="shared" si="99"/>
        <v>0.35</v>
      </c>
      <c r="T114" s="2592">
        <f t="shared" si="99"/>
        <v>0.35</v>
      </c>
      <c r="U114" s="2592">
        <f t="shared" si="99"/>
        <v>0.35</v>
      </c>
      <c r="V114" s="2592">
        <f t="shared" si="99"/>
        <v>0.35</v>
      </c>
      <c r="W114" s="2592">
        <f t="shared" si="99"/>
        <v>0.35</v>
      </c>
      <c r="X114" s="2592">
        <f t="shared" si="99"/>
        <v>0.35</v>
      </c>
      <c r="Y114" s="2490" t="s">
        <v>1440</v>
      </c>
      <c r="Z114" s="2064"/>
      <c r="AA114" s="2435"/>
      <c r="AB114" s="2030"/>
      <c r="AC114" s="2572"/>
      <c r="AD114" s="1845"/>
      <c r="AE114" s="1845"/>
      <c r="AF114" s="1845"/>
      <c r="AG114" s="1845"/>
      <c r="AH114" s="1845"/>
      <c r="AI114" s="1845"/>
      <c r="AJ114" s="1845"/>
      <c r="AK114" s="1845"/>
    </row>
    <row r="115" spans="1:37" ht="18" customHeight="1" x14ac:dyDescent="0.2">
      <c r="A115" s="2439"/>
      <c r="B115" s="2531" t="s">
        <v>52</v>
      </c>
      <c r="C115" s="2506"/>
      <c r="D115" s="2596">
        <f t="shared" ref="D115:K115" si="100">SUM(D102:D114)</f>
        <v>0.99999999999999989</v>
      </c>
      <c r="E115" s="2596">
        <f t="shared" si="100"/>
        <v>1</v>
      </c>
      <c r="F115" s="2596">
        <f t="shared" si="100"/>
        <v>1</v>
      </c>
      <c r="G115" s="2596">
        <f t="shared" si="100"/>
        <v>1</v>
      </c>
      <c r="H115" s="2596">
        <f t="shared" si="100"/>
        <v>1</v>
      </c>
      <c r="I115" s="2597">
        <f t="shared" si="100"/>
        <v>1</v>
      </c>
      <c r="J115" s="2597">
        <f t="shared" si="100"/>
        <v>1</v>
      </c>
      <c r="K115" s="2597">
        <f t="shared" si="100"/>
        <v>1</v>
      </c>
      <c r="L115" s="2441" t="s">
        <v>194</v>
      </c>
      <c r="M115" s="2433"/>
      <c r="N115" s="2583" t="s">
        <v>1441</v>
      </c>
      <c r="O115" s="2591"/>
      <c r="P115" s="2589"/>
      <c r="Q115" s="2598">
        <f>$D$173*$D$179*Q114*1868</f>
        <v>45.367084448408868</v>
      </c>
      <c r="R115" s="2598">
        <f>$E$173*$E$179*R114*1868</f>
        <v>47.813570793498656</v>
      </c>
      <c r="S115" s="2598">
        <f>$G$173*$G$179*S114*1868</f>
        <v>47.813570793498656</v>
      </c>
      <c r="T115" s="2598">
        <f>$G$173*$G$179*T114*1868</f>
        <v>47.813570793498656</v>
      </c>
      <c r="U115" s="2598">
        <f>$H$173*$H$179*U114*1868</f>
        <v>47.813570793498656</v>
      </c>
      <c r="V115" s="2598">
        <f>$I$173*$I$179*V114*1868</f>
        <v>47.813570793498656</v>
      </c>
      <c r="W115" s="2598">
        <f>$I$173*$I$179*W114*1868</f>
        <v>47.813570793498656</v>
      </c>
      <c r="X115" s="2598">
        <f>$I$173*$I$179*X114*1868</f>
        <v>47.813570793498656</v>
      </c>
      <c r="Y115" s="2490" t="s">
        <v>1400</v>
      </c>
      <c r="Z115" s="2064"/>
      <c r="AA115" s="2435"/>
      <c r="AB115" s="2030"/>
      <c r="AC115" s="2572"/>
      <c r="AD115" s="1845"/>
      <c r="AE115" s="1845"/>
      <c r="AF115" s="1845"/>
      <c r="AG115" s="1845"/>
      <c r="AH115" s="1845"/>
      <c r="AI115" s="1845"/>
      <c r="AJ115" s="1845"/>
      <c r="AK115" s="1845"/>
    </row>
    <row r="116" spans="1:37" ht="18" customHeight="1" x14ac:dyDescent="0.2">
      <c r="A116" s="2065"/>
      <c r="B116" s="2065"/>
      <c r="C116" s="2065"/>
      <c r="D116" s="2065"/>
      <c r="E116" s="2065"/>
      <c r="F116" s="2065"/>
      <c r="G116" s="2065"/>
      <c r="H116" s="2065"/>
      <c r="I116" s="2065"/>
      <c r="J116" s="2065"/>
      <c r="K116" s="2065"/>
      <c r="L116" s="2065"/>
      <c r="M116" s="2433"/>
      <c r="N116" s="2583" t="s">
        <v>1442</v>
      </c>
      <c r="O116" s="2591"/>
      <c r="P116" s="2589"/>
      <c r="Q116" s="2592">
        <v>0.6</v>
      </c>
      <c r="R116" s="2592">
        <v>0.6</v>
      </c>
      <c r="S116" s="2592">
        <v>0.6</v>
      </c>
      <c r="T116" s="2592">
        <v>0.6</v>
      </c>
      <c r="U116" s="2592">
        <v>0.6</v>
      </c>
      <c r="V116" s="2592">
        <v>0.6</v>
      </c>
      <c r="W116" s="2592">
        <v>0.6</v>
      </c>
      <c r="X116" s="2592">
        <v>0.6</v>
      </c>
      <c r="Y116" s="2490" t="s">
        <v>1403</v>
      </c>
      <c r="Z116" s="2064"/>
      <c r="AA116" s="2435"/>
      <c r="AB116" s="2030"/>
      <c r="AC116" s="2572"/>
      <c r="AD116" s="1845"/>
      <c r="AE116" s="1845"/>
      <c r="AF116" s="1845"/>
      <c r="AG116" s="1845"/>
      <c r="AH116" s="1845"/>
      <c r="AI116" s="1845"/>
      <c r="AJ116" s="1845"/>
      <c r="AK116" s="1845"/>
    </row>
    <row r="117" spans="1:37" ht="18" customHeight="1" x14ac:dyDescent="0.2">
      <c r="A117" s="1989" t="s">
        <v>1443</v>
      </c>
      <c r="B117" s="2599"/>
      <c r="C117" s="2065"/>
      <c r="D117" s="2065"/>
      <c r="E117" s="2065"/>
      <c r="F117" s="2065"/>
      <c r="G117" s="2065"/>
      <c r="H117" s="2065"/>
      <c r="I117" s="2065"/>
      <c r="J117" s="2065"/>
      <c r="K117" s="2065"/>
      <c r="L117" s="2065"/>
      <c r="M117" s="2433"/>
      <c r="N117" s="2583" t="s">
        <v>1404</v>
      </c>
      <c r="O117" s="2591"/>
      <c r="P117" s="2589"/>
      <c r="Q117" s="2584">
        <f>Q115*'CO2 - Destinação'!$E$51</f>
        <v>0</v>
      </c>
      <c r="R117" s="2584">
        <f>R115*'CO2 - Destinação'!$G$51</f>
        <v>47.813570793498656</v>
      </c>
      <c r="S117" s="2584">
        <f>S115*'CO2 - Destinação'!$H$51</f>
        <v>0</v>
      </c>
      <c r="T117" s="2584">
        <f>T115*'CO2 - Destinação'!$I$51</f>
        <v>0</v>
      </c>
      <c r="U117" s="2584">
        <f>U115*'CO2 - Destinação'!$J$51</f>
        <v>0</v>
      </c>
      <c r="V117" s="2584">
        <f>V115*'CO2 - Destinação'!$K$51</f>
        <v>0</v>
      </c>
      <c r="W117" s="2584">
        <f>W115*'CO2 - Destinação'!$K$51</f>
        <v>0</v>
      </c>
      <c r="X117" s="2584">
        <f>X115*'CO2 - Destinação'!$M$51</f>
        <v>0</v>
      </c>
      <c r="Y117" s="2490" t="s">
        <v>1400</v>
      </c>
      <c r="Z117" s="2064"/>
      <c r="AA117" s="2435"/>
      <c r="AB117" s="2030"/>
      <c r="AC117" s="2572"/>
      <c r="AD117" s="1845"/>
      <c r="AE117" s="1845"/>
      <c r="AF117" s="1845"/>
      <c r="AG117" s="1845"/>
      <c r="AH117" s="1845"/>
      <c r="AI117" s="1845"/>
      <c r="AJ117" s="1845"/>
      <c r="AK117" s="1845"/>
    </row>
    <row r="118" spans="1:37" ht="18" customHeight="1" x14ac:dyDescent="0.2">
      <c r="A118" s="2065"/>
      <c r="B118" s="2600" t="s">
        <v>1444</v>
      </c>
      <c r="C118" s="2199"/>
      <c r="D118" s="2079" t="str">
        <f t="shared" ref="D118:K118" si="101">+D72</f>
        <v>Cenário-Base</v>
      </c>
      <c r="E118" s="2079" t="str">
        <f t="shared" si="101"/>
        <v>Biodigestão RT1A + CDR TM</v>
      </c>
      <c r="F118" s="2079" t="str">
        <f t="shared" si="101"/>
        <v>Biodigestão RT1B + CDR TM</v>
      </c>
      <c r="G118" s="2079" t="str">
        <f t="shared" si="101"/>
        <v>Biodigestão RT1C + CDR TM</v>
      </c>
      <c r="H118" s="2079" t="str">
        <f t="shared" si="101"/>
        <v>Compostagem + CDR TM</v>
      </c>
      <c r="I118" s="2079" t="str">
        <f t="shared" si="101"/>
        <v xml:space="preserve">Biosecagem + CDR TMB </v>
      </c>
      <c r="J118" s="2079" t="str">
        <f t="shared" si="101"/>
        <v>Incineração Mass Burning</v>
      </c>
      <c r="K118" s="2079" t="str">
        <f t="shared" si="101"/>
        <v>Incineração Mass Burn. Descentralizada</v>
      </c>
      <c r="L118" s="2065"/>
      <c r="M118" s="2433"/>
      <c r="N118" s="2583" t="s">
        <v>1445</v>
      </c>
      <c r="O118" s="2591"/>
      <c r="P118" s="2589"/>
      <c r="Q118" s="2584">
        <f>Q115*'CO2 - Destinação'!$E$52</f>
        <v>0</v>
      </c>
      <c r="R118" s="2584">
        <f>R115*'CO2 - Destinação'!$G$52</f>
        <v>0</v>
      </c>
      <c r="S118" s="2584">
        <f>S115*'CO2 - Destinação'!$H$52</f>
        <v>47.813570793498656</v>
      </c>
      <c r="T118" s="2584">
        <f>T115*'CO2 - Destinação'!$I$52</f>
        <v>47.813570793498656</v>
      </c>
      <c r="U118" s="2584">
        <f>U115*'CO2 - Destinação'!$J$52</f>
        <v>0</v>
      </c>
      <c r="V118" s="2584">
        <f>V115*'CO2 - Destinação'!$K$52</f>
        <v>0</v>
      </c>
      <c r="W118" s="2584">
        <f>W115*'CO2 - Destinação'!$K$52</f>
        <v>0</v>
      </c>
      <c r="X118" s="2584">
        <f>X115*'CO2 - Destinação'!$M$52</f>
        <v>0</v>
      </c>
      <c r="Y118" s="2490" t="s">
        <v>1400</v>
      </c>
      <c r="Z118" s="2064"/>
      <c r="AA118" s="2435"/>
      <c r="AB118" s="2030"/>
      <c r="AC118" s="2572"/>
      <c r="AD118" s="1845"/>
      <c r="AE118" s="1845"/>
      <c r="AF118" s="1845"/>
      <c r="AG118" s="1845"/>
      <c r="AH118" s="1845"/>
      <c r="AI118" s="1845"/>
      <c r="AJ118" s="1845"/>
      <c r="AK118" s="1845"/>
    </row>
    <row r="119" spans="1:37" ht="18" customHeight="1" x14ac:dyDescent="0.2">
      <c r="A119" s="2065"/>
      <c r="B119" s="2551" t="s">
        <v>1446</v>
      </c>
      <c r="C119" s="2474"/>
      <c r="D119" s="2476">
        <f t="shared" ref="D119:K119" si="102">+D102*$C$11+D103*$C$12+D104*$C$13+D105*$C$14+D106*$C$15+D107*$C$16+D108*$C$17+D109*$C$18+D110*$C$19+D111*$C$20+D112*$C$21+D113*$C$22+D114*$C$23</f>
        <v>0.2673233774286895</v>
      </c>
      <c r="E119" s="2476">
        <f t="shared" si="102"/>
        <v>0.26011406397538944</v>
      </c>
      <c r="F119" s="2476">
        <f t="shared" si="102"/>
        <v>0.26011406397538944</v>
      </c>
      <c r="G119" s="2476">
        <f t="shared" si="102"/>
        <v>0.26011406397538944</v>
      </c>
      <c r="H119" s="2476">
        <f t="shared" si="102"/>
        <v>0.26011406397538944</v>
      </c>
      <c r="I119" s="2476">
        <f t="shared" si="102"/>
        <v>0.26011406397538944</v>
      </c>
      <c r="J119" s="2476">
        <f t="shared" si="102"/>
        <v>0.26011406397538944</v>
      </c>
      <c r="K119" s="2476">
        <f t="shared" si="102"/>
        <v>0.26011406397538944</v>
      </c>
      <c r="L119" s="2064" t="s">
        <v>1303</v>
      </c>
      <c r="M119" s="2433"/>
      <c r="N119" s="2583" t="s">
        <v>1407</v>
      </c>
      <c r="O119" s="2591"/>
      <c r="P119" s="2589"/>
      <c r="Q119" s="2584">
        <f t="shared" ref="Q119:X119" si="103">+Q117*Q116*10*$R$12</f>
        <v>0</v>
      </c>
      <c r="R119" s="2584">
        <f t="shared" si="103"/>
        <v>86.064427428297577</v>
      </c>
      <c r="S119" s="2584">
        <f t="shared" si="103"/>
        <v>0</v>
      </c>
      <c r="T119" s="2584">
        <f t="shared" si="103"/>
        <v>0</v>
      </c>
      <c r="U119" s="2584">
        <f t="shared" si="103"/>
        <v>0</v>
      </c>
      <c r="V119" s="2584">
        <f t="shared" si="103"/>
        <v>0</v>
      </c>
      <c r="W119" s="2584">
        <f t="shared" si="103"/>
        <v>0</v>
      </c>
      <c r="X119" s="2584">
        <f t="shared" si="103"/>
        <v>0</v>
      </c>
      <c r="Y119" s="2490" t="s">
        <v>1390</v>
      </c>
      <c r="Z119" s="2064"/>
      <c r="AA119" s="2435"/>
      <c r="AB119" s="2030"/>
      <c r="AC119" s="2572"/>
      <c r="AD119" s="1845"/>
      <c r="AE119" s="1845"/>
      <c r="AF119" s="1845"/>
      <c r="AG119" s="1845"/>
      <c r="AH119" s="1845"/>
      <c r="AI119" s="1845"/>
      <c r="AJ119" s="1845"/>
      <c r="AK119" s="1845"/>
    </row>
    <row r="120" spans="1:37" ht="18" customHeight="1" x14ac:dyDescent="0.2">
      <c r="A120" s="2065"/>
      <c r="B120" s="2551" t="s">
        <v>1447</v>
      </c>
      <c r="C120" s="2474"/>
      <c r="D120" s="2601">
        <f t="shared" ref="D120:K120" si="104">+D102*$C$11*$D$11+D103*$C$12*$D$12+D104*$C$13*$D$13+D105*$C$14*$D$14+D106*$C$15*$D$15+D107*$C$16*$D$16+D108*$C$17*$D$17+D109*$C$18*$D$18+D110*$C$19*$D$19+D111*$C$20*$D$20+D112*$C$21*$D$21+D113*$C$22*$D$22+D114*$C$23*$D$23</f>
        <v>0.10246513642000825</v>
      </c>
      <c r="E120" s="2601">
        <f t="shared" si="104"/>
        <v>9.661471714229472E-2</v>
      </c>
      <c r="F120" s="2601">
        <f t="shared" si="104"/>
        <v>9.661471714229472E-2</v>
      </c>
      <c r="G120" s="2601">
        <f t="shared" si="104"/>
        <v>9.661471714229472E-2</v>
      </c>
      <c r="H120" s="2601">
        <f t="shared" si="104"/>
        <v>9.661471714229472E-2</v>
      </c>
      <c r="I120" s="2601">
        <f t="shared" si="104"/>
        <v>9.661471714229472E-2</v>
      </c>
      <c r="J120" s="2601">
        <f t="shared" si="104"/>
        <v>9.661471714229472E-2</v>
      </c>
      <c r="K120" s="2601">
        <f t="shared" si="104"/>
        <v>9.661471714229472E-2</v>
      </c>
      <c r="L120" s="2064" t="s">
        <v>1303</v>
      </c>
      <c r="M120" s="2433"/>
      <c r="N120" s="2583" t="s">
        <v>1219</v>
      </c>
      <c r="O120" s="2591"/>
      <c r="P120" s="2589"/>
      <c r="Q120" s="2584">
        <f>Q118*Q116*10</f>
        <v>0</v>
      </c>
      <c r="R120" s="2584">
        <f t="shared" ref="R120:X120" si="105">R118*R116*10</f>
        <v>0</v>
      </c>
      <c r="S120" s="2584">
        <f t="shared" si="105"/>
        <v>286.88142476099193</v>
      </c>
      <c r="T120" s="2584">
        <f t="shared" si="105"/>
        <v>286.88142476099193</v>
      </c>
      <c r="U120" s="2584">
        <f t="shared" si="105"/>
        <v>0</v>
      </c>
      <c r="V120" s="2584">
        <f t="shared" si="105"/>
        <v>0</v>
      </c>
      <c r="W120" s="2584">
        <f t="shared" si="105"/>
        <v>0</v>
      </c>
      <c r="X120" s="2584">
        <f t="shared" si="105"/>
        <v>0</v>
      </c>
      <c r="Y120" s="2490" t="s">
        <v>1390</v>
      </c>
      <c r="Z120" s="2064"/>
      <c r="AA120" s="2435"/>
      <c r="AB120" s="2030"/>
      <c r="AC120" s="2572"/>
      <c r="AD120" s="1845"/>
      <c r="AE120" s="1845"/>
      <c r="AF120" s="1845"/>
      <c r="AG120" s="1845"/>
      <c r="AH120" s="1845"/>
      <c r="AI120" s="1845"/>
      <c r="AJ120" s="1845"/>
      <c r="AK120" s="1845"/>
    </row>
    <row r="121" spans="1:37" ht="18" customHeight="1" x14ac:dyDescent="0.2">
      <c r="A121" s="2065"/>
      <c r="B121" s="2551" t="s">
        <v>1448</v>
      </c>
      <c r="C121" s="2474"/>
      <c r="D121" s="2467">
        <f t="shared" ref="D121:K121" si="106">+D119-D120</f>
        <v>0.16485824100868124</v>
      </c>
      <c r="E121" s="2467">
        <f t="shared" si="106"/>
        <v>0.16349934683309472</v>
      </c>
      <c r="F121" s="2467">
        <f t="shared" si="106"/>
        <v>0.16349934683309472</v>
      </c>
      <c r="G121" s="2467">
        <f t="shared" si="106"/>
        <v>0.16349934683309472</v>
      </c>
      <c r="H121" s="2467">
        <f t="shared" si="106"/>
        <v>0.16349934683309472</v>
      </c>
      <c r="I121" s="2467">
        <f t="shared" si="106"/>
        <v>0.16349934683309472</v>
      </c>
      <c r="J121" s="2467">
        <f t="shared" si="106"/>
        <v>0.16349934683309472</v>
      </c>
      <c r="K121" s="2467">
        <f t="shared" si="106"/>
        <v>0.16349934683309472</v>
      </c>
      <c r="L121" s="2064" t="s">
        <v>1303</v>
      </c>
      <c r="M121" s="2433"/>
      <c r="N121" s="2583" t="s">
        <v>1408</v>
      </c>
      <c r="O121" s="2591"/>
      <c r="P121" s="2589"/>
      <c r="Q121" s="2586">
        <f>$D$173*(0.82*28+0.045*265)</f>
        <v>24.260866267052492</v>
      </c>
      <c r="R121" s="2586">
        <f>$E$173*(0.82*28+0.045*265)</f>
        <v>24.720741222875077</v>
      </c>
      <c r="S121" s="2586">
        <f>$G$173*(0.82*28+0.045*265)</f>
        <v>24.720741222875077</v>
      </c>
      <c r="T121" s="2586">
        <f>$G$173*(0.82*28+0.045*265)</f>
        <v>24.720741222875077</v>
      </c>
      <c r="U121" s="2586">
        <f>$H$173*(0.82*28+0.045*265)</f>
        <v>24.720741222875077</v>
      </c>
      <c r="V121" s="2586">
        <f>$I$173*(0.82*28+0.045*265)</f>
        <v>24.720741222875077</v>
      </c>
      <c r="W121" s="2586">
        <f>$I$173*(0.82*28+0.045*265)</f>
        <v>24.720741222875077</v>
      </c>
      <c r="X121" s="2586">
        <f>$I$173*(0.82*28+0.045*265)</f>
        <v>24.720741222875077</v>
      </c>
      <c r="Y121" s="2490" t="s">
        <v>1321</v>
      </c>
      <c r="Z121" s="2064"/>
      <c r="AA121" s="2435"/>
      <c r="AB121" s="2030"/>
      <c r="AC121" s="2572"/>
      <c r="AD121" s="1845"/>
      <c r="AE121" s="1845"/>
      <c r="AF121" s="1845"/>
      <c r="AG121" s="1845"/>
      <c r="AH121" s="1845"/>
      <c r="AI121" s="1845"/>
      <c r="AJ121" s="1845"/>
      <c r="AK121" s="1845"/>
    </row>
    <row r="122" spans="1:37" ht="18" customHeight="1" x14ac:dyDescent="0.2">
      <c r="A122" s="2065"/>
      <c r="B122" s="2065"/>
      <c r="C122" s="2065"/>
      <c r="D122" s="2497"/>
      <c r="E122" s="2497"/>
      <c r="F122" s="2497"/>
      <c r="G122" s="2497"/>
      <c r="H122" s="2497"/>
      <c r="I122" s="2497"/>
      <c r="J122" s="2497"/>
      <c r="K122" s="2497"/>
      <c r="L122" s="2065"/>
      <c r="M122" s="2433"/>
      <c r="N122" s="2583" t="s">
        <v>1409</v>
      </c>
      <c r="O122" s="2591"/>
      <c r="P122" s="2589"/>
      <c r="Q122" s="2584">
        <f>$D$173*100</f>
        <v>69.545266639107055</v>
      </c>
      <c r="R122" s="2584">
        <f>$E$173*100</f>
        <v>70.863526509603204</v>
      </c>
      <c r="S122" s="2584">
        <f>$G$173*100</f>
        <v>70.863526509603204</v>
      </c>
      <c r="T122" s="2584">
        <f>$G$173*100</f>
        <v>70.863526509603204</v>
      </c>
      <c r="U122" s="2584">
        <f>$H$173*100</f>
        <v>70.863526509603204</v>
      </c>
      <c r="V122" s="2584">
        <f>$I$173*100</f>
        <v>70.863526509603204</v>
      </c>
      <c r="W122" s="2584">
        <f>$I$173*100</f>
        <v>70.863526509603204</v>
      </c>
      <c r="X122" s="2584">
        <f>$I$173*100</f>
        <v>70.863526509603204</v>
      </c>
      <c r="Y122" s="2490" t="s">
        <v>1390</v>
      </c>
      <c r="Z122" s="2064"/>
      <c r="AA122" s="2435"/>
      <c r="AB122" s="2030"/>
      <c r="AC122" s="2572"/>
      <c r="AD122" s="1845"/>
      <c r="AE122" s="1845"/>
      <c r="AF122" s="1845"/>
      <c r="AG122" s="1845"/>
      <c r="AH122" s="1845"/>
      <c r="AI122" s="1845"/>
      <c r="AJ122" s="1845"/>
      <c r="AK122" s="1845"/>
    </row>
    <row r="123" spans="1:37" ht="18" customHeight="1" x14ac:dyDescent="0.2">
      <c r="A123" s="2984" t="s">
        <v>1449</v>
      </c>
      <c r="B123" s="2985"/>
      <c r="C123" s="2986"/>
      <c r="D123" s="2079" t="str">
        <f t="shared" ref="D123:K123" si="107">+D72</f>
        <v>Cenário-Base</v>
      </c>
      <c r="E123" s="2079" t="str">
        <f t="shared" si="107"/>
        <v>Biodigestão RT1A + CDR TM</v>
      </c>
      <c r="F123" s="2079" t="str">
        <f t="shared" si="107"/>
        <v>Biodigestão RT1B + CDR TM</v>
      </c>
      <c r="G123" s="2079" t="str">
        <f t="shared" si="107"/>
        <v>Biodigestão RT1C + CDR TM</v>
      </c>
      <c r="H123" s="2079" t="str">
        <f t="shared" si="107"/>
        <v>Compostagem + CDR TM</v>
      </c>
      <c r="I123" s="2079" t="str">
        <f t="shared" si="107"/>
        <v xml:space="preserve">Biosecagem + CDR TMB </v>
      </c>
      <c r="J123" s="2079" t="str">
        <f t="shared" si="107"/>
        <v>Incineração Mass Burning</v>
      </c>
      <c r="K123" s="2079" t="str">
        <f t="shared" si="107"/>
        <v>Incineração Mass Burn. Descentralizada</v>
      </c>
      <c r="L123" s="2065"/>
      <c r="M123" s="2433"/>
      <c r="N123" s="2583" t="s">
        <v>1410</v>
      </c>
      <c r="O123" s="2591"/>
      <c r="P123" s="2589"/>
      <c r="Q123" s="2584">
        <f>Q122*$C$3/1000</f>
        <v>5.2784857379082259</v>
      </c>
      <c r="R123" s="2584">
        <f t="shared" ref="R123:X123" si="108">R122*$C$3/1000</f>
        <v>5.3785416620788835</v>
      </c>
      <c r="S123" s="2584">
        <f t="shared" si="108"/>
        <v>5.3785416620788835</v>
      </c>
      <c r="T123" s="2584">
        <f t="shared" si="108"/>
        <v>5.3785416620788835</v>
      </c>
      <c r="U123" s="2584">
        <f t="shared" si="108"/>
        <v>5.3785416620788835</v>
      </c>
      <c r="V123" s="2584">
        <f t="shared" si="108"/>
        <v>5.3785416620788835</v>
      </c>
      <c r="W123" s="2584">
        <f t="shared" si="108"/>
        <v>5.3785416620788835</v>
      </c>
      <c r="X123" s="2584">
        <f t="shared" si="108"/>
        <v>5.3785416620788835</v>
      </c>
      <c r="Y123" s="2490" t="s">
        <v>1321</v>
      </c>
      <c r="Z123" s="2064"/>
      <c r="AA123" s="2435"/>
      <c r="AB123" s="2030"/>
      <c r="AC123" s="2572"/>
      <c r="AD123" s="1845"/>
      <c r="AE123" s="1845"/>
      <c r="AF123" s="1845"/>
      <c r="AG123" s="1845"/>
      <c r="AH123" s="1845"/>
      <c r="AI123" s="1845"/>
      <c r="AJ123" s="1845"/>
      <c r="AK123" s="1845"/>
    </row>
    <row r="124" spans="1:37" ht="18" customHeight="1" x14ac:dyDescent="0.2">
      <c r="A124" s="2602"/>
      <c r="B124" s="2603" t="s">
        <v>1450</v>
      </c>
      <c r="C124" s="2474"/>
      <c r="D124" s="2604">
        <f>+((D102+D103)*$C$29+D104*$C$31+D105*$C$32+D106*$C$33+(D107+D108)*$C$34+(D109+D110+D111)*$C$35+D112*$C$36+D113*$C$37+D114*$C$38)*'CO2 - Início'!$E$55</f>
        <v>0</v>
      </c>
      <c r="E124" s="2484">
        <f>+((E102+E103)*$C$29+E104*$C$31+E105*$C$32+E106*$C$33+(E107+E108)*$C$34+(E109+E110+E111)*$C$35+E112*$C$36+E113*$C$37+E114*$C$38)*'CO2 - Início'!$E$55</f>
        <v>0</v>
      </c>
      <c r="F124" s="2484">
        <f>+((F102+F103)*$C$29+F104*$C$31+F105*$C$32+F106*$C$33+(F107+F108)*$C$34+(F109+F110+F111)*$C$35+F112*$C$36+F113*$C$37+F114*$C$38)*'CO2 - Início'!$E$55</f>
        <v>0</v>
      </c>
      <c r="G124" s="2484">
        <f>+((G102+G103)*$C$29+G104*$C$31+G105*$C$32+G106*$C$33+(G107+G108)*$C$34+(G109+G110+G111)*$C$35+G112*$C$36+G113*$C$37+G114*$C$38)*'CO2 - Início'!$E$55</f>
        <v>0</v>
      </c>
      <c r="H124" s="2484">
        <f>+((H102+H103)*$C$29+H104*$C$31+H105*$C$32+H106*$C$33+(H107+H108)*$C$34+(H109+H110+H111)*$C$35+H112*$C$36+H113*$C$37+H114*$C$38)*'CO2 - Início'!$E$55</f>
        <v>0</v>
      </c>
      <c r="I124" s="2484">
        <f>+((I102+I103)*$C$29+I104*$C$31+I105*$C$32+I106*$C$33+(I107+I108)*$C$34+(I109+I110+I111)*$C$35+I112*$C$36+I113*$C$37+I114*$C$38)*'CO2 - Início'!$E$55</f>
        <v>0</v>
      </c>
      <c r="J124" s="2484">
        <f>+((J102+J103)*$C$29+J104*$C$31+J105*$C$32+J106*$C$33+(J107+J108)*$C$34+(J109+J110+J111)*$C$35+J112*$C$36+J113*$C$37+J114*$C$38)*'CO2 - Início'!$E$55</f>
        <v>0</v>
      </c>
      <c r="K124" s="2484">
        <f>+((K102+K103)*$C$29+K104*$C$31+K105*$C$32+K106*$C$33+(K107+K108)*$C$34+(K109+K110+K111)*$C$35+K112*$C$36+K113*$C$37+K114*$C$38)*'CO2 - Início'!$E$55</f>
        <v>0</v>
      </c>
      <c r="L124" s="2064" t="s">
        <v>1395</v>
      </c>
      <c r="M124" s="2433"/>
      <c r="N124" s="2583" t="s">
        <v>1411</v>
      </c>
      <c r="O124" s="2591"/>
      <c r="P124" s="2589"/>
      <c r="Q124" s="2584">
        <f>Q121+Q123</f>
        <v>29.539352004960719</v>
      </c>
      <c r="R124" s="2584">
        <f t="shared" ref="R124:X124" si="109">R121+R123</f>
        <v>30.099282884953961</v>
      </c>
      <c r="S124" s="2584">
        <f t="shared" si="109"/>
        <v>30.099282884953961</v>
      </c>
      <c r="T124" s="2584">
        <f t="shared" si="109"/>
        <v>30.099282884953961</v>
      </c>
      <c r="U124" s="2584">
        <f t="shared" si="109"/>
        <v>30.099282884953961</v>
      </c>
      <c r="V124" s="2584">
        <f t="shared" si="109"/>
        <v>30.099282884953961</v>
      </c>
      <c r="W124" s="2584">
        <f t="shared" si="109"/>
        <v>30.099282884953961</v>
      </c>
      <c r="X124" s="2584">
        <f t="shared" si="109"/>
        <v>30.099282884953961</v>
      </c>
      <c r="Y124" s="2490" t="s">
        <v>1321</v>
      </c>
      <c r="Z124" s="2064"/>
      <c r="AA124" s="2435"/>
      <c r="AB124" s="2030"/>
      <c r="AC124" s="2572"/>
      <c r="AD124" s="1845"/>
      <c r="AE124" s="1845"/>
      <c r="AF124" s="1845"/>
      <c r="AG124" s="1845"/>
      <c r="AH124" s="1845"/>
      <c r="AI124" s="1845"/>
      <c r="AJ124" s="1845"/>
      <c r="AK124" s="1845"/>
    </row>
    <row r="125" spans="1:37" ht="18" customHeight="1" x14ac:dyDescent="0.2">
      <c r="A125" s="2602"/>
      <c r="B125" s="2603" t="s">
        <v>1451</v>
      </c>
      <c r="C125" s="2474"/>
      <c r="D125" s="2604">
        <f>+((D102+D103)*$C$30+D104*$C$31+D105*$C$32+D106*$C$33+(D107+D108)*$C$34+(D109+D110+D111)*$C$35+D112*$C$36+D113*$C$37+D114*$C$39)*'CO2 - Início'!$E$56</f>
        <v>8.291091360066142</v>
      </c>
      <c r="E125" s="2484">
        <f>+((E102+E103)*$C$30+E104*$C$31+E105*$C$32+E106*$C$33+(E107+E108)*$C$34+(E109+E110+E111)*$C$35+E112*$C$36+E113*$C$37+E114*$C$39)*'CO2 - Início'!$E$56</f>
        <v>7.9645539506654801</v>
      </c>
      <c r="F125" s="2484">
        <f>+((F102+F103)*$C$30+F104*$C$31+F105*$C$32+F106*$C$33+(F107+F108)*$C$34+(F109+F110+F111)*$C$35+F112*$C$36+F113*$C$37+F114*$C$39)*'CO2 - Início'!$E$56</f>
        <v>7.9645539506654801</v>
      </c>
      <c r="G125" s="2484">
        <f>+((G102+G103)*$C$30+G104*$C$31+G105*$C$32+G106*$C$33+(G107+G108)*$C$34+(G109+G110+G111)*$C$35+G112*$C$36+G113*$C$37+G114*$C$39)*'CO2 - Início'!$E$56</f>
        <v>7.9645539506654801</v>
      </c>
      <c r="H125" s="2484">
        <f>+((H102+H103)*$C$30+H104*$C$31+H105*$C$32+H106*$C$33+(H107+H108)*$C$34+(H109+H110+H111)*$C$35+H112*$C$36+H113*$C$37+H114*$C$39)*'CO2 - Início'!$E$56</f>
        <v>7.9645539506654801</v>
      </c>
      <c r="I125" s="2484">
        <f>+((I102+I103)*$C$30+I104*$C$31+I105*$C$32+I106*$C$33+(I107+I108)*$C$34+(I109+I110+I111)*$C$35+I112*$C$36+I113*$C$37+I114*$C$39)*'CO2 - Início'!$E$56</f>
        <v>7.9645539506654801</v>
      </c>
      <c r="J125" s="2484">
        <f>+((J102+J103)*$C$30+J104*$C$31+J105*$C$32+J106*$C$33+(J107+J108)*$C$34+(J109+J110+J111)*$C$35+J112*$C$36+J113*$C$37+J114*$C$39)*'CO2 - Início'!$E$56</f>
        <v>7.9645539506654801</v>
      </c>
      <c r="K125" s="2484">
        <f>+((K102+K103)*$C$30+K104*$C$31+K105*$C$32+K106*$C$33+(K107+K108)*$C$34+(K109+K110+K111)*$C$35+K112*$C$36+K113*$C$37+K114*$C$39)*'CO2 - Início'!$E$56</f>
        <v>7.9645539506654801</v>
      </c>
      <c r="L125" s="2064" t="s">
        <v>1395</v>
      </c>
      <c r="M125" s="2433"/>
      <c r="N125" s="2587" t="s">
        <v>1452</v>
      </c>
      <c r="O125" s="2591"/>
      <c r="P125" s="2589"/>
      <c r="Q125" s="2605"/>
      <c r="R125" s="2590"/>
      <c r="S125" s="2590"/>
      <c r="T125" s="2590"/>
      <c r="U125" s="2590"/>
      <c r="V125" s="2590"/>
      <c r="W125" s="2590"/>
      <c r="X125" s="2590"/>
      <c r="Y125" s="2490"/>
      <c r="Z125" s="2065"/>
      <c r="AA125" s="2435"/>
      <c r="AB125" s="2030"/>
      <c r="AC125" s="2572"/>
      <c r="AD125" s="1845"/>
      <c r="AE125" s="1845"/>
      <c r="AF125" s="1845"/>
      <c r="AG125" s="1845"/>
      <c r="AH125" s="1845"/>
      <c r="AI125" s="1845"/>
      <c r="AJ125" s="1845"/>
      <c r="AK125" s="1845"/>
    </row>
    <row r="126" spans="1:37" ht="18" customHeight="1" x14ac:dyDescent="0.2">
      <c r="A126" s="2065"/>
      <c r="B126" s="2065"/>
      <c r="C126" s="2065"/>
      <c r="D126" s="2065"/>
      <c r="E126" s="2065"/>
      <c r="F126" s="2065"/>
      <c r="G126" s="2065"/>
      <c r="H126" s="2065"/>
      <c r="I126" s="2065"/>
      <c r="J126" s="2065"/>
      <c r="K126" s="2065"/>
      <c r="L126" s="2065"/>
      <c r="M126" s="2433"/>
      <c r="N126" s="2583" t="s">
        <v>1415</v>
      </c>
      <c r="O126" s="2581"/>
      <c r="P126" s="2582"/>
      <c r="Q126" s="2606">
        <f>$D$179*0.7</f>
        <v>6.9843567941298049E-2</v>
      </c>
      <c r="R126" s="2606">
        <f>$E$179*0.7</f>
        <v>7.224063276511547E-2</v>
      </c>
      <c r="S126" s="2606">
        <f>$G$179*0.7</f>
        <v>7.224063276511547E-2</v>
      </c>
      <c r="T126" s="2606">
        <f>$G$179*0.7</f>
        <v>7.224063276511547E-2</v>
      </c>
      <c r="U126" s="2606">
        <f>$H$179*0.7</f>
        <v>7.224063276511547E-2</v>
      </c>
      <c r="V126" s="2606">
        <f>$I$179*0.7</f>
        <v>7.224063276511547E-2</v>
      </c>
      <c r="W126" s="2606">
        <f>$I$179*0.7</f>
        <v>7.224063276511547E-2</v>
      </c>
      <c r="X126" s="2606">
        <f>$I$179*0.7</f>
        <v>7.224063276511547E-2</v>
      </c>
      <c r="Y126" s="2556" t="s">
        <v>1453</v>
      </c>
      <c r="Z126" s="2065" t="s">
        <v>1413</v>
      </c>
      <c r="AA126" s="2435"/>
      <c r="AB126" s="2030"/>
      <c r="AC126" s="2572"/>
      <c r="AD126" s="1845"/>
      <c r="AE126" s="1845"/>
      <c r="AF126" s="1845"/>
      <c r="AG126" s="1845"/>
      <c r="AH126" s="1845"/>
      <c r="AI126" s="1845"/>
      <c r="AJ126" s="1845"/>
      <c r="AK126" s="1845"/>
    </row>
    <row r="127" spans="1:37" ht="18" customHeight="1" x14ac:dyDescent="0.2">
      <c r="A127" s="2065"/>
      <c r="B127" s="2065"/>
      <c r="C127" s="2065"/>
      <c r="D127" s="2065"/>
      <c r="E127" s="2065"/>
      <c r="F127" s="2065"/>
      <c r="G127" s="2065"/>
      <c r="H127" s="2065"/>
      <c r="I127" s="2065"/>
      <c r="J127" s="2065"/>
      <c r="K127" s="2065"/>
      <c r="L127" s="2065"/>
      <c r="M127" s="2433"/>
      <c r="N127" s="2583" t="s">
        <v>1454</v>
      </c>
      <c r="O127" s="2581"/>
      <c r="P127" s="2582"/>
      <c r="Q127" s="2607">
        <f t="shared" ref="Q127:X127" si="110">Q126*0.3*1868</f>
        <v>39.14033547430342</v>
      </c>
      <c r="R127" s="2607">
        <f t="shared" si="110"/>
        <v>40.483650601570709</v>
      </c>
      <c r="S127" s="2607">
        <f t="shared" si="110"/>
        <v>40.483650601570709</v>
      </c>
      <c r="T127" s="2607">
        <f t="shared" si="110"/>
        <v>40.483650601570709</v>
      </c>
      <c r="U127" s="2607">
        <f t="shared" si="110"/>
        <v>40.483650601570709</v>
      </c>
      <c r="V127" s="2607">
        <f t="shared" si="110"/>
        <v>40.483650601570709</v>
      </c>
      <c r="W127" s="2607">
        <f t="shared" si="110"/>
        <v>40.483650601570709</v>
      </c>
      <c r="X127" s="2607">
        <f t="shared" si="110"/>
        <v>40.483650601570709</v>
      </c>
      <c r="Y127" s="2556" t="s">
        <v>1455</v>
      </c>
      <c r="Z127" s="2065" t="s">
        <v>1413</v>
      </c>
      <c r="AA127" s="2435"/>
      <c r="AB127" s="2030"/>
      <c r="AC127" s="2572"/>
      <c r="AD127" s="1845"/>
      <c r="AE127" s="1845"/>
      <c r="AF127" s="1845"/>
      <c r="AG127" s="1845"/>
      <c r="AH127" s="1845"/>
      <c r="AI127" s="1845"/>
      <c r="AJ127" s="1845"/>
      <c r="AK127" s="1845"/>
    </row>
    <row r="128" spans="1:37" ht="18" customHeight="1" x14ac:dyDescent="0.2">
      <c r="A128" s="1989" t="s">
        <v>1456</v>
      </c>
      <c r="B128" s="2199"/>
      <c r="C128" s="2065"/>
      <c r="D128" s="2065"/>
      <c r="E128" s="2065"/>
      <c r="F128" s="2065"/>
      <c r="G128" s="2065"/>
      <c r="H128" s="2065"/>
      <c r="I128" s="2065"/>
      <c r="J128" s="2065"/>
      <c r="K128" s="2065"/>
      <c r="L128" s="2497"/>
      <c r="M128" s="2433"/>
      <c r="N128" s="2583" t="s">
        <v>1457</v>
      </c>
      <c r="O128" s="2581"/>
      <c r="P128" s="2582"/>
      <c r="Q128" s="2607">
        <f>Q127*'CO2 - Destinação'!$E$28</f>
        <v>8.8065754817182693</v>
      </c>
      <c r="R128" s="2607">
        <f>R127*'CO2 - Destinação'!$G$28</f>
        <v>9.1088213853534103</v>
      </c>
      <c r="S128" s="2607">
        <f>S127*'CO2 - Destinação'!$H$28</f>
        <v>9.1088213853534103</v>
      </c>
      <c r="T128" s="2607">
        <f>T127*'CO2 - Destinação'!$I$28</f>
        <v>9.1088213853534103</v>
      </c>
      <c r="U128" s="2607">
        <f>U127*'CO2 - Destinação'!$J$28</f>
        <v>9.1088213853534103</v>
      </c>
      <c r="V128" s="2607">
        <f>V127*'CO2 - Destinação'!$K$28</f>
        <v>9.1088213853534103</v>
      </c>
      <c r="W128" s="2607">
        <f>W127*'CO2 - Destinação'!$K$28</f>
        <v>9.1088213853534103</v>
      </c>
      <c r="X128" s="2607">
        <f>X127*'CO2 - Destinação'!$M$28</f>
        <v>9.1088213853534103</v>
      </c>
      <c r="Y128" s="2556" t="s">
        <v>1400</v>
      </c>
      <c r="Z128" s="2065" t="s">
        <v>1413</v>
      </c>
      <c r="AA128" s="2435"/>
      <c r="AB128" s="2030"/>
      <c r="AC128" s="2572"/>
      <c r="AD128" s="1845"/>
      <c r="AE128" s="1845"/>
      <c r="AF128" s="1845"/>
      <c r="AG128" s="1845"/>
      <c r="AH128" s="1845"/>
      <c r="AI128" s="1845"/>
      <c r="AJ128" s="1845"/>
      <c r="AK128" s="1845"/>
    </row>
    <row r="129" spans="1:37" ht="18" customHeight="1" x14ac:dyDescent="0.2">
      <c r="A129" s="2065"/>
      <c r="B129" s="2065"/>
      <c r="C129" s="2065"/>
      <c r="D129" s="2065"/>
      <c r="E129" s="2065"/>
      <c r="F129" s="2065"/>
      <c r="G129" s="2065"/>
      <c r="H129" s="2065"/>
      <c r="I129" s="2065"/>
      <c r="J129" s="2065"/>
      <c r="K129" s="2065"/>
      <c r="L129" s="2497"/>
      <c r="M129" s="2433"/>
      <c r="N129" s="2583" t="s">
        <v>1458</v>
      </c>
      <c r="O129" s="2581"/>
      <c r="P129" s="2582"/>
      <c r="Q129" s="2607">
        <f>(Q128*'CO2 - Destinação'!$E$32+Q127*(1-'CO2 - Destinação'!$E$28)*(1-'CO2 - Destinação'!$E$40))*$Q$26*16/22.4*28</f>
        <v>300.30422392659307</v>
      </c>
      <c r="R129" s="2607">
        <f>(R128*'CO2 - Destinação'!$G$32+R127*(1-'CO2 - Destinação'!$G$28)*(1-'CO2 - Destinação'!$G$40))*$R$26*16/22.4*28</f>
        <v>310.61080924055136</v>
      </c>
      <c r="S129" s="2607">
        <f>(S128*'CO2 - Destinação'!$H$32+S127*(1-'CO2 - Destinação'!$H$28)*(1-'CO2 - Destinação'!$H$40))*$R$26*16/22.4*28</f>
        <v>310.61080924055136</v>
      </c>
      <c r="T129" s="2607">
        <f>(T128*'CO2 - Destinação'!$I$32+T127*(1-'CO2 - Destinação'!$I$28)*(1-'CO2 - Destinação'!$I$40))*$R$26*16/22.4*28</f>
        <v>310.61080924055136</v>
      </c>
      <c r="U129" s="2607">
        <f>(U128*'CO2 - Destinação'!$J$32+U127*(1-'CO2 - Destinação'!$J$28)*(1-'CO2 - Destinação'!$J$40))*$U$26*16/22.4*28</f>
        <v>310.61080924055136</v>
      </c>
      <c r="V129" s="2607">
        <f>(V128*'CO2 - Destinação'!$K$32+V127*(1-'CO2 - Destinação'!$K$28)*(1-'CO2 - Destinação'!$K$40))*$V$26*16/22.4*28</f>
        <v>310.61080924055136</v>
      </c>
      <c r="W129" s="2607">
        <f>(W128*'CO2 - Destinação'!$K$32+W127*(1-'CO2 - Destinação'!$K$28)*(1-'CO2 - Destinação'!$K$40))*$V$26*16/22.4*28</f>
        <v>310.61080924055136</v>
      </c>
      <c r="X129" s="2607">
        <f>(X128*'CO2 - Destinação'!$M$32+X127*(1-'CO2 - Destinação'!$M$28)*(1-'CO2 - Destinação'!$M$40))*$V$26*16/22.4*28</f>
        <v>310.61080924055136</v>
      </c>
      <c r="Y129" s="2556" t="s">
        <v>1321</v>
      </c>
      <c r="Z129" s="2065" t="s">
        <v>1413</v>
      </c>
      <c r="AA129" s="2435"/>
      <c r="AB129" s="2030"/>
      <c r="AC129" s="2572"/>
      <c r="AD129" s="1845"/>
      <c r="AE129" s="1845"/>
      <c r="AF129" s="1845"/>
      <c r="AG129" s="1845"/>
      <c r="AH129" s="1845"/>
      <c r="AI129" s="1845"/>
      <c r="AJ129" s="1845"/>
      <c r="AK129" s="1845"/>
    </row>
    <row r="130" spans="1:37" ht="18" customHeight="1" x14ac:dyDescent="0.2">
      <c r="A130" s="2065"/>
      <c r="B130" s="2531" t="s">
        <v>1432</v>
      </c>
      <c r="C130" s="2506" t="s">
        <v>1459</v>
      </c>
      <c r="D130" s="2079" t="str">
        <f t="shared" ref="D130:K130" si="111">+D101</f>
        <v>Cenário-Base</v>
      </c>
      <c r="E130" s="2079" t="str">
        <f t="shared" si="111"/>
        <v>Biodigestão RT1A + CDR TM</v>
      </c>
      <c r="F130" s="2079" t="str">
        <f t="shared" si="111"/>
        <v>Biodigestão RT1B + CDR TM</v>
      </c>
      <c r="G130" s="2079" t="str">
        <f t="shared" si="111"/>
        <v>Biodigestão RT1C + CDR TM</v>
      </c>
      <c r="H130" s="2079" t="str">
        <f t="shared" si="111"/>
        <v>Compostagem + CDR TM</v>
      </c>
      <c r="I130" s="2079" t="str">
        <f t="shared" si="111"/>
        <v xml:space="preserve">Biosecagem + CDR TMB </v>
      </c>
      <c r="J130" s="2079" t="str">
        <f t="shared" si="111"/>
        <v>Incineração Mass Burning</v>
      </c>
      <c r="K130" s="2079" t="str">
        <f t="shared" si="111"/>
        <v>Incineração Mass Burn. Descentralizada</v>
      </c>
      <c r="L130" s="2497"/>
      <c r="M130" s="2433"/>
      <c r="N130" s="2583" t="s">
        <v>1414</v>
      </c>
      <c r="O130" s="2581"/>
      <c r="P130" s="2582"/>
      <c r="Q130" s="2607">
        <f>$Q$43+$Q$44+$Q$45</f>
        <v>3.2385304029626489</v>
      </c>
      <c r="R130" s="2607">
        <f>$R$43+$R$44+$R$45</f>
        <v>3.2385304029626489</v>
      </c>
      <c r="S130" s="2607">
        <f>$R$43+$R$44+$R$45</f>
        <v>3.2385304029626489</v>
      </c>
      <c r="T130" s="2607">
        <f>$R$43+$R$44+$R$45</f>
        <v>3.2385304029626489</v>
      </c>
      <c r="U130" s="2607">
        <f>$U$43+$U$44+$U$45</f>
        <v>3.2385304029626489</v>
      </c>
      <c r="V130" s="2607">
        <f>$V$43+$V$44+$V$45</f>
        <v>3.2385304029626489</v>
      </c>
      <c r="W130" s="2607">
        <f>$V$43+$V$44+$V$45</f>
        <v>3.2385304029626489</v>
      </c>
      <c r="X130" s="2607">
        <f>$V$43+$V$44+$V$45</f>
        <v>3.2385304029626489</v>
      </c>
      <c r="Y130" s="2556" t="s">
        <v>1321</v>
      </c>
      <c r="Z130" s="2065" t="s">
        <v>1413</v>
      </c>
      <c r="AA130" s="2435"/>
      <c r="AB130" s="2030"/>
      <c r="AC130" s="2572"/>
      <c r="AD130" s="1845"/>
      <c r="AE130" s="1845"/>
      <c r="AF130" s="1845"/>
      <c r="AG130" s="1845"/>
      <c r="AH130" s="1845"/>
      <c r="AI130" s="1845"/>
      <c r="AJ130" s="1845"/>
      <c r="AK130" s="1845"/>
    </row>
    <row r="131" spans="1:37" ht="18" customHeight="1" x14ac:dyDescent="0.2">
      <c r="A131" s="2065"/>
      <c r="B131" s="2551" t="s">
        <v>1106</v>
      </c>
      <c r="C131" s="2608"/>
      <c r="D131" s="2467"/>
      <c r="E131" s="2467"/>
      <c r="F131" s="2467"/>
      <c r="G131" s="2467"/>
      <c r="H131" s="2467"/>
      <c r="I131" s="2467"/>
      <c r="J131" s="2467"/>
      <c r="K131" s="2467"/>
      <c r="L131" s="2609" t="s">
        <v>194</v>
      </c>
      <c r="M131" s="2433"/>
      <c r="N131" s="2580" t="s">
        <v>1365</v>
      </c>
      <c r="O131" s="2610"/>
      <c r="P131" s="2611"/>
      <c r="Q131" s="2612">
        <f t="shared" ref="Q131:X131" si="112">IF(Q117+Q118=0,Q112,Q124)+Q105+Q106</f>
        <v>108.01101053328901</v>
      </c>
      <c r="R131" s="2612">
        <f t="shared" si="112"/>
        <v>105.77077180494484</v>
      </c>
      <c r="S131" s="2612">
        <f t="shared" si="112"/>
        <v>105.77077180494484</v>
      </c>
      <c r="T131" s="2612">
        <f t="shared" si="112"/>
        <v>105.77077180494484</v>
      </c>
      <c r="U131" s="2612">
        <f t="shared" si="112"/>
        <v>100.6611572259699</v>
      </c>
      <c r="V131" s="2612">
        <f t="shared" si="112"/>
        <v>100.6611572259699</v>
      </c>
      <c r="W131" s="2612">
        <f t="shared" si="112"/>
        <v>100.6611572259699</v>
      </c>
      <c r="X131" s="2612">
        <f t="shared" si="112"/>
        <v>100.6611572259699</v>
      </c>
      <c r="Y131" s="2508" t="s">
        <v>1321</v>
      </c>
      <c r="Z131" s="2065"/>
      <c r="AA131" s="2435"/>
      <c r="AB131" s="2030"/>
      <c r="AC131" s="2572"/>
      <c r="AD131" s="1845"/>
      <c r="AE131" s="1845"/>
      <c r="AF131" s="1845"/>
      <c r="AG131" s="1845"/>
      <c r="AH131" s="1845"/>
      <c r="AI131" s="1845"/>
      <c r="AJ131" s="1845"/>
      <c r="AK131" s="1845"/>
    </row>
    <row r="132" spans="1:37" ht="18" customHeight="1" x14ac:dyDescent="0.2">
      <c r="A132" s="2065"/>
      <c r="B132" s="2551" t="s">
        <v>1107</v>
      </c>
      <c r="C132" s="2608"/>
      <c r="D132" s="2467"/>
      <c r="E132" s="2467"/>
      <c r="F132" s="2467"/>
      <c r="G132" s="2467"/>
      <c r="H132" s="2467"/>
      <c r="I132" s="2467"/>
      <c r="J132" s="2467"/>
      <c r="K132" s="2467"/>
      <c r="L132" s="2609" t="s">
        <v>194</v>
      </c>
      <c r="M132" s="2433"/>
      <c r="N132" s="2583" t="s">
        <v>1353</v>
      </c>
      <c r="O132" s="2581"/>
      <c r="P132" s="2582"/>
      <c r="Q132" s="2584">
        <f>Q128*'CO2 - Destinação'!$E$35</f>
        <v>0</v>
      </c>
      <c r="R132" s="2584">
        <f>R128*'CO2 - Destinação'!$G$35</f>
        <v>0</v>
      </c>
      <c r="S132" s="2584">
        <f>S128*'CO2 - Destinação'!$H$35</f>
        <v>0</v>
      </c>
      <c r="T132" s="2584">
        <f>T128*'CO2 - Destinação'!$I$35</f>
        <v>0</v>
      </c>
      <c r="U132" s="2584">
        <f>U128*'CO2 - Destinação'!$J$35</f>
        <v>0</v>
      </c>
      <c r="V132" s="2584">
        <f>V128*'CO2 - Destinação'!$K$35</f>
        <v>0</v>
      </c>
      <c r="W132" s="2584">
        <f>W128*'CO2 - Destinação'!$K$35</f>
        <v>0</v>
      </c>
      <c r="X132" s="2584">
        <f>X128*'CO2 - Destinação'!$M$35</f>
        <v>0</v>
      </c>
      <c r="Y132" s="2490" t="s">
        <v>1400</v>
      </c>
      <c r="Z132" s="2065" t="s">
        <v>1413</v>
      </c>
      <c r="AA132" s="2435"/>
      <c r="AB132" s="2030"/>
      <c r="AC132" s="2572"/>
      <c r="AD132" s="1845"/>
      <c r="AE132" s="1845"/>
      <c r="AF132" s="1845"/>
      <c r="AG132" s="1845"/>
      <c r="AH132" s="1845"/>
      <c r="AI132" s="1845"/>
      <c r="AJ132" s="1845"/>
      <c r="AK132" s="1845"/>
    </row>
    <row r="133" spans="1:37" ht="18" customHeight="1" x14ac:dyDescent="0.2">
      <c r="A133" s="2065"/>
      <c r="B133" s="2551" t="s">
        <v>1108</v>
      </c>
      <c r="C133" s="2608">
        <v>0.7</v>
      </c>
      <c r="D133" s="2467">
        <f t="shared" ref="D133:K134" si="113">D104*$C133</f>
        <v>8.5293509714758173E-2</v>
      </c>
      <c r="E133" s="2467">
        <f t="shared" si="113"/>
        <v>6.8025873986655938E-2</v>
      </c>
      <c r="F133" s="2467">
        <f t="shared" si="113"/>
        <v>6.8025873986655938E-2</v>
      </c>
      <c r="G133" s="2467">
        <f t="shared" si="113"/>
        <v>6.8025873986655938E-2</v>
      </c>
      <c r="H133" s="2467">
        <f t="shared" si="113"/>
        <v>6.8025873986655938E-2</v>
      </c>
      <c r="I133" s="2467">
        <f t="shared" si="113"/>
        <v>6.8025873986655938E-2</v>
      </c>
      <c r="J133" s="2467">
        <f t="shared" si="113"/>
        <v>6.8025873986655938E-2</v>
      </c>
      <c r="K133" s="2467">
        <f t="shared" si="113"/>
        <v>6.8025873986655938E-2</v>
      </c>
      <c r="L133" s="2609" t="s">
        <v>194</v>
      </c>
      <c r="M133" s="2433"/>
      <c r="N133" s="2583" t="s">
        <v>1460</v>
      </c>
      <c r="O133" s="2581"/>
      <c r="P133" s="2582"/>
      <c r="Q133" s="2584">
        <f>Q132*$Q$26*10*0.3*$C$3/1000</f>
        <v>0</v>
      </c>
      <c r="R133" s="2584">
        <f>R132*$R$26*10*0.3*$C$3/1000</f>
        <v>0</v>
      </c>
      <c r="S133" s="2584">
        <f>S132*$R$26*10*0.3*$C$3/1000</f>
        <v>0</v>
      </c>
      <c r="T133" s="2584">
        <f>T132*$R$26*10*0.3*$C$3/1000</f>
        <v>0</v>
      </c>
      <c r="U133" s="2584">
        <f>U132*$U$26*10*0.3*$C$3/1000</f>
        <v>0</v>
      </c>
      <c r="V133" s="2584">
        <f>V132*$V$26*10*0.3*$C$3/1000</f>
        <v>0</v>
      </c>
      <c r="W133" s="2584">
        <f>W132*$V$26*10*0.3*$C$3/1000</f>
        <v>0</v>
      </c>
      <c r="X133" s="2584">
        <f>X132*$V$26*10*0.3*$C$3/1000</f>
        <v>0</v>
      </c>
      <c r="Y133" s="2490" t="s">
        <v>1321</v>
      </c>
      <c r="Z133" s="2065" t="s">
        <v>1413</v>
      </c>
      <c r="AA133" s="2435"/>
      <c r="AB133" s="2030"/>
      <c r="AC133" s="2572"/>
      <c r="AD133" s="1845"/>
      <c r="AE133" s="1845"/>
      <c r="AF133" s="1845"/>
      <c r="AG133" s="1845"/>
      <c r="AH133" s="1845"/>
      <c r="AI133" s="1845"/>
      <c r="AJ133" s="1845"/>
      <c r="AK133" s="1845"/>
    </row>
    <row r="134" spans="1:37" ht="18" customHeight="1" x14ac:dyDescent="0.2">
      <c r="A134" s="2065"/>
      <c r="B134" s="2551" t="s">
        <v>1109</v>
      </c>
      <c r="C134" s="2608">
        <v>0.7</v>
      </c>
      <c r="D134" s="2467">
        <f t="shared" si="113"/>
        <v>8.7897891690781299E-2</v>
      </c>
      <c r="E134" s="2467">
        <f t="shared" si="113"/>
        <v>8.1979520134530512E-2</v>
      </c>
      <c r="F134" s="2467">
        <f t="shared" si="113"/>
        <v>8.1979520134530512E-2</v>
      </c>
      <c r="G134" s="2467">
        <f t="shared" si="113"/>
        <v>8.1979520134530512E-2</v>
      </c>
      <c r="H134" s="2467">
        <f t="shared" si="113"/>
        <v>8.1979520134530512E-2</v>
      </c>
      <c r="I134" s="2467">
        <f t="shared" si="113"/>
        <v>8.1979520134530512E-2</v>
      </c>
      <c r="J134" s="2467">
        <f t="shared" si="113"/>
        <v>8.1979520134530512E-2</v>
      </c>
      <c r="K134" s="2467">
        <f t="shared" si="113"/>
        <v>8.1979520134530512E-2</v>
      </c>
      <c r="L134" s="2609" t="s">
        <v>194</v>
      </c>
      <c r="M134" s="2433"/>
      <c r="N134" s="2583" t="s">
        <v>1433</v>
      </c>
      <c r="O134" s="2581"/>
      <c r="P134" s="2582"/>
      <c r="Q134" s="2613">
        <f>$D$144*($D$153+$D$154)/33.5*0.9*44/12*1000</f>
        <v>526.49754740147955</v>
      </c>
      <c r="R134" s="2613">
        <f>$E$144*($E$153+$E$154)/33.5*0.9*44/12*1000</f>
        <v>500.53762448082119</v>
      </c>
      <c r="S134" s="2613">
        <f>$G$144*($G$153+$G$154)/33.5*0.9*44/12*1000</f>
        <v>500.53762448082119</v>
      </c>
      <c r="T134" s="2613">
        <f>$G$144*($G$153+$G$154)/33.5*0.9*44/12*1000</f>
        <v>500.53762448082119</v>
      </c>
      <c r="U134" s="2613">
        <f>$H$144*($H$153+$H$154)/33.5*0.9*44/12*1000</f>
        <v>500.53762448082119</v>
      </c>
      <c r="V134" s="2613">
        <f>$I$144*($I$153+$I$154)/33.5*0.9*44/12*1000</f>
        <v>500.53762448082119</v>
      </c>
      <c r="W134" s="2613">
        <f>$I$144*($I$153+$I$154)/33.5*0.9*44/12*1000</f>
        <v>500.53762448082119</v>
      </c>
      <c r="X134" s="2613">
        <f>$I$144*($I$153+$I$154)/33.5*0.9*44/12*1000</f>
        <v>500.53762448082119</v>
      </c>
      <c r="Y134" s="2490" t="s">
        <v>1349</v>
      </c>
      <c r="Z134" s="2064"/>
      <c r="AA134" s="2435"/>
      <c r="AB134" s="2030"/>
      <c r="AC134" s="2572"/>
      <c r="AD134" s="1845"/>
      <c r="AE134" s="1845"/>
      <c r="AF134" s="1845"/>
      <c r="AG134" s="1845"/>
      <c r="AH134" s="1845"/>
      <c r="AI134" s="1845"/>
      <c r="AJ134" s="1845"/>
      <c r="AK134" s="1845"/>
    </row>
    <row r="135" spans="1:37" ht="18" customHeight="1" x14ac:dyDescent="0.2">
      <c r="A135" s="2065"/>
      <c r="B135" s="2551" t="s">
        <v>50</v>
      </c>
      <c r="C135" s="2608"/>
      <c r="D135" s="2467"/>
      <c r="E135" s="2467"/>
      <c r="F135" s="2467"/>
      <c r="G135" s="2467"/>
      <c r="H135" s="2467"/>
      <c r="I135" s="2467"/>
      <c r="J135" s="2467"/>
      <c r="K135" s="2467"/>
      <c r="L135" s="2609" t="s">
        <v>194</v>
      </c>
      <c r="M135" s="2433"/>
      <c r="N135" s="2580" t="s">
        <v>1434</v>
      </c>
      <c r="O135" s="2610"/>
      <c r="P135" s="2611"/>
      <c r="Q135" s="2614">
        <f t="shared" ref="Q135:X135" si="114">IF(Q117+Q118=0,0,(Q119*$C$3+Q120*$C$6)/1000)+Q134</f>
        <v>526.49754740147955</v>
      </c>
      <c r="R135" s="2614">
        <f t="shared" si="114"/>
        <v>507.06991452262901</v>
      </c>
      <c r="S135" s="2614">
        <f t="shared" si="114"/>
        <v>597.6182986199409</v>
      </c>
      <c r="T135" s="2614">
        <f t="shared" si="114"/>
        <v>597.6182986199409</v>
      </c>
      <c r="U135" s="2614">
        <f t="shared" si="114"/>
        <v>500.53762448082119</v>
      </c>
      <c r="V135" s="2614">
        <f t="shared" si="114"/>
        <v>500.53762448082119</v>
      </c>
      <c r="W135" s="2614">
        <f t="shared" si="114"/>
        <v>500.53762448082119</v>
      </c>
      <c r="X135" s="2614">
        <f t="shared" si="114"/>
        <v>500.53762448082119</v>
      </c>
      <c r="Y135" s="2508" t="s">
        <v>1321</v>
      </c>
      <c r="Z135" s="2065"/>
      <c r="AA135" s="2435"/>
      <c r="AB135" s="2030"/>
      <c r="AC135" s="2572"/>
      <c r="AD135" s="1845"/>
      <c r="AE135" s="1845"/>
      <c r="AF135" s="1845"/>
      <c r="AG135" s="1845"/>
      <c r="AH135" s="1845"/>
      <c r="AI135" s="1845"/>
      <c r="AJ135" s="1845"/>
      <c r="AK135" s="1845"/>
    </row>
    <row r="136" spans="1:37" ht="18" customHeight="1" x14ac:dyDescent="0.2">
      <c r="A136" s="2065"/>
      <c r="B136" s="2551" t="s">
        <v>1110</v>
      </c>
      <c r="C136" s="2608"/>
      <c r="D136" s="2467"/>
      <c r="E136" s="2467"/>
      <c r="F136" s="2467"/>
      <c r="G136" s="2467"/>
      <c r="H136" s="2467"/>
      <c r="I136" s="2467"/>
      <c r="J136" s="2467"/>
      <c r="K136" s="2467"/>
      <c r="L136" s="2609" t="s">
        <v>194</v>
      </c>
      <c r="M136" s="2433"/>
      <c r="N136" s="2065"/>
      <c r="O136" s="2065"/>
      <c r="P136" s="2065"/>
      <c r="Q136" s="2065"/>
      <c r="R136" s="2065"/>
      <c r="S136" s="2065"/>
      <c r="T136" s="2065"/>
      <c r="U136" s="2065"/>
      <c r="V136" s="2065"/>
      <c r="W136" s="2065"/>
      <c r="X136" s="2065"/>
      <c r="Y136" s="2065"/>
      <c r="Z136" s="2065"/>
      <c r="AA136" s="2435"/>
      <c r="AB136" s="2030"/>
      <c r="AC136" s="2572"/>
      <c r="AD136" s="1845"/>
      <c r="AE136" s="1845"/>
      <c r="AF136" s="1845"/>
      <c r="AG136" s="1845"/>
      <c r="AH136" s="1845"/>
      <c r="AI136" s="1845"/>
      <c r="AJ136" s="1845"/>
      <c r="AK136" s="1845"/>
    </row>
    <row r="137" spans="1:37" ht="18" customHeight="1" x14ac:dyDescent="0.2">
      <c r="A137" s="2065"/>
      <c r="B137" s="2551" t="s">
        <v>1111</v>
      </c>
      <c r="C137" s="2608"/>
      <c r="D137" s="2467"/>
      <c r="E137" s="2467"/>
      <c r="F137" s="2467"/>
      <c r="G137" s="2467"/>
      <c r="H137" s="2467"/>
      <c r="I137" s="2467"/>
      <c r="J137" s="2467"/>
      <c r="K137" s="2467"/>
      <c r="L137" s="2609" t="s">
        <v>194</v>
      </c>
      <c r="M137" s="2433"/>
      <c r="N137" s="2615" t="s">
        <v>1461</v>
      </c>
      <c r="O137" s="2616"/>
      <c r="P137" s="2617"/>
      <c r="Q137" s="2065"/>
      <c r="R137" s="2065"/>
      <c r="S137" s="2065"/>
      <c r="T137" s="2065"/>
      <c r="U137" s="2065"/>
      <c r="V137" s="2065"/>
      <c r="W137" s="2065"/>
      <c r="X137" s="2065"/>
      <c r="Y137" s="2065"/>
      <c r="Z137" s="2065"/>
      <c r="AA137" s="2435"/>
      <c r="AB137" s="2030"/>
      <c r="AC137" s="2572"/>
      <c r="AD137" s="1845"/>
      <c r="AE137" s="1845"/>
      <c r="AF137" s="1845"/>
      <c r="AG137" s="1845"/>
      <c r="AH137" s="1845"/>
      <c r="AI137" s="1845"/>
      <c r="AJ137" s="1845"/>
      <c r="AK137" s="1845"/>
    </row>
    <row r="138" spans="1:37" ht="18" customHeight="1" x14ac:dyDescent="0.2">
      <c r="A138" s="2065"/>
      <c r="B138" s="2551" t="s">
        <v>1112</v>
      </c>
      <c r="C138" s="2608">
        <v>0.9</v>
      </c>
      <c r="D138" s="2467">
        <f t="shared" ref="D138:K143" si="115">D109*$C138</f>
        <v>4.1391070690367925E-2</v>
      </c>
      <c r="E138" s="2467">
        <f t="shared" si="115"/>
        <v>4.454320691070339E-2</v>
      </c>
      <c r="F138" s="2467">
        <f t="shared" si="115"/>
        <v>4.454320691070339E-2</v>
      </c>
      <c r="G138" s="2467">
        <f t="shared" si="115"/>
        <v>4.454320691070339E-2</v>
      </c>
      <c r="H138" s="2467">
        <f t="shared" si="115"/>
        <v>4.454320691070339E-2</v>
      </c>
      <c r="I138" s="2467">
        <f t="shared" si="115"/>
        <v>4.454320691070339E-2</v>
      </c>
      <c r="J138" s="2467">
        <f t="shared" si="115"/>
        <v>4.454320691070339E-2</v>
      </c>
      <c r="K138" s="2467">
        <f t="shared" si="115"/>
        <v>4.454320691070339E-2</v>
      </c>
      <c r="L138" s="2609" t="s">
        <v>194</v>
      </c>
      <c r="M138" s="2433"/>
      <c r="N138" s="2618" t="s">
        <v>1462</v>
      </c>
      <c r="O138" s="2616"/>
      <c r="P138" s="2617"/>
      <c r="Q138" s="2619">
        <f>32.5*$C$3/1000</f>
        <v>2.4667500000000002</v>
      </c>
      <c r="R138" s="2619">
        <f t="shared" ref="R138:X138" si="116">32.5*$C$3/1000</f>
        <v>2.4667500000000002</v>
      </c>
      <c r="S138" s="2619">
        <f t="shared" si="116"/>
        <v>2.4667500000000002</v>
      </c>
      <c r="T138" s="2619">
        <f t="shared" si="116"/>
        <v>2.4667500000000002</v>
      </c>
      <c r="U138" s="2619">
        <f t="shared" si="116"/>
        <v>2.4667500000000002</v>
      </c>
      <c r="V138" s="2619">
        <f t="shared" si="116"/>
        <v>2.4667500000000002</v>
      </c>
      <c r="W138" s="2619">
        <f t="shared" si="116"/>
        <v>2.4667500000000002</v>
      </c>
      <c r="X138" s="2619">
        <f t="shared" si="116"/>
        <v>2.4667500000000002</v>
      </c>
      <c r="Y138" s="2064" t="s">
        <v>1321</v>
      </c>
      <c r="Z138" s="2065"/>
      <c r="AA138" s="2435"/>
      <c r="AB138" s="2030"/>
      <c r="AC138" s="2572"/>
      <c r="AD138" s="1845"/>
      <c r="AE138" s="1845"/>
      <c r="AF138" s="1845"/>
      <c r="AG138" s="1845"/>
      <c r="AH138" s="1845"/>
      <c r="AI138" s="1845"/>
      <c r="AJ138" s="1845"/>
      <c r="AK138" s="1845"/>
    </row>
    <row r="139" spans="1:37" ht="18" customHeight="1" x14ac:dyDescent="0.2">
      <c r="A139" s="2065"/>
      <c r="B139" s="2551" t="s">
        <v>1373</v>
      </c>
      <c r="C139" s="2608">
        <v>0.8</v>
      </c>
      <c r="D139" s="2467">
        <f t="shared" si="115"/>
        <v>7.9371641174038852E-3</v>
      </c>
      <c r="E139" s="2467">
        <f t="shared" si="115"/>
        <v>8.5416187034757056E-3</v>
      </c>
      <c r="F139" s="2467">
        <f t="shared" si="115"/>
        <v>8.5416187034757056E-3</v>
      </c>
      <c r="G139" s="2467">
        <f t="shared" si="115"/>
        <v>8.5416187034757056E-3</v>
      </c>
      <c r="H139" s="2467">
        <f t="shared" si="115"/>
        <v>8.5416187034757056E-3</v>
      </c>
      <c r="I139" s="2467">
        <f t="shared" si="115"/>
        <v>8.5416187034757056E-3</v>
      </c>
      <c r="J139" s="2467">
        <f t="shared" si="115"/>
        <v>8.5416187034757056E-3</v>
      </c>
      <c r="K139" s="2467">
        <f t="shared" si="115"/>
        <v>8.5416187034757056E-3</v>
      </c>
      <c r="L139" s="2609" t="s">
        <v>194</v>
      </c>
      <c r="M139" s="2433"/>
      <c r="N139" s="2620" t="s">
        <v>1463</v>
      </c>
      <c r="O139" s="2616"/>
      <c r="P139" s="2617"/>
      <c r="Q139" s="2621">
        <f>$D$144*$D$149*44/12*1000</f>
        <v>81.01946997934111</v>
      </c>
      <c r="R139" s="2621">
        <f>$E$144*$E$149*44/12*1000</f>
        <v>73.204738919990888</v>
      </c>
      <c r="S139" s="2621">
        <f>$G$144*$G$149*44/12*1000</f>
        <v>73.204738919990888</v>
      </c>
      <c r="T139" s="2621">
        <f>$G$144*$G$149*44/12*1000</f>
        <v>73.204738919990888</v>
      </c>
      <c r="U139" s="2621">
        <f>$H$144*$H$149*44/12*1000</f>
        <v>73.204738919990888</v>
      </c>
      <c r="V139" s="2621">
        <f>$I$144*$I$149*44/12*1000</f>
        <v>73.204738919990888</v>
      </c>
      <c r="W139" s="2621">
        <f>$I$144*$I$149*44/12*1000</f>
        <v>73.204738919990888</v>
      </c>
      <c r="X139" s="2621">
        <f>$I$144*$I$149*44/12*1000</f>
        <v>73.204738919990888</v>
      </c>
      <c r="Y139" s="2064" t="s">
        <v>1321</v>
      </c>
      <c r="Z139" s="2064"/>
      <c r="AA139" s="2435"/>
      <c r="AB139" s="2030"/>
      <c r="AC139" s="2572"/>
      <c r="AD139" s="1845"/>
      <c r="AE139" s="1845"/>
      <c r="AF139" s="1845"/>
      <c r="AG139" s="1845"/>
      <c r="AH139" s="1845"/>
      <c r="AI139" s="1845"/>
      <c r="AJ139" s="1845"/>
      <c r="AK139" s="1845"/>
    </row>
    <row r="140" spans="1:37" ht="18" customHeight="1" x14ac:dyDescent="0.2">
      <c r="A140" s="2065"/>
      <c r="B140" s="2551" t="s">
        <v>1319</v>
      </c>
      <c r="C140" s="2608">
        <v>1</v>
      </c>
      <c r="D140" s="2467">
        <f t="shared" si="115"/>
        <v>4.1339396444811903E-2</v>
      </c>
      <c r="E140" s="2467">
        <f t="shared" si="115"/>
        <v>4.4487597413935966E-2</v>
      </c>
      <c r="F140" s="2467">
        <f t="shared" si="115"/>
        <v>4.4487597413935966E-2</v>
      </c>
      <c r="G140" s="2467">
        <f t="shared" si="115"/>
        <v>4.4487597413935966E-2</v>
      </c>
      <c r="H140" s="2467">
        <f t="shared" si="115"/>
        <v>4.4487597413935966E-2</v>
      </c>
      <c r="I140" s="2467">
        <f t="shared" si="115"/>
        <v>4.4487597413935966E-2</v>
      </c>
      <c r="J140" s="2467">
        <f t="shared" si="115"/>
        <v>4.4487597413935966E-2</v>
      </c>
      <c r="K140" s="2467">
        <f t="shared" si="115"/>
        <v>4.4487597413935966E-2</v>
      </c>
      <c r="L140" s="2609" t="s">
        <v>194</v>
      </c>
      <c r="M140" s="2433"/>
      <c r="N140" s="2618" t="s">
        <v>1464</v>
      </c>
      <c r="O140" s="2622"/>
      <c r="P140" s="2623"/>
      <c r="Q140" s="2624">
        <v>0.35</v>
      </c>
      <c r="R140" s="2624">
        <v>0.35</v>
      </c>
      <c r="S140" s="2624">
        <v>0.35</v>
      </c>
      <c r="T140" s="2624">
        <v>0.35</v>
      </c>
      <c r="U140" s="2624">
        <v>0.35</v>
      </c>
      <c r="V140" s="2624">
        <v>0.35</v>
      </c>
      <c r="W140" s="2624">
        <v>0.35</v>
      </c>
      <c r="X140" s="2624">
        <v>0.35</v>
      </c>
      <c r="Y140" s="2064" t="s">
        <v>1416</v>
      </c>
      <c r="Z140" s="2065"/>
      <c r="AA140" s="2435"/>
      <c r="AB140" s="2030"/>
      <c r="AC140" s="2572"/>
      <c r="AD140" s="1845"/>
      <c r="AE140" s="1845"/>
      <c r="AF140" s="1845"/>
      <c r="AG140" s="1845"/>
      <c r="AH140" s="1845"/>
      <c r="AI140" s="1845"/>
      <c r="AJ140" s="1845"/>
      <c r="AK140" s="1845"/>
    </row>
    <row r="141" spans="1:37" ht="18" customHeight="1" x14ac:dyDescent="0.2">
      <c r="A141" s="2065"/>
      <c r="B141" s="2551" t="s">
        <v>1115</v>
      </c>
      <c r="C141" s="2608">
        <v>0.9</v>
      </c>
      <c r="D141" s="2467">
        <f t="shared" si="115"/>
        <v>6.7899958660603554E-3</v>
      </c>
      <c r="E141" s="2467">
        <f t="shared" si="115"/>
        <v>7.3070878752389814E-3</v>
      </c>
      <c r="F141" s="2467">
        <f t="shared" si="115"/>
        <v>7.3070878752389814E-3</v>
      </c>
      <c r="G141" s="2467">
        <f t="shared" si="115"/>
        <v>7.3070878752389814E-3</v>
      </c>
      <c r="H141" s="2467">
        <f t="shared" si="115"/>
        <v>7.3070878752389814E-3</v>
      </c>
      <c r="I141" s="2467">
        <f t="shared" si="115"/>
        <v>7.3070878752389814E-3</v>
      </c>
      <c r="J141" s="2467">
        <f t="shared" si="115"/>
        <v>7.3070878752389814E-3</v>
      </c>
      <c r="K141" s="2467">
        <f t="shared" si="115"/>
        <v>7.3070878752389814E-3</v>
      </c>
      <c r="L141" s="2609" t="s">
        <v>194</v>
      </c>
      <c r="N141" s="2618" t="s">
        <v>1465</v>
      </c>
      <c r="O141" s="2616"/>
      <c r="P141" s="2617"/>
      <c r="Q141" s="2625">
        <f>$D$179*(1-Q140)</f>
        <v>6.4854741659776768E-2</v>
      </c>
      <c r="R141" s="2625">
        <f>$E$179*(1-R140)</f>
        <v>6.7080587567607222E-2</v>
      </c>
      <c r="S141" s="2625">
        <f>$G$179*(1-S140)</f>
        <v>6.7080587567607222E-2</v>
      </c>
      <c r="T141" s="2625">
        <f>$G$179*(1-T140)</f>
        <v>6.7080587567607222E-2</v>
      </c>
      <c r="U141" s="2625">
        <f>$H$179*(1-U140)</f>
        <v>6.7080587567607222E-2</v>
      </c>
      <c r="V141" s="2625">
        <f>$I$179*(1-V140)</f>
        <v>6.7080587567607222E-2</v>
      </c>
      <c r="W141" s="2625">
        <f>$I$179*(1-W140)</f>
        <v>6.7080587567607222E-2</v>
      </c>
      <c r="X141" s="2625">
        <f>$I$179*(1-X140)</f>
        <v>6.7080587567607222E-2</v>
      </c>
      <c r="Y141" s="2064" t="s">
        <v>1416</v>
      </c>
      <c r="Z141" s="2065"/>
      <c r="AB141" s="1845"/>
      <c r="AC141" s="2572"/>
      <c r="AD141" s="1845"/>
      <c r="AE141" s="1845"/>
      <c r="AF141" s="1845"/>
      <c r="AG141" s="1845"/>
      <c r="AH141" s="1845"/>
      <c r="AI141" s="1845"/>
      <c r="AJ141" s="1845"/>
      <c r="AK141" s="1845"/>
    </row>
    <row r="142" spans="1:37" ht="18" customHeight="1" x14ac:dyDescent="0.2">
      <c r="A142" s="2065"/>
      <c r="B142" s="2551" t="s">
        <v>1116</v>
      </c>
      <c r="C142" s="2608"/>
      <c r="D142" s="2467"/>
      <c r="E142" s="2467"/>
      <c r="F142" s="2467"/>
      <c r="G142" s="2467"/>
      <c r="H142" s="2467"/>
      <c r="I142" s="2467"/>
      <c r="J142" s="2467"/>
      <c r="K142" s="2467"/>
      <c r="L142" s="2609" t="s">
        <v>194</v>
      </c>
      <c r="N142" s="2618" t="s">
        <v>1466</v>
      </c>
      <c r="O142" s="2622"/>
      <c r="P142" s="2623"/>
      <c r="Q142" s="2626">
        <f t="shared" ref="Q142:X142" si="117">D178</f>
        <v>2.9910834849111209E-2</v>
      </c>
      <c r="R142" s="2626">
        <f t="shared" si="117"/>
        <v>2.8092598969889689E-2</v>
      </c>
      <c r="S142" s="2626">
        <f t="shared" si="117"/>
        <v>2.8092598969889689E-2</v>
      </c>
      <c r="T142" s="2626">
        <f t="shared" si="117"/>
        <v>2.8092598969889689E-2</v>
      </c>
      <c r="U142" s="2626">
        <f t="shared" si="117"/>
        <v>2.8092598969889689E-2</v>
      </c>
      <c r="V142" s="2626">
        <f t="shared" si="117"/>
        <v>2.8092598969889689E-2</v>
      </c>
      <c r="W142" s="2626">
        <f t="shared" si="117"/>
        <v>2.8092598969889689E-2</v>
      </c>
      <c r="X142" s="2626">
        <f t="shared" si="117"/>
        <v>2.8092598969889689E-2</v>
      </c>
      <c r="Y142" s="2064" t="s">
        <v>1416</v>
      </c>
      <c r="Z142" s="2064"/>
      <c r="AB142" s="1845"/>
      <c r="AC142" s="2572"/>
      <c r="AD142" s="1845"/>
      <c r="AE142" s="1845"/>
      <c r="AF142" s="1845"/>
      <c r="AG142" s="1845"/>
      <c r="AH142" s="1845"/>
      <c r="AI142" s="1845"/>
      <c r="AJ142" s="1845"/>
      <c r="AK142" s="1845"/>
    </row>
    <row r="143" spans="1:37" ht="18" customHeight="1" x14ac:dyDescent="0.2">
      <c r="A143" s="2065"/>
      <c r="B143" s="2551" t="s">
        <v>1117</v>
      </c>
      <c r="C143" s="2608">
        <v>0.5</v>
      </c>
      <c r="D143" s="2467">
        <f t="shared" si="115"/>
        <v>3.389830508474577E-2</v>
      </c>
      <c r="E143" s="2467">
        <f t="shared" si="115"/>
        <v>3.6479829879427501E-2</v>
      </c>
      <c r="F143" s="2467">
        <f t="shared" si="115"/>
        <v>3.6479829879427501E-2</v>
      </c>
      <c r="G143" s="2467">
        <f t="shared" si="115"/>
        <v>3.6479829879427501E-2</v>
      </c>
      <c r="H143" s="2467">
        <f t="shared" si="115"/>
        <v>3.6479829879427501E-2</v>
      </c>
      <c r="I143" s="2467">
        <f t="shared" si="115"/>
        <v>3.6479829879427501E-2</v>
      </c>
      <c r="J143" s="2467">
        <f t="shared" si="115"/>
        <v>3.6479829879427501E-2</v>
      </c>
      <c r="K143" s="2467">
        <f t="shared" si="115"/>
        <v>3.6479829879427501E-2</v>
      </c>
      <c r="L143" s="2609" t="s">
        <v>194</v>
      </c>
      <c r="N143" s="2618" t="s">
        <v>1467</v>
      </c>
      <c r="O143" s="2622"/>
      <c r="P143" s="2623"/>
      <c r="Q143" s="2627">
        <v>100</v>
      </c>
      <c r="R143" s="2627">
        <v>100</v>
      </c>
      <c r="S143" s="2627">
        <v>100</v>
      </c>
      <c r="T143" s="2627">
        <v>100</v>
      </c>
      <c r="U143" s="2627">
        <v>100</v>
      </c>
      <c r="V143" s="2627">
        <v>100</v>
      </c>
      <c r="W143" s="2627">
        <v>100</v>
      </c>
      <c r="X143" s="2627">
        <v>100</v>
      </c>
      <c r="Y143" s="2064" t="s">
        <v>1468</v>
      </c>
      <c r="Z143" s="2064"/>
      <c r="AB143" s="1845"/>
      <c r="AC143" s="2572"/>
      <c r="AD143" s="1845"/>
      <c r="AE143" s="1845"/>
      <c r="AF143" s="1845"/>
      <c r="AG143" s="1845"/>
      <c r="AH143" s="1845"/>
      <c r="AI143" s="1845"/>
      <c r="AJ143" s="1845"/>
      <c r="AK143" s="1845"/>
    </row>
    <row r="144" spans="1:37" ht="18" customHeight="1" x14ac:dyDescent="0.2">
      <c r="A144" s="2439"/>
      <c r="B144" s="2531" t="s">
        <v>52</v>
      </c>
      <c r="C144" s="2506"/>
      <c r="D144" s="2596">
        <f t="shared" ref="D144:J144" si="118">SUM(D131:D143)</f>
        <v>0.30454733360892927</v>
      </c>
      <c r="E144" s="2596">
        <f t="shared" si="118"/>
        <v>0.29136473490396797</v>
      </c>
      <c r="F144" s="2596">
        <f t="shared" ref="F144" si="119">SUM(F131:F143)</f>
        <v>0.29136473490396797</v>
      </c>
      <c r="G144" s="2596">
        <f t="shared" si="118"/>
        <v>0.29136473490396797</v>
      </c>
      <c r="H144" s="2596">
        <f t="shared" si="118"/>
        <v>0.29136473490396797</v>
      </c>
      <c r="I144" s="2596">
        <f t="shared" si="118"/>
        <v>0.29136473490396797</v>
      </c>
      <c r="J144" s="2596">
        <f t="shared" si="118"/>
        <v>0.29136473490396797</v>
      </c>
      <c r="K144" s="2596">
        <f t="shared" ref="K144" si="120">SUM(K131:K143)</f>
        <v>0.29136473490396797</v>
      </c>
      <c r="L144" s="2609" t="s">
        <v>194</v>
      </c>
      <c r="N144" s="2618" t="s">
        <v>1469</v>
      </c>
      <c r="O144" s="2622"/>
      <c r="P144" s="2623"/>
      <c r="Q144" s="2627">
        <v>0.5</v>
      </c>
      <c r="R144" s="2627">
        <v>0.5</v>
      </c>
      <c r="S144" s="2627">
        <v>0.5</v>
      </c>
      <c r="T144" s="2627">
        <v>0.5</v>
      </c>
      <c r="U144" s="2627">
        <v>0.5</v>
      </c>
      <c r="V144" s="2627">
        <v>0.5</v>
      </c>
      <c r="W144" s="2627">
        <v>0.5</v>
      </c>
      <c r="X144" s="2627">
        <v>0.5</v>
      </c>
      <c r="Y144" s="2064" t="s">
        <v>1468</v>
      </c>
      <c r="Z144" s="2064"/>
      <c r="AB144" s="1845"/>
      <c r="AC144" s="2572"/>
      <c r="AD144" s="1845"/>
      <c r="AE144" s="1845"/>
      <c r="AF144" s="1845"/>
      <c r="AG144" s="1845"/>
      <c r="AH144" s="1845"/>
      <c r="AI144" s="1845"/>
      <c r="AJ144" s="1845"/>
      <c r="AK144" s="1845"/>
    </row>
    <row r="145" spans="1:37" ht="18" customHeight="1" x14ac:dyDescent="0.2">
      <c r="A145" s="2064"/>
      <c r="B145" s="2064"/>
      <c r="C145" s="2064"/>
      <c r="D145" s="2064"/>
      <c r="E145" s="2064"/>
      <c r="F145" s="2064"/>
      <c r="G145" s="2064"/>
      <c r="H145" s="2064"/>
      <c r="I145" s="2064"/>
      <c r="J145" s="2064"/>
      <c r="K145" s="2064"/>
      <c r="L145" s="2064"/>
      <c r="N145" s="2618" t="s">
        <v>1470</v>
      </c>
      <c r="O145" s="2622"/>
      <c r="P145" s="2623"/>
      <c r="Q145" s="2627">
        <v>2</v>
      </c>
      <c r="R145" s="2627">
        <v>2</v>
      </c>
      <c r="S145" s="2627">
        <v>2</v>
      </c>
      <c r="T145" s="2627">
        <v>2</v>
      </c>
      <c r="U145" s="2627">
        <v>2</v>
      </c>
      <c r="V145" s="2627">
        <v>2</v>
      </c>
      <c r="W145" s="2627">
        <v>2</v>
      </c>
      <c r="X145" s="2627">
        <v>2</v>
      </c>
      <c r="Y145" s="2064" t="s">
        <v>1468</v>
      </c>
      <c r="Z145" s="2064"/>
      <c r="AB145" s="1845"/>
      <c r="AC145" s="2572"/>
      <c r="AD145" s="1845"/>
      <c r="AE145" s="1845"/>
      <c r="AF145" s="1845"/>
      <c r="AG145" s="1845"/>
      <c r="AH145" s="1845"/>
      <c r="AI145" s="1845"/>
      <c r="AJ145" s="1845"/>
      <c r="AK145" s="1845"/>
    </row>
    <row r="146" spans="1:37" ht="18" customHeight="1" x14ac:dyDescent="0.2">
      <c r="A146" s="1989" t="s">
        <v>1471</v>
      </c>
      <c r="B146" s="2199"/>
      <c r="C146" s="2065"/>
      <c r="D146" s="2065"/>
      <c r="E146" s="2065"/>
      <c r="F146" s="2065"/>
      <c r="G146" s="2065"/>
      <c r="H146" s="2065"/>
      <c r="I146" s="2065"/>
      <c r="J146" s="2065"/>
      <c r="K146" s="2065"/>
      <c r="L146" s="2065"/>
      <c r="N146" s="2618" t="s">
        <v>1472</v>
      </c>
      <c r="O146" s="2616"/>
      <c r="P146" s="2628"/>
      <c r="Q146" s="2629">
        <f>$D$173*(Q143*$C$3+Q144*$C$4+Q145*$C$5)/1000</f>
        <v>6.8004147798334742</v>
      </c>
      <c r="R146" s="2629">
        <f>$E$173*(R143*$C$3+R144*$C$4+R145*$C$5)/1000</f>
        <v>6.9293195111001493</v>
      </c>
      <c r="S146" s="2629">
        <f>$E$173*(S143*$C$3+S144*$C$4+S145*$C$5)/1000</f>
        <v>6.9293195111001493</v>
      </c>
      <c r="T146" s="2629">
        <f>$E$173*(T143*$C$3+T144*$C$4+T145*$C$5)/1000</f>
        <v>6.9293195111001493</v>
      </c>
      <c r="U146" s="2629">
        <f>$H$173*(U143*$C$3+U144*$C$4+U145*$C$5)/1000</f>
        <v>6.9293195111001493</v>
      </c>
      <c r="V146" s="2629">
        <f>$I$173*(V143*$C$3+V144*$C$4+V145*$C$5)/1000</f>
        <v>6.9293195111001493</v>
      </c>
      <c r="W146" s="2629">
        <f>$I$173*(W143*$C$3+W144*$C$4+W145*$C$5)/1000</f>
        <v>6.9293195111001493</v>
      </c>
      <c r="X146" s="2629">
        <f>$I$173*(X143*$C$3+X144*$C$4+X145*$C$5)/1000</f>
        <v>6.9293195111001493</v>
      </c>
      <c r="Y146" s="2064" t="s">
        <v>1321</v>
      </c>
      <c r="Z146" s="2065"/>
      <c r="AB146" s="1845"/>
      <c r="AC146" s="2572"/>
      <c r="AD146" s="1845"/>
      <c r="AE146" s="1845"/>
      <c r="AF146" s="1845"/>
      <c r="AG146" s="1845"/>
      <c r="AH146" s="1845"/>
      <c r="AI146" s="1845"/>
      <c r="AJ146" s="1845"/>
      <c r="AK146" s="1845"/>
    </row>
    <row r="147" spans="1:37" ht="18" customHeight="1" x14ac:dyDescent="0.2">
      <c r="A147" s="2065"/>
      <c r="B147" s="2630" t="s">
        <v>1473</v>
      </c>
      <c r="C147" s="2199"/>
      <c r="D147" s="2079" t="str">
        <f t="shared" ref="D147:K147" si="121">+D101</f>
        <v>Cenário-Base</v>
      </c>
      <c r="E147" s="2079" t="str">
        <f t="shared" si="121"/>
        <v>Biodigestão RT1A + CDR TM</v>
      </c>
      <c r="F147" s="2079" t="str">
        <f t="shared" si="121"/>
        <v>Biodigestão RT1B + CDR TM</v>
      </c>
      <c r="G147" s="2079" t="str">
        <f t="shared" si="121"/>
        <v>Biodigestão RT1C + CDR TM</v>
      </c>
      <c r="H147" s="2079" t="str">
        <f t="shared" si="121"/>
        <v>Compostagem + CDR TM</v>
      </c>
      <c r="I147" s="2079" t="str">
        <f t="shared" si="121"/>
        <v xml:space="preserve">Biosecagem + CDR TMB </v>
      </c>
      <c r="J147" s="2079" t="str">
        <f t="shared" si="121"/>
        <v>Incineração Mass Burning</v>
      </c>
      <c r="K147" s="2079" t="str">
        <f t="shared" si="121"/>
        <v>Incineração Mass Burn. Descentralizada</v>
      </c>
      <c r="L147" s="2065"/>
      <c r="N147" s="2618" t="s">
        <v>1474</v>
      </c>
      <c r="O147" s="2616"/>
      <c r="P147" s="2628"/>
      <c r="Q147" s="2629">
        <v>0</v>
      </c>
      <c r="R147" s="2629">
        <v>0</v>
      </c>
      <c r="S147" s="2629">
        <v>0</v>
      </c>
      <c r="T147" s="2629">
        <v>0</v>
      </c>
      <c r="U147" s="2629">
        <v>0</v>
      </c>
      <c r="V147" s="2629">
        <v>0</v>
      </c>
      <c r="W147" s="2629">
        <v>0</v>
      </c>
      <c r="X147" s="2629">
        <v>0</v>
      </c>
      <c r="Y147" s="2064" t="s">
        <v>1321</v>
      </c>
      <c r="Z147" s="2064"/>
      <c r="AB147" s="1845"/>
      <c r="AC147" s="2572"/>
      <c r="AD147" s="1845"/>
      <c r="AE147" s="1845"/>
      <c r="AF147" s="1845"/>
      <c r="AG147" s="1845"/>
      <c r="AH147" s="1845"/>
      <c r="AI147" s="1845"/>
      <c r="AJ147" s="1845"/>
      <c r="AK147" s="1845"/>
    </row>
    <row r="148" spans="1:37" ht="18" customHeight="1" x14ac:dyDescent="0.2">
      <c r="A148" s="2065"/>
      <c r="B148" s="2194" t="s">
        <v>1475</v>
      </c>
      <c r="C148" s="2167"/>
      <c r="D148" s="2476">
        <f t="shared" ref="D148:K148" si="122">+D131*$C$11+D132*$C$12+D133*$C$13+D134*$C$14+D135*$C$15+D136*$C$16+D137*$C$17+D138*$C$18+D139*$C$19+D140*$C$20+D141*$C$21+D142*$C$22+D143*$C$23</f>
        <v>0.13763601694915256</v>
      </c>
      <c r="E148" s="2476">
        <f t="shared" si="122"/>
        <v>0.12882056105533479</v>
      </c>
      <c r="F148" s="2476">
        <f t="shared" si="122"/>
        <v>0.12882056105533479</v>
      </c>
      <c r="G148" s="2476">
        <f t="shared" si="122"/>
        <v>0.12882056105533479</v>
      </c>
      <c r="H148" s="2476">
        <f t="shared" si="122"/>
        <v>0.12882056105533479</v>
      </c>
      <c r="I148" s="2476">
        <f t="shared" si="122"/>
        <v>0.12882056105533479</v>
      </c>
      <c r="J148" s="2476">
        <f t="shared" si="122"/>
        <v>0.12882056105533479</v>
      </c>
      <c r="K148" s="2476">
        <f t="shared" si="122"/>
        <v>0.12882056105533479</v>
      </c>
      <c r="L148" s="2064" t="s">
        <v>1303</v>
      </c>
      <c r="N148" s="2618" t="s">
        <v>1476</v>
      </c>
      <c r="O148" s="2622"/>
      <c r="P148" s="2623"/>
      <c r="Q148" s="2624">
        <v>0.25</v>
      </c>
      <c r="R148" s="2624">
        <v>0.25</v>
      </c>
      <c r="S148" s="2624">
        <v>0.25</v>
      </c>
      <c r="T148" s="2624">
        <v>0.25</v>
      </c>
      <c r="U148" s="2624">
        <v>0.25</v>
      </c>
      <c r="V148" s="2624">
        <v>0.25</v>
      </c>
      <c r="W148" s="2624">
        <v>0.25</v>
      </c>
      <c r="X148" s="2624">
        <v>0.25</v>
      </c>
      <c r="Y148" s="2064" t="s">
        <v>1477</v>
      </c>
      <c r="Z148" s="2064"/>
      <c r="AB148" s="1845"/>
      <c r="AC148" s="2572"/>
      <c r="AD148" s="1845"/>
      <c r="AE148" s="1845"/>
      <c r="AF148" s="1845"/>
      <c r="AG148" s="1845"/>
      <c r="AH148" s="1845"/>
      <c r="AI148" s="1845"/>
      <c r="AJ148" s="1845"/>
      <c r="AK148" s="1845"/>
    </row>
    <row r="149" spans="1:37" ht="18" customHeight="1" x14ac:dyDescent="0.2">
      <c r="A149" s="2065"/>
      <c r="B149" s="2194" t="s">
        <v>1478</v>
      </c>
      <c r="C149" s="2167"/>
      <c r="D149" s="2601">
        <f t="shared" ref="D149:K149" si="123">+D131*$C$11*$D$11+D132*$C$12*$D$12+D133*$C$13*$D$13+D134*$C$14*$D$14+D135*$C$15*$D$15+D136*$C$16*$D$16+D137*$C$17*$D$17+D138*$C$18*$D$18+D139*$C$19*$D$19+D140*$C$20*$D$20+D141*$C$21*$D$21+D142*$C$22*$D$22+D143*$C$23*$D$23</f>
        <v>7.2554301570897053E-2</v>
      </c>
      <c r="E149" s="2601">
        <f t="shared" si="123"/>
        <v>6.8522118172405014E-2</v>
      </c>
      <c r="F149" s="2601">
        <f t="shared" si="123"/>
        <v>6.8522118172405014E-2</v>
      </c>
      <c r="G149" s="2601">
        <f t="shared" si="123"/>
        <v>6.8522118172405014E-2</v>
      </c>
      <c r="H149" s="2601">
        <f t="shared" si="123"/>
        <v>6.8522118172405014E-2</v>
      </c>
      <c r="I149" s="2631">
        <f t="shared" si="123"/>
        <v>6.8522118172405014E-2</v>
      </c>
      <c r="J149" s="2631">
        <f t="shared" si="123"/>
        <v>6.8522118172405014E-2</v>
      </c>
      <c r="K149" s="2631">
        <f t="shared" si="123"/>
        <v>6.8522118172405014E-2</v>
      </c>
      <c r="L149" s="2064" t="s">
        <v>1303</v>
      </c>
      <c r="N149" s="2618" t="s">
        <v>1479</v>
      </c>
      <c r="O149" s="2622"/>
      <c r="P149" s="2623"/>
      <c r="Q149" s="2619">
        <f>($D$182+$D$183)/(1-Q148)</f>
        <v>5.648778458063366</v>
      </c>
      <c r="R149" s="2619">
        <f>($E$182+$E$183)/(1-R148)</f>
        <v>5.4251485239575858</v>
      </c>
      <c r="S149" s="2619">
        <f>($G$182+$G$183)/(1-S148)</f>
        <v>5.4251485239575858</v>
      </c>
      <c r="T149" s="2619">
        <f>($G$182+$G$183)/(1-T148)</f>
        <v>5.4251485239575858</v>
      </c>
      <c r="U149" s="2619">
        <f>($H$182+$H$183)/(1-U148)</f>
        <v>5.4251485239575858</v>
      </c>
      <c r="V149" s="2619">
        <f>($I$182+$I$183)/(1-V148)</f>
        <v>5.4251485239575858</v>
      </c>
      <c r="W149" s="2619">
        <f>($I$182+$I$183)/(1-W148)</f>
        <v>5.4251485239575858</v>
      </c>
      <c r="X149" s="2619">
        <f>($I$182+$I$183)/(1-X148)</f>
        <v>5.4251485239575858</v>
      </c>
      <c r="Y149" s="2064" t="s">
        <v>1480</v>
      </c>
      <c r="Z149" s="2064"/>
      <c r="AB149" s="1845"/>
      <c r="AC149" s="2572"/>
      <c r="AD149" s="1845"/>
      <c r="AE149" s="1845"/>
      <c r="AF149" s="1845"/>
      <c r="AG149" s="1845"/>
      <c r="AH149" s="1845"/>
      <c r="AI149" s="1845"/>
      <c r="AJ149" s="1845"/>
      <c r="AK149" s="1845"/>
    </row>
    <row r="150" spans="1:37" ht="18" customHeight="1" x14ac:dyDescent="0.2">
      <c r="A150" s="2065"/>
      <c r="B150" s="2194" t="s">
        <v>1481</v>
      </c>
      <c r="C150" s="2167"/>
      <c r="D150" s="2467">
        <f t="shared" ref="D150:K150" si="124">+D148-D149</f>
        <v>6.5081715378255509E-2</v>
      </c>
      <c r="E150" s="2467">
        <f t="shared" si="124"/>
        <v>6.0298442882929779E-2</v>
      </c>
      <c r="F150" s="2467">
        <f t="shared" si="124"/>
        <v>6.0298442882929779E-2</v>
      </c>
      <c r="G150" s="2467">
        <f t="shared" si="124"/>
        <v>6.0298442882929779E-2</v>
      </c>
      <c r="H150" s="2467">
        <f t="shared" si="124"/>
        <v>6.0298442882929779E-2</v>
      </c>
      <c r="I150" s="2467">
        <f t="shared" si="124"/>
        <v>6.0298442882929779E-2</v>
      </c>
      <c r="J150" s="2467">
        <f t="shared" si="124"/>
        <v>6.0298442882929779E-2</v>
      </c>
      <c r="K150" s="2467">
        <f t="shared" si="124"/>
        <v>6.0298442882929779E-2</v>
      </c>
      <c r="L150" s="2064" t="s">
        <v>1303</v>
      </c>
      <c r="N150" s="2620" t="s">
        <v>1482</v>
      </c>
      <c r="O150" s="2622"/>
      <c r="P150" s="2623"/>
      <c r="Q150" s="2619">
        <f>$D$173*Q142*44/12*1000</f>
        <v>76.272422782590269</v>
      </c>
      <c r="R150" s="2619">
        <f>$E$173*R142*44/12*1000</f>
        <v>72.993823166969079</v>
      </c>
      <c r="S150" s="2619">
        <f>$E$173*S142*44/12*1000</f>
        <v>72.993823166969079</v>
      </c>
      <c r="T150" s="2619">
        <f>$E$173*T142*44/12*1000</f>
        <v>72.993823166969079</v>
      </c>
      <c r="U150" s="2619">
        <f>$H$173*U142*44/12*1000</f>
        <v>72.993823166969079</v>
      </c>
      <c r="V150" s="2619">
        <f>$I$173*V142*44/12*1000</f>
        <v>72.993823166969079</v>
      </c>
      <c r="W150" s="2619">
        <f>$I$173*W142*44/12*1000</f>
        <v>72.993823166969079</v>
      </c>
      <c r="X150" s="2619">
        <f>$I$173*X142*44/12*1000</f>
        <v>72.993823166969079</v>
      </c>
      <c r="Y150" s="2064" t="s">
        <v>1321</v>
      </c>
      <c r="Z150" s="2065"/>
      <c r="AB150" s="1845"/>
      <c r="AC150" s="2572"/>
      <c r="AD150" s="1845"/>
      <c r="AE150" s="1845"/>
      <c r="AF150" s="1845"/>
      <c r="AG150" s="1845"/>
      <c r="AH150" s="1845"/>
      <c r="AI150" s="1845"/>
      <c r="AJ150" s="1845"/>
      <c r="AK150" s="1845"/>
    </row>
    <row r="151" spans="1:37" ht="18" customHeight="1" x14ac:dyDescent="0.2">
      <c r="A151" s="2065"/>
      <c r="B151" s="2065"/>
      <c r="C151" s="2065"/>
      <c r="D151" s="2065"/>
      <c r="E151" s="2065"/>
      <c r="F151" s="2065"/>
      <c r="G151" s="2065"/>
      <c r="H151" s="2065"/>
      <c r="I151" s="2065"/>
      <c r="J151" s="2065"/>
      <c r="K151" s="2065"/>
      <c r="L151" s="2065"/>
      <c r="N151" s="2632" t="s">
        <v>1365</v>
      </c>
      <c r="O151" s="2633"/>
      <c r="P151" s="2634"/>
      <c r="Q151" s="2635">
        <f t="shared" ref="Q151:X151" si="125">Q138+Q139+Q146+Q147+Q150</f>
        <v>166.55905754176484</v>
      </c>
      <c r="R151" s="2635">
        <f t="shared" si="125"/>
        <v>155.59463159806012</v>
      </c>
      <c r="S151" s="2635">
        <f t="shared" si="125"/>
        <v>155.59463159806012</v>
      </c>
      <c r="T151" s="2635">
        <f t="shared" si="125"/>
        <v>155.59463159806012</v>
      </c>
      <c r="U151" s="2635">
        <f t="shared" si="125"/>
        <v>155.59463159806012</v>
      </c>
      <c r="V151" s="2635">
        <f t="shared" si="125"/>
        <v>155.59463159806012</v>
      </c>
      <c r="W151" s="2635">
        <f t="shared" si="125"/>
        <v>155.59463159806012</v>
      </c>
      <c r="X151" s="2635">
        <f t="shared" si="125"/>
        <v>155.59463159806012</v>
      </c>
      <c r="Y151" s="2473" t="s">
        <v>1321</v>
      </c>
      <c r="Z151" s="2065"/>
      <c r="AB151" s="1845"/>
      <c r="AC151" s="2572"/>
      <c r="AD151" s="1845"/>
      <c r="AE151" s="1845"/>
      <c r="AF151" s="1845"/>
      <c r="AG151" s="1845"/>
      <c r="AH151" s="1845"/>
      <c r="AI151" s="1845"/>
      <c r="AJ151" s="1845"/>
      <c r="AK151" s="1845"/>
    </row>
    <row r="152" spans="1:37" ht="18" customHeight="1" x14ac:dyDescent="0.2">
      <c r="A152" s="2636"/>
      <c r="B152" s="2637" t="s">
        <v>1483</v>
      </c>
      <c r="C152" s="2199"/>
      <c r="D152" s="2079" t="str">
        <f t="shared" ref="D152:K152" si="126">+D101</f>
        <v>Cenário-Base</v>
      </c>
      <c r="E152" s="2079" t="str">
        <f t="shared" si="126"/>
        <v>Biodigestão RT1A + CDR TM</v>
      </c>
      <c r="F152" s="2079" t="str">
        <f t="shared" si="126"/>
        <v>Biodigestão RT1B + CDR TM</v>
      </c>
      <c r="G152" s="2079" t="str">
        <f t="shared" si="126"/>
        <v>Biodigestão RT1C + CDR TM</v>
      </c>
      <c r="H152" s="2079" t="str">
        <f t="shared" si="126"/>
        <v>Compostagem + CDR TM</v>
      </c>
      <c r="I152" s="2079" t="str">
        <f t="shared" si="126"/>
        <v xml:space="preserve">Biosecagem + CDR TMB </v>
      </c>
      <c r="J152" s="2079" t="str">
        <f t="shared" si="126"/>
        <v>Incineração Mass Burning</v>
      </c>
      <c r="K152" s="2079" t="str">
        <f t="shared" si="126"/>
        <v>Incineração Mass Burn. Descentralizada</v>
      </c>
      <c r="L152" s="2065"/>
      <c r="N152" s="2618" t="s">
        <v>1484</v>
      </c>
      <c r="O152" s="2616"/>
      <c r="P152" s="2617"/>
      <c r="Q152" s="2638">
        <f>$D$144*($D$153+$D$154)/33.5*0.9*44/12*1000</f>
        <v>526.49754740147955</v>
      </c>
      <c r="R152" s="2638">
        <f>$E$144*($E$153+$E$154)/33.5*0.9*44/12*1000</f>
        <v>500.53762448082119</v>
      </c>
      <c r="S152" s="2638">
        <f>$G$144*($G$153+$G$154)/33.5*0.9*44/12*1000</f>
        <v>500.53762448082119</v>
      </c>
      <c r="T152" s="2638">
        <f>$G$144*($G$153+$G$154)/33.5*0.9*44/12*1000</f>
        <v>500.53762448082119</v>
      </c>
      <c r="U152" s="2638">
        <f>$H$144*($H$153+$H$154)/33.5*0.9*44/12*1000</f>
        <v>500.53762448082119</v>
      </c>
      <c r="V152" s="2638">
        <f>$I$144*($I$153+$I$154)/33.5*0.9*44/12*1000</f>
        <v>500.53762448082119</v>
      </c>
      <c r="W152" s="2638">
        <f>$I$144*($I$153+$I$154)/33.5*0.9*44/12*1000</f>
        <v>500.53762448082119</v>
      </c>
      <c r="X152" s="2638">
        <f>$I$144*($I$153+$I$154)/33.5*0.9*44/12*1000</f>
        <v>500.53762448082119</v>
      </c>
      <c r="Y152" s="2064" t="s">
        <v>1349</v>
      </c>
      <c r="Z152" s="2065"/>
      <c r="AB152" s="1845"/>
      <c r="AC152" s="2572"/>
      <c r="AD152" s="1845"/>
      <c r="AE152" s="1845"/>
      <c r="AF152" s="1845"/>
      <c r="AG152" s="1845"/>
      <c r="AH152" s="1845"/>
      <c r="AI152" s="1845"/>
      <c r="AJ152" s="1845"/>
      <c r="AK152" s="1845"/>
    </row>
    <row r="153" spans="1:37" ht="18" customHeight="1" x14ac:dyDescent="0.2">
      <c r="A153" s="2602"/>
      <c r="B153" s="2603" t="s">
        <v>1485</v>
      </c>
      <c r="C153" s="2474"/>
      <c r="D153" s="2484">
        <f>+((D131+D132)*$C$29+D133*$C$31+D134*$C$32+D135*$C$33+(D136+D137)*$C$34+(D138+D139+D140)*$C$35+D141*$C$36+D142*$C$37+D143*$C$38)*'CO2 - Início'!$E$55/IF(D144=0,1,D144)</f>
        <v>0</v>
      </c>
      <c r="E153" s="2484">
        <f>+((E131+E132)*$C$29+E133*$C$31+E134*$C$32+E135*$C$33+(E136+E137)*$C$34+(E138+E139+E140)*$C$35+E141*$C$36+E142*$C$37+E143*$C$38)*'CO2 - Início'!$E$55/IF(E144=0,1,E144)</f>
        <v>0</v>
      </c>
      <c r="F153" s="2484">
        <f>+((F131+F132)*$C$29+F133*$C$31+F134*$C$32+F135*$C$33+(F136+F137)*$C$34+(F138+F139+F140)*$C$35+F141*$C$36+F142*$C$37+F143*$C$38)*'CO2 - Início'!$E$55/IF(F144=0,1,F144)</f>
        <v>0</v>
      </c>
      <c r="G153" s="2484">
        <f>+((G131+G132)*$C$29+G133*$C$31+G134*$C$32+G135*$C$33+(G136+G137)*$C$34+(G138+G139+G140)*$C$35+G141*$C$36+G142*$C$37+G143*$C$38)*'CO2 - Início'!$E$55/IF(G144=0,1,G144)</f>
        <v>0</v>
      </c>
      <c r="H153" s="2484">
        <f>+((H131+H132)*$C$29+H133*$C$31+H134*$C$32+H135*$C$33+(H136+H137)*$C$34+(H138+H139+H140)*$C$35+H141*$C$36+H142*$C$37+H143*$C$38)*'CO2 - Início'!$E$55/IF(H144=0,1,H144)</f>
        <v>0</v>
      </c>
      <c r="I153" s="2484">
        <f>+((I131+I132)*$C$29+I133*$C$31+I134*$C$32+I135*$C$33+(I136+I137)*$C$34+(I138+I139+I140)*$C$35+I141*$C$36+I142*$C$37+I143*$C$38)*'CO2 - Início'!$E$55/IF(I144=0,1,I144)</f>
        <v>0</v>
      </c>
      <c r="J153" s="2484">
        <f>+((J131+J132)*$C$29+J133*$C$31+J134*$C$32+J135*$C$33+(J136+J137)*$C$34+(J138+J139+J140)*$C$35+J141*$C$36+J142*$C$37+J143*$C$38)*'CO2 - Início'!$E$55/IF(J144=0,1,J144)</f>
        <v>0</v>
      </c>
      <c r="K153" s="2484">
        <f>+((K131+K132)*$C$29+K133*$C$31+K134*$C$32+K135*$C$33+(K136+K137)*$C$34+(K138+K139+K140)*$C$35+K141*$C$36+K142*$C$37+K143*$C$38)*'CO2 - Início'!$E$55/IF(K144=0,1,K144)</f>
        <v>0</v>
      </c>
      <c r="L153" s="2064" t="s">
        <v>1395</v>
      </c>
      <c r="N153" s="2618" t="s">
        <v>1486</v>
      </c>
      <c r="O153" s="2622"/>
      <c r="P153" s="2623"/>
      <c r="Q153" s="2638">
        <f>$D$173*Q149/33.5*0.9*44/12*1000</f>
        <v>386.98243384154046</v>
      </c>
      <c r="R153" s="2638">
        <f>$E$173*R149/33.5*0.9*44/12*1000</f>
        <v>378.70716883934637</v>
      </c>
      <c r="S153" s="2638">
        <f>$E$173*S149/33.5*0.9*44/12*1000</f>
        <v>378.70716883934637</v>
      </c>
      <c r="T153" s="2638">
        <f>$E$173*T149/33.5*0.9*44/12*1000</f>
        <v>378.70716883934637</v>
      </c>
      <c r="U153" s="2638">
        <f>$H$173*U149/33.5*0.9*44/12*1000</f>
        <v>378.70716883934637</v>
      </c>
      <c r="V153" s="2638">
        <f>$I$173*V149/33.5*0.9*44/12*1000</f>
        <v>378.70716883934637</v>
      </c>
      <c r="W153" s="2638">
        <f>$I$173*W149/33.5*0.9*44/12*1000</f>
        <v>378.70716883934637</v>
      </c>
      <c r="X153" s="2638">
        <f>$I$173*X149/33.5*0.9*44/12*1000</f>
        <v>378.70716883934637</v>
      </c>
      <c r="Y153" s="2064" t="s">
        <v>1349</v>
      </c>
      <c r="Z153" s="2065"/>
      <c r="AB153" s="1845"/>
      <c r="AC153" s="2572"/>
      <c r="AD153" s="1845"/>
      <c r="AE153" s="1845"/>
      <c r="AF153" s="1845"/>
      <c r="AG153" s="1845"/>
      <c r="AH153" s="1845"/>
      <c r="AI153" s="1845"/>
      <c r="AJ153" s="1845"/>
      <c r="AK153" s="1845"/>
    </row>
    <row r="154" spans="1:37" ht="18" customHeight="1" x14ac:dyDescent="0.2">
      <c r="A154" s="2602"/>
      <c r="B154" s="2603" t="s">
        <v>1487</v>
      </c>
      <c r="C154" s="2474"/>
      <c r="D154" s="2484">
        <f>+((D131+D132)*$C$30+D133*$C$31+D134*$C$32+D135*$C$33+(D136+D137)*$C$34+(D138+D139+D140)*$C$35+D141*$C$36+D142*$C$37+D143*$C$39)*'CO2 - Início'!$E$56/IF(D144=0,1,D144)</f>
        <v>17.549809963350079</v>
      </c>
      <c r="E154" s="2484">
        <f>+((E131+E132)*$C$30+E133*$C$31+E134*$C$32+E135*$C$33+(E136+E137)*$C$34+(E138+E139+E140)*$C$35+E141*$C$36+E142*$C$37+E143*$C$39)*'CO2 - Início'!$E$56/IF(E144=0,1,E144)</f>
        <v>17.439362661700272</v>
      </c>
      <c r="F154" s="2484">
        <f>+((F131+F132)*$C$30+F133*$C$31+F134*$C$32+F135*$C$33+(F136+F137)*$C$34+(F138+F139+F140)*$C$35+F141*$C$36+F142*$C$37+F143*$C$39)*'CO2 - Início'!$E$56/IF(F144=0,1,F144)</f>
        <v>17.439362661700272</v>
      </c>
      <c r="G154" s="2484">
        <f>+((G131+G132)*$C$30+G133*$C$31+G134*$C$32+G135*$C$33+(G136+G137)*$C$34+(G138+G139+G140)*$C$35+G141*$C$36+G142*$C$37+G143*$C$39)*'CO2 - Início'!$E$56/IF(G144=0,1,G144)</f>
        <v>17.439362661700272</v>
      </c>
      <c r="H154" s="2484">
        <f>+((H131+H132)*$C$30+H133*$C$31+H134*$C$32+H135*$C$33+(H136+H137)*$C$34+(H138+H139+H140)*$C$35+H141*$C$36+H142*$C$37+H143*$C$39)*'CO2 - Início'!$E$56/IF(H144=0,1,H144)</f>
        <v>17.439362661700272</v>
      </c>
      <c r="I154" s="2484">
        <f>+((I131+I132)*$C$30+I133*$C$31+I134*$C$32+I135*$C$33+(I136+I137)*$C$34+(I138+I139+I140)*$C$35+I141*$C$36+I142*$C$37+I143*$C$39)*'CO2 - Início'!$E$56/IF(I144=0,1,I144)</f>
        <v>17.439362661700272</v>
      </c>
      <c r="J154" s="2484">
        <f>+((J131+J132)*$C$30+J133*$C$31+J134*$C$32+J135*$C$33+(J136+J137)*$C$34+(J138+J139+J140)*$C$35+J141*$C$36+J142*$C$37+J143*$C$39)*'CO2 - Início'!$E$56/IF(J144=0,1,J144)</f>
        <v>17.439362661700272</v>
      </c>
      <c r="K154" s="2484">
        <f>+((K131+K132)*$C$30+K133*$C$31+K134*$C$32+K135*$C$33+(K136+K137)*$C$34+(K138+K139+K140)*$C$35+K141*$C$36+K142*$C$37+K143*$C$39)*'CO2 - Início'!$E$56/IF(K144=0,1,K144)</f>
        <v>17.439362661700272</v>
      </c>
      <c r="L154" s="2064" t="s">
        <v>1395</v>
      </c>
      <c r="N154" s="2632" t="s">
        <v>1434</v>
      </c>
      <c r="O154" s="2633"/>
      <c r="P154" s="2634"/>
      <c r="Q154" s="2639">
        <f>Q152+Q153</f>
        <v>913.47998124302001</v>
      </c>
      <c r="R154" s="2639">
        <f t="shared" ref="R154:X154" si="127">R152+R153</f>
        <v>879.24479332016756</v>
      </c>
      <c r="S154" s="2639">
        <f t="shared" si="127"/>
        <v>879.24479332016756</v>
      </c>
      <c r="T154" s="2639">
        <f t="shared" si="127"/>
        <v>879.24479332016756</v>
      </c>
      <c r="U154" s="2639">
        <f t="shared" si="127"/>
        <v>879.24479332016756</v>
      </c>
      <c r="V154" s="2639">
        <f t="shared" si="127"/>
        <v>879.24479332016756</v>
      </c>
      <c r="W154" s="2639">
        <f t="shared" si="127"/>
        <v>879.24479332016756</v>
      </c>
      <c r="X154" s="2639">
        <f t="shared" si="127"/>
        <v>879.24479332016756</v>
      </c>
      <c r="Y154" s="2473" t="s">
        <v>1321</v>
      </c>
      <c r="Z154" s="2065"/>
      <c r="AB154" s="1845"/>
      <c r="AC154" s="2572"/>
      <c r="AD154" s="1845"/>
      <c r="AE154" s="1845"/>
      <c r="AF154" s="1845"/>
      <c r="AG154" s="1845"/>
      <c r="AH154" s="1845"/>
      <c r="AI154" s="1845"/>
      <c r="AJ154" s="1845"/>
      <c r="AK154" s="1845"/>
    </row>
    <row r="155" spans="1:37" ht="18" customHeight="1" x14ac:dyDescent="0.2">
      <c r="A155" s="2064"/>
      <c r="B155" s="2064"/>
      <c r="C155" s="2064"/>
      <c r="D155" s="2064"/>
      <c r="E155" s="2064"/>
      <c r="F155" s="2064"/>
      <c r="G155" s="2064"/>
      <c r="H155" s="2064"/>
      <c r="I155" s="2064"/>
      <c r="J155" s="2064"/>
      <c r="K155" s="2064"/>
      <c r="L155" s="2064"/>
      <c r="N155" s="2393"/>
      <c r="O155" s="2393"/>
      <c r="P155" s="2393"/>
      <c r="Q155" s="2393"/>
      <c r="R155" s="2393"/>
      <c r="S155" s="2393"/>
      <c r="T155" s="2393"/>
      <c r="U155" s="2393"/>
      <c r="V155" s="2393"/>
      <c r="W155" s="2393"/>
      <c r="X155" s="2393"/>
      <c r="Y155" s="2393"/>
      <c r="Z155" s="2393"/>
      <c r="AB155" s="1845"/>
      <c r="AC155" s="2572"/>
      <c r="AD155" s="1845"/>
      <c r="AE155" s="1845"/>
      <c r="AF155" s="1845"/>
      <c r="AG155" s="1845"/>
      <c r="AH155" s="1845"/>
      <c r="AI155" s="1845"/>
      <c r="AJ155" s="1845"/>
      <c r="AK155" s="1845"/>
    </row>
    <row r="156" spans="1:37" ht="18" customHeight="1" x14ac:dyDescent="0.2">
      <c r="A156" s="2064"/>
      <c r="B156" s="2064"/>
      <c r="C156" s="2064"/>
      <c r="D156" s="2064"/>
      <c r="E156" s="2064"/>
      <c r="F156" s="2064"/>
      <c r="G156" s="2064"/>
      <c r="H156" s="2064"/>
      <c r="I156" s="2064"/>
      <c r="J156" s="2064"/>
      <c r="K156" s="2064"/>
      <c r="L156" s="2064"/>
      <c r="N156" s="2393"/>
      <c r="O156" s="2393"/>
      <c r="P156" s="2393"/>
      <c r="Q156" s="2393"/>
      <c r="R156" s="2393"/>
      <c r="S156" s="2393"/>
      <c r="T156" s="2393"/>
      <c r="U156" s="2393"/>
      <c r="V156" s="2393"/>
      <c r="W156" s="2393"/>
      <c r="X156" s="2393"/>
      <c r="Y156" s="2393"/>
      <c r="Z156" s="2393"/>
      <c r="AB156" s="1845"/>
      <c r="AC156" s="2572"/>
      <c r="AD156" s="1845"/>
      <c r="AE156" s="1845"/>
      <c r="AF156" s="1845"/>
      <c r="AG156" s="1845"/>
      <c r="AH156" s="1845"/>
      <c r="AI156" s="1845"/>
      <c r="AJ156" s="1845"/>
      <c r="AK156" s="1845"/>
    </row>
    <row r="157" spans="1:37" ht="18" customHeight="1" x14ac:dyDescent="0.2">
      <c r="A157" s="1989" t="s">
        <v>1488</v>
      </c>
      <c r="B157" s="2199"/>
      <c r="C157" s="2065"/>
      <c r="D157" s="2065"/>
      <c r="E157" s="2065"/>
      <c r="F157" s="2065"/>
      <c r="G157" s="2065"/>
      <c r="H157" s="2065"/>
      <c r="I157" s="2065"/>
      <c r="J157" s="2065"/>
      <c r="K157" s="2065"/>
      <c r="L157" s="2497"/>
      <c r="N157" s="1845"/>
      <c r="O157" s="1845"/>
      <c r="P157" s="1845"/>
      <c r="Q157" s="1845"/>
      <c r="R157" s="1845"/>
      <c r="S157" s="1845"/>
      <c r="T157" s="1845"/>
      <c r="U157" s="1845"/>
      <c r="V157" s="1845"/>
      <c r="W157" s="1845"/>
      <c r="X157" s="1845"/>
      <c r="Y157" s="1845"/>
      <c r="Z157" s="1845"/>
      <c r="AB157" s="1845"/>
      <c r="AC157" s="2572"/>
      <c r="AD157" s="1845"/>
      <c r="AE157" s="1845"/>
      <c r="AF157" s="1845"/>
      <c r="AG157" s="1845"/>
      <c r="AH157" s="1845"/>
      <c r="AI157" s="1845"/>
      <c r="AJ157" s="1845"/>
      <c r="AK157" s="1845"/>
    </row>
    <row r="158" spans="1:37" ht="18" customHeight="1" x14ac:dyDescent="0.2">
      <c r="A158" s="2065"/>
      <c r="B158" s="2065"/>
      <c r="C158" s="2065"/>
      <c r="D158" s="2065"/>
      <c r="E158" s="2065"/>
      <c r="F158" s="2065"/>
      <c r="G158" s="2065"/>
      <c r="H158" s="2065"/>
      <c r="I158" s="2065"/>
      <c r="J158" s="2065"/>
      <c r="K158" s="2065"/>
      <c r="L158" s="2497"/>
      <c r="N158" s="1845"/>
      <c r="O158" s="1845"/>
      <c r="P158" s="1845"/>
      <c r="Q158" s="1845"/>
      <c r="R158" s="1845"/>
      <c r="S158" s="1845"/>
      <c r="T158" s="1845"/>
      <c r="U158" s="1845"/>
      <c r="V158" s="1845"/>
      <c r="W158" s="1845"/>
      <c r="X158" s="1845"/>
      <c r="Y158" s="1845"/>
      <c r="Z158" s="1845"/>
      <c r="AB158" s="1845"/>
      <c r="AC158" s="2572"/>
      <c r="AD158" s="1845"/>
      <c r="AE158" s="1845"/>
      <c r="AF158" s="1845"/>
      <c r="AG158" s="1845"/>
      <c r="AH158" s="1845"/>
      <c r="AI158" s="1845"/>
      <c r="AJ158" s="1845"/>
      <c r="AK158" s="1845"/>
    </row>
    <row r="159" spans="1:37" ht="18" customHeight="1" x14ac:dyDescent="0.2">
      <c r="A159" s="2065"/>
      <c r="B159" s="2551" t="s">
        <v>1432</v>
      </c>
      <c r="C159" s="2474"/>
      <c r="D159" s="2079" t="str">
        <f t="shared" ref="D159:K159" si="128">+D130</f>
        <v>Cenário-Base</v>
      </c>
      <c r="E159" s="2079" t="str">
        <f t="shared" si="128"/>
        <v>Biodigestão RT1A + CDR TM</v>
      </c>
      <c r="F159" s="2079" t="str">
        <f t="shared" si="128"/>
        <v>Biodigestão RT1B + CDR TM</v>
      </c>
      <c r="G159" s="2079" t="str">
        <f t="shared" si="128"/>
        <v>Biodigestão RT1C + CDR TM</v>
      </c>
      <c r="H159" s="2079" t="str">
        <f t="shared" si="128"/>
        <v>Compostagem + CDR TM</v>
      </c>
      <c r="I159" s="2079" t="str">
        <f t="shared" si="128"/>
        <v xml:space="preserve">Biosecagem + CDR TMB </v>
      </c>
      <c r="J159" s="2079" t="str">
        <f t="shared" si="128"/>
        <v>Incineração Mass Burning</v>
      </c>
      <c r="K159" s="2079" t="str">
        <f t="shared" si="128"/>
        <v>Incineração Mass Burn. Descentralizada</v>
      </c>
      <c r="L159" s="2497"/>
      <c r="N159" s="1845"/>
      <c r="O159" s="1845"/>
      <c r="P159" s="1845"/>
      <c r="Q159" s="1845"/>
      <c r="R159" s="1845"/>
      <c r="S159" s="1845"/>
      <c r="T159" s="1845"/>
      <c r="U159" s="1845"/>
      <c r="V159" s="1845"/>
      <c r="W159" s="1845"/>
      <c r="X159" s="1845"/>
      <c r="Y159" s="1845"/>
      <c r="Z159" s="1845"/>
      <c r="AB159" s="1845"/>
      <c r="AC159" s="2572"/>
      <c r="AD159" s="1845"/>
      <c r="AE159" s="1845"/>
      <c r="AF159" s="1845"/>
      <c r="AG159" s="1845"/>
      <c r="AH159" s="1845"/>
      <c r="AI159" s="1845"/>
      <c r="AJ159" s="1845"/>
      <c r="AK159" s="1845"/>
    </row>
    <row r="160" spans="1:37" ht="18" customHeight="1" x14ac:dyDescent="0.2">
      <c r="A160" s="2065"/>
      <c r="B160" s="2551" t="s">
        <v>1106</v>
      </c>
      <c r="C160" s="2640"/>
      <c r="D160" s="2467">
        <f>D102-D131</f>
        <v>0.50020669698222398</v>
      </c>
      <c r="E160" s="2467">
        <f t="shared" ref="E160:K172" si="129">E102-E131</f>
        <v>0.53829992870862509</v>
      </c>
      <c r="F160" s="2467">
        <f t="shared" si="129"/>
        <v>0.53829992870862509</v>
      </c>
      <c r="G160" s="2467">
        <f t="shared" si="129"/>
        <v>0.53829992870862509</v>
      </c>
      <c r="H160" s="2467">
        <f t="shared" si="129"/>
        <v>0.53829992870862509</v>
      </c>
      <c r="I160" s="2467">
        <f t="shared" si="129"/>
        <v>0.53829992870862509</v>
      </c>
      <c r="J160" s="2467">
        <f t="shared" si="129"/>
        <v>0.53829992870862509</v>
      </c>
      <c r="K160" s="2467">
        <f t="shared" si="129"/>
        <v>0.53829992870862509</v>
      </c>
      <c r="L160" s="2609" t="s">
        <v>194</v>
      </c>
      <c r="N160" s="1845"/>
      <c r="O160" s="1845"/>
      <c r="P160" s="1845"/>
      <c r="Q160" s="1845"/>
      <c r="R160" s="1845"/>
      <c r="S160" s="1845"/>
      <c r="T160" s="1845"/>
      <c r="U160" s="1845"/>
      <c r="V160" s="1845"/>
      <c r="W160" s="1845"/>
      <c r="X160" s="1845"/>
      <c r="Y160" s="1845"/>
      <c r="Z160" s="1845"/>
      <c r="AB160" s="1845"/>
      <c r="AC160" s="2572"/>
      <c r="AD160" s="1845"/>
      <c r="AE160" s="1845"/>
      <c r="AF160" s="1845"/>
      <c r="AG160" s="1845"/>
      <c r="AH160" s="1845"/>
      <c r="AI160" s="1845"/>
      <c r="AJ160" s="1845"/>
      <c r="AK160" s="1845"/>
    </row>
    <row r="161" spans="1:37" ht="18" customHeight="1" x14ac:dyDescent="0.2">
      <c r="A161" s="2065"/>
      <c r="B161" s="2551" t="s">
        <v>1107</v>
      </c>
      <c r="C161" s="2640"/>
      <c r="D161" s="2467">
        <f>D103-D132</f>
        <v>3.1004547333608926E-2</v>
      </c>
      <c r="E161" s="2467">
        <f t="shared" si="129"/>
        <v>3.3365698060451969E-2</v>
      </c>
      <c r="F161" s="2467">
        <f t="shared" si="129"/>
        <v>3.3365698060451969E-2</v>
      </c>
      <c r="G161" s="2467">
        <f t="shared" si="129"/>
        <v>3.3365698060451969E-2</v>
      </c>
      <c r="H161" s="2467">
        <f t="shared" si="129"/>
        <v>3.3365698060451969E-2</v>
      </c>
      <c r="I161" s="2467">
        <f t="shared" si="129"/>
        <v>3.3365698060451969E-2</v>
      </c>
      <c r="J161" s="2467">
        <f t="shared" si="129"/>
        <v>3.3365698060451969E-2</v>
      </c>
      <c r="K161" s="2467">
        <f t="shared" si="129"/>
        <v>3.3365698060451969E-2</v>
      </c>
      <c r="L161" s="2609" t="s">
        <v>194</v>
      </c>
      <c r="N161" s="1845"/>
      <c r="O161" s="1845"/>
      <c r="P161" s="1845"/>
      <c r="Q161" s="1845"/>
      <c r="R161" s="1845"/>
      <c r="S161" s="1845"/>
      <c r="T161" s="1845"/>
      <c r="U161" s="1845"/>
      <c r="V161" s="1845"/>
      <c r="W161" s="1845"/>
      <c r="X161" s="1845"/>
      <c r="Y161" s="1845"/>
      <c r="Z161" s="1845"/>
      <c r="AB161" s="1845"/>
      <c r="AC161" s="2572"/>
      <c r="AD161" s="1845"/>
      <c r="AE161" s="1845"/>
      <c r="AF161" s="1845"/>
      <c r="AG161" s="1845"/>
      <c r="AH161" s="1845"/>
      <c r="AI161" s="1845"/>
      <c r="AJ161" s="1845"/>
      <c r="AK161" s="1845"/>
    </row>
    <row r="162" spans="1:37" ht="18" customHeight="1" x14ac:dyDescent="0.2">
      <c r="A162" s="2065"/>
      <c r="B162" s="2551" t="s">
        <v>1108</v>
      </c>
      <c r="C162" s="2640"/>
      <c r="D162" s="2467">
        <f>D104-D133</f>
        <v>3.6554361306324931E-2</v>
      </c>
      <c r="E162" s="2467">
        <f t="shared" si="129"/>
        <v>2.915394599428113E-2</v>
      </c>
      <c r="F162" s="2467">
        <f t="shared" si="129"/>
        <v>2.915394599428113E-2</v>
      </c>
      <c r="G162" s="2467">
        <f t="shared" si="129"/>
        <v>2.915394599428113E-2</v>
      </c>
      <c r="H162" s="2467">
        <f t="shared" si="129"/>
        <v>2.915394599428113E-2</v>
      </c>
      <c r="I162" s="2467">
        <f t="shared" si="129"/>
        <v>2.915394599428113E-2</v>
      </c>
      <c r="J162" s="2467">
        <f t="shared" si="129"/>
        <v>2.915394599428113E-2</v>
      </c>
      <c r="K162" s="2467">
        <f t="shared" si="129"/>
        <v>2.915394599428113E-2</v>
      </c>
      <c r="L162" s="2609" t="s">
        <v>194</v>
      </c>
      <c r="N162" s="1845"/>
      <c r="O162" s="1845"/>
      <c r="P162" s="1845"/>
      <c r="Q162" s="1845"/>
      <c r="R162" s="1845"/>
      <c r="S162" s="1845"/>
      <c r="T162" s="1845"/>
      <c r="U162" s="1845"/>
      <c r="V162" s="1845"/>
      <c r="W162" s="1845"/>
      <c r="X162" s="1845"/>
      <c r="Y162" s="1845"/>
      <c r="Z162" s="1845"/>
      <c r="AB162" s="1845"/>
      <c r="AC162" s="2572"/>
      <c r="AD162" s="1845"/>
      <c r="AE162" s="1845"/>
      <c r="AF162" s="1845"/>
      <c r="AG162" s="1845"/>
      <c r="AH162" s="1845"/>
      <c r="AI162" s="1845"/>
      <c r="AJ162" s="1845"/>
      <c r="AK162" s="1845"/>
    </row>
    <row r="163" spans="1:37" ht="18" customHeight="1" x14ac:dyDescent="0.2">
      <c r="A163" s="2065"/>
      <c r="B163" s="2551" t="s">
        <v>1109</v>
      </c>
      <c r="C163" s="2640"/>
      <c r="D163" s="2467">
        <f>D105-D134</f>
        <v>3.7670525010334854E-2</v>
      </c>
      <c r="E163" s="2467">
        <f t="shared" si="129"/>
        <v>3.5134080057655934E-2</v>
      </c>
      <c r="F163" s="2467">
        <f t="shared" si="129"/>
        <v>3.5134080057655934E-2</v>
      </c>
      <c r="G163" s="2467">
        <f t="shared" si="129"/>
        <v>3.5134080057655934E-2</v>
      </c>
      <c r="H163" s="2467">
        <f t="shared" si="129"/>
        <v>3.5134080057655934E-2</v>
      </c>
      <c r="I163" s="2467">
        <f t="shared" si="129"/>
        <v>3.5134080057655934E-2</v>
      </c>
      <c r="J163" s="2467">
        <f t="shared" si="129"/>
        <v>3.5134080057655934E-2</v>
      </c>
      <c r="K163" s="2467">
        <f t="shared" si="129"/>
        <v>3.5134080057655934E-2</v>
      </c>
      <c r="L163" s="2609" t="s">
        <v>194</v>
      </c>
      <c r="N163" s="1845"/>
      <c r="O163" s="1845"/>
      <c r="P163" s="1845"/>
      <c r="Q163" s="1845"/>
      <c r="R163" s="1845"/>
      <c r="S163" s="1845"/>
      <c r="T163" s="1845"/>
      <c r="U163" s="1845"/>
      <c r="V163" s="1845"/>
      <c r="W163" s="1845"/>
      <c r="X163" s="1845"/>
      <c r="Y163" s="1845"/>
      <c r="Z163" s="1845"/>
      <c r="AB163" s="1845"/>
      <c r="AC163" s="2572"/>
      <c r="AD163" s="1845"/>
      <c r="AE163" s="1845"/>
      <c r="AF163" s="1845"/>
      <c r="AG163" s="1845"/>
      <c r="AH163" s="1845"/>
      <c r="AI163" s="1845"/>
      <c r="AJ163" s="1845"/>
      <c r="AK163" s="1845"/>
    </row>
    <row r="164" spans="1:37" ht="18" customHeight="1" x14ac:dyDescent="0.2">
      <c r="A164" s="2065"/>
      <c r="B164" s="2551" t="s">
        <v>50</v>
      </c>
      <c r="C164" s="2640"/>
      <c r="D164" s="2467">
        <f t="shared" ref="D164:I172" si="130">D106-D135</f>
        <v>2.4803637866887142E-2</v>
      </c>
      <c r="E164" s="2467">
        <f t="shared" si="130"/>
        <v>2.6692558448361575E-2</v>
      </c>
      <c r="F164" s="2467">
        <f t="shared" si="129"/>
        <v>2.6692558448361575E-2</v>
      </c>
      <c r="G164" s="2467">
        <f t="shared" si="129"/>
        <v>2.6692558448361575E-2</v>
      </c>
      <c r="H164" s="2467">
        <f t="shared" si="130"/>
        <v>2.6692558448361575E-2</v>
      </c>
      <c r="I164" s="2467">
        <f t="shared" si="130"/>
        <v>2.6692558448361575E-2</v>
      </c>
      <c r="J164" s="2467">
        <f t="shared" si="129"/>
        <v>2.6692558448361575E-2</v>
      </c>
      <c r="K164" s="2467">
        <f t="shared" si="129"/>
        <v>2.6692558448361575E-2</v>
      </c>
      <c r="L164" s="2609" t="s">
        <v>194</v>
      </c>
      <c r="N164" s="1845"/>
      <c r="O164" s="1845"/>
      <c r="P164" s="1845"/>
      <c r="Q164" s="1845"/>
      <c r="R164" s="1845"/>
      <c r="S164" s="1845"/>
      <c r="T164" s="1845"/>
      <c r="U164" s="1845"/>
      <c r="V164" s="1845"/>
      <c r="W164" s="1845"/>
      <c r="X164" s="1845"/>
      <c r="Y164" s="1845"/>
      <c r="Z164" s="1845"/>
      <c r="AB164" s="1845"/>
      <c r="AC164" s="2572"/>
      <c r="AD164" s="1845"/>
      <c r="AE164" s="1845"/>
      <c r="AF164" s="1845"/>
      <c r="AG164" s="1845"/>
      <c r="AH164" s="1845"/>
      <c r="AI164" s="1845"/>
      <c r="AJ164" s="1845"/>
      <c r="AK164" s="1845"/>
    </row>
    <row r="165" spans="1:37" ht="18" customHeight="1" x14ac:dyDescent="0.2">
      <c r="A165" s="2065"/>
      <c r="B165" s="2551" t="s">
        <v>1489</v>
      </c>
      <c r="C165" s="2640"/>
      <c r="D165" s="2467">
        <f t="shared" si="130"/>
        <v>1.9016122364613478E-2</v>
      </c>
      <c r="E165" s="2467">
        <f t="shared" si="130"/>
        <v>1.2790184256506595E-3</v>
      </c>
      <c r="F165" s="2467">
        <f t="shared" si="129"/>
        <v>1.2790184256506595E-3</v>
      </c>
      <c r="G165" s="2467">
        <f t="shared" si="129"/>
        <v>1.2790184256506595E-3</v>
      </c>
      <c r="H165" s="2467">
        <f t="shared" si="130"/>
        <v>1.2790184256506595E-3</v>
      </c>
      <c r="I165" s="2467">
        <f t="shared" si="130"/>
        <v>1.2790184256506595E-3</v>
      </c>
      <c r="J165" s="2467">
        <f t="shared" si="129"/>
        <v>1.2790184256506595E-3</v>
      </c>
      <c r="K165" s="2467">
        <f t="shared" si="129"/>
        <v>1.2790184256506595E-3</v>
      </c>
      <c r="L165" s="2609" t="s">
        <v>194</v>
      </c>
      <c r="N165" s="1845"/>
      <c r="O165" s="1845"/>
      <c r="P165" s="1845"/>
      <c r="Q165" s="1845"/>
      <c r="R165" s="1845"/>
      <c r="S165" s="1845"/>
      <c r="T165" s="1845"/>
      <c r="U165" s="1845"/>
      <c r="V165" s="1845"/>
      <c r="W165" s="1845"/>
      <c r="X165" s="1845"/>
      <c r="Y165" s="1845"/>
      <c r="Z165" s="1845"/>
      <c r="AB165" s="1845"/>
      <c r="AC165" s="2572"/>
      <c r="AD165" s="1845"/>
      <c r="AE165" s="1845"/>
      <c r="AF165" s="1845"/>
      <c r="AG165" s="1845"/>
      <c r="AH165" s="1845"/>
      <c r="AI165" s="1845"/>
      <c r="AJ165" s="1845"/>
      <c r="AK165" s="1845"/>
    </row>
    <row r="166" spans="1:37" ht="18" customHeight="1" x14ac:dyDescent="0.2">
      <c r="A166" s="2065"/>
      <c r="B166" s="2551" t="s">
        <v>1111</v>
      </c>
      <c r="C166" s="2640"/>
      <c r="D166" s="2467">
        <f t="shared" si="130"/>
        <v>4.9607275733774278E-3</v>
      </c>
      <c r="E166" s="2467">
        <f t="shared" si="130"/>
        <v>3.3365698060451972E-4</v>
      </c>
      <c r="F166" s="2467">
        <f t="shared" si="129"/>
        <v>3.3365698060451972E-4</v>
      </c>
      <c r="G166" s="2467">
        <f t="shared" si="129"/>
        <v>3.3365698060451972E-4</v>
      </c>
      <c r="H166" s="2467">
        <f t="shared" si="130"/>
        <v>3.3365698060451972E-4</v>
      </c>
      <c r="I166" s="2467">
        <f t="shared" si="130"/>
        <v>3.3365698060451972E-4</v>
      </c>
      <c r="J166" s="2467">
        <f t="shared" si="129"/>
        <v>3.3365698060451972E-4</v>
      </c>
      <c r="K166" s="2467">
        <f t="shared" si="129"/>
        <v>3.3365698060451972E-4</v>
      </c>
      <c r="L166" s="2609" t="s">
        <v>194</v>
      </c>
      <c r="N166" s="1845"/>
      <c r="O166" s="1845"/>
      <c r="P166" s="1845"/>
      <c r="Q166" s="1845"/>
      <c r="R166" s="1845"/>
      <c r="S166" s="1845"/>
      <c r="T166" s="1845"/>
      <c r="U166" s="1845"/>
      <c r="V166" s="1845"/>
      <c r="W166" s="1845"/>
      <c r="X166" s="1845"/>
      <c r="Y166" s="1845"/>
      <c r="Z166" s="1845"/>
      <c r="AB166" s="1845"/>
      <c r="AC166" s="2572"/>
      <c r="AD166" s="1845"/>
      <c r="AE166" s="1845"/>
      <c r="AF166" s="1845"/>
      <c r="AG166" s="1845"/>
      <c r="AH166" s="1845"/>
      <c r="AI166" s="1845"/>
      <c r="AJ166" s="1845"/>
      <c r="AK166" s="1845"/>
    </row>
    <row r="167" spans="1:37" ht="18" customHeight="1" x14ac:dyDescent="0.2">
      <c r="A167" s="2065"/>
      <c r="B167" s="2551" t="s">
        <v>1112</v>
      </c>
      <c r="C167" s="2640"/>
      <c r="D167" s="2467">
        <f t="shared" si="130"/>
        <v>4.599007854485325E-3</v>
      </c>
      <c r="E167" s="2467">
        <f t="shared" si="130"/>
        <v>4.9492452123003766E-3</v>
      </c>
      <c r="F167" s="2467">
        <f t="shared" si="129"/>
        <v>4.9492452123003766E-3</v>
      </c>
      <c r="G167" s="2467">
        <f t="shared" si="129"/>
        <v>4.9492452123003766E-3</v>
      </c>
      <c r="H167" s="2467">
        <f t="shared" si="130"/>
        <v>4.9492452123003766E-3</v>
      </c>
      <c r="I167" s="2467">
        <f t="shared" si="130"/>
        <v>4.9492452123003766E-3</v>
      </c>
      <c r="J167" s="2467">
        <f t="shared" si="129"/>
        <v>4.9492452123003766E-3</v>
      </c>
      <c r="K167" s="2467">
        <f t="shared" si="129"/>
        <v>4.9492452123003766E-3</v>
      </c>
      <c r="L167" s="2609" t="s">
        <v>194</v>
      </c>
      <c r="N167" s="1845"/>
      <c r="O167" s="1845"/>
      <c r="P167" s="1845"/>
      <c r="Q167" s="1845"/>
      <c r="R167" s="1845"/>
      <c r="S167" s="1845"/>
      <c r="T167" s="1845"/>
      <c r="U167" s="1845"/>
      <c r="V167" s="1845"/>
      <c r="W167" s="1845"/>
      <c r="X167" s="1845"/>
      <c r="Y167" s="1845"/>
      <c r="Z167" s="1845"/>
      <c r="AB167" s="1845"/>
      <c r="AC167" s="2572"/>
      <c r="AD167" s="1845"/>
      <c r="AE167" s="1845"/>
      <c r="AF167" s="1845"/>
      <c r="AG167" s="1845"/>
      <c r="AH167" s="1845"/>
      <c r="AI167" s="1845"/>
      <c r="AJ167" s="1845"/>
      <c r="AK167" s="1845"/>
    </row>
    <row r="168" spans="1:37" ht="18" customHeight="1" x14ac:dyDescent="0.2">
      <c r="A168" s="2065"/>
      <c r="B168" s="2551" t="s">
        <v>1373</v>
      </c>
      <c r="C168" s="2640"/>
      <c r="D168" s="2467">
        <f t="shared" si="130"/>
        <v>1.9842910293509704E-3</v>
      </c>
      <c r="E168" s="2467">
        <f t="shared" si="130"/>
        <v>2.1354046758689255E-3</v>
      </c>
      <c r="F168" s="2467">
        <f t="shared" si="129"/>
        <v>2.1354046758689255E-3</v>
      </c>
      <c r="G168" s="2467">
        <f t="shared" si="129"/>
        <v>2.1354046758689255E-3</v>
      </c>
      <c r="H168" s="2467">
        <f t="shared" si="130"/>
        <v>2.1354046758689255E-3</v>
      </c>
      <c r="I168" s="2467">
        <f t="shared" si="130"/>
        <v>2.1354046758689255E-3</v>
      </c>
      <c r="J168" s="2467">
        <f t="shared" si="129"/>
        <v>2.1354046758689255E-3</v>
      </c>
      <c r="K168" s="2467">
        <f t="shared" si="129"/>
        <v>2.1354046758689255E-3</v>
      </c>
      <c r="L168" s="2609" t="s">
        <v>194</v>
      </c>
      <c r="N168" s="1845"/>
      <c r="O168" s="1845"/>
      <c r="P168" s="1845"/>
      <c r="Q168" s="1845"/>
      <c r="R168" s="1845"/>
      <c r="S168" s="1845"/>
      <c r="T168" s="1845"/>
      <c r="U168" s="1845"/>
      <c r="V168" s="1845"/>
      <c r="W168" s="1845"/>
      <c r="X168" s="1845"/>
      <c r="Y168" s="1845"/>
      <c r="Z168" s="1845"/>
      <c r="AB168" s="1845"/>
      <c r="AC168" s="2572"/>
      <c r="AD168" s="1845"/>
      <c r="AE168" s="1845"/>
      <c r="AF168" s="1845"/>
      <c r="AG168" s="1845"/>
      <c r="AH168" s="1845"/>
      <c r="AI168" s="1845"/>
      <c r="AJ168" s="1845"/>
      <c r="AK168" s="1845"/>
    </row>
    <row r="169" spans="1:37" ht="18" customHeight="1" x14ac:dyDescent="0.2">
      <c r="A169" s="2065"/>
      <c r="B169" s="2551" t="s">
        <v>1319</v>
      </c>
      <c r="C169" s="2640"/>
      <c r="D169" s="2467">
        <f t="shared" si="130"/>
        <v>0</v>
      </c>
      <c r="E169" s="2467">
        <f t="shared" si="130"/>
        <v>0</v>
      </c>
      <c r="F169" s="2467">
        <f t="shared" si="129"/>
        <v>0</v>
      </c>
      <c r="G169" s="2467">
        <f t="shared" si="129"/>
        <v>0</v>
      </c>
      <c r="H169" s="2467">
        <f t="shared" si="130"/>
        <v>0</v>
      </c>
      <c r="I169" s="2467">
        <f t="shared" si="130"/>
        <v>0</v>
      </c>
      <c r="J169" s="2467">
        <f t="shared" si="129"/>
        <v>0</v>
      </c>
      <c r="K169" s="2467">
        <f t="shared" si="129"/>
        <v>0</v>
      </c>
      <c r="L169" s="2609" t="s">
        <v>194</v>
      </c>
      <c r="N169" s="1845"/>
      <c r="O169" s="1845"/>
      <c r="P169" s="1845"/>
      <c r="Q169" s="1845"/>
      <c r="R169" s="1845"/>
      <c r="S169" s="1845"/>
      <c r="T169" s="1845"/>
      <c r="U169" s="1845"/>
      <c r="V169" s="1845"/>
      <c r="W169" s="1845"/>
      <c r="X169" s="1845"/>
      <c r="Y169" s="1845"/>
      <c r="Z169" s="1845"/>
      <c r="AB169" s="1845"/>
      <c r="AC169" s="2572"/>
      <c r="AD169" s="1845"/>
      <c r="AE169" s="1845"/>
      <c r="AF169" s="1845"/>
      <c r="AG169" s="1845"/>
      <c r="AH169" s="1845"/>
      <c r="AI169" s="1845"/>
      <c r="AJ169" s="1845"/>
      <c r="AK169" s="1845"/>
    </row>
    <row r="170" spans="1:37" ht="18" customHeight="1" x14ac:dyDescent="0.2">
      <c r="A170" s="2065"/>
      <c r="B170" s="2551" t="s">
        <v>1115</v>
      </c>
      <c r="C170" s="2640"/>
      <c r="D170" s="2467">
        <f t="shared" si="130"/>
        <v>7.5444398511781679E-4</v>
      </c>
      <c r="E170" s="2467">
        <f t="shared" si="130"/>
        <v>8.1189865280433069E-4</v>
      </c>
      <c r="F170" s="2467">
        <f t="shared" si="129"/>
        <v>8.1189865280433069E-4</v>
      </c>
      <c r="G170" s="2467">
        <f t="shared" si="129"/>
        <v>8.1189865280433069E-4</v>
      </c>
      <c r="H170" s="2467">
        <f t="shared" si="130"/>
        <v>8.1189865280433069E-4</v>
      </c>
      <c r="I170" s="2467">
        <f t="shared" si="130"/>
        <v>8.1189865280433069E-4</v>
      </c>
      <c r="J170" s="2467">
        <f t="shared" si="129"/>
        <v>8.1189865280433069E-4</v>
      </c>
      <c r="K170" s="2467">
        <f t="shared" si="129"/>
        <v>8.1189865280433069E-4</v>
      </c>
      <c r="L170" s="2609" t="s">
        <v>194</v>
      </c>
      <c r="N170" s="1845"/>
      <c r="O170" s="1845"/>
      <c r="P170" s="1845"/>
      <c r="Q170" s="1845"/>
      <c r="R170" s="1845"/>
      <c r="S170" s="1845"/>
      <c r="T170" s="1845"/>
      <c r="U170" s="1845"/>
      <c r="V170" s="1845"/>
      <c r="W170" s="1845"/>
      <c r="X170" s="1845"/>
      <c r="Y170" s="1845"/>
      <c r="Z170" s="1845"/>
      <c r="AB170" s="1845"/>
      <c r="AC170" s="2572"/>
      <c r="AD170" s="1845"/>
      <c r="AE170" s="1845"/>
      <c r="AF170" s="1845"/>
      <c r="AG170" s="1845"/>
      <c r="AH170" s="1845"/>
      <c r="AI170" s="1845"/>
      <c r="AJ170" s="1845"/>
      <c r="AK170" s="1845"/>
    </row>
    <row r="171" spans="1:37" ht="18" customHeight="1" x14ac:dyDescent="0.2">
      <c r="A171" s="2065"/>
      <c r="B171" s="2551" t="s">
        <v>1116</v>
      </c>
      <c r="C171" s="2640"/>
      <c r="D171" s="2467">
        <f t="shared" si="130"/>
        <v>0</v>
      </c>
      <c r="E171" s="2467">
        <f t="shared" si="130"/>
        <v>0</v>
      </c>
      <c r="F171" s="2467">
        <f t="shared" si="129"/>
        <v>0</v>
      </c>
      <c r="G171" s="2467">
        <f t="shared" si="129"/>
        <v>0</v>
      </c>
      <c r="H171" s="2467">
        <f t="shared" si="130"/>
        <v>0</v>
      </c>
      <c r="I171" s="2467">
        <f t="shared" si="130"/>
        <v>0</v>
      </c>
      <c r="J171" s="2467">
        <f t="shared" si="129"/>
        <v>0</v>
      </c>
      <c r="K171" s="2467">
        <f t="shared" si="129"/>
        <v>0</v>
      </c>
      <c r="L171" s="2609" t="s">
        <v>194</v>
      </c>
      <c r="N171" s="1845"/>
      <c r="O171" s="1845"/>
      <c r="P171" s="1845"/>
      <c r="Q171" s="1845"/>
      <c r="R171" s="1845"/>
      <c r="S171" s="1845"/>
      <c r="T171" s="1845"/>
      <c r="U171" s="1845"/>
      <c r="V171" s="1845"/>
      <c r="W171" s="1845"/>
      <c r="X171" s="1845"/>
      <c r="Y171" s="1845"/>
      <c r="Z171" s="1845"/>
      <c r="AB171" s="1845"/>
      <c r="AC171" s="2572"/>
      <c r="AD171" s="1845"/>
      <c r="AE171" s="1845"/>
      <c r="AF171" s="1845"/>
      <c r="AG171" s="1845"/>
      <c r="AH171" s="1845"/>
      <c r="AI171" s="1845"/>
      <c r="AJ171" s="1845"/>
      <c r="AK171" s="1845"/>
    </row>
    <row r="172" spans="1:37" ht="18" customHeight="1" x14ac:dyDescent="0.2">
      <c r="A172" s="2065"/>
      <c r="B172" s="2551" t="s">
        <v>1117</v>
      </c>
      <c r="C172" s="2640"/>
      <c r="D172" s="2467">
        <f t="shared" si="130"/>
        <v>3.389830508474577E-2</v>
      </c>
      <c r="E172" s="2467">
        <f t="shared" si="130"/>
        <v>3.6479829879427501E-2</v>
      </c>
      <c r="F172" s="2467">
        <f t="shared" si="129"/>
        <v>3.6479829879427501E-2</v>
      </c>
      <c r="G172" s="2467">
        <f t="shared" si="129"/>
        <v>3.6479829879427501E-2</v>
      </c>
      <c r="H172" s="2467">
        <f t="shared" si="130"/>
        <v>3.6479829879427501E-2</v>
      </c>
      <c r="I172" s="2467">
        <f t="shared" si="130"/>
        <v>3.6479829879427501E-2</v>
      </c>
      <c r="J172" s="2467">
        <f t="shared" si="129"/>
        <v>3.6479829879427501E-2</v>
      </c>
      <c r="K172" s="2467">
        <f t="shared" si="129"/>
        <v>3.6479829879427501E-2</v>
      </c>
      <c r="L172" s="2609" t="s">
        <v>194</v>
      </c>
      <c r="N172" s="1845"/>
      <c r="O172" s="1845"/>
      <c r="P172" s="1845"/>
      <c r="Q172" s="1845"/>
      <c r="R172" s="1845"/>
      <c r="S172" s="1845"/>
      <c r="T172" s="1845"/>
      <c r="U172" s="1845"/>
      <c r="V172" s="1845"/>
      <c r="W172" s="1845"/>
      <c r="X172" s="1845"/>
      <c r="Y172" s="1845"/>
      <c r="Z172" s="1845"/>
      <c r="AB172" s="1845"/>
      <c r="AC172" s="2572"/>
      <c r="AD172" s="1845"/>
      <c r="AE172" s="1845"/>
      <c r="AF172" s="1845"/>
      <c r="AG172" s="1845"/>
      <c r="AH172" s="1845"/>
      <c r="AI172" s="1845"/>
      <c r="AJ172" s="1845"/>
      <c r="AK172" s="1845"/>
    </row>
    <row r="173" spans="1:37" ht="18" customHeight="1" x14ac:dyDescent="0.2">
      <c r="A173" s="2439"/>
      <c r="B173" s="2531" t="s">
        <v>52</v>
      </c>
      <c r="C173" s="2506"/>
      <c r="D173" s="2596">
        <f t="shared" ref="D173:J173" si="131">SUM(D160:D172)</f>
        <v>0.69545266639107051</v>
      </c>
      <c r="E173" s="2596">
        <f t="shared" si="131"/>
        <v>0.70863526509603203</v>
      </c>
      <c r="F173" s="2596">
        <f t="shared" ref="F173" si="132">SUM(F160:F172)</f>
        <v>0.70863526509603203</v>
      </c>
      <c r="G173" s="2596">
        <f t="shared" si="131"/>
        <v>0.70863526509603203</v>
      </c>
      <c r="H173" s="2596">
        <f t="shared" si="131"/>
        <v>0.70863526509603203</v>
      </c>
      <c r="I173" s="2596">
        <f t="shared" si="131"/>
        <v>0.70863526509603203</v>
      </c>
      <c r="J173" s="2596">
        <f t="shared" si="131"/>
        <v>0.70863526509603203</v>
      </c>
      <c r="K173" s="2596">
        <f t="shared" ref="K173" si="133">SUM(K160:K172)</f>
        <v>0.70863526509603203</v>
      </c>
      <c r="L173" s="2609" t="s">
        <v>194</v>
      </c>
      <c r="N173" s="1845"/>
      <c r="O173" s="1845"/>
      <c r="P173" s="1845"/>
      <c r="Q173" s="1845"/>
      <c r="R173" s="1845"/>
      <c r="S173" s="1845"/>
      <c r="T173" s="1845"/>
      <c r="U173" s="1845"/>
      <c r="V173" s="1845"/>
      <c r="W173" s="1845"/>
      <c r="X173" s="1845"/>
      <c r="Y173" s="1845"/>
      <c r="Z173" s="1845"/>
      <c r="AB173" s="1845"/>
      <c r="AC173" s="2572"/>
      <c r="AD173" s="1845"/>
      <c r="AE173" s="1845"/>
      <c r="AF173" s="1845"/>
      <c r="AG173" s="1845"/>
      <c r="AH173" s="1845"/>
      <c r="AI173" s="1845"/>
      <c r="AJ173" s="1845"/>
      <c r="AK173" s="1845"/>
    </row>
    <row r="174" spans="1:37" ht="18" customHeight="1" x14ac:dyDescent="0.2">
      <c r="A174" s="2064"/>
      <c r="B174" s="2064"/>
      <c r="C174" s="2064"/>
      <c r="D174" s="2641"/>
      <c r="E174" s="2641"/>
      <c r="F174" s="2641"/>
      <c r="G174" s="2641"/>
      <c r="H174" s="2641"/>
      <c r="I174" s="2641"/>
      <c r="J174" s="2641"/>
      <c r="K174" s="2641"/>
      <c r="L174" s="2064"/>
      <c r="N174" s="1845"/>
      <c r="O174" s="1845"/>
      <c r="P174" s="1845"/>
      <c r="Q174" s="1845"/>
      <c r="R174" s="1845"/>
      <c r="S174" s="1845"/>
      <c r="T174" s="1845"/>
      <c r="U174" s="1845"/>
      <c r="V174" s="1845"/>
      <c r="W174" s="1845"/>
      <c r="X174" s="1845"/>
      <c r="Y174" s="1845"/>
      <c r="Z174" s="1845"/>
      <c r="AB174" s="1845"/>
      <c r="AC174" s="2572"/>
      <c r="AD174" s="1845"/>
      <c r="AE174" s="1845"/>
      <c r="AF174" s="1845"/>
      <c r="AG174" s="1845"/>
      <c r="AH174" s="1845"/>
      <c r="AI174" s="1845"/>
      <c r="AJ174" s="1845"/>
      <c r="AK174" s="1845"/>
    </row>
    <row r="175" spans="1:37" ht="18" customHeight="1" x14ac:dyDescent="0.2">
      <c r="A175" s="1989" t="s">
        <v>1490</v>
      </c>
      <c r="B175" s="1990"/>
      <c r="C175" s="2199"/>
      <c r="D175" s="2065"/>
      <c r="E175" s="2065"/>
      <c r="F175" s="2065"/>
      <c r="G175" s="2065"/>
      <c r="H175" s="2065"/>
      <c r="I175" s="2065"/>
      <c r="J175" s="2065"/>
      <c r="K175" s="2065"/>
      <c r="L175" s="2065"/>
      <c r="N175" s="1845"/>
      <c r="O175" s="1845"/>
      <c r="P175" s="1845"/>
      <c r="Q175" s="1845"/>
      <c r="R175" s="1845"/>
      <c r="S175" s="1845"/>
      <c r="T175" s="1845"/>
      <c r="U175" s="1845"/>
      <c r="V175" s="1845"/>
      <c r="W175" s="1845"/>
      <c r="X175" s="1845"/>
      <c r="Y175" s="1845"/>
      <c r="Z175" s="1845"/>
      <c r="AB175" s="1845"/>
      <c r="AC175" s="2572"/>
      <c r="AD175" s="1845"/>
      <c r="AE175" s="1845"/>
      <c r="AF175" s="1845"/>
      <c r="AG175" s="1845"/>
      <c r="AH175" s="1845"/>
      <c r="AI175" s="1845"/>
      <c r="AJ175" s="1845"/>
      <c r="AK175" s="1845"/>
    </row>
    <row r="176" spans="1:37" ht="18" customHeight="1" x14ac:dyDescent="0.2">
      <c r="A176" s="2065"/>
      <c r="B176" s="2531" t="s">
        <v>1473</v>
      </c>
      <c r="C176" s="2199"/>
      <c r="D176" s="2079" t="str">
        <f t="shared" ref="D176:K176" si="134">+D130</f>
        <v>Cenário-Base</v>
      </c>
      <c r="E176" s="2079" t="str">
        <f t="shared" si="134"/>
        <v>Biodigestão RT1A + CDR TM</v>
      </c>
      <c r="F176" s="2079" t="str">
        <f t="shared" si="134"/>
        <v>Biodigestão RT1B + CDR TM</v>
      </c>
      <c r="G176" s="2079" t="str">
        <f t="shared" si="134"/>
        <v>Biodigestão RT1C + CDR TM</v>
      </c>
      <c r="H176" s="2079" t="str">
        <f t="shared" si="134"/>
        <v>Compostagem + CDR TM</v>
      </c>
      <c r="I176" s="2079" t="str">
        <f t="shared" si="134"/>
        <v xml:space="preserve">Biosecagem + CDR TMB </v>
      </c>
      <c r="J176" s="2079" t="str">
        <f t="shared" si="134"/>
        <v>Incineração Mass Burning</v>
      </c>
      <c r="K176" s="2079" t="str">
        <f t="shared" si="134"/>
        <v>Incineração Mass Burn. Descentralizada</v>
      </c>
      <c r="L176" s="2065"/>
      <c r="N176" s="1845"/>
      <c r="O176" s="1845"/>
      <c r="P176" s="1845"/>
      <c r="Q176" s="1845"/>
      <c r="R176" s="1845"/>
      <c r="S176" s="1845"/>
      <c r="T176" s="1845"/>
      <c r="U176" s="1845"/>
      <c r="V176" s="1845"/>
      <c r="W176" s="1845"/>
      <c r="X176" s="1845"/>
      <c r="Y176" s="1845"/>
      <c r="Z176" s="1845"/>
      <c r="AB176" s="1845"/>
      <c r="AC176" s="2572"/>
      <c r="AD176" s="1845"/>
      <c r="AE176" s="1845"/>
      <c r="AF176" s="1845"/>
      <c r="AG176" s="1845"/>
      <c r="AH176" s="1845"/>
      <c r="AI176" s="1845"/>
      <c r="AJ176" s="1845"/>
      <c r="AK176" s="1845"/>
    </row>
    <row r="177" spans="1:37" ht="18" customHeight="1" x14ac:dyDescent="0.2">
      <c r="A177" s="2065"/>
      <c r="B177" s="2551" t="s">
        <v>1446</v>
      </c>
      <c r="C177" s="2474"/>
      <c r="D177" s="2476">
        <f t="shared" ref="D177:K177" si="135">+D160*$C$11+D161*$C$12+D162*$C$13+D163*$C$14+D164*$C$15+D165*$C$16+D166*$C$17+D167*$C$18+D168*$C$19+D169*$C$20+D170*$C$21+D171*$C$22+D172*$C$23</f>
        <v>0.12968736047953699</v>
      </c>
      <c r="E177" s="2476">
        <f t="shared" si="135"/>
        <v>0.13129350292005465</v>
      </c>
      <c r="F177" s="2476">
        <f t="shared" si="135"/>
        <v>0.13129350292005465</v>
      </c>
      <c r="G177" s="2476">
        <f t="shared" si="135"/>
        <v>0.13129350292005465</v>
      </c>
      <c r="H177" s="2476">
        <f t="shared" si="135"/>
        <v>0.13129350292005465</v>
      </c>
      <c r="I177" s="2476">
        <f t="shared" si="135"/>
        <v>0.13129350292005465</v>
      </c>
      <c r="J177" s="2476">
        <f t="shared" si="135"/>
        <v>0.13129350292005465</v>
      </c>
      <c r="K177" s="2476">
        <f t="shared" si="135"/>
        <v>0.13129350292005465</v>
      </c>
      <c r="L177" s="2064" t="s">
        <v>1303</v>
      </c>
      <c r="N177" s="1845"/>
      <c r="O177" s="1845"/>
      <c r="P177" s="1845"/>
      <c r="Q177" s="1845"/>
      <c r="R177" s="1845"/>
      <c r="S177" s="1845"/>
      <c r="T177" s="1845"/>
      <c r="U177" s="1845"/>
      <c r="V177" s="1845"/>
      <c r="W177" s="1845"/>
      <c r="X177" s="1845"/>
      <c r="Y177" s="1845"/>
      <c r="Z177" s="1845"/>
      <c r="AB177" s="1845"/>
      <c r="AC177" s="2572"/>
      <c r="AD177" s="1845"/>
      <c r="AE177" s="1845"/>
      <c r="AF177" s="1845"/>
      <c r="AG177" s="1845"/>
      <c r="AH177" s="1845"/>
      <c r="AI177" s="1845"/>
      <c r="AJ177" s="1845"/>
      <c r="AK177" s="1845"/>
    </row>
    <row r="178" spans="1:37" ht="18" customHeight="1" x14ac:dyDescent="0.2">
      <c r="A178" s="2065"/>
      <c r="B178" s="2551" t="s">
        <v>1447</v>
      </c>
      <c r="C178" s="2474"/>
      <c r="D178" s="2601">
        <f t="shared" ref="D178:K178" si="136">+D160*$C$11*$D$11+D161*$C$12*$D$12+D162*$C$13*$D$13+D163*$C$14*$D$14+D164*$C$15*$D$15+D165*$C$16*$D$16+D166*$C$17*$D$17+D167*$C$18*$D$18+D168*$C$19*$D$19+D169*$C$20*$D$20+D170*$C$21*$D$21+D171*$C$22*$D$22+D172*$C$23*$D$23</f>
        <v>2.9910834849111209E-2</v>
      </c>
      <c r="E178" s="2601">
        <f t="shared" si="136"/>
        <v>2.8092598969889689E-2</v>
      </c>
      <c r="F178" s="2601">
        <f t="shared" si="136"/>
        <v>2.8092598969889689E-2</v>
      </c>
      <c r="G178" s="2601">
        <f t="shared" si="136"/>
        <v>2.8092598969889689E-2</v>
      </c>
      <c r="H178" s="2601">
        <f t="shared" si="136"/>
        <v>2.8092598969889689E-2</v>
      </c>
      <c r="I178" s="2601">
        <f t="shared" si="136"/>
        <v>2.8092598969889689E-2</v>
      </c>
      <c r="J178" s="2601">
        <f t="shared" si="136"/>
        <v>2.8092598969889689E-2</v>
      </c>
      <c r="K178" s="2601">
        <f t="shared" si="136"/>
        <v>2.8092598969889689E-2</v>
      </c>
      <c r="L178" s="2064" t="s">
        <v>1303</v>
      </c>
      <c r="N178" s="1845"/>
      <c r="O178" s="1845"/>
      <c r="P178" s="1845"/>
      <c r="Q178" s="1845"/>
      <c r="R178" s="1845"/>
      <c r="S178" s="1845"/>
      <c r="T178" s="1845"/>
      <c r="U178" s="1845"/>
      <c r="V178" s="1845"/>
      <c r="W178" s="1845"/>
      <c r="X178" s="1845"/>
      <c r="Y178" s="1845"/>
      <c r="Z178" s="1845"/>
      <c r="AB178" s="1845"/>
      <c r="AC178" s="2572"/>
      <c r="AD178" s="1845"/>
      <c r="AE178" s="1845"/>
      <c r="AF178" s="1845"/>
      <c r="AG178" s="1845"/>
      <c r="AH178" s="1845"/>
      <c r="AI178" s="1845"/>
      <c r="AJ178" s="1845"/>
      <c r="AK178" s="1845"/>
    </row>
    <row r="179" spans="1:37" ht="18" customHeight="1" x14ac:dyDescent="0.2">
      <c r="A179" s="2065"/>
      <c r="B179" s="2551" t="s">
        <v>1448</v>
      </c>
      <c r="C179" s="2474"/>
      <c r="D179" s="2467">
        <f t="shared" ref="D179:K179" si="137">+D177-D178</f>
        <v>9.9776525630425786E-2</v>
      </c>
      <c r="E179" s="2467">
        <f t="shared" si="137"/>
        <v>0.10320090395016496</v>
      </c>
      <c r="F179" s="2467">
        <f t="shared" si="137"/>
        <v>0.10320090395016496</v>
      </c>
      <c r="G179" s="2467">
        <f t="shared" si="137"/>
        <v>0.10320090395016496</v>
      </c>
      <c r="H179" s="2467">
        <f t="shared" si="137"/>
        <v>0.10320090395016496</v>
      </c>
      <c r="I179" s="2467">
        <f t="shared" si="137"/>
        <v>0.10320090395016496</v>
      </c>
      <c r="J179" s="2467">
        <f t="shared" si="137"/>
        <v>0.10320090395016496</v>
      </c>
      <c r="K179" s="2467">
        <f t="shared" si="137"/>
        <v>0.10320090395016496</v>
      </c>
      <c r="L179" s="2064" t="s">
        <v>1303</v>
      </c>
      <c r="N179" s="1845"/>
      <c r="O179" s="1845"/>
      <c r="P179" s="1845"/>
      <c r="Q179" s="1845"/>
      <c r="R179" s="1845"/>
      <c r="S179" s="1845"/>
      <c r="T179" s="1845"/>
      <c r="U179" s="1845"/>
      <c r="V179" s="1845"/>
      <c r="W179" s="1845"/>
      <c r="X179" s="1845"/>
      <c r="Y179" s="1845"/>
      <c r="Z179" s="1845"/>
      <c r="AB179" s="1845"/>
      <c r="AC179" s="2572"/>
      <c r="AD179" s="1845"/>
      <c r="AE179" s="1845"/>
      <c r="AF179" s="1845"/>
      <c r="AG179" s="1845"/>
      <c r="AH179" s="1845"/>
      <c r="AI179" s="1845"/>
      <c r="AJ179" s="1845"/>
      <c r="AK179" s="1845"/>
    </row>
    <row r="180" spans="1:37" ht="18" customHeight="1" x14ac:dyDescent="0.2">
      <c r="A180" s="2065"/>
      <c r="B180" s="2065"/>
      <c r="C180" s="2065"/>
      <c r="D180" s="2065"/>
      <c r="E180" s="2065"/>
      <c r="F180" s="2065"/>
      <c r="G180" s="2065"/>
      <c r="H180" s="2065"/>
      <c r="I180" s="2065"/>
      <c r="J180" s="2065"/>
      <c r="K180" s="2065"/>
      <c r="L180" s="2065"/>
      <c r="N180" s="1845"/>
      <c r="O180" s="1845"/>
      <c r="P180" s="1845"/>
      <c r="Q180" s="1845"/>
      <c r="R180" s="1845"/>
      <c r="S180" s="1845"/>
      <c r="T180" s="1845"/>
      <c r="U180" s="1845"/>
      <c r="V180" s="1845"/>
      <c r="W180" s="1845"/>
      <c r="X180" s="1845"/>
      <c r="Y180" s="1845"/>
      <c r="Z180" s="1845"/>
      <c r="AB180" s="1845"/>
      <c r="AC180" s="2572"/>
      <c r="AD180" s="1845"/>
      <c r="AE180" s="1845"/>
      <c r="AF180" s="1845"/>
      <c r="AG180" s="1845"/>
      <c r="AH180" s="1845"/>
      <c r="AI180" s="1845"/>
      <c r="AJ180" s="1845"/>
      <c r="AK180" s="1845"/>
    </row>
    <row r="181" spans="1:37" ht="18" customHeight="1" x14ac:dyDescent="0.2">
      <c r="A181" s="2636"/>
      <c r="B181" s="2637" t="s">
        <v>1483</v>
      </c>
      <c r="C181" s="2199"/>
      <c r="D181" s="2079" t="str">
        <f t="shared" ref="D181:K181" si="138">+D130</f>
        <v>Cenário-Base</v>
      </c>
      <c r="E181" s="2079" t="str">
        <f t="shared" si="138"/>
        <v>Biodigestão RT1A + CDR TM</v>
      </c>
      <c r="F181" s="2079" t="str">
        <f t="shared" si="138"/>
        <v>Biodigestão RT1B + CDR TM</v>
      </c>
      <c r="G181" s="2079" t="str">
        <f t="shared" si="138"/>
        <v>Biodigestão RT1C + CDR TM</v>
      </c>
      <c r="H181" s="2079" t="str">
        <f t="shared" si="138"/>
        <v>Compostagem + CDR TM</v>
      </c>
      <c r="I181" s="2079" t="str">
        <f t="shared" si="138"/>
        <v xml:space="preserve">Biosecagem + CDR TMB </v>
      </c>
      <c r="J181" s="2079" t="str">
        <f t="shared" si="138"/>
        <v>Incineração Mass Burning</v>
      </c>
      <c r="K181" s="2079" t="str">
        <f t="shared" si="138"/>
        <v>Incineração Mass Burn. Descentralizada</v>
      </c>
      <c r="L181" s="2065"/>
      <c r="N181" s="1845"/>
      <c r="O181" s="1845"/>
      <c r="P181" s="1845"/>
      <c r="Q181" s="1845"/>
      <c r="R181" s="1845"/>
      <c r="S181" s="1845"/>
      <c r="T181" s="1845"/>
      <c r="U181" s="1845"/>
      <c r="V181" s="1845"/>
      <c r="W181" s="1845"/>
      <c r="X181" s="1845"/>
      <c r="Y181" s="1845"/>
      <c r="Z181" s="1845"/>
      <c r="AB181" s="1845"/>
      <c r="AC181" s="2572"/>
      <c r="AD181" s="1845"/>
      <c r="AE181" s="1845"/>
      <c r="AF181" s="1845"/>
      <c r="AG181" s="1845"/>
      <c r="AH181" s="1845"/>
      <c r="AI181" s="1845"/>
      <c r="AJ181" s="1845"/>
      <c r="AK181" s="1845"/>
    </row>
    <row r="182" spans="1:37" ht="18" customHeight="1" x14ac:dyDescent="0.2">
      <c r="A182" s="2987" t="s">
        <v>1491</v>
      </c>
      <c r="B182" s="2988"/>
      <c r="C182" s="2989"/>
      <c r="D182" s="2484">
        <f>+((D160+D161)*$C$29+D162*$C$31+D163*$C$32+D164*$C$33+(D165+D166)*$C$34+(D167+D168+D169)*$C$35+D170*$C$36+D171*$C$37+D172*$C$38)*'CO2 - Início'!$E$55/IF(D173=0,1,D173)</f>
        <v>0</v>
      </c>
      <c r="E182" s="2484">
        <f>+((E160+E161)*$C$29+E162*$C$31+E163*$C$32+E164*$C$33+(E165+E166)*$C$34+(E167+E168+E169)*$C$35+E170*$C$36+E171*$C$37+E172*$C$38)*'CO2 - Início'!$E$55/IF(E173=0,1,E173)</f>
        <v>0</v>
      </c>
      <c r="F182" s="2484">
        <f>+((F160+F161)*$C$29+F162*$C$31+F163*$C$32+F164*$C$33+(F165+F166)*$C$34+(F167+F168+F169)*$C$35+F170*$C$36+F171*$C$37+F172*$C$38)*'CO2 - Início'!$E$55/IF(F173=0,1,F173)</f>
        <v>0</v>
      </c>
      <c r="G182" s="2484">
        <f>+((G160+G161)*$C$29+G162*$C$31+G163*$C$32+G164*$C$33+(G165+G166)*$C$34+(G167+G168+G169)*$C$35+G170*$C$36+G171*$C$37+G172*$C$38)*'CO2 - Início'!$E$55/IF(G173=0,1,G173)</f>
        <v>0</v>
      </c>
      <c r="H182" s="2484">
        <f>+((H160+H161)*$C$29+H162*$C$31+H163*$C$32+H164*$C$33+(H165+H166)*$C$34+(H167+H168+H169)*$C$35+H170*$C$36+H171*$C$37+H172*$C$38)*'CO2 - Início'!$E$55/IF(H173=0,1,H173)</f>
        <v>0</v>
      </c>
      <c r="I182" s="2484">
        <f>+((I160+I161)*$C$29+I162*$C$31+I163*$C$32+I164*$C$33+(I165+I166)*$C$34+(I167+I168+I169)*$C$35+I170*$C$36+I171*$C$37+I172*$C$38)*'CO2 - Início'!$E$55/IF(I173=0,1,I173)</f>
        <v>0</v>
      </c>
      <c r="J182" s="2484">
        <f>+((J160+J161)*$C$29+J162*$C$31+J163*$C$32+J164*$C$33+(J165+J166)*$C$34+(J167+J168+J169)*$C$35+J170*$C$36+J171*$C$37+J172*$C$38)*'CO2 - Início'!$E$55/IF(J173=0,1,J173)</f>
        <v>0</v>
      </c>
      <c r="K182" s="2484">
        <f>+((K160+K161)*$C$29+K162*$C$31+K163*$C$32+K164*$C$33+(K165+K166)*$C$34+(K167+K168+K169)*$C$35+K170*$C$36+K171*$C$37+K172*$C$38)*'CO2 - Início'!$E$55/IF(K173=0,1,K173)</f>
        <v>0</v>
      </c>
      <c r="L182" s="2064" t="s">
        <v>1395</v>
      </c>
      <c r="N182" s="1845"/>
      <c r="O182" s="1845"/>
      <c r="P182" s="1845"/>
      <c r="Q182" s="1845"/>
      <c r="R182" s="1845"/>
      <c r="S182" s="1845"/>
      <c r="T182" s="1845"/>
      <c r="U182" s="1845"/>
      <c r="V182" s="1845"/>
      <c r="W182" s="1845"/>
      <c r="X182" s="1845"/>
      <c r="Y182" s="1845"/>
      <c r="Z182" s="1845"/>
      <c r="AB182" s="1845"/>
      <c r="AC182" s="2572"/>
      <c r="AD182" s="1845"/>
      <c r="AE182" s="1845"/>
      <c r="AF182" s="1845"/>
      <c r="AG182" s="1845"/>
      <c r="AH182" s="1845"/>
      <c r="AI182" s="1845"/>
      <c r="AJ182" s="1845"/>
      <c r="AK182" s="1845"/>
    </row>
    <row r="183" spans="1:37" ht="18" customHeight="1" x14ac:dyDescent="0.2">
      <c r="A183" s="2987" t="s">
        <v>1492</v>
      </c>
      <c r="B183" s="2988"/>
      <c r="C183" s="2989"/>
      <c r="D183" s="2484">
        <f>+((D160+D161)*$C$30+D162*$C$31+D163*$C$32+D164*$C$33+(D165+D166)*$C$34+(D167+D168+D169)*$C$35+D170*$C$36+D171*$C$37+D172*$C$39)*'CO2 - Início'!$E$56/IF(D173=0,1,D173)</f>
        <v>4.2365838435475247</v>
      </c>
      <c r="E183" s="2484">
        <f>+((E160+E161)*$C$30+E162*$C$31+E163*$C$32+E164*$C$33+(E165+E166)*$C$34+(E167+E168+E169)*$C$35+E170*$C$36+E171*$C$37+E172*$C$39)*'CO2 - Início'!$E$56/IF(E173=0,1,E173)</f>
        <v>4.0688613929681896</v>
      </c>
      <c r="F183" s="2484">
        <f>+((F160+F161)*$C$30+F162*$C$31+F163*$C$32+F164*$C$33+(F165+F166)*$C$34+(F167+F168+F169)*$C$35+F170*$C$36+F171*$C$37+F172*$C$39)*'CO2 - Início'!$E$56/IF(F173=0,1,F173)</f>
        <v>4.0688613929681896</v>
      </c>
      <c r="G183" s="2484">
        <f>+((G160+G161)*$C$30+G162*$C$31+G163*$C$32+G164*$C$33+(G165+G166)*$C$34+(G167+G168+G169)*$C$35+G170*$C$36+G171*$C$37+G172*$C$39)*'CO2 - Início'!$E$56/IF(G173=0,1,G173)</f>
        <v>4.0688613929681896</v>
      </c>
      <c r="H183" s="2484">
        <f>+((H160+H161)*$C$30+H162*$C$31+H163*$C$32+H164*$C$33+(H165+H166)*$C$34+(H167+H168+H169)*$C$35+H170*$C$36+H171*$C$37+H172*$C$39)*'CO2 - Início'!$E$56/IF(H173=0,1,H173)</f>
        <v>4.0688613929681896</v>
      </c>
      <c r="I183" s="2484">
        <f>+((I160+I161)*$C$30+I162*$C$31+I163*$C$32+I164*$C$33+(I165+I166)*$C$34+(I167+I168+I169)*$C$35+I170*$C$36+I171*$C$37+I172*$C$39)*'CO2 - Início'!$E$56/IF(I173=0,1,I173)</f>
        <v>4.0688613929681896</v>
      </c>
      <c r="J183" s="2484">
        <f>+((J160+J161)*$C$30+J162*$C$31+J163*$C$32+J164*$C$33+(J165+J166)*$C$34+(J167+J168+J169)*$C$35+J170*$C$36+J171*$C$37+J172*$C$39)*'CO2 - Início'!$E$56/IF(J173=0,1,J173)</f>
        <v>4.0688613929681896</v>
      </c>
      <c r="K183" s="2484">
        <f>+((K160+K161)*$C$30+K162*$C$31+K163*$C$32+K164*$C$33+(K165+K166)*$C$34+(K167+K168+K169)*$C$35+K170*$C$36+K171*$C$37+K172*$C$39)*'CO2 - Início'!$E$56/IF(K173=0,1,K173)</f>
        <v>4.0688613929681896</v>
      </c>
      <c r="L183" s="2064" t="s">
        <v>1395</v>
      </c>
      <c r="N183" s="1845"/>
      <c r="O183" s="1845"/>
      <c r="P183" s="1845"/>
      <c r="Q183" s="1845"/>
      <c r="R183" s="1845"/>
      <c r="S183" s="1845"/>
      <c r="T183" s="1845"/>
      <c r="U183" s="1845"/>
      <c r="V183" s="1845"/>
      <c r="W183" s="1845"/>
      <c r="X183" s="1845"/>
      <c r="Y183" s="1845"/>
      <c r="Z183" s="1845"/>
      <c r="AB183" s="1845"/>
      <c r="AC183" s="2572"/>
      <c r="AD183" s="1845"/>
      <c r="AE183" s="1845"/>
      <c r="AF183" s="1845"/>
      <c r="AG183" s="1845"/>
      <c r="AH183" s="1845"/>
      <c r="AI183" s="1845"/>
      <c r="AJ183" s="1845"/>
      <c r="AK183" s="1845"/>
    </row>
    <row r="184" spans="1:37" ht="14.25" x14ac:dyDescent="0.25">
      <c r="A184" s="2067"/>
      <c r="B184" s="2067"/>
      <c r="C184" s="2067"/>
      <c r="D184" s="2067"/>
      <c r="E184" s="2067"/>
      <c r="F184" s="2067"/>
      <c r="G184" s="2067"/>
      <c r="H184" s="2067"/>
      <c r="I184" s="2067"/>
      <c r="J184" s="2067"/>
      <c r="K184" s="2067"/>
      <c r="L184" s="2067"/>
      <c r="N184" s="1845"/>
      <c r="O184" s="1845"/>
      <c r="P184" s="1845"/>
      <c r="Q184" s="1845"/>
      <c r="R184" s="1845"/>
      <c r="S184" s="1845"/>
      <c r="T184" s="1845"/>
      <c r="U184" s="1845"/>
      <c r="V184" s="1845"/>
      <c r="W184" s="1845"/>
      <c r="X184" s="1845"/>
      <c r="Y184" s="1845"/>
      <c r="Z184" s="1845"/>
      <c r="AB184" s="1845"/>
      <c r="AC184" s="2572"/>
      <c r="AD184" s="1845"/>
      <c r="AE184" s="1845"/>
      <c r="AF184" s="1845"/>
      <c r="AG184" s="1845"/>
      <c r="AH184" s="1845"/>
      <c r="AI184" s="1845"/>
      <c r="AJ184" s="1845"/>
      <c r="AK184" s="1845"/>
    </row>
    <row r="185" spans="1:37" x14ac:dyDescent="0.2">
      <c r="N185" s="1845"/>
      <c r="O185" s="1845"/>
      <c r="P185" s="1845"/>
      <c r="Q185" s="1845"/>
      <c r="R185" s="1845"/>
      <c r="S185" s="1845"/>
      <c r="T185" s="1845"/>
      <c r="U185" s="1845"/>
      <c r="V185" s="1845"/>
      <c r="W185" s="1845"/>
      <c r="X185" s="1845"/>
      <c r="Y185" s="1845"/>
      <c r="Z185" s="1845"/>
      <c r="AB185" s="1845"/>
      <c r="AC185" s="2572"/>
      <c r="AD185" s="1845"/>
      <c r="AE185" s="1845"/>
      <c r="AF185" s="1845"/>
      <c r="AG185" s="1845"/>
      <c r="AH185" s="1845"/>
      <c r="AI185" s="1845"/>
      <c r="AJ185" s="1845"/>
      <c r="AK185" s="1845"/>
    </row>
    <row r="186" spans="1:37" x14ac:dyDescent="0.2">
      <c r="AB186" s="1845"/>
      <c r="AC186" s="2572"/>
      <c r="AD186" s="1845"/>
      <c r="AE186" s="1845"/>
      <c r="AF186" s="1845"/>
      <c r="AG186" s="1845"/>
      <c r="AH186" s="1845"/>
      <c r="AI186" s="1845"/>
      <c r="AJ186" s="1845"/>
      <c r="AK186" s="1845"/>
    </row>
    <row r="187" spans="1:37" x14ac:dyDescent="0.2">
      <c r="AC187" s="2572"/>
      <c r="AD187" s="1845"/>
      <c r="AE187" s="1845"/>
      <c r="AF187" s="1845"/>
      <c r="AG187" s="1845"/>
      <c r="AH187" s="1845"/>
      <c r="AI187" s="1845"/>
      <c r="AJ187" s="1845"/>
      <c r="AK187" s="1845"/>
    </row>
  </sheetData>
  <sheetProtection selectLockedCells="1" selectUnlockedCells="1"/>
  <mergeCells count="5">
    <mergeCell ref="N3:Q3"/>
    <mergeCell ref="H8:I8"/>
    <mergeCell ref="A123:C123"/>
    <mergeCell ref="A182:C182"/>
    <mergeCell ref="A183:C183"/>
  </mergeCells>
  <pageMargins left="0.78740157499999996" right="0.78740157499999996" top="0.984251969" bottom="0.984251969" header="0.4921259845" footer="0.4921259845"/>
  <pageSetup paperSize="9" orientation="landscape" r:id="rId1"/>
  <headerFooter alignWithMargins="0"/>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32</vt:i4>
      </vt:variant>
      <vt:variant>
        <vt:lpstr>Intervalos Nomeados</vt:lpstr>
      </vt:variant>
      <vt:variant>
        <vt:i4>2</vt:i4>
      </vt:variant>
    </vt:vector>
  </HeadingPairs>
  <TitlesOfParts>
    <vt:vector size="34" baseType="lpstr">
      <vt:lpstr>Apresentação</vt:lpstr>
      <vt:lpstr>R-Entrada</vt:lpstr>
      <vt:lpstr>R-Definição</vt:lpstr>
      <vt:lpstr>R-Avançado</vt:lpstr>
      <vt:lpstr>R-Fluxo Massa</vt:lpstr>
      <vt:lpstr>R-Resumo Bal. Massa</vt:lpstr>
      <vt:lpstr>R&amp;C-Painel de Controle</vt:lpstr>
      <vt:lpstr>C-Calc Tarifa</vt:lpstr>
      <vt:lpstr>C-FCL Real</vt:lpstr>
      <vt:lpstr>C-Dados RT Simplif.</vt:lpstr>
      <vt:lpstr>C-Triagem Man</vt:lpstr>
      <vt:lpstr>C-Triagem Mec</vt:lpstr>
      <vt:lpstr>C-Produção CDR-TM</vt:lpstr>
      <vt:lpstr>C-Produção CDR-TMB</vt:lpstr>
      <vt:lpstr>C-Compostagem</vt:lpstr>
      <vt:lpstr>C-Biodigestão</vt:lpstr>
      <vt:lpstr>C-Incineração</vt:lpstr>
      <vt:lpstr>C-Aterro Sanitário</vt:lpstr>
      <vt:lpstr>CO2 - Intro</vt:lpstr>
      <vt:lpstr>CO2 - Início</vt:lpstr>
      <vt:lpstr>CO2 - Reciclagem</vt:lpstr>
      <vt:lpstr>CO2 - Destinação</vt:lpstr>
      <vt:lpstr>CO2 - Cenário Base</vt:lpstr>
      <vt:lpstr>CO2 - Cenário RT 1A</vt:lpstr>
      <vt:lpstr>CO2 - Cenário RT 1B</vt:lpstr>
      <vt:lpstr>CO2 - Cenário RT 1C</vt:lpstr>
      <vt:lpstr>CO2 - Cenário RT 2</vt:lpstr>
      <vt:lpstr>CO2 - Cenário RT 3</vt:lpstr>
      <vt:lpstr>CO2 - Cenário RT 4</vt:lpstr>
      <vt:lpstr>CO2 - Cenário RT 5</vt:lpstr>
      <vt:lpstr>CO2 - Todos Resultados</vt:lpstr>
      <vt:lpstr>CO2 - Cálculos</vt:lpstr>
      <vt:lpstr>'CO2 - Intro'!Area_de_impressao</vt:lpstr>
      <vt:lpstr>'C-FCL Real'!solver_opt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ponto frio</dc:creator>
  <cp:lastModifiedBy>Alaim de Paula</cp:lastModifiedBy>
  <cp:lastPrinted>2019-11-28T14:59:28Z</cp:lastPrinted>
  <dcterms:created xsi:type="dcterms:W3CDTF">2019-08-09T12:30:35Z</dcterms:created>
  <dcterms:modified xsi:type="dcterms:W3CDTF">2024-06-16T00:19:52Z</dcterms:modified>
</cp:coreProperties>
</file>