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3.xml" ContentType="application/vnd.openxmlformats-officedocument.drawingml.chart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ackup 27 May 2022 - Diretórios de Trabalho\2021 - UNIDO\4 - NOVO CONTRATO 2022\Desenvolv Tool 3\Cristian Files\Ferramenta Versão 16 Ago\templates\"/>
    </mc:Choice>
  </mc:AlternateContent>
  <xr:revisionPtr revIDLastSave="0" documentId="13_ncr:1_{49621824-E19D-4EDB-B258-597C8D5D9E4F}" xr6:coauthVersionLast="47" xr6:coauthVersionMax="47" xr10:uidLastSave="{00000000-0000-0000-0000-000000000000}"/>
  <bookViews>
    <workbookView xWindow="-108" yWindow="-108" windowWidth="23256" windowHeight="12456" tabRatio="949" firstSheet="3" activeTab="3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C-Dados RT5 Simplif." sheetId="95" r:id="rId44"/>
    <sheet name="5)Incineração - E Elétrica" sheetId="96" r:id="rId45"/>
    <sheet name="RT5)Gráf" sheetId="98" r:id="rId46"/>
    <sheet name="RT5)Calc Tarifa incl Mov" sheetId="99" r:id="rId47"/>
    <sheet name="RT5)Calc Tarifa sem Mov" sheetId="100" r:id="rId48"/>
    <sheet name="RT5)Custos Valoriz E.Elétrica" sheetId="97" r:id="rId49"/>
    <sheet name="Draft para Graf RESUMO" sheetId="60" r:id="rId50"/>
    <sheet name="Drafts Instruções" sheetId="55" r:id="rId51"/>
  </sheets>
  <externalReferences>
    <externalReference r:id="rId52"/>
    <externalReference r:id="rId53"/>
    <externalReference r:id="rId54"/>
    <externalReference r:id="rId55"/>
    <externalReference r:id="rId56"/>
  </externalReferenc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2" i="43" l="1"/>
  <c r="I41" i="43"/>
  <c r="I40" i="43"/>
  <c r="I39" i="43"/>
  <c r="I38" i="43"/>
  <c r="I37" i="43"/>
  <c r="I36" i="43"/>
  <c r="I35" i="43"/>
  <c r="I34" i="43"/>
  <c r="H42" i="43"/>
  <c r="H41" i="43"/>
  <c r="H40" i="43"/>
  <c r="H39" i="43"/>
  <c r="H38" i="43"/>
  <c r="H37" i="43"/>
  <c r="H36" i="43"/>
  <c r="H35" i="43"/>
  <c r="H34" i="43"/>
  <c r="G42" i="43"/>
  <c r="G38" i="43"/>
  <c r="G34" i="43"/>
  <c r="F42" i="43"/>
  <c r="F41" i="43"/>
  <c r="F38" i="43"/>
  <c r="F34" i="43"/>
  <c r="E42" i="43"/>
  <c r="E41" i="43"/>
  <c r="E40" i="43"/>
  <c r="E39" i="43"/>
  <c r="E38" i="43"/>
  <c r="E37" i="43"/>
  <c r="E36" i="43"/>
  <c r="E35" i="43"/>
  <c r="E34" i="43"/>
  <c r="D42" i="43"/>
  <c r="D41" i="43"/>
  <c r="D40" i="43"/>
  <c r="D39" i="43"/>
  <c r="D38" i="43"/>
  <c r="D37" i="43"/>
  <c r="D36" i="43"/>
  <c r="D35" i="43"/>
  <c r="D34" i="43"/>
  <c r="C42" i="43"/>
  <c r="C41" i="43"/>
  <c r="C40" i="43"/>
  <c r="C39" i="43"/>
  <c r="C38" i="43"/>
  <c r="C37" i="43"/>
  <c r="C36" i="43"/>
  <c r="C35" i="43"/>
  <c r="C34" i="43"/>
  <c r="C64" i="43"/>
  <c r="E64" i="43"/>
  <c r="F15" i="96" l="1"/>
  <c r="F15" i="41"/>
  <c r="E30" i="43"/>
  <c r="F30" i="43"/>
  <c r="G30" i="43"/>
  <c r="H30" i="43"/>
  <c r="I30" i="43"/>
  <c r="D30" i="43"/>
  <c r="C103" i="50"/>
  <c r="C136" i="95"/>
  <c r="C133" i="95"/>
  <c r="C130" i="95"/>
  <c r="C128" i="95"/>
  <c r="C125" i="95"/>
  <c r="C122" i="95"/>
  <c r="C118" i="95"/>
  <c r="C115" i="95"/>
  <c r="C112" i="95"/>
  <c r="C109" i="95"/>
  <c r="C108" i="95"/>
  <c r="C107" i="95"/>
  <c r="C135" i="95" s="1"/>
  <c r="C105" i="95"/>
  <c r="C106" i="95" s="1"/>
  <c r="C134" i="95" s="1"/>
  <c r="C103" i="95"/>
  <c r="C110" i="95" s="1"/>
  <c r="C102" i="95"/>
  <c r="C90" i="95"/>
  <c r="B90" i="95"/>
  <c r="C89" i="95"/>
  <c r="C86" i="95"/>
  <c r="C85" i="95"/>
  <c r="C97" i="95" s="1"/>
  <c r="C84" i="95"/>
  <c r="C83" i="95"/>
  <c r="C95" i="95" s="1"/>
  <c r="C82" i="95"/>
  <c r="C94" i="95" s="1"/>
  <c r="F79" i="95"/>
  <c r="C79" i="95"/>
  <c r="C78" i="95"/>
  <c r="F78" i="95" s="1"/>
  <c r="C76" i="95"/>
  <c r="B76" i="95"/>
  <c r="C75" i="95"/>
  <c r="B75" i="95"/>
  <c r="C74" i="95"/>
  <c r="B74" i="95"/>
  <c r="C73" i="95"/>
  <c r="B73" i="95"/>
  <c r="C72" i="95"/>
  <c r="B72" i="95"/>
  <c r="C71" i="95"/>
  <c r="B71" i="95"/>
  <c r="C70" i="95"/>
  <c r="B70" i="95"/>
  <c r="C69" i="95"/>
  <c r="B69" i="95"/>
  <c r="C68" i="95"/>
  <c r="B68" i="95"/>
  <c r="C67" i="95"/>
  <c r="B67" i="95"/>
  <c r="C66" i="95"/>
  <c r="B66" i="95"/>
  <c r="C65" i="95"/>
  <c r="B65" i="95"/>
  <c r="C64" i="95"/>
  <c r="B64" i="95"/>
  <c r="C63" i="95"/>
  <c r="B63" i="95"/>
  <c r="C62" i="95"/>
  <c r="B62" i="95"/>
  <c r="C61" i="95"/>
  <c r="F61" i="95" s="1"/>
  <c r="C59" i="95"/>
  <c r="C58" i="95"/>
  <c r="C57" i="95"/>
  <c r="F57" i="95" s="1"/>
  <c r="C43" i="95"/>
  <c r="BH42" i="95"/>
  <c r="BG42" i="95"/>
  <c r="BF42" i="95"/>
  <c r="BE42" i="95"/>
  <c r="BD42" i="95"/>
  <c r="BC42" i="95"/>
  <c r="BB42" i="95"/>
  <c r="BA42" i="95"/>
  <c r="AZ42" i="95"/>
  <c r="AY42" i="95"/>
  <c r="AX42" i="95"/>
  <c r="AW42" i="95"/>
  <c r="AV42" i="95"/>
  <c r="AU42" i="95"/>
  <c r="AT42" i="95"/>
  <c r="AS42" i="95"/>
  <c r="AR42" i="95"/>
  <c r="AQ42" i="95"/>
  <c r="AP42" i="95"/>
  <c r="AO42" i="95"/>
  <c r="AN42" i="95"/>
  <c r="AM42" i="95"/>
  <c r="AL42" i="95"/>
  <c r="AK42" i="95"/>
  <c r="AJ42" i="95"/>
  <c r="AI42" i="95"/>
  <c r="AH42" i="95"/>
  <c r="AG42" i="95"/>
  <c r="AF42" i="95"/>
  <c r="AE42" i="95"/>
  <c r="AD42" i="95"/>
  <c r="AC42" i="95"/>
  <c r="AB42" i="95"/>
  <c r="AA42" i="95"/>
  <c r="Z42" i="95"/>
  <c r="Y42" i="95"/>
  <c r="X42" i="95"/>
  <c r="W42" i="95"/>
  <c r="V42" i="95"/>
  <c r="U42" i="95"/>
  <c r="T42" i="95"/>
  <c r="S42" i="95"/>
  <c r="R42" i="95"/>
  <c r="Q42" i="95"/>
  <c r="P42" i="95"/>
  <c r="O42" i="95"/>
  <c r="N42" i="95"/>
  <c r="M42" i="95"/>
  <c r="L42" i="95"/>
  <c r="K42" i="95"/>
  <c r="J42" i="95"/>
  <c r="I42" i="95"/>
  <c r="H42" i="95"/>
  <c r="G42" i="95"/>
  <c r="F42" i="95"/>
  <c r="E42" i="95"/>
  <c r="D42" i="95"/>
  <c r="BH39" i="95"/>
  <c r="BG39" i="95"/>
  <c r="BF39" i="95"/>
  <c r="BE39" i="95"/>
  <c r="BD39" i="95"/>
  <c r="BC39" i="95"/>
  <c r="BB39" i="95"/>
  <c r="BA39" i="95"/>
  <c r="AZ39" i="95"/>
  <c r="AY39" i="95"/>
  <c r="AX39" i="95"/>
  <c r="AW39" i="95"/>
  <c r="AV39" i="95"/>
  <c r="AU39" i="95"/>
  <c r="AT39" i="95"/>
  <c r="AS39" i="95"/>
  <c r="AR39" i="95"/>
  <c r="AQ39" i="95"/>
  <c r="AP39" i="95"/>
  <c r="AO39" i="95"/>
  <c r="AN39" i="95"/>
  <c r="AM39" i="95"/>
  <c r="AL39" i="95"/>
  <c r="AK39" i="95"/>
  <c r="AJ39" i="95"/>
  <c r="AI39" i="95"/>
  <c r="AH39" i="95"/>
  <c r="AG39" i="95"/>
  <c r="AF39" i="95"/>
  <c r="AE39" i="95"/>
  <c r="AD39" i="95"/>
  <c r="AC39" i="95"/>
  <c r="AB39" i="95"/>
  <c r="AA39" i="95"/>
  <c r="Z39" i="95"/>
  <c r="Y39" i="95"/>
  <c r="X39" i="95"/>
  <c r="W39" i="95"/>
  <c r="V39" i="95"/>
  <c r="U39" i="95"/>
  <c r="T39" i="95"/>
  <c r="S39" i="95"/>
  <c r="R39" i="95"/>
  <c r="Q39" i="95"/>
  <c r="P39" i="95"/>
  <c r="O39" i="95"/>
  <c r="N39" i="95"/>
  <c r="M39" i="95"/>
  <c r="L39" i="95"/>
  <c r="K39" i="95"/>
  <c r="J39" i="95"/>
  <c r="I39" i="95"/>
  <c r="H39" i="95"/>
  <c r="G39" i="95"/>
  <c r="F39" i="95"/>
  <c r="E39" i="95"/>
  <c r="D39" i="95"/>
  <c r="BH36" i="95"/>
  <c r="BD36" i="95"/>
  <c r="AZ36" i="95"/>
  <c r="AV36" i="95"/>
  <c r="AR36" i="95"/>
  <c r="AN36" i="95"/>
  <c r="AJ36" i="95"/>
  <c r="AF36" i="95"/>
  <c r="AE36" i="95"/>
  <c r="AB36" i="95"/>
  <c r="X36" i="95"/>
  <c r="W36" i="95"/>
  <c r="T36" i="95"/>
  <c r="O36" i="95"/>
  <c r="L36" i="95"/>
  <c r="G36" i="95"/>
  <c r="D36" i="95"/>
  <c r="BH33" i="95"/>
  <c r="BG33" i="95"/>
  <c r="BG36" i="95" s="1"/>
  <c r="BF33" i="95"/>
  <c r="BF36" i="95" s="1"/>
  <c r="BE33" i="95"/>
  <c r="BE36" i="95" s="1"/>
  <c r="BD33" i="95"/>
  <c r="BC33" i="95"/>
  <c r="BC36" i="95" s="1"/>
  <c r="BB33" i="95"/>
  <c r="BB36" i="95" s="1"/>
  <c r="BA33" i="95"/>
  <c r="BA36" i="95" s="1"/>
  <c r="AZ33" i="95"/>
  <c r="AY33" i="95"/>
  <c r="AY36" i="95" s="1"/>
  <c r="AX33" i="95"/>
  <c r="AX36" i="95" s="1"/>
  <c r="AW33" i="95"/>
  <c r="AW36" i="95" s="1"/>
  <c r="AV33" i="95"/>
  <c r="AU33" i="95"/>
  <c r="AU36" i="95" s="1"/>
  <c r="AT33" i="95"/>
  <c r="AT36" i="95" s="1"/>
  <c r="AS33" i="95"/>
  <c r="AS36" i="95" s="1"/>
  <c r="AR33" i="95"/>
  <c r="AQ33" i="95"/>
  <c r="AQ36" i="95" s="1"/>
  <c r="AP33" i="95"/>
  <c r="AP36" i="95" s="1"/>
  <c r="AO33" i="95"/>
  <c r="AO36" i="95" s="1"/>
  <c r="AN33" i="95"/>
  <c r="AM33" i="95"/>
  <c r="AM36" i="95" s="1"/>
  <c r="AL33" i="95"/>
  <c r="AL36" i="95" s="1"/>
  <c r="AK33" i="95"/>
  <c r="AK36" i="95" s="1"/>
  <c r="AJ33" i="95"/>
  <c r="AI33" i="95"/>
  <c r="AI36" i="95" s="1"/>
  <c r="AH33" i="95"/>
  <c r="AH36" i="95" s="1"/>
  <c r="AG33" i="95"/>
  <c r="AG36" i="95" s="1"/>
  <c r="AF33" i="95"/>
  <c r="AE33" i="95"/>
  <c r="AD33" i="95"/>
  <c r="AD36" i="95" s="1"/>
  <c r="AC33" i="95"/>
  <c r="AC36" i="95" s="1"/>
  <c r="AB33" i="95"/>
  <c r="AA33" i="95"/>
  <c r="AA36" i="95" s="1"/>
  <c r="Z33" i="95"/>
  <c r="Z36" i="95" s="1"/>
  <c r="Y33" i="95"/>
  <c r="Y36" i="95" s="1"/>
  <c r="X33" i="95"/>
  <c r="W33" i="95"/>
  <c r="V33" i="95"/>
  <c r="V36" i="95" s="1"/>
  <c r="U33" i="95"/>
  <c r="U36" i="95" s="1"/>
  <c r="T33" i="95"/>
  <c r="S33" i="95"/>
  <c r="S36" i="95" s="1"/>
  <c r="R33" i="95"/>
  <c r="R36" i="95" s="1"/>
  <c r="Q33" i="95"/>
  <c r="Q36" i="95" s="1"/>
  <c r="P33" i="95"/>
  <c r="P36" i="95" s="1"/>
  <c r="O33" i="95"/>
  <c r="N33" i="95"/>
  <c r="N36" i="95" s="1"/>
  <c r="M33" i="95"/>
  <c r="M36" i="95" s="1"/>
  <c r="L33" i="95"/>
  <c r="K33" i="95"/>
  <c r="K36" i="95" s="1"/>
  <c r="J33" i="95"/>
  <c r="J36" i="95" s="1"/>
  <c r="I33" i="95"/>
  <c r="I36" i="95" s="1"/>
  <c r="H33" i="95"/>
  <c r="H36" i="95" s="1"/>
  <c r="G33" i="95"/>
  <c r="F33" i="95"/>
  <c r="F36" i="95" s="1"/>
  <c r="E33" i="95"/>
  <c r="E36" i="95" s="1"/>
  <c r="D33" i="95"/>
  <c r="BH30" i="95"/>
  <c r="BH27" i="95" s="1"/>
  <c r="BG30" i="95"/>
  <c r="BG27" i="95" s="1"/>
  <c r="BF30" i="95"/>
  <c r="BE30" i="95"/>
  <c r="BD30" i="95"/>
  <c r="BD27" i="95" s="1"/>
  <c r="BC30" i="95"/>
  <c r="BC27" i="95" s="1"/>
  <c r="BB30" i="95"/>
  <c r="BA30" i="95"/>
  <c r="AZ30" i="95"/>
  <c r="AZ27" i="95" s="1"/>
  <c r="AY30" i="95"/>
  <c r="AX30" i="95"/>
  <c r="AW30" i="95"/>
  <c r="AV30" i="95"/>
  <c r="AV27" i="95" s="1"/>
  <c r="AU30" i="95"/>
  <c r="AU27" i="95" s="1"/>
  <c r="AT30" i="95"/>
  <c r="AS30" i="95"/>
  <c r="AR30" i="95"/>
  <c r="AR27" i="95" s="1"/>
  <c r="AQ30" i="95"/>
  <c r="AQ27" i="95" s="1"/>
  <c r="AP30" i="95"/>
  <c r="AO30" i="95"/>
  <c r="AN30" i="95"/>
  <c r="AN27" i="95" s="1"/>
  <c r="AM30" i="95"/>
  <c r="AL30" i="95"/>
  <c r="AK30" i="95"/>
  <c r="AJ30" i="95"/>
  <c r="AJ27" i="95" s="1"/>
  <c r="AI30" i="95"/>
  <c r="AH30" i="95"/>
  <c r="AG30" i="95"/>
  <c r="AF30" i="95"/>
  <c r="AF27" i="95" s="1"/>
  <c r="AE30" i="95"/>
  <c r="AE27" i="95" s="1"/>
  <c r="AD30" i="95"/>
  <c r="AC30" i="95"/>
  <c r="AB30" i="95"/>
  <c r="AB27" i="95" s="1"/>
  <c r="AA30" i="95"/>
  <c r="Z30" i="95"/>
  <c r="Y30" i="95"/>
  <c r="X30" i="95"/>
  <c r="X27" i="95" s="1"/>
  <c r="W30" i="95"/>
  <c r="V30" i="95"/>
  <c r="U30" i="95"/>
  <c r="T30" i="95"/>
  <c r="T27" i="95" s="1"/>
  <c r="S30" i="95"/>
  <c r="S27" i="95" s="1"/>
  <c r="R30" i="95"/>
  <c r="Q30" i="95"/>
  <c r="P30" i="95"/>
  <c r="P27" i="95" s="1"/>
  <c r="O30" i="95"/>
  <c r="O27" i="95" s="1"/>
  <c r="N30" i="95"/>
  <c r="M30" i="95"/>
  <c r="L30" i="95"/>
  <c r="K30" i="95"/>
  <c r="K27" i="95" s="1"/>
  <c r="J30" i="95"/>
  <c r="I30" i="95"/>
  <c r="H30" i="95"/>
  <c r="H27" i="95" s="1"/>
  <c r="G30" i="95"/>
  <c r="G27" i="95" s="1"/>
  <c r="F30" i="95"/>
  <c r="E30" i="95"/>
  <c r="D30" i="95"/>
  <c r="D27" i="95" s="1"/>
  <c r="B30" i="95"/>
  <c r="T28" i="95"/>
  <c r="BF27" i="95"/>
  <c r="BE27" i="95"/>
  <c r="BB27" i="95"/>
  <c r="BA27" i="95"/>
  <c r="AY27" i="95"/>
  <c r="AX27" i="95"/>
  <c r="AW27" i="95"/>
  <c r="AT27" i="95"/>
  <c r="AS27" i="95"/>
  <c r="AP27" i="95"/>
  <c r="AO27" i="95"/>
  <c r="AM27" i="95"/>
  <c r="AL27" i="95"/>
  <c r="AK27" i="95"/>
  <c r="AI27" i="95"/>
  <c r="AH27" i="95"/>
  <c r="AG27" i="95"/>
  <c r="AD27" i="95"/>
  <c r="AC27" i="95"/>
  <c r="AA27" i="95"/>
  <c r="Z27" i="95"/>
  <c r="Y27" i="95"/>
  <c r="W27" i="95"/>
  <c r="V27" i="95"/>
  <c r="U27" i="95"/>
  <c r="R27" i="95"/>
  <c r="Q27" i="95"/>
  <c r="N27" i="95"/>
  <c r="M27" i="95"/>
  <c r="L27" i="95"/>
  <c r="J27" i="95"/>
  <c r="I27" i="95"/>
  <c r="F27" i="95"/>
  <c r="E27" i="95"/>
  <c r="B27" i="95"/>
  <c r="AH25" i="95"/>
  <c r="AD25" i="95"/>
  <c r="R25" i="95"/>
  <c r="N25" i="95"/>
  <c r="BH24" i="95"/>
  <c r="BG24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AM24" i="95"/>
  <c r="AL24" i="95"/>
  <c r="AK24" i="95"/>
  <c r="AJ24" i="95"/>
  <c r="AI24" i="95"/>
  <c r="AH24" i="95"/>
  <c r="AG24" i="95"/>
  <c r="AF24" i="95"/>
  <c r="AE24" i="95"/>
  <c r="AD24" i="95"/>
  <c r="AC24" i="95"/>
  <c r="AB24" i="95"/>
  <c r="AA24" i="95"/>
  <c r="Z24" i="95"/>
  <c r="Y24" i="95"/>
  <c r="X24" i="95"/>
  <c r="W24" i="95"/>
  <c r="V24" i="95"/>
  <c r="U24" i="95"/>
  <c r="T24" i="95"/>
  <c r="S24" i="95"/>
  <c r="R24" i="95"/>
  <c r="Q24" i="95"/>
  <c r="P24" i="95"/>
  <c r="O24" i="95"/>
  <c r="N24" i="95"/>
  <c r="M24" i="95"/>
  <c r="L24" i="95"/>
  <c r="K24" i="95"/>
  <c r="J24" i="95"/>
  <c r="I24" i="95"/>
  <c r="H24" i="95"/>
  <c r="G24" i="95"/>
  <c r="F24" i="95"/>
  <c r="E24" i="95"/>
  <c r="D24" i="95"/>
  <c r="BH21" i="95"/>
  <c r="BG21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AM21" i="95"/>
  <c r="AL21" i="95"/>
  <c r="AK21" i="95"/>
  <c r="AJ21" i="95"/>
  <c r="AI21" i="95"/>
  <c r="AH21" i="95"/>
  <c r="AG21" i="95"/>
  <c r="AG22" i="95" s="1"/>
  <c r="AF21" i="95"/>
  <c r="AE21" i="95"/>
  <c r="AD21" i="95"/>
  <c r="AC21" i="95"/>
  <c r="AB21" i="95"/>
  <c r="AA21" i="95"/>
  <c r="Z21" i="95"/>
  <c r="Y21" i="95"/>
  <c r="X21" i="95"/>
  <c r="W21" i="95"/>
  <c r="V21" i="95"/>
  <c r="U21" i="95"/>
  <c r="U22" i="95" s="1"/>
  <c r="T21" i="95"/>
  <c r="S21" i="95"/>
  <c r="R21" i="95"/>
  <c r="Q21" i="95"/>
  <c r="Q22" i="95" s="1"/>
  <c r="P21" i="95"/>
  <c r="O21" i="95"/>
  <c r="N21" i="95"/>
  <c r="M21" i="95"/>
  <c r="L21" i="95"/>
  <c r="K21" i="95"/>
  <c r="J21" i="95"/>
  <c r="I21" i="95"/>
  <c r="H21" i="95"/>
  <c r="G21" i="95"/>
  <c r="F21" i="95"/>
  <c r="E21" i="95"/>
  <c r="E22" i="95" s="1"/>
  <c r="D21" i="95"/>
  <c r="B21" i="95"/>
  <c r="AC19" i="95"/>
  <c r="Y19" i="95"/>
  <c r="M19" i="95"/>
  <c r="I19" i="95"/>
  <c r="BH18" i="95"/>
  <c r="BG18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AM18" i="95"/>
  <c r="AL18" i="95"/>
  <c r="AK18" i="95"/>
  <c r="AJ18" i="95"/>
  <c r="AI18" i="95"/>
  <c r="AH18" i="95"/>
  <c r="AG18" i="95"/>
  <c r="AF18" i="95"/>
  <c r="AE18" i="95"/>
  <c r="AD18" i="95"/>
  <c r="AC18" i="95"/>
  <c r="AB18" i="95"/>
  <c r="AA18" i="95"/>
  <c r="Z18" i="95"/>
  <c r="Y18" i="95"/>
  <c r="X18" i="95"/>
  <c r="W18" i="95"/>
  <c r="V18" i="95"/>
  <c r="U18" i="95"/>
  <c r="T18" i="95"/>
  <c r="S18" i="95"/>
  <c r="R18" i="95"/>
  <c r="Q18" i="95"/>
  <c r="P18" i="95"/>
  <c r="O18" i="95"/>
  <c r="N18" i="95"/>
  <c r="M18" i="95"/>
  <c r="L18" i="95"/>
  <c r="K18" i="95"/>
  <c r="J18" i="95"/>
  <c r="I18" i="95"/>
  <c r="H18" i="95"/>
  <c r="G18" i="95"/>
  <c r="F18" i="95"/>
  <c r="E18" i="95"/>
  <c r="D18" i="95"/>
  <c r="B18" i="95"/>
  <c r="BH16" i="95"/>
  <c r="BG16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AM16" i="95"/>
  <c r="AL16" i="95"/>
  <c r="AK16" i="95"/>
  <c r="AJ16" i="95"/>
  <c r="AI16" i="95"/>
  <c r="AH16" i="95"/>
  <c r="AG16" i="95"/>
  <c r="AF16" i="95"/>
  <c r="AE16" i="95"/>
  <c r="AD16" i="95"/>
  <c r="AC16" i="95"/>
  <c r="AB16" i="95"/>
  <c r="AA16" i="95"/>
  <c r="Z16" i="95"/>
  <c r="Y16" i="95"/>
  <c r="X16" i="95"/>
  <c r="W16" i="95"/>
  <c r="V16" i="95"/>
  <c r="U16" i="95"/>
  <c r="T16" i="95"/>
  <c r="S16" i="95"/>
  <c r="R16" i="95"/>
  <c r="Q16" i="95"/>
  <c r="P16" i="95"/>
  <c r="O16" i="95"/>
  <c r="N16" i="95"/>
  <c r="M16" i="95"/>
  <c r="L16" i="95"/>
  <c r="K16" i="95"/>
  <c r="J16" i="95"/>
  <c r="I16" i="95"/>
  <c r="H16" i="95"/>
  <c r="G16" i="95"/>
  <c r="F16" i="95"/>
  <c r="E16" i="95"/>
  <c r="D16" i="95"/>
  <c r="C16" i="95" s="1"/>
  <c r="B16" i="95"/>
  <c r="BH15" i="95"/>
  <c r="BG15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AM15" i="95"/>
  <c r="AL15" i="95"/>
  <c r="AK15" i="95"/>
  <c r="AJ15" i="95"/>
  <c r="AI15" i="95"/>
  <c r="AH15" i="95"/>
  <c r="AG15" i="95"/>
  <c r="AF15" i="95"/>
  <c r="AE15" i="95"/>
  <c r="AD15" i="95"/>
  <c r="AC15" i="95"/>
  <c r="AB15" i="95"/>
  <c r="AA15" i="95"/>
  <c r="Z15" i="95"/>
  <c r="Y15" i="95"/>
  <c r="X15" i="95"/>
  <c r="W15" i="95"/>
  <c r="V15" i="95"/>
  <c r="U15" i="95"/>
  <c r="T15" i="95"/>
  <c r="S15" i="95"/>
  <c r="R15" i="95"/>
  <c r="Q15" i="95"/>
  <c r="P15" i="95"/>
  <c r="O15" i="95"/>
  <c r="N15" i="95"/>
  <c r="M15" i="95"/>
  <c r="L15" i="95"/>
  <c r="K15" i="95"/>
  <c r="J15" i="95"/>
  <c r="I15" i="95"/>
  <c r="H15" i="95"/>
  <c r="G15" i="95"/>
  <c r="F15" i="95"/>
  <c r="E15" i="95"/>
  <c r="D15" i="95"/>
  <c r="BH14" i="95"/>
  <c r="BG14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AM14" i="95"/>
  <c r="AL14" i="95"/>
  <c r="AK14" i="95"/>
  <c r="AJ14" i="95"/>
  <c r="AI14" i="95"/>
  <c r="AH14" i="95"/>
  <c r="AG14" i="95"/>
  <c r="AF14" i="95"/>
  <c r="AE14" i="95"/>
  <c r="AD14" i="95"/>
  <c r="AC14" i="95"/>
  <c r="AB14" i="95"/>
  <c r="AA14" i="95"/>
  <c r="Z14" i="95"/>
  <c r="Y14" i="95"/>
  <c r="X14" i="95"/>
  <c r="W14" i="95"/>
  <c r="V14" i="95"/>
  <c r="U14" i="95"/>
  <c r="T14" i="95"/>
  <c r="S14" i="95"/>
  <c r="R14" i="95"/>
  <c r="Q14" i="95"/>
  <c r="P14" i="95"/>
  <c r="O14" i="95"/>
  <c r="N14" i="95"/>
  <c r="M14" i="95"/>
  <c r="L14" i="95"/>
  <c r="K14" i="95"/>
  <c r="J14" i="95"/>
  <c r="I14" i="95"/>
  <c r="H14" i="95"/>
  <c r="G14" i="95"/>
  <c r="F14" i="95"/>
  <c r="E14" i="95"/>
  <c r="D14" i="95"/>
  <c r="B14" i="95"/>
  <c r="C8" i="95"/>
  <c r="AG37" i="95" s="1"/>
  <c r="C7" i="95"/>
  <c r="C6" i="95"/>
  <c r="C5" i="95"/>
  <c r="D4" i="95"/>
  <c r="B4" i="95"/>
  <c r="C2" i="95"/>
  <c r="L28" i="95" l="1"/>
  <c r="T31" i="95"/>
  <c r="K34" i="95"/>
  <c r="AB31" i="95"/>
  <c r="S34" i="95"/>
  <c r="C81" i="95"/>
  <c r="F81" i="95" s="1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F88" i="95" s="1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C40" i="95" s="1"/>
  <c r="A40" i="95" s="1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C28" i="95"/>
  <c r="A28" i="95" s="1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129" i="95" l="1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C92" i="95"/>
  <c r="A36" i="95"/>
  <c r="F51" i="95" s="1"/>
  <c r="C51" i="95" s="1"/>
  <c r="C34" i="95"/>
  <c r="A34" i="95" s="1"/>
  <c r="F47" i="95"/>
  <c r="C47" i="95" s="1"/>
  <c r="A42" i="95"/>
  <c r="C46" i="95"/>
  <c r="C49" i="95" s="1"/>
  <c r="F49" i="95"/>
  <c r="A21" i="95"/>
  <c r="C23" i="95"/>
  <c r="C19" i="95"/>
  <c r="A19" i="95" s="1"/>
  <c r="F92" i="95" l="1"/>
  <c r="C99" i="95"/>
  <c r="F99" i="95" s="1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6" i="33" l="1"/>
  <c r="C133" i="33"/>
  <c r="C130" i="33"/>
  <c r="C128" i="33"/>
  <c r="C125" i="33"/>
  <c r="C122" i="33"/>
  <c r="C118" i="33"/>
  <c r="C115" i="33"/>
  <c r="C112" i="33"/>
  <c r="C109" i="33"/>
  <c r="C108" i="33"/>
  <c r="C107" i="33"/>
  <c r="C105" i="33"/>
  <c r="C132" i="33" s="1"/>
  <c r="C104" i="33"/>
  <c r="C103" i="33"/>
  <c r="C102" i="33"/>
  <c r="C110" i="33" s="1"/>
  <c r="C90" i="33"/>
  <c r="B90" i="33"/>
  <c r="C89" i="33"/>
  <c r="C86" i="33"/>
  <c r="C85" i="33"/>
  <c r="C97" i="33" s="1"/>
  <c r="C84" i="33"/>
  <c r="C96" i="33" s="1"/>
  <c r="C83" i="33"/>
  <c r="C95" i="33" s="1"/>
  <c r="C82" i="33"/>
  <c r="C94" i="33" s="1"/>
  <c r="C79" i="33"/>
  <c r="F79" i="33" s="1"/>
  <c r="C78" i="33"/>
  <c r="F78" i="33" s="1"/>
  <c r="C76" i="33"/>
  <c r="B76" i="33"/>
  <c r="C75" i="33"/>
  <c r="B75" i="33"/>
  <c r="C74" i="33"/>
  <c r="B74" i="33"/>
  <c r="C73" i="33"/>
  <c r="B73" i="33"/>
  <c r="C72" i="33"/>
  <c r="B72" i="33"/>
  <c r="C71" i="33"/>
  <c r="B71" i="33"/>
  <c r="C70" i="33"/>
  <c r="B70" i="33"/>
  <c r="C69" i="33"/>
  <c r="B69" i="33"/>
  <c r="C68" i="33"/>
  <c r="B68" i="33"/>
  <c r="C67" i="33"/>
  <c r="B67" i="33"/>
  <c r="C66" i="33"/>
  <c r="B66" i="33"/>
  <c r="C65" i="33"/>
  <c r="B65" i="33"/>
  <c r="C64" i="33"/>
  <c r="B64" i="33"/>
  <c r="C63" i="33"/>
  <c r="B63" i="33"/>
  <c r="C62" i="33"/>
  <c r="B62" i="33"/>
  <c r="C61" i="33"/>
  <c r="F61" i="33" s="1"/>
  <c r="C59" i="33"/>
  <c r="C58" i="33"/>
  <c r="C57" i="33"/>
  <c r="F57" i="33" s="1"/>
  <c r="C43" i="33"/>
  <c r="BH42" i="33"/>
  <c r="BG42" i="33"/>
  <c r="BF42" i="33"/>
  <c r="BE42" i="33"/>
  <c r="BD42" i="33"/>
  <c r="BC42" i="33"/>
  <c r="BB42" i="33"/>
  <c r="BA42" i="33"/>
  <c r="AZ42" i="33"/>
  <c r="AY42" i="33"/>
  <c r="AX42" i="33"/>
  <c r="AW42" i="33"/>
  <c r="AV42" i="33"/>
  <c r="AU42" i="33"/>
  <c r="AT42" i="33"/>
  <c r="AS42" i="33"/>
  <c r="AR42" i="33"/>
  <c r="AQ42" i="33"/>
  <c r="AP42" i="33"/>
  <c r="AO42" i="33"/>
  <c r="AN42" i="33"/>
  <c r="AM42" i="33"/>
  <c r="AL42" i="33"/>
  <c r="AK42" i="33"/>
  <c r="AJ42" i="33"/>
  <c r="AI42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BH39" i="33"/>
  <c r="BG39" i="33"/>
  <c r="BF39" i="33"/>
  <c r="BE39" i="33"/>
  <c r="BD39" i="33"/>
  <c r="BC39" i="33"/>
  <c r="BB39" i="33"/>
  <c r="BA39" i="33"/>
  <c r="AZ39" i="33"/>
  <c r="AY39" i="33"/>
  <c r="AX39" i="33"/>
  <c r="AW39" i="33"/>
  <c r="AV39" i="33"/>
  <c r="AU39" i="33"/>
  <c r="AT39" i="33"/>
  <c r="AS39" i="33"/>
  <c r="AR39" i="33"/>
  <c r="AQ39" i="33"/>
  <c r="AP39" i="33"/>
  <c r="AO39" i="33"/>
  <c r="AN39" i="33"/>
  <c r="AM39" i="33"/>
  <c r="AL39" i="33"/>
  <c r="AK39" i="33"/>
  <c r="AJ39" i="33"/>
  <c r="AI39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BH33" i="33"/>
  <c r="BH36" i="33" s="1"/>
  <c r="BG33" i="33"/>
  <c r="BG36" i="33" s="1"/>
  <c r="BF33" i="33"/>
  <c r="BF36" i="33" s="1"/>
  <c r="BE33" i="33"/>
  <c r="BE36" i="33" s="1"/>
  <c r="BD33" i="33"/>
  <c r="BD36" i="33" s="1"/>
  <c r="BC33" i="33"/>
  <c r="BC36" i="33" s="1"/>
  <c r="BB33" i="33"/>
  <c r="BB36" i="33" s="1"/>
  <c r="BA33" i="33"/>
  <c r="BA36" i="33" s="1"/>
  <c r="AZ33" i="33"/>
  <c r="AZ36" i="33" s="1"/>
  <c r="AY33" i="33"/>
  <c r="AY36" i="33" s="1"/>
  <c r="AX33" i="33"/>
  <c r="AX36" i="33" s="1"/>
  <c r="AW33" i="33"/>
  <c r="AW36" i="33" s="1"/>
  <c r="AV33" i="33"/>
  <c r="AV36" i="33" s="1"/>
  <c r="AU33" i="33"/>
  <c r="AU36" i="33" s="1"/>
  <c r="AT33" i="33"/>
  <c r="AT36" i="33" s="1"/>
  <c r="AS33" i="33"/>
  <c r="AS36" i="33" s="1"/>
  <c r="AR33" i="33"/>
  <c r="AR36" i="33" s="1"/>
  <c r="AQ33" i="33"/>
  <c r="AQ36" i="33" s="1"/>
  <c r="AP33" i="33"/>
  <c r="AP36" i="33" s="1"/>
  <c r="AO33" i="33"/>
  <c r="AO36" i="33" s="1"/>
  <c r="AN33" i="33"/>
  <c r="AN36" i="33" s="1"/>
  <c r="AM33" i="33"/>
  <c r="AM36" i="33" s="1"/>
  <c r="AL33" i="33"/>
  <c r="AL36" i="33" s="1"/>
  <c r="AK33" i="33"/>
  <c r="AK36" i="33" s="1"/>
  <c r="AJ33" i="33"/>
  <c r="AJ36" i="33" s="1"/>
  <c r="AI33" i="33"/>
  <c r="AI36" i="33" s="1"/>
  <c r="AH33" i="33"/>
  <c r="AH36" i="33" s="1"/>
  <c r="AG33" i="33"/>
  <c r="AG36" i="33" s="1"/>
  <c r="AF33" i="33"/>
  <c r="AF36" i="33" s="1"/>
  <c r="AE33" i="33"/>
  <c r="AE36" i="33" s="1"/>
  <c r="AD33" i="33"/>
  <c r="AD36" i="33" s="1"/>
  <c r="AC33" i="33"/>
  <c r="AC36" i="33" s="1"/>
  <c r="AB33" i="33"/>
  <c r="AB36" i="33" s="1"/>
  <c r="AA33" i="33"/>
  <c r="AA36" i="33" s="1"/>
  <c r="Z33" i="33"/>
  <c r="Z36" i="33" s="1"/>
  <c r="Y33" i="33"/>
  <c r="Y36" i="33" s="1"/>
  <c r="X33" i="33"/>
  <c r="X36" i="33" s="1"/>
  <c r="W33" i="33"/>
  <c r="W36" i="33" s="1"/>
  <c r="V33" i="33"/>
  <c r="V36" i="33" s="1"/>
  <c r="U33" i="33"/>
  <c r="U36" i="33" s="1"/>
  <c r="T33" i="33"/>
  <c r="T36" i="33" s="1"/>
  <c r="S33" i="33"/>
  <c r="S36" i="33" s="1"/>
  <c r="R33" i="33"/>
  <c r="R36" i="33" s="1"/>
  <c r="Q33" i="33"/>
  <c r="Q36" i="33" s="1"/>
  <c r="P33" i="33"/>
  <c r="P36" i="33" s="1"/>
  <c r="O33" i="33"/>
  <c r="O36" i="33" s="1"/>
  <c r="N33" i="33"/>
  <c r="N36" i="33" s="1"/>
  <c r="M33" i="33"/>
  <c r="M36" i="33" s="1"/>
  <c r="L33" i="33"/>
  <c r="L36" i="33" s="1"/>
  <c r="K33" i="33"/>
  <c r="K36" i="33" s="1"/>
  <c r="J33" i="33"/>
  <c r="J36" i="33" s="1"/>
  <c r="I33" i="33"/>
  <c r="I36" i="33" s="1"/>
  <c r="H33" i="33"/>
  <c r="H36" i="33" s="1"/>
  <c r="G33" i="33"/>
  <c r="G36" i="33" s="1"/>
  <c r="F33" i="33"/>
  <c r="F36" i="33" s="1"/>
  <c r="E33" i="33"/>
  <c r="E36" i="33" s="1"/>
  <c r="D33" i="33"/>
  <c r="D36" i="33" s="1"/>
  <c r="BH30" i="33"/>
  <c r="BH27" i="33" s="1"/>
  <c r="BG30" i="33"/>
  <c r="BF30" i="33"/>
  <c r="BE30" i="33"/>
  <c r="BD30" i="33"/>
  <c r="BD27" i="33" s="1"/>
  <c r="BC30" i="33"/>
  <c r="BB30" i="33"/>
  <c r="BA30" i="33"/>
  <c r="AZ30" i="33"/>
  <c r="AZ27" i="33" s="1"/>
  <c r="AY30" i="33"/>
  <c r="AX30" i="33"/>
  <c r="AW30" i="33"/>
  <c r="AV30" i="33"/>
  <c r="AV27" i="33" s="1"/>
  <c r="AU30" i="33"/>
  <c r="AT30" i="33"/>
  <c r="AS30" i="33"/>
  <c r="AR30" i="33"/>
  <c r="AR27" i="33" s="1"/>
  <c r="AQ30" i="33"/>
  <c r="AP30" i="33"/>
  <c r="AO30" i="33"/>
  <c r="AN30" i="33"/>
  <c r="AN27" i="33" s="1"/>
  <c r="AM30" i="33"/>
  <c r="AL30" i="33"/>
  <c r="AK30" i="33"/>
  <c r="AJ30" i="33"/>
  <c r="AJ27" i="33" s="1"/>
  <c r="AI30" i="33"/>
  <c r="AH30" i="33"/>
  <c r="AG30" i="33"/>
  <c r="AF30" i="33"/>
  <c r="AF27" i="33" s="1"/>
  <c r="AE30" i="33"/>
  <c r="AD30" i="33"/>
  <c r="AC30" i="33"/>
  <c r="AB30" i="33"/>
  <c r="AB27" i="33" s="1"/>
  <c r="AA30" i="33"/>
  <c r="Z30" i="33"/>
  <c r="Y30" i="33"/>
  <c r="X30" i="33"/>
  <c r="X27" i="33" s="1"/>
  <c r="W30" i="33"/>
  <c r="V30" i="33"/>
  <c r="U30" i="33"/>
  <c r="T30" i="33"/>
  <c r="T27" i="33" s="1"/>
  <c r="S30" i="33"/>
  <c r="R30" i="33"/>
  <c r="Q30" i="33"/>
  <c r="P30" i="33"/>
  <c r="P27" i="33" s="1"/>
  <c r="O30" i="33"/>
  <c r="N30" i="33"/>
  <c r="M30" i="33"/>
  <c r="L30" i="33"/>
  <c r="L27" i="33" s="1"/>
  <c r="K30" i="33"/>
  <c r="J30" i="33"/>
  <c r="I30" i="33"/>
  <c r="H30" i="33"/>
  <c r="H27" i="33" s="1"/>
  <c r="G30" i="33"/>
  <c r="F30" i="33"/>
  <c r="E30" i="33"/>
  <c r="D30" i="33"/>
  <c r="D27" i="33" s="1"/>
  <c r="B30" i="33"/>
  <c r="BG27" i="33"/>
  <c r="BF27" i="33"/>
  <c r="BE27" i="33"/>
  <c r="BC27" i="33"/>
  <c r="BB27" i="33"/>
  <c r="BA27" i="33"/>
  <c r="AY27" i="33"/>
  <c r="AX27" i="33"/>
  <c r="AW27" i="33"/>
  <c r="AU27" i="33"/>
  <c r="AT27" i="33"/>
  <c r="AS27" i="33"/>
  <c r="AQ27" i="33"/>
  <c r="AP27" i="33"/>
  <c r="AO27" i="33"/>
  <c r="AM27" i="33"/>
  <c r="AL27" i="33"/>
  <c r="AK27" i="33"/>
  <c r="AI27" i="33"/>
  <c r="AH27" i="33"/>
  <c r="AG27" i="33"/>
  <c r="AE27" i="33"/>
  <c r="AD27" i="33"/>
  <c r="AC27" i="33"/>
  <c r="AA27" i="33"/>
  <c r="Z27" i="33"/>
  <c r="Y27" i="33"/>
  <c r="W27" i="33"/>
  <c r="V27" i="33"/>
  <c r="U27" i="33"/>
  <c r="S27" i="33"/>
  <c r="R27" i="33"/>
  <c r="Q27" i="33"/>
  <c r="O27" i="33"/>
  <c r="N27" i="33"/>
  <c r="M27" i="33"/>
  <c r="K27" i="33"/>
  <c r="J27" i="33"/>
  <c r="I27" i="33"/>
  <c r="G27" i="33"/>
  <c r="F27" i="33"/>
  <c r="E27" i="33"/>
  <c r="B27" i="33"/>
  <c r="BH24" i="33"/>
  <c r="BG24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AM24" i="33"/>
  <c r="AL24" i="33"/>
  <c r="AK24" i="33"/>
  <c r="AJ24" i="33"/>
  <c r="AI24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BH21" i="33"/>
  <c r="BG21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B21" i="33"/>
  <c r="BH18" i="33"/>
  <c r="BG18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AM18" i="33"/>
  <c r="AL18" i="33"/>
  <c r="AK18" i="33"/>
  <c r="AJ18" i="33"/>
  <c r="AI18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B18" i="33"/>
  <c r="BH16" i="33"/>
  <c r="BG16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B16" i="33"/>
  <c r="BH15" i="33"/>
  <c r="BG15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AM15" i="33"/>
  <c r="AL15" i="33"/>
  <c r="AK15" i="33"/>
  <c r="AJ15" i="33"/>
  <c r="AI15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BH14" i="33"/>
  <c r="BG14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B14" i="33"/>
  <c r="C8" i="33"/>
  <c r="Q37" i="33" s="1"/>
  <c r="C7" i="33"/>
  <c r="C6" i="33"/>
  <c r="C5" i="33"/>
  <c r="D4" i="33"/>
  <c r="C4" i="33"/>
  <c r="B4" i="33"/>
  <c r="C2" i="33"/>
  <c r="C88" i="33" l="1"/>
  <c r="F88" i="3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C34" i="33" s="1"/>
  <c r="A34" i="33" s="1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F81" i="33" s="1"/>
  <c r="C116" i="33"/>
  <c r="C123" i="33"/>
  <c r="C129" i="33"/>
  <c r="C137" i="33"/>
  <c r="C134" i="33"/>
  <c r="C113" i="33"/>
  <c r="C119" i="33"/>
  <c r="C126" i="33"/>
  <c r="C40" i="33" l="1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C92" i="33"/>
  <c r="F92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F99" i="33" s="1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6" i="31" l="1"/>
  <c r="C133" i="31"/>
  <c r="C130" i="31"/>
  <c r="C128" i="31"/>
  <c r="C125" i="31"/>
  <c r="C122" i="31"/>
  <c r="C118" i="31"/>
  <c r="C115" i="31"/>
  <c r="C112" i="31"/>
  <c r="C109" i="31"/>
  <c r="C108" i="31"/>
  <c r="C107" i="31"/>
  <c r="C106" i="31"/>
  <c r="C131" i="31" s="1"/>
  <c r="C105" i="31"/>
  <c r="C132" i="31" s="1"/>
  <c r="C103" i="31"/>
  <c r="C104" i="31" s="1"/>
  <c r="C4" i="31" s="1"/>
  <c r="C102" i="31"/>
  <c r="C90" i="31"/>
  <c r="B90" i="31"/>
  <c r="C89" i="31"/>
  <c r="C86" i="31"/>
  <c r="C85" i="31"/>
  <c r="C97" i="31" s="1"/>
  <c r="C84" i="31"/>
  <c r="C96" i="31" s="1"/>
  <c r="C83" i="31"/>
  <c r="C95" i="31" s="1"/>
  <c r="C82" i="31"/>
  <c r="C94" i="31" s="1"/>
  <c r="C79" i="31"/>
  <c r="F79" i="31" s="1"/>
  <c r="C78" i="31"/>
  <c r="F78" i="31" s="1"/>
  <c r="C76" i="31"/>
  <c r="B76" i="31"/>
  <c r="C75" i="31"/>
  <c r="B75" i="31"/>
  <c r="C74" i="31"/>
  <c r="B74" i="31"/>
  <c r="C73" i="31"/>
  <c r="B73" i="31"/>
  <c r="C72" i="31"/>
  <c r="B72" i="31"/>
  <c r="C71" i="31"/>
  <c r="C61" i="31" s="1"/>
  <c r="F61" i="31" s="1"/>
  <c r="B71" i="31"/>
  <c r="C70" i="31"/>
  <c r="B70" i="31"/>
  <c r="C69" i="31"/>
  <c r="B69" i="31"/>
  <c r="C68" i="31"/>
  <c r="B68" i="31"/>
  <c r="C67" i="31"/>
  <c r="B67" i="31"/>
  <c r="C66" i="31"/>
  <c r="B66" i="31"/>
  <c r="C65" i="31"/>
  <c r="B65" i="31"/>
  <c r="C64" i="31"/>
  <c r="B64" i="31"/>
  <c r="C63" i="31"/>
  <c r="B63" i="31"/>
  <c r="C62" i="31"/>
  <c r="B62" i="31"/>
  <c r="C59" i="31"/>
  <c r="C58" i="31"/>
  <c r="C57" i="31"/>
  <c r="C43" i="31"/>
  <c r="BH42" i="31"/>
  <c r="BG42" i="31"/>
  <c r="BF42" i="31"/>
  <c r="BE42" i="31"/>
  <c r="BD42" i="31"/>
  <c r="BC42" i="31"/>
  <c r="BB42" i="31"/>
  <c r="BA42" i="31"/>
  <c r="AZ42" i="31"/>
  <c r="AY42" i="31"/>
  <c r="AX42" i="31"/>
  <c r="AW42" i="31"/>
  <c r="AV42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AH42" i="31"/>
  <c r="AG42" i="31"/>
  <c r="AF42" i="31"/>
  <c r="AE42" i="31"/>
  <c r="AD42" i="3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2" i="31"/>
  <c r="BH39" i="31"/>
  <c r="BG39" i="31"/>
  <c r="BF39" i="31"/>
  <c r="BE39" i="31"/>
  <c r="BD39" i="31"/>
  <c r="BC39" i="31"/>
  <c r="BB39" i="31"/>
  <c r="BA39" i="31"/>
  <c r="AZ39" i="31"/>
  <c r="AY39" i="31"/>
  <c r="AX39" i="31"/>
  <c r="AW39" i="31"/>
  <c r="AV39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I39" i="31"/>
  <c r="H39" i="31"/>
  <c r="G39" i="31"/>
  <c r="F39" i="31"/>
  <c r="E39" i="31"/>
  <c r="D39" i="31"/>
  <c r="BG36" i="31"/>
  <c r="AQ36" i="31"/>
  <c r="AA36" i="31"/>
  <c r="K36" i="31"/>
  <c r="BH33" i="31"/>
  <c r="BH36" i="31" s="1"/>
  <c r="BG33" i="31"/>
  <c r="BF33" i="31"/>
  <c r="BF36" i="31" s="1"/>
  <c r="BE33" i="31"/>
  <c r="BE36" i="31" s="1"/>
  <c r="BD33" i="31"/>
  <c r="BD36" i="31" s="1"/>
  <c r="BC33" i="31"/>
  <c r="BC36" i="31" s="1"/>
  <c r="BB33" i="31"/>
  <c r="BB36" i="31" s="1"/>
  <c r="BA33" i="31"/>
  <c r="BA36" i="31" s="1"/>
  <c r="AZ33" i="31"/>
  <c r="AZ36" i="31" s="1"/>
  <c r="AY33" i="31"/>
  <c r="AY36" i="31" s="1"/>
  <c r="AX33" i="31"/>
  <c r="AX36" i="31" s="1"/>
  <c r="AW33" i="31"/>
  <c r="AW36" i="31" s="1"/>
  <c r="AV33" i="31"/>
  <c r="AV36" i="31" s="1"/>
  <c r="AU33" i="31"/>
  <c r="AU36" i="31" s="1"/>
  <c r="AT33" i="31"/>
  <c r="AT36" i="31" s="1"/>
  <c r="AS33" i="31"/>
  <c r="AS36" i="31" s="1"/>
  <c r="AR33" i="31"/>
  <c r="AR36" i="31" s="1"/>
  <c r="AQ33" i="31"/>
  <c r="AP33" i="31"/>
  <c r="AP36" i="31" s="1"/>
  <c r="AO33" i="31"/>
  <c r="AO36" i="31" s="1"/>
  <c r="AN33" i="31"/>
  <c r="AN36" i="31" s="1"/>
  <c r="AM33" i="31"/>
  <c r="AM36" i="31" s="1"/>
  <c r="AL33" i="31"/>
  <c r="AL36" i="31" s="1"/>
  <c r="AK33" i="31"/>
  <c r="AK36" i="31" s="1"/>
  <c r="AJ33" i="31"/>
  <c r="AJ36" i="31" s="1"/>
  <c r="AI33" i="31"/>
  <c r="AI36" i="31" s="1"/>
  <c r="AH33" i="31"/>
  <c r="AH36" i="31" s="1"/>
  <c r="AG33" i="31"/>
  <c r="AG36" i="31" s="1"/>
  <c r="AF33" i="31"/>
  <c r="AF36" i="31" s="1"/>
  <c r="AE33" i="31"/>
  <c r="AE36" i="31" s="1"/>
  <c r="AD33" i="31"/>
  <c r="AD36" i="31" s="1"/>
  <c r="AC33" i="31"/>
  <c r="AC36" i="31" s="1"/>
  <c r="AB33" i="31"/>
  <c r="AB36" i="31" s="1"/>
  <c r="AA33" i="31"/>
  <c r="Z33" i="31"/>
  <c r="Z36" i="31" s="1"/>
  <c r="Y33" i="31"/>
  <c r="Y36" i="31" s="1"/>
  <c r="X33" i="31"/>
  <c r="X36" i="31" s="1"/>
  <c r="W33" i="31"/>
  <c r="W36" i="31" s="1"/>
  <c r="V33" i="31"/>
  <c r="V36" i="31" s="1"/>
  <c r="U33" i="31"/>
  <c r="U36" i="31" s="1"/>
  <c r="T33" i="31"/>
  <c r="T36" i="31" s="1"/>
  <c r="S33" i="31"/>
  <c r="S36" i="31" s="1"/>
  <c r="R33" i="31"/>
  <c r="R36" i="31" s="1"/>
  <c r="Q33" i="31"/>
  <c r="Q36" i="31" s="1"/>
  <c r="P33" i="31"/>
  <c r="P36" i="31" s="1"/>
  <c r="O33" i="31"/>
  <c r="O36" i="31" s="1"/>
  <c r="N33" i="31"/>
  <c r="N36" i="31" s="1"/>
  <c r="M33" i="31"/>
  <c r="M36" i="31" s="1"/>
  <c r="L33" i="31"/>
  <c r="L36" i="31" s="1"/>
  <c r="K33" i="31"/>
  <c r="J33" i="31"/>
  <c r="J36" i="31" s="1"/>
  <c r="I33" i="31"/>
  <c r="I36" i="31" s="1"/>
  <c r="H33" i="31"/>
  <c r="H36" i="31" s="1"/>
  <c r="G33" i="31"/>
  <c r="G36" i="31" s="1"/>
  <c r="F33" i="31"/>
  <c r="F36" i="31" s="1"/>
  <c r="E33" i="31"/>
  <c r="E36" i="31" s="1"/>
  <c r="D33" i="31"/>
  <c r="D36" i="31" s="1"/>
  <c r="BH30" i="31"/>
  <c r="BH27" i="31" s="1"/>
  <c r="BG30" i="31"/>
  <c r="BG27" i="31" s="1"/>
  <c r="BF30" i="31"/>
  <c r="BE30" i="31"/>
  <c r="BD30" i="31"/>
  <c r="BD27" i="31" s="1"/>
  <c r="BC30" i="31"/>
  <c r="BB30" i="31"/>
  <c r="BA30" i="31"/>
  <c r="AZ30" i="31"/>
  <c r="AZ27" i="31" s="1"/>
  <c r="AY30" i="31"/>
  <c r="AY27" i="31" s="1"/>
  <c r="AX30" i="31"/>
  <c r="AW30" i="31"/>
  <c r="AV30" i="31"/>
  <c r="AV27" i="31" s="1"/>
  <c r="AU30" i="31"/>
  <c r="AU27" i="31" s="1"/>
  <c r="AT30" i="31"/>
  <c r="AS30" i="31"/>
  <c r="AR30" i="31"/>
  <c r="AR27" i="31" s="1"/>
  <c r="AQ30" i="31"/>
  <c r="AQ27" i="31" s="1"/>
  <c r="AP30" i="31"/>
  <c r="AO30" i="31"/>
  <c r="AN30" i="31"/>
  <c r="AN27" i="31" s="1"/>
  <c r="AM30" i="31"/>
  <c r="AL30" i="31"/>
  <c r="AK30" i="31"/>
  <c r="AJ30" i="31"/>
  <c r="AJ27" i="31" s="1"/>
  <c r="AI30" i="31"/>
  <c r="AI27" i="31" s="1"/>
  <c r="AH30" i="31"/>
  <c r="AG30" i="31"/>
  <c r="AF30" i="31"/>
  <c r="AF27" i="31" s="1"/>
  <c r="AE30" i="31"/>
  <c r="AE27" i="31" s="1"/>
  <c r="AD30" i="31"/>
  <c r="AC30" i="31"/>
  <c r="AB30" i="31"/>
  <c r="AB27" i="31" s="1"/>
  <c r="AA30" i="31"/>
  <c r="AA27" i="31" s="1"/>
  <c r="Z30" i="31"/>
  <c r="Y30" i="31"/>
  <c r="X30" i="31"/>
  <c r="X27" i="31" s="1"/>
  <c r="W30" i="31"/>
  <c r="V30" i="31"/>
  <c r="U30" i="31"/>
  <c r="T30" i="31"/>
  <c r="T27" i="31" s="1"/>
  <c r="S30" i="31"/>
  <c r="S27" i="31" s="1"/>
  <c r="R30" i="31"/>
  <c r="Q30" i="31"/>
  <c r="P30" i="31"/>
  <c r="P27" i="31" s="1"/>
  <c r="O30" i="31"/>
  <c r="O27" i="31" s="1"/>
  <c r="N30" i="31"/>
  <c r="M30" i="31"/>
  <c r="L30" i="31"/>
  <c r="L27" i="31" s="1"/>
  <c r="K30" i="31"/>
  <c r="K27" i="31" s="1"/>
  <c r="J30" i="31"/>
  <c r="I30" i="31"/>
  <c r="H30" i="31"/>
  <c r="H27" i="31" s="1"/>
  <c r="G30" i="31"/>
  <c r="F30" i="31"/>
  <c r="E30" i="31"/>
  <c r="D30" i="31"/>
  <c r="D27" i="31" s="1"/>
  <c r="B30" i="31"/>
  <c r="BF27" i="31"/>
  <c r="BE27" i="31"/>
  <c r="BC27" i="31"/>
  <c r="BB27" i="31"/>
  <c r="BA27" i="31"/>
  <c r="AX27" i="31"/>
  <c r="AW27" i="31"/>
  <c r="AT27" i="31"/>
  <c r="AS27" i="31"/>
  <c r="AP27" i="31"/>
  <c r="AO27" i="31"/>
  <c r="AM27" i="31"/>
  <c r="AL27" i="31"/>
  <c r="AK27" i="31"/>
  <c r="AH27" i="31"/>
  <c r="AG27" i="31"/>
  <c r="AD27" i="31"/>
  <c r="AC27" i="31"/>
  <c r="Z27" i="31"/>
  <c r="Y27" i="31"/>
  <c r="W27" i="31"/>
  <c r="V27" i="31"/>
  <c r="U27" i="31"/>
  <c r="R27" i="31"/>
  <c r="Q27" i="31"/>
  <c r="N27" i="31"/>
  <c r="M27" i="31"/>
  <c r="J27" i="31"/>
  <c r="I27" i="31"/>
  <c r="G27" i="31"/>
  <c r="F27" i="31"/>
  <c r="E27" i="31"/>
  <c r="B27" i="31"/>
  <c r="BH24" i="31"/>
  <c r="BG24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BH21" i="31"/>
  <c r="BG21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AH21" i="31"/>
  <c r="AG21" i="31"/>
  <c r="AF21" i="31"/>
  <c r="AE21" i="31"/>
  <c r="AD21" i="31"/>
  <c r="AC21" i="31"/>
  <c r="AB21" i="31"/>
  <c r="AA21" i="31"/>
  <c r="Z21" i="31"/>
  <c r="Y21" i="31"/>
  <c r="X21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B21" i="31"/>
  <c r="BH18" i="31"/>
  <c r="BG18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AE18" i="31"/>
  <c r="AD18" i="31"/>
  <c r="AC18" i="31"/>
  <c r="AB18" i="31"/>
  <c r="AA18" i="31"/>
  <c r="Z18" i="31"/>
  <c r="Y18" i="31"/>
  <c r="X18" i="31"/>
  <c r="W18" i="31"/>
  <c r="V18" i="31"/>
  <c r="U18" i="31"/>
  <c r="T18" i="31"/>
  <c r="S18" i="31"/>
  <c r="R18" i="31"/>
  <c r="Q18" i="31"/>
  <c r="P18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B18" i="31"/>
  <c r="BH16" i="31"/>
  <c r="BG16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B16" i="31"/>
  <c r="BH15" i="31"/>
  <c r="BG15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AM15" i="31"/>
  <c r="AL15" i="31"/>
  <c r="AK15" i="31"/>
  <c r="AJ15" i="31"/>
  <c r="AI15" i="31"/>
  <c r="AH15" i="31"/>
  <c r="AG15" i="31"/>
  <c r="AF15" i="31"/>
  <c r="AE15" i="31"/>
  <c r="AD15" i="31"/>
  <c r="AC15" i="31"/>
  <c r="AB15" i="31"/>
  <c r="AA15" i="31"/>
  <c r="Z15" i="31"/>
  <c r="Y15" i="31"/>
  <c r="X15" i="31"/>
  <c r="W15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BH14" i="31"/>
  <c r="BG14" i="3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AE14" i="31"/>
  <c r="AD14" i="31"/>
  <c r="AC14" i="31"/>
  <c r="AB14" i="31"/>
  <c r="AA14" i="31"/>
  <c r="Z14" i="31"/>
  <c r="Y14" i="31"/>
  <c r="X14" i="31"/>
  <c r="W14" i="31"/>
  <c r="V14" i="31"/>
  <c r="U14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B14" i="31"/>
  <c r="C8" i="31"/>
  <c r="W34" i="31" s="1"/>
  <c r="C7" i="31"/>
  <c r="C6" i="31"/>
  <c r="C5" i="31"/>
  <c r="D4" i="31"/>
  <c r="B4" i="31"/>
  <c r="C2" i="31"/>
  <c r="C88" i="31" l="1"/>
  <c r="F88" i="31" s="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C40" i="31" s="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C28" i="31" s="1"/>
  <c r="A28" i="31" s="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F81" i="31" s="1"/>
  <c r="C116" i="31"/>
  <c r="C123" i="31"/>
  <c r="C129" i="31"/>
  <c r="C137" i="31"/>
  <c r="F57" i="31"/>
  <c r="C134" i="31"/>
  <c r="C113" i="31"/>
  <c r="C119" i="31"/>
  <c r="C126" i="31"/>
  <c r="A40" i="31" l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C92" i="31"/>
  <c r="F92" i="31" s="1"/>
  <c r="A36" i="31"/>
  <c r="F51" i="31" s="1"/>
  <c r="C51" i="31" s="1"/>
  <c r="A33" i="31"/>
  <c r="C99" i="31" l="1"/>
  <c r="F99" i="31" s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6" i="29" l="1"/>
  <c r="C133" i="29"/>
  <c r="C130" i="29"/>
  <c r="C128" i="29"/>
  <c r="C125" i="29"/>
  <c r="C122" i="29"/>
  <c r="C118" i="29"/>
  <c r="C115" i="29"/>
  <c r="C112" i="29"/>
  <c r="C109" i="29"/>
  <c r="C108" i="29"/>
  <c r="C107" i="29"/>
  <c r="C106" i="29"/>
  <c r="C131" i="29" s="1"/>
  <c r="C105" i="29"/>
  <c r="C132" i="29" s="1"/>
  <c r="C103" i="29"/>
  <c r="C104" i="29" s="1"/>
  <c r="C4" i="29" s="1"/>
  <c r="C102" i="29"/>
  <c r="C90" i="29"/>
  <c r="B90" i="29"/>
  <c r="C89" i="29"/>
  <c r="C86" i="29"/>
  <c r="C85" i="29"/>
  <c r="C97" i="29" s="1"/>
  <c r="C84" i="29"/>
  <c r="C96" i="29" s="1"/>
  <c r="C83" i="29"/>
  <c r="C95" i="29" s="1"/>
  <c r="C82" i="29"/>
  <c r="C94" i="29" s="1"/>
  <c r="C79" i="29"/>
  <c r="F79" i="29" s="1"/>
  <c r="C78" i="29"/>
  <c r="F78" i="29" s="1"/>
  <c r="C76" i="29"/>
  <c r="B76" i="29"/>
  <c r="C75" i="29"/>
  <c r="B75" i="29"/>
  <c r="C74" i="29"/>
  <c r="B74" i="29"/>
  <c r="C73" i="29"/>
  <c r="B73" i="29"/>
  <c r="C72" i="29"/>
  <c r="B72" i="29"/>
  <c r="C71" i="29"/>
  <c r="C61" i="29" s="1"/>
  <c r="F61" i="29" s="1"/>
  <c r="B71" i="29"/>
  <c r="C70" i="29"/>
  <c r="B70" i="29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59" i="29"/>
  <c r="C58" i="29"/>
  <c r="C57" i="29"/>
  <c r="C43" i="29"/>
  <c r="BH42" i="29"/>
  <c r="BG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T42" i="29"/>
  <c r="AS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F42" i="29"/>
  <c r="AE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BH39" i="29"/>
  <c r="BG39" i="29"/>
  <c r="BF39" i="29"/>
  <c r="BE39" i="29"/>
  <c r="BD39" i="29"/>
  <c r="BC39" i="29"/>
  <c r="BB39" i="29"/>
  <c r="BA39" i="29"/>
  <c r="AZ39" i="29"/>
  <c r="AY39" i="29"/>
  <c r="AX39" i="29"/>
  <c r="AW39" i="29"/>
  <c r="AV39" i="29"/>
  <c r="AU39" i="29"/>
  <c r="AT39" i="29"/>
  <c r="AS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F39" i="29"/>
  <c r="AE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BG36" i="29"/>
  <c r="BC36" i="29"/>
  <c r="AQ36" i="29"/>
  <c r="AM36" i="29"/>
  <c r="AA36" i="29"/>
  <c r="W36" i="29"/>
  <c r="K36" i="29"/>
  <c r="G36" i="29"/>
  <c r="BH33" i="29"/>
  <c r="BH36" i="29" s="1"/>
  <c r="BG33" i="29"/>
  <c r="BF33" i="29"/>
  <c r="BF36" i="29" s="1"/>
  <c r="BE33" i="29"/>
  <c r="BE36" i="29" s="1"/>
  <c r="BD33" i="29"/>
  <c r="BD36" i="29" s="1"/>
  <c r="BC33" i="29"/>
  <c r="BB33" i="29"/>
  <c r="BB36" i="29" s="1"/>
  <c r="BA33" i="29"/>
  <c r="BA36" i="29" s="1"/>
  <c r="AZ33" i="29"/>
  <c r="AZ36" i="29" s="1"/>
  <c r="AY33" i="29"/>
  <c r="AY36" i="29" s="1"/>
  <c r="AX33" i="29"/>
  <c r="AX36" i="29" s="1"/>
  <c r="AW33" i="29"/>
  <c r="AW36" i="29" s="1"/>
  <c r="AV33" i="29"/>
  <c r="AV36" i="29" s="1"/>
  <c r="AU33" i="29"/>
  <c r="AU36" i="29" s="1"/>
  <c r="AT33" i="29"/>
  <c r="AT36" i="29" s="1"/>
  <c r="AS33" i="29"/>
  <c r="AS36" i="29" s="1"/>
  <c r="AR33" i="29"/>
  <c r="AR36" i="29" s="1"/>
  <c r="AQ33" i="29"/>
  <c r="AP33" i="29"/>
  <c r="AP36" i="29" s="1"/>
  <c r="AO33" i="29"/>
  <c r="AO36" i="29" s="1"/>
  <c r="AN33" i="29"/>
  <c r="AN36" i="29" s="1"/>
  <c r="AM33" i="29"/>
  <c r="AL33" i="29"/>
  <c r="AL36" i="29" s="1"/>
  <c r="AK33" i="29"/>
  <c r="AK36" i="29" s="1"/>
  <c r="AJ33" i="29"/>
  <c r="AJ36" i="29" s="1"/>
  <c r="AI33" i="29"/>
  <c r="AI36" i="29" s="1"/>
  <c r="AH33" i="29"/>
  <c r="AH36" i="29" s="1"/>
  <c r="AG33" i="29"/>
  <c r="AG36" i="29" s="1"/>
  <c r="AF33" i="29"/>
  <c r="AF36" i="29" s="1"/>
  <c r="AE33" i="29"/>
  <c r="AE36" i="29" s="1"/>
  <c r="AD33" i="29"/>
  <c r="AD36" i="29" s="1"/>
  <c r="AC33" i="29"/>
  <c r="AC36" i="29" s="1"/>
  <c r="AB33" i="29"/>
  <c r="AB36" i="29" s="1"/>
  <c r="AA33" i="29"/>
  <c r="Z33" i="29"/>
  <c r="Z36" i="29" s="1"/>
  <c r="Y33" i="29"/>
  <c r="Y36" i="29" s="1"/>
  <c r="X33" i="29"/>
  <c r="X36" i="29" s="1"/>
  <c r="W33" i="29"/>
  <c r="V33" i="29"/>
  <c r="V36" i="29" s="1"/>
  <c r="U33" i="29"/>
  <c r="U36" i="29" s="1"/>
  <c r="T33" i="29"/>
  <c r="T36" i="29" s="1"/>
  <c r="S33" i="29"/>
  <c r="S36" i="29" s="1"/>
  <c r="R33" i="29"/>
  <c r="R36" i="29" s="1"/>
  <c r="Q33" i="29"/>
  <c r="Q36" i="29" s="1"/>
  <c r="P33" i="29"/>
  <c r="P36" i="29" s="1"/>
  <c r="O33" i="29"/>
  <c r="O36" i="29" s="1"/>
  <c r="N33" i="29"/>
  <c r="N36" i="29" s="1"/>
  <c r="M33" i="29"/>
  <c r="M36" i="29" s="1"/>
  <c r="L33" i="29"/>
  <c r="L36" i="29" s="1"/>
  <c r="K33" i="29"/>
  <c r="J33" i="29"/>
  <c r="J36" i="29" s="1"/>
  <c r="I33" i="29"/>
  <c r="I36" i="29" s="1"/>
  <c r="H33" i="29"/>
  <c r="H36" i="29" s="1"/>
  <c r="G33" i="29"/>
  <c r="F33" i="29"/>
  <c r="F36" i="29" s="1"/>
  <c r="E33" i="29"/>
  <c r="E36" i="29" s="1"/>
  <c r="D33" i="29"/>
  <c r="D36" i="29" s="1"/>
  <c r="BH30" i="29"/>
  <c r="BH27" i="29" s="1"/>
  <c r="BG30" i="29"/>
  <c r="BG27" i="29" s="1"/>
  <c r="BF30" i="29"/>
  <c r="BF27" i="29" s="1"/>
  <c r="BE30" i="29"/>
  <c r="BD30" i="29"/>
  <c r="BD27" i="29" s="1"/>
  <c r="BC30" i="29"/>
  <c r="BB30" i="29"/>
  <c r="BA30" i="29"/>
  <c r="AZ30" i="29"/>
  <c r="AZ27" i="29" s="1"/>
  <c r="AY30" i="29"/>
  <c r="AY27" i="29" s="1"/>
  <c r="AX30" i="29"/>
  <c r="AW30" i="29"/>
  <c r="AV30" i="29"/>
  <c r="AV27" i="29" s="1"/>
  <c r="AU30" i="29"/>
  <c r="AU27" i="29" s="1"/>
  <c r="AT30" i="29"/>
  <c r="AT27" i="29" s="1"/>
  <c r="AS30" i="29"/>
  <c r="AR30" i="29"/>
  <c r="AR27" i="29" s="1"/>
  <c r="AQ30" i="29"/>
  <c r="AQ27" i="29" s="1"/>
  <c r="AP30" i="29"/>
  <c r="AP27" i="29" s="1"/>
  <c r="AO30" i="29"/>
  <c r="AN30" i="29"/>
  <c r="AN27" i="29" s="1"/>
  <c r="AM30" i="29"/>
  <c r="AL30" i="29"/>
  <c r="AK30" i="29"/>
  <c r="AJ30" i="29"/>
  <c r="AJ27" i="29" s="1"/>
  <c r="AI30" i="29"/>
  <c r="AI27" i="29" s="1"/>
  <c r="AH30" i="29"/>
  <c r="AG30" i="29"/>
  <c r="AF30" i="29"/>
  <c r="AF27" i="29" s="1"/>
  <c r="AE30" i="29"/>
  <c r="AE27" i="29" s="1"/>
  <c r="AD30" i="29"/>
  <c r="AD27" i="29" s="1"/>
  <c r="AC30" i="29"/>
  <c r="AB30" i="29"/>
  <c r="AB27" i="29" s="1"/>
  <c r="AA30" i="29"/>
  <c r="AA27" i="29" s="1"/>
  <c r="Z30" i="29"/>
  <c r="Z27" i="29" s="1"/>
  <c r="Y30" i="29"/>
  <c r="X30" i="29"/>
  <c r="X27" i="29" s="1"/>
  <c r="W30" i="29"/>
  <c r="V30" i="29"/>
  <c r="U30" i="29"/>
  <c r="T30" i="29"/>
  <c r="T27" i="29" s="1"/>
  <c r="S30" i="29"/>
  <c r="S27" i="29" s="1"/>
  <c r="R30" i="29"/>
  <c r="Q30" i="29"/>
  <c r="P30" i="29"/>
  <c r="P27" i="29" s="1"/>
  <c r="O30" i="29"/>
  <c r="O27" i="29" s="1"/>
  <c r="N30" i="29"/>
  <c r="N27" i="29" s="1"/>
  <c r="M30" i="29"/>
  <c r="L30" i="29"/>
  <c r="K30" i="29"/>
  <c r="K27" i="29" s="1"/>
  <c r="J30" i="29"/>
  <c r="J27" i="29" s="1"/>
  <c r="I30" i="29"/>
  <c r="H30" i="29"/>
  <c r="G30" i="29"/>
  <c r="G27" i="29" s="1"/>
  <c r="F30" i="29"/>
  <c r="F27" i="29" s="1"/>
  <c r="E30" i="29"/>
  <c r="D30" i="29"/>
  <c r="B30" i="29"/>
  <c r="BE27" i="29"/>
  <c r="BC27" i="29"/>
  <c r="BB27" i="29"/>
  <c r="BA27" i="29"/>
  <c r="AX27" i="29"/>
  <c r="AW27" i="29"/>
  <c r="AS27" i="29"/>
  <c r="AO27" i="29"/>
  <c r="AM27" i="29"/>
  <c r="AL27" i="29"/>
  <c r="AK27" i="29"/>
  <c r="AH27" i="29"/>
  <c r="AG27" i="29"/>
  <c r="AC27" i="29"/>
  <c r="Y27" i="29"/>
  <c r="W27" i="29"/>
  <c r="V27" i="29"/>
  <c r="U27" i="29"/>
  <c r="R27" i="29"/>
  <c r="Q27" i="29"/>
  <c r="M27" i="29"/>
  <c r="L27" i="29"/>
  <c r="I27" i="29"/>
  <c r="H27" i="29"/>
  <c r="E27" i="29"/>
  <c r="D27" i="29"/>
  <c r="B27" i="29"/>
  <c r="BH24" i="29"/>
  <c r="BG24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F24" i="29"/>
  <c r="AE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BH21" i="29"/>
  <c r="BG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F21" i="29"/>
  <c r="AE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B21" i="29"/>
  <c r="BH18" i="29"/>
  <c r="BG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B18" i="29"/>
  <c r="BH16" i="29"/>
  <c r="BG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F16" i="29"/>
  <c r="AE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B16" i="29"/>
  <c r="BH15" i="29"/>
  <c r="BG15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F15" i="29"/>
  <c r="AE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BH14" i="29"/>
  <c r="BG14" i="29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AH14" i="29"/>
  <c r="AG14" i="29"/>
  <c r="AF14" i="29"/>
  <c r="AE14" i="29"/>
  <c r="AD14" i="29"/>
  <c r="AC14" i="29"/>
  <c r="AB14" i="29"/>
  <c r="AA14" i="29"/>
  <c r="Z14" i="29"/>
  <c r="Y14" i="29"/>
  <c r="X14" i="29"/>
  <c r="W14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B14" i="29"/>
  <c r="C8" i="29"/>
  <c r="C7" i="29"/>
  <c r="C6" i="29"/>
  <c r="C5" i="29"/>
  <c r="D4" i="29"/>
  <c r="B4" i="29"/>
  <c r="C2" i="29"/>
  <c r="C88" i="29" l="1"/>
  <c r="F88" i="29" s="1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C40" i="29" s="1"/>
  <c r="A40" i="29" s="1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F81" i="29" s="1"/>
  <c r="C116" i="29"/>
  <c r="C123" i="29"/>
  <c r="C129" i="29"/>
  <c r="C137" i="29"/>
  <c r="F57" i="29"/>
  <c r="C134" i="29"/>
  <c r="C113" i="29"/>
  <c r="C119" i="29"/>
  <c r="C126" i="29"/>
  <c r="C28" i="29" l="1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C92" i="29"/>
  <c r="F92" i="29" s="1"/>
  <c r="A36" i="29"/>
  <c r="F51" i="29" s="1"/>
  <c r="C51" i="29" s="1"/>
  <c r="A21" i="29"/>
  <c r="C23" i="29"/>
  <c r="A24" i="29"/>
  <c r="C99" i="29"/>
  <c r="F99" i="29" s="1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A44" i="29" s="1"/>
  <c r="H92" i="29"/>
  <c r="C47" i="29" l="1"/>
  <c r="C49" i="29" s="1"/>
  <c r="C53" i="29" s="1"/>
  <c r="F49" i="29"/>
  <c r="F53" i="29" s="1"/>
  <c r="C136" i="23" l="1"/>
  <c r="C133" i="23"/>
  <c r="C130" i="23"/>
  <c r="C128" i="23"/>
  <c r="C125" i="23"/>
  <c r="C122" i="23"/>
  <c r="C118" i="23"/>
  <c r="C115" i="23"/>
  <c r="C112" i="23"/>
  <c r="C109" i="23"/>
  <c r="C108" i="23"/>
  <c r="C107" i="23"/>
  <c r="C105" i="23"/>
  <c r="C103" i="23"/>
  <c r="C104" i="23" s="1"/>
  <c r="C4" i="23" s="1"/>
  <c r="C102" i="23"/>
  <c r="C95" i="23"/>
  <c r="C90" i="23"/>
  <c r="B90" i="23"/>
  <c r="C89" i="23"/>
  <c r="C86" i="23"/>
  <c r="C85" i="23"/>
  <c r="C97" i="23" s="1"/>
  <c r="C84" i="23"/>
  <c r="C96" i="23" s="1"/>
  <c r="C83" i="23"/>
  <c r="C82" i="23"/>
  <c r="C94" i="23" s="1"/>
  <c r="C79" i="23"/>
  <c r="F79" i="23" s="1"/>
  <c r="C78" i="23"/>
  <c r="F78" i="23" s="1"/>
  <c r="C76" i="23"/>
  <c r="B76" i="23"/>
  <c r="C75" i="23"/>
  <c r="B75" i="23"/>
  <c r="C74" i="23"/>
  <c r="B74" i="23"/>
  <c r="C73" i="23"/>
  <c r="B73" i="23"/>
  <c r="C72" i="23"/>
  <c r="B72" i="23"/>
  <c r="C71" i="23"/>
  <c r="C61" i="23" s="1"/>
  <c r="F61" i="23" s="1"/>
  <c r="B71" i="23"/>
  <c r="C70" i="23"/>
  <c r="B70" i="23"/>
  <c r="C69" i="23"/>
  <c r="B69" i="23"/>
  <c r="C68" i="23"/>
  <c r="B68" i="23"/>
  <c r="C67" i="23"/>
  <c r="B67" i="23"/>
  <c r="C66" i="23"/>
  <c r="B66" i="23"/>
  <c r="C65" i="23"/>
  <c r="B65" i="23"/>
  <c r="C64" i="23"/>
  <c r="B64" i="23"/>
  <c r="C63" i="23"/>
  <c r="B63" i="23"/>
  <c r="C62" i="23"/>
  <c r="B62" i="23"/>
  <c r="C59" i="23"/>
  <c r="C58" i="23"/>
  <c r="C57" i="23"/>
  <c r="C43" i="23"/>
  <c r="BH42" i="23"/>
  <c r="BG42" i="23"/>
  <c r="BF42" i="23"/>
  <c r="BE42" i="23"/>
  <c r="BD42" i="23"/>
  <c r="BC42" i="23"/>
  <c r="BB42" i="23"/>
  <c r="BA42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BH39" i="23"/>
  <c r="BG39" i="23"/>
  <c r="BF39" i="23"/>
  <c r="BE39" i="23"/>
  <c r="BD39" i="23"/>
  <c r="BC39" i="23"/>
  <c r="BB39" i="23"/>
  <c r="BA39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BH36" i="23"/>
  <c r="BG36" i="23"/>
  <c r="AZ36" i="23"/>
  <c r="AY36" i="23"/>
  <c r="AR36" i="23"/>
  <c r="AQ36" i="23"/>
  <c r="AJ36" i="23"/>
  <c r="AI36" i="23"/>
  <c r="AB36" i="23"/>
  <c r="AA36" i="23"/>
  <c r="T36" i="23"/>
  <c r="S36" i="23"/>
  <c r="L36" i="23"/>
  <c r="K36" i="23"/>
  <c r="D36" i="23"/>
  <c r="BH33" i="23"/>
  <c r="BG33" i="23"/>
  <c r="BF33" i="23"/>
  <c r="BF36" i="23" s="1"/>
  <c r="BE33" i="23"/>
  <c r="BE36" i="23" s="1"/>
  <c r="BD33" i="23"/>
  <c r="BD36" i="23" s="1"/>
  <c r="BC33" i="23"/>
  <c r="BC36" i="23" s="1"/>
  <c r="BB33" i="23"/>
  <c r="BB36" i="23" s="1"/>
  <c r="BA33" i="23"/>
  <c r="BA36" i="23" s="1"/>
  <c r="AZ33" i="23"/>
  <c r="AY33" i="23"/>
  <c r="AX33" i="23"/>
  <c r="AX36" i="23" s="1"/>
  <c r="AW33" i="23"/>
  <c r="AW36" i="23" s="1"/>
  <c r="AV33" i="23"/>
  <c r="AV36" i="23" s="1"/>
  <c r="AU33" i="23"/>
  <c r="AU36" i="23" s="1"/>
  <c r="AT33" i="23"/>
  <c r="AT36" i="23" s="1"/>
  <c r="AS33" i="23"/>
  <c r="AS36" i="23" s="1"/>
  <c r="AR33" i="23"/>
  <c r="AQ33" i="23"/>
  <c r="AP33" i="23"/>
  <c r="AP36" i="23" s="1"/>
  <c r="AO33" i="23"/>
  <c r="AO36" i="23" s="1"/>
  <c r="AN33" i="23"/>
  <c r="AN36" i="23" s="1"/>
  <c r="AM33" i="23"/>
  <c r="AM36" i="23" s="1"/>
  <c r="AL33" i="23"/>
  <c r="AL36" i="23" s="1"/>
  <c r="AK33" i="23"/>
  <c r="AK36" i="23" s="1"/>
  <c r="AJ33" i="23"/>
  <c r="AI33" i="23"/>
  <c r="AH33" i="23"/>
  <c r="AH36" i="23" s="1"/>
  <c r="AG33" i="23"/>
  <c r="AG36" i="23" s="1"/>
  <c r="AF33" i="23"/>
  <c r="AF36" i="23" s="1"/>
  <c r="AE33" i="23"/>
  <c r="AE36" i="23" s="1"/>
  <c r="AD33" i="23"/>
  <c r="AD36" i="23" s="1"/>
  <c r="AC33" i="23"/>
  <c r="AC36" i="23" s="1"/>
  <c r="AB33" i="23"/>
  <c r="AA33" i="23"/>
  <c r="Z33" i="23"/>
  <c r="Z36" i="23" s="1"/>
  <c r="Y33" i="23"/>
  <c r="Y36" i="23" s="1"/>
  <c r="X33" i="23"/>
  <c r="X36" i="23" s="1"/>
  <c r="W33" i="23"/>
  <c r="W36" i="23" s="1"/>
  <c r="V33" i="23"/>
  <c r="V36" i="23" s="1"/>
  <c r="U33" i="23"/>
  <c r="U36" i="23" s="1"/>
  <c r="T33" i="23"/>
  <c r="S33" i="23"/>
  <c r="R33" i="23"/>
  <c r="R36" i="23" s="1"/>
  <c r="Q33" i="23"/>
  <c r="Q36" i="23" s="1"/>
  <c r="P33" i="23"/>
  <c r="P36" i="23" s="1"/>
  <c r="O33" i="23"/>
  <c r="O36" i="23" s="1"/>
  <c r="N33" i="23"/>
  <c r="N36" i="23" s="1"/>
  <c r="M33" i="23"/>
  <c r="M36" i="23" s="1"/>
  <c r="L33" i="23"/>
  <c r="K33" i="23"/>
  <c r="J33" i="23"/>
  <c r="J36" i="23" s="1"/>
  <c r="I33" i="23"/>
  <c r="I36" i="23" s="1"/>
  <c r="H33" i="23"/>
  <c r="H36" i="23" s="1"/>
  <c r="G33" i="23"/>
  <c r="G36" i="23" s="1"/>
  <c r="F33" i="23"/>
  <c r="F36" i="23" s="1"/>
  <c r="E33" i="23"/>
  <c r="E36" i="23" s="1"/>
  <c r="D33" i="23"/>
  <c r="BH30" i="23"/>
  <c r="BH27" i="23" s="1"/>
  <c r="BG30" i="23"/>
  <c r="BF30" i="23"/>
  <c r="BE30" i="23"/>
  <c r="BD30" i="23"/>
  <c r="BD27" i="23" s="1"/>
  <c r="BC30" i="23"/>
  <c r="BC27" i="23" s="1"/>
  <c r="BB30" i="23"/>
  <c r="BA30" i="23"/>
  <c r="AZ30" i="23"/>
  <c r="AZ27" i="23" s="1"/>
  <c r="AY30" i="23"/>
  <c r="AY27" i="23" s="1"/>
  <c r="AX30" i="23"/>
  <c r="AX27" i="23" s="1"/>
  <c r="AW30" i="23"/>
  <c r="AV30" i="23"/>
  <c r="AV27" i="23" s="1"/>
  <c r="AU30" i="23"/>
  <c r="AU27" i="23" s="1"/>
  <c r="AT30" i="23"/>
  <c r="AT27" i="23" s="1"/>
  <c r="AS30" i="23"/>
  <c r="AR30" i="23"/>
  <c r="AR27" i="23" s="1"/>
  <c r="AQ30" i="23"/>
  <c r="AP30" i="23"/>
  <c r="AO30" i="23"/>
  <c r="AN30" i="23"/>
  <c r="AN27" i="23" s="1"/>
  <c r="AM30" i="23"/>
  <c r="AM27" i="23" s="1"/>
  <c r="AL30" i="23"/>
  <c r="AK30" i="23"/>
  <c r="AJ30" i="23"/>
  <c r="AJ27" i="23" s="1"/>
  <c r="AI30" i="23"/>
  <c r="AI27" i="23" s="1"/>
  <c r="AH30" i="23"/>
  <c r="AH27" i="23" s="1"/>
  <c r="AG30" i="23"/>
  <c r="AF30" i="23"/>
  <c r="AF27" i="23" s="1"/>
  <c r="AE30" i="23"/>
  <c r="AE27" i="23" s="1"/>
  <c r="AE28" i="23" s="1"/>
  <c r="AD30" i="23"/>
  <c r="AD27" i="23" s="1"/>
  <c r="AC30" i="23"/>
  <c r="AB30" i="23"/>
  <c r="AB27" i="23" s="1"/>
  <c r="AA30" i="23"/>
  <c r="Z30" i="23"/>
  <c r="Y30" i="23"/>
  <c r="X30" i="23"/>
  <c r="X27" i="23" s="1"/>
  <c r="W30" i="23"/>
  <c r="W27" i="23" s="1"/>
  <c r="V30" i="23"/>
  <c r="U30" i="23"/>
  <c r="T30" i="23"/>
  <c r="T27" i="23" s="1"/>
  <c r="S30" i="23"/>
  <c r="S27" i="23" s="1"/>
  <c r="R30" i="23"/>
  <c r="R27" i="23" s="1"/>
  <c r="Q30" i="23"/>
  <c r="P30" i="23"/>
  <c r="P27" i="23" s="1"/>
  <c r="O30" i="23"/>
  <c r="O27" i="23" s="1"/>
  <c r="O28" i="23" s="1"/>
  <c r="N30" i="23"/>
  <c r="N27" i="23" s="1"/>
  <c r="M30" i="23"/>
  <c r="L30" i="23"/>
  <c r="L27" i="23" s="1"/>
  <c r="K30" i="23"/>
  <c r="J30" i="23"/>
  <c r="I30" i="23"/>
  <c r="H30" i="23"/>
  <c r="H27" i="23" s="1"/>
  <c r="G30" i="23"/>
  <c r="G27" i="23" s="1"/>
  <c r="F30" i="23"/>
  <c r="E30" i="23"/>
  <c r="D30" i="23"/>
  <c r="D27" i="23" s="1"/>
  <c r="B30" i="23"/>
  <c r="BG27" i="23"/>
  <c r="BF27" i="23"/>
  <c r="BE27" i="23"/>
  <c r="BB27" i="23"/>
  <c r="BA27" i="23"/>
  <c r="AW27" i="23"/>
  <c r="AS27" i="23"/>
  <c r="AQ27" i="23"/>
  <c r="AP27" i="23"/>
  <c r="AO27" i="23"/>
  <c r="AL27" i="23"/>
  <c r="AK27" i="23"/>
  <c r="AG27" i="23"/>
  <c r="AC27" i="23"/>
  <c r="AA27" i="23"/>
  <c r="Z27" i="23"/>
  <c r="Y27" i="23"/>
  <c r="V27" i="23"/>
  <c r="U27" i="23"/>
  <c r="Q27" i="23"/>
  <c r="M27" i="23"/>
  <c r="K27" i="23"/>
  <c r="J27" i="23"/>
  <c r="I27" i="23"/>
  <c r="F27" i="23"/>
  <c r="E27" i="23"/>
  <c r="B27" i="23"/>
  <c r="BH24" i="23"/>
  <c r="BG24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B21" i="23"/>
  <c r="BH18" i="23"/>
  <c r="BG18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B18" i="23"/>
  <c r="BH16" i="23"/>
  <c r="BG16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B16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BH14" i="23"/>
  <c r="BG14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B14" i="23"/>
  <c r="C8" i="23"/>
  <c r="G34" i="23" s="1"/>
  <c r="C7" i="23"/>
  <c r="C6" i="23"/>
  <c r="C5" i="23"/>
  <c r="D4" i="23"/>
  <c r="B4" i="23"/>
  <c r="C2" i="23"/>
  <c r="J19" i="23" l="1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F88" i="23" s="1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A30" i="23" s="1"/>
  <c r="F48" i="23" s="1"/>
  <c r="C48" i="23" s="1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C28" i="23" s="1"/>
  <c r="A28" i="23" s="1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F81" i="23" s="1"/>
  <c r="C116" i="23"/>
  <c r="C123" i="23"/>
  <c r="C129" i="23"/>
  <c r="C137" i="23"/>
  <c r="F57" i="23"/>
  <c r="C134" i="23"/>
  <c r="C113" i="23"/>
  <c r="C119" i="23"/>
  <c r="C126" i="23"/>
  <c r="C22" i="23" l="1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A39" i="23"/>
  <c r="C37" i="23"/>
  <c r="A37" i="23" s="1"/>
  <c r="F47" i="23"/>
  <c r="C47" i="23" s="1"/>
  <c r="A27" i="23"/>
  <c r="F46" i="23" s="1"/>
  <c r="C23" i="23"/>
  <c r="A21" i="23"/>
  <c r="C92" i="23"/>
  <c r="F92" i="23" s="1"/>
  <c r="A36" i="23"/>
  <c r="F51" i="23" s="1"/>
  <c r="C51" i="23" s="1"/>
  <c r="C20" i="23"/>
  <c r="A18" i="23"/>
  <c r="A33" i="23"/>
  <c r="C99" i="23" l="1"/>
  <c r="F99" i="23" s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C11" i="43"/>
  <c r="D11" i="43" s="1"/>
  <c r="E11" i="43" s="1"/>
  <c r="F11" i="43" s="1"/>
  <c r="G11" i="43" s="1"/>
  <c r="H11" i="43" s="1"/>
  <c r="I11" i="43" s="1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L56" i="18"/>
  <c r="L58" i="18"/>
  <c r="I56" i="18"/>
  <c r="J56" i="18"/>
  <c r="K56" i="18"/>
  <c r="H56" i="18"/>
  <c r="I64" i="43"/>
  <c r="I62" i="43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6" i="43"/>
  <c r="I15" i="43"/>
  <c r="I14" i="43"/>
  <c r="I53" i="43"/>
  <c r="D10" i="100"/>
  <c r="D8" i="100"/>
  <c r="Y96" i="100"/>
  <c r="AA96" i="100" s="1"/>
  <c r="W96" i="100"/>
  <c r="F96" i="100"/>
  <c r="Y95" i="100"/>
  <c r="AA95" i="100" s="1"/>
  <c r="W95" i="100"/>
  <c r="F95" i="100"/>
  <c r="F94" i="100"/>
  <c r="F93" i="100"/>
  <c r="Y89" i="100"/>
  <c r="O88" i="100"/>
  <c r="O87" i="100"/>
  <c r="Y84" i="100"/>
  <c r="AA84" i="100" s="1"/>
  <c r="W84" i="100"/>
  <c r="H84" i="100"/>
  <c r="F84" i="100"/>
  <c r="Y83" i="100"/>
  <c r="AA83" i="100" s="1"/>
  <c r="W83" i="100"/>
  <c r="F83" i="100"/>
  <c r="F82" i="100"/>
  <c r="F81" i="100"/>
  <c r="F80" i="100"/>
  <c r="Y76" i="100"/>
  <c r="O75" i="100"/>
  <c r="O74" i="100"/>
  <c r="Y71" i="100"/>
  <c r="AA71" i="100" s="1"/>
  <c r="W71" i="100"/>
  <c r="Z71" i="100" s="1"/>
  <c r="H71" i="100"/>
  <c r="G71" i="100"/>
  <c r="F71" i="100"/>
  <c r="Y70" i="100"/>
  <c r="AA70" i="100" s="1"/>
  <c r="W70" i="100"/>
  <c r="Z70" i="100" s="1"/>
  <c r="H70" i="100"/>
  <c r="G70" i="100"/>
  <c r="H69" i="100"/>
  <c r="G69" i="100"/>
  <c r="F70" i="100" s="1"/>
  <c r="F69" i="100"/>
  <c r="G68" i="100"/>
  <c r="F68" i="100"/>
  <c r="H67" i="100"/>
  <c r="G67" i="100"/>
  <c r="F67" i="100"/>
  <c r="H65" i="100"/>
  <c r="G65" i="100"/>
  <c r="D64" i="100"/>
  <c r="C64" i="100"/>
  <c r="B64" i="100"/>
  <c r="Y63" i="100"/>
  <c r="O62" i="100"/>
  <c r="Y58" i="100"/>
  <c r="AA58" i="100" s="1"/>
  <c r="W58" i="100"/>
  <c r="F58" i="100"/>
  <c r="Y57" i="100"/>
  <c r="AA57" i="100" s="1"/>
  <c r="W57" i="100"/>
  <c r="F57" i="100"/>
  <c r="F56" i="100"/>
  <c r="H55" i="100"/>
  <c r="H68" i="100" s="1"/>
  <c r="F55" i="100"/>
  <c r="F54" i="100"/>
  <c r="Y50" i="100"/>
  <c r="O49" i="100"/>
  <c r="Y45" i="100"/>
  <c r="AA45" i="100" s="1"/>
  <c r="W45" i="100"/>
  <c r="F45" i="100"/>
  <c r="Y44" i="100"/>
  <c r="AA44" i="100" s="1"/>
  <c r="W44" i="100"/>
  <c r="H44" i="100"/>
  <c r="F44" i="100"/>
  <c r="F43" i="100"/>
  <c r="F42" i="100"/>
  <c r="F41" i="100"/>
  <c r="Y37" i="100"/>
  <c r="O36" i="100"/>
  <c r="O33" i="100" s="1"/>
  <c r="O12" i="100" s="1"/>
  <c r="O35" i="100"/>
  <c r="Y10" i="100"/>
  <c r="U10" i="100"/>
  <c r="S10" i="100"/>
  <c r="J7" i="100"/>
  <c r="G6" i="100" s="1"/>
  <c r="G7" i="100"/>
  <c r="O61" i="100" s="1"/>
  <c r="D10" i="99"/>
  <c r="D8" i="99"/>
  <c r="Y96" i="99"/>
  <c r="AA96" i="99" s="1"/>
  <c r="W96" i="99"/>
  <c r="F96" i="99"/>
  <c r="Y95" i="99"/>
  <c r="AA95" i="99" s="1"/>
  <c r="W95" i="99"/>
  <c r="F95" i="99"/>
  <c r="F94" i="99"/>
  <c r="F93" i="99"/>
  <c r="Y89" i="99"/>
  <c r="O88" i="99"/>
  <c r="O87" i="99"/>
  <c r="Y84" i="99"/>
  <c r="AA84" i="99" s="1"/>
  <c r="W84" i="99"/>
  <c r="H84" i="99"/>
  <c r="F84" i="99"/>
  <c r="Y83" i="99"/>
  <c r="AA83" i="99" s="1"/>
  <c r="W83" i="99"/>
  <c r="F83" i="99"/>
  <c r="F82" i="99"/>
  <c r="F81" i="99"/>
  <c r="F80" i="99"/>
  <c r="Y76" i="99"/>
  <c r="O75" i="99"/>
  <c r="O74" i="99"/>
  <c r="Y71" i="99"/>
  <c r="AA71" i="99" s="1"/>
  <c r="W71" i="99"/>
  <c r="Z71" i="99" s="1"/>
  <c r="H71" i="99"/>
  <c r="G71" i="99"/>
  <c r="Y70" i="99"/>
  <c r="AA70" i="99" s="1"/>
  <c r="W70" i="99"/>
  <c r="Z70" i="99" s="1"/>
  <c r="H70" i="99"/>
  <c r="G70" i="99"/>
  <c r="F71" i="99" s="1"/>
  <c r="H69" i="99"/>
  <c r="G69" i="99"/>
  <c r="F70" i="99" s="1"/>
  <c r="G68" i="99"/>
  <c r="F69" i="99" s="1"/>
  <c r="F68" i="99"/>
  <c r="H67" i="99"/>
  <c r="G67" i="99"/>
  <c r="H65" i="99"/>
  <c r="G65" i="99"/>
  <c r="F67" i="99" s="1"/>
  <c r="D64" i="99"/>
  <c r="C64" i="99"/>
  <c r="B64" i="99"/>
  <c r="Y63" i="99"/>
  <c r="O62" i="99"/>
  <c r="Y58" i="99"/>
  <c r="AA58" i="99" s="1"/>
  <c r="W58" i="99"/>
  <c r="F58" i="99"/>
  <c r="Y57" i="99"/>
  <c r="AA57" i="99" s="1"/>
  <c r="W57" i="99"/>
  <c r="F57" i="99"/>
  <c r="F56" i="99"/>
  <c r="H55" i="99"/>
  <c r="H68" i="99" s="1"/>
  <c r="F55" i="99"/>
  <c r="F54" i="99"/>
  <c r="Y50" i="99"/>
  <c r="O49" i="99"/>
  <c r="O48" i="99"/>
  <c r="Y45" i="99"/>
  <c r="AA45" i="99" s="1"/>
  <c r="W45" i="99"/>
  <c r="F45" i="99"/>
  <c r="Y44" i="99"/>
  <c r="AA44" i="99" s="1"/>
  <c r="W44" i="99"/>
  <c r="H44" i="99"/>
  <c r="F44" i="99"/>
  <c r="F43" i="99"/>
  <c r="F42" i="99"/>
  <c r="F41" i="99"/>
  <c r="Y37" i="99"/>
  <c r="O36" i="99"/>
  <c r="O33" i="99" s="1"/>
  <c r="O12" i="99" s="1"/>
  <c r="O35" i="99"/>
  <c r="Y10" i="99"/>
  <c r="U10" i="99"/>
  <c r="S10" i="99"/>
  <c r="J7" i="99"/>
  <c r="G7" i="99"/>
  <c r="O61" i="99" s="1"/>
  <c r="G6" i="99"/>
  <c r="C14" i="97"/>
  <c r="C7" i="97"/>
  <c r="C6" i="97"/>
  <c r="C5" i="97"/>
  <c r="C10" i="97" s="1"/>
  <c r="C4" i="97"/>
  <c r="C17" i="97"/>
  <c r="J42" i="96"/>
  <c r="J41" i="96"/>
  <c r="J40" i="96"/>
  <c r="J37" i="96"/>
  <c r="J34" i="96"/>
  <c r="M12" i="96" s="1"/>
  <c r="U12" i="96" s="1"/>
  <c r="F33" i="96"/>
  <c r="F9" i="96"/>
  <c r="F25" i="96"/>
  <c r="F21" i="96"/>
  <c r="I24" i="43" s="1"/>
  <c r="C53" i="96"/>
  <c r="M20" i="96" s="1"/>
  <c r="H42" i="96"/>
  <c r="F42" i="96"/>
  <c r="H41" i="96"/>
  <c r="F41" i="96"/>
  <c r="H40" i="96"/>
  <c r="F40" i="96"/>
  <c r="H37" i="96"/>
  <c r="F37" i="96"/>
  <c r="M15" i="96" s="1"/>
  <c r="H34" i="96"/>
  <c r="F34" i="96"/>
  <c r="F19" i="96"/>
  <c r="H19" i="96" s="1"/>
  <c r="H15" i="96"/>
  <c r="H39" i="96" s="1"/>
  <c r="H12" i="96"/>
  <c r="H36" i="96" s="1"/>
  <c r="F12" i="96"/>
  <c r="F36" i="96" s="1"/>
  <c r="H9" i="96"/>
  <c r="H33" i="96" s="1"/>
  <c r="B13" i="43"/>
  <c r="B12" i="43"/>
  <c r="C12" i="97" l="1"/>
  <c r="C15" i="97" s="1"/>
  <c r="C18" i="97" s="1"/>
  <c r="R9" i="96"/>
  <c r="M19" i="96"/>
  <c r="C27" i="97"/>
  <c r="I51" i="43"/>
  <c r="I55" i="43"/>
  <c r="T8" i="96"/>
  <c r="V8" i="96" s="1"/>
  <c r="G11" i="100"/>
  <c r="O48" i="100"/>
  <c r="H7" i="100"/>
  <c r="W10" i="100"/>
  <c r="D11" i="100"/>
  <c r="H7" i="99"/>
  <c r="W10" i="99"/>
  <c r="D11" i="99"/>
  <c r="G11" i="99"/>
  <c r="M18" i="96"/>
  <c r="R16" i="96"/>
  <c r="U15" i="96"/>
  <c r="T15" i="96"/>
  <c r="H43" i="96"/>
  <c r="F43" i="96"/>
  <c r="T20" i="96"/>
  <c r="R21" i="96"/>
  <c r="U20" i="96"/>
  <c r="R13" i="96"/>
  <c r="T12" i="96"/>
  <c r="V12" i="96" s="1"/>
  <c r="U19" i="96" l="1"/>
  <c r="T19" i="96"/>
  <c r="J43" i="96"/>
  <c r="T18" i="96"/>
  <c r="V18" i="96" s="1"/>
  <c r="U18" i="96"/>
  <c r="R19" i="96"/>
  <c r="R20" i="96"/>
  <c r="F39" i="96"/>
  <c r="C28" i="97"/>
  <c r="C29" i="97" s="1"/>
  <c r="O10" i="100"/>
  <c r="O8" i="100" s="1"/>
  <c r="H10" i="100"/>
  <c r="H8" i="100"/>
  <c r="H9" i="100"/>
  <c r="H6" i="100"/>
  <c r="H11" i="100" s="1"/>
  <c r="O10" i="99"/>
  <c r="O8" i="99" s="1"/>
  <c r="H10" i="99"/>
  <c r="H8" i="99"/>
  <c r="H9" i="99"/>
  <c r="H6" i="99"/>
  <c r="H11" i="99" s="1"/>
  <c r="C20" i="97"/>
  <c r="J33" i="96" s="1"/>
  <c r="C19" i="97"/>
  <c r="V15" i="96"/>
  <c r="V20" i="96"/>
  <c r="V19" i="96"/>
  <c r="C30" i="97" l="1"/>
  <c r="J39" i="96" s="1"/>
  <c r="M17" i="96" s="1"/>
  <c r="M11" i="96"/>
  <c r="J51" i="96"/>
  <c r="M7" i="96" s="1"/>
  <c r="I32" i="43" s="1"/>
  <c r="M21" i="96"/>
  <c r="T17" i="96" l="1"/>
  <c r="R18" i="96"/>
  <c r="U17" i="96"/>
  <c r="I46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6" i="43"/>
  <c r="H15" i="43"/>
  <c r="H14" i="43"/>
  <c r="G23" i="43"/>
  <c r="G22" i="43"/>
  <c r="G21" i="43"/>
  <c r="G20" i="43"/>
  <c r="G19" i="43"/>
  <c r="G18" i="43"/>
  <c r="G17" i="43"/>
  <c r="G16" i="43"/>
  <c r="G15" i="43"/>
  <c r="G14" i="43"/>
  <c r="F17" i="43"/>
  <c r="F16" i="43"/>
  <c r="F15" i="43"/>
  <c r="F14" i="43"/>
  <c r="E17" i="43"/>
  <c r="E16" i="43"/>
  <c r="E15" i="43"/>
  <c r="E14" i="43"/>
  <c r="D17" i="43"/>
  <c r="D16" i="43"/>
  <c r="D15" i="43"/>
  <c r="D14" i="43"/>
  <c r="C17" i="43"/>
  <c r="C14" i="43"/>
  <c r="S8" i="96" l="1"/>
  <c r="V17" i="96"/>
  <c r="Q8" i="96"/>
  <c r="V7" i="96"/>
  <c r="V11" i="96"/>
  <c r="V21" i="96"/>
  <c r="F21" i="43"/>
  <c r="F23" i="43"/>
  <c r="F22" i="43"/>
  <c r="F18" i="43"/>
  <c r="F19" i="43"/>
  <c r="F20" i="43"/>
  <c r="C65" i="18" l="1"/>
  <c r="C15" i="43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C16" i="43"/>
  <c r="E21" i="43" l="1"/>
  <c r="D21" i="43"/>
  <c r="C21" i="43"/>
  <c r="D23" i="43"/>
  <c r="C23" i="43"/>
  <c r="E23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3" i="43"/>
  <c r="G53" i="43"/>
  <c r="F53" i="43"/>
  <c r="E53" i="43"/>
  <c r="D53" i="43"/>
  <c r="C53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C22" i="97" s="1"/>
  <c r="C23" i="97" s="1"/>
  <c r="F12" i="41"/>
  <c r="H9" i="41"/>
  <c r="H9" i="45"/>
  <c r="H9" i="51"/>
  <c r="H18" i="39"/>
  <c r="H17" i="39"/>
  <c r="H18" i="37"/>
  <c r="H17" i="37"/>
  <c r="E45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5" i="97" l="1"/>
  <c r="C24" i="97"/>
  <c r="C22" i="56"/>
  <c r="C22" i="82"/>
  <c r="C23" i="82" s="1"/>
  <c r="C88" i="50"/>
  <c r="C28" i="58"/>
  <c r="C72" i="50"/>
  <c r="J36" i="96" l="1"/>
  <c r="I49" i="43"/>
  <c r="I45" i="43" s="1"/>
  <c r="F13" i="53"/>
  <c r="F10" i="53"/>
  <c r="C22" i="26"/>
  <c r="M14" i="96" l="1"/>
  <c r="J49" i="96"/>
  <c r="J55" i="96" s="1"/>
  <c r="C24" i="50"/>
  <c r="C16" i="63" s="1"/>
  <c r="F39" i="51"/>
  <c r="F36" i="51"/>
  <c r="F37" i="51"/>
  <c r="F34" i="51"/>
  <c r="T14" i="96" l="1"/>
  <c r="R15" i="96"/>
  <c r="U14" i="96"/>
  <c r="C26" i="50"/>
  <c r="C16" i="59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64" i="43"/>
  <c r="D59" i="43"/>
  <c r="D54" i="43"/>
  <c r="C59" i="43"/>
  <c r="C54" i="43"/>
  <c r="F9" i="39"/>
  <c r="F9" i="37"/>
  <c r="F25" i="37"/>
  <c r="F19" i="37" s="1"/>
  <c r="H19" i="37" s="1"/>
  <c r="C4" i="58" l="1"/>
  <c r="C14" i="58" s="1"/>
  <c r="C4" i="26"/>
  <c r="D16" i="60" s="1"/>
  <c r="D17" i="60" s="1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8" i="43"/>
  <c r="L6" i="60" s="1"/>
  <c r="D47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9" i="43"/>
  <c r="C40" i="58"/>
  <c r="C42" i="58" s="1"/>
  <c r="C46" i="43"/>
  <c r="K5" i="60" s="1"/>
  <c r="J33" i="45"/>
  <c r="M11" i="45" s="1"/>
  <c r="J36" i="45"/>
  <c r="C49" i="43"/>
  <c r="K6" i="60" s="1"/>
  <c r="R12" i="45" l="1"/>
  <c r="T11" i="45"/>
  <c r="U11" i="45"/>
  <c r="C45" i="43"/>
  <c r="D58" i="43"/>
  <c r="C58" i="43"/>
  <c r="D57" i="43"/>
  <c r="C57" i="43"/>
  <c r="V11" i="45" l="1"/>
  <c r="D56" i="43" l="1"/>
  <c r="D55" i="43" s="1"/>
  <c r="L8" i="60" s="1"/>
  <c r="C56" i="43"/>
  <c r="C55" i="43" s="1"/>
  <c r="C62" i="43"/>
  <c r="D62" i="43"/>
  <c r="K8" i="60" l="1"/>
  <c r="D52" i="43"/>
  <c r="D51" i="43" s="1"/>
  <c r="L7" i="60" s="1"/>
  <c r="C52" i="43"/>
  <c r="C51" i="43" s="1"/>
  <c r="K7" i="60" l="1"/>
  <c r="H34" i="53"/>
  <c r="H37" i="53"/>
  <c r="F37" i="53" l="1"/>
  <c r="J37" i="53" s="1"/>
  <c r="M15" i="53" s="1"/>
  <c r="H37" i="51"/>
  <c r="H34" i="51"/>
  <c r="F37" i="45"/>
  <c r="F34" i="45"/>
  <c r="F42" i="41"/>
  <c r="F37" i="41"/>
  <c r="F34" i="41"/>
  <c r="H64" i="43"/>
  <c r="G64" i="43"/>
  <c r="F64" i="43"/>
  <c r="H59" i="43"/>
  <c r="G59" i="43"/>
  <c r="F59" i="43"/>
  <c r="E59" i="43"/>
  <c r="H54" i="43"/>
  <c r="G54" i="43"/>
  <c r="F54" i="43"/>
  <c r="E54" i="43"/>
  <c r="G58" i="43"/>
  <c r="G57" i="43"/>
  <c r="J37" i="51" l="1"/>
  <c r="M15" i="51" s="1"/>
  <c r="J34" i="51"/>
  <c r="M12" i="51" s="1"/>
  <c r="F34" i="53"/>
  <c r="J34" i="53" s="1"/>
  <c r="H39" i="51"/>
  <c r="J39" i="51" s="1"/>
  <c r="M17" i="51" s="1"/>
  <c r="H39" i="53"/>
  <c r="J39" i="53" s="1"/>
  <c r="H41" i="51"/>
  <c r="H41" i="53"/>
  <c r="H36" i="51"/>
  <c r="J36" i="51" s="1"/>
  <c r="M14" i="51" s="1"/>
  <c r="H36" i="53"/>
  <c r="J36" i="53" s="1"/>
  <c r="M14" i="5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6" i="43"/>
  <c r="G55" i="43" s="1"/>
  <c r="O8" i="60" s="1"/>
  <c r="F40" i="41"/>
  <c r="G52" i="43"/>
  <c r="G51" i="43" s="1"/>
  <c r="O7" i="60" s="1"/>
  <c r="G62" i="43"/>
  <c r="M12" i="45" l="1"/>
  <c r="M17" i="53"/>
  <c r="R18" i="53" s="1"/>
  <c r="R16" i="53"/>
  <c r="T15" i="53"/>
  <c r="U15" i="53"/>
  <c r="R15" i="51"/>
  <c r="U14" i="53"/>
  <c r="R15" i="53"/>
  <c r="T14" i="53"/>
  <c r="M14" i="45"/>
  <c r="M15" i="45"/>
  <c r="T15" i="51"/>
  <c r="U15" i="51"/>
  <c r="R16" i="51"/>
  <c r="U12" i="51"/>
  <c r="T12" i="51"/>
  <c r="R13" i="51"/>
  <c r="F43" i="39"/>
  <c r="H40" i="53"/>
  <c r="H37" i="41"/>
  <c r="F41" i="41"/>
  <c r="U12" i="45" l="1"/>
  <c r="T12" i="45"/>
  <c r="U17" i="5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M20" i="39"/>
  <c r="R21" i="39" s="1"/>
  <c r="U12" i="39"/>
  <c r="H40" i="41"/>
  <c r="U14" i="39"/>
  <c r="V14" i="39" s="1"/>
  <c r="R15" i="39"/>
  <c r="R18" i="39"/>
  <c r="U17" i="39"/>
  <c r="T17" i="39"/>
  <c r="T19" i="39" l="1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N8" i="60" s="1"/>
  <c r="F52" i="43"/>
  <c r="F51" i="43" s="1"/>
  <c r="N7" i="60" s="1"/>
  <c r="F62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J41" i="37"/>
  <c r="M19" i="37" s="1"/>
  <c r="V15" i="37"/>
  <c r="V17" i="37"/>
  <c r="V14" i="37"/>
  <c r="F40" i="37"/>
  <c r="J40" i="37" s="1"/>
  <c r="M18" i="37" s="1"/>
  <c r="R13" i="37"/>
  <c r="T12" i="37"/>
  <c r="U12" i="37"/>
  <c r="U20" i="37" l="1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52" i="43"/>
  <c r="E51" i="43" s="1"/>
  <c r="M7" i="60" s="1"/>
  <c r="E56" i="43"/>
  <c r="E55" i="43" s="1"/>
  <c r="M8" i="60" s="1"/>
  <c r="E62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M7" i="51"/>
  <c r="M7" i="53"/>
  <c r="D32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M20" i="53"/>
  <c r="M20" i="51"/>
  <c r="J43" i="51"/>
  <c r="J51" i="37"/>
  <c r="M7" i="37" s="1"/>
  <c r="M11" i="37"/>
  <c r="J51" i="39"/>
  <c r="M7" i="39" s="1"/>
  <c r="M11" i="39"/>
  <c r="M11" i="51"/>
  <c r="T11" i="53"/>
  <c r="U11" i="53"/>
  <c r="R12" i="53"/>
  <c r="J43" i="53"/>
  <c r="J43" i="45"/>
  <c r="F39" i="45"/>
  <c r="F40" i="45"/>
  <c r="J40" i="45" s="1"/>
  <c r="M18" i="45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D4" i="60" l="1"/>
  <c r="M17" i="45"/>
  <c r="H47" i="18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H40" i="18"/>
  <c r="J49" i="37"/>
  <c r="J55" i="37" s="1"/>
  <c r="K36" i="18"/>
  <c r="J35" i="18"/>
  <c r="T20" i="53"/>
  <c r="R21" i="51"/>
  <c r="U20" i="51"/>
  <c r="U20" i="53"/>
  <c r="T20" i="51"/>
  <c r="R21" i="53"/>
  <c r="M21" i="53"/>
  <c r="M21" i="51"/>
  <c r="M21" i="45"/>
  <c r="V11" i="53"/>
  <c r="H33" i="41"/>
  <c r="F41" i="51"/>
  <c r="J41" i="51" s="1"/>
  <c r="F41" i="53"/>
  <c r="J41" i="53" s="1"/>
  <c r="M19" i="5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I28" i="43" l="1"/>
  <c r="E4" i="60"/>
  <c r="F4" i="60"/>
  <c r="G4" i="60"/>
  <c r="C33" i="26"/>
  <c r="C34" i="26" s="1"/>
  <c r="C39" i="26" s="1"/>
  <c r="C15" i="26"/>
  <c r="I58" i="18"/>
  <c r="V7" i="53"/>
  <c r="V20" i="53"/>
  <c r="T21" i="53"/>
  <c r="K57" i="50"/>
  <c r="V20" i="51"/>
  <c r="R22" i="45"/>
  <c r="R22" i="53"/>
  <c r="U21" i="53"/>
  <c r="M19" i="51"/>
  <c r="M19" i="45"/>
  <c r="J49" i="45"/>
  <c r="K47" i="50"/>
  <c r="C32" i="43"/>
  <c r="U17" i="45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U9" i="96" l="1"/>
  <c r="T9" i="96"/>
  <c r="V9" i="96" s="1"/>
  <c r="M10" i="96"/>
  <c r="Q9" i="96"/>
  <c r="S9" i="96"/>
  <c r="F28" i="43"/>
  <c r="C4" i="60"/>
  <c r="D28" i="43"/>
  <c r="C41" i="26"/>
  <c r="K58" i="18"/>
  <c r="H58" i="18"/>
  <c r="J58" i="18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J55" i="45"/>
  <c r="V21" i="53"/>
  <c r="T19" i="51"/>
  <c r="R20" i="51"/>
  <c r="U19" i="51"/>
  <c r="K46" i="50"/>
  <c r="K56" i="50"/>
  <c r="V17" i="45"/>
  <c r="T18" i="45"/>
  <c r="R20" i="53"/>
  <c r="U19" i="53"/>
  <c r="T19" i="53"/>
  <c r="R19" i="45"/>
  <c r="U18" i="45"/>
  <c r="V21" i="45"/>
  <c r="V21" i="51"/>
  <c r="V21" i="37"/>
  <c r="V11" i="39"/>
  <c r="G5" i="60" l="1"/>
  <c r="C5" i="60"/>
  <c r="E5" i="60"/>
  <c r="D5" i="60"/>
  <c r="F5" i="60"/>
  <c r="O10" i="96"/>
  <c r="M13" i="96"/>
  <c r="R11" i="96"/>
  <c r="Q10" i="96"/>
  <c r="I60" i="18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V19" i="51"/>
  <c r="S8" i="45"/>
  <c r="V18" i="45"/>
  <c r="V19" i="53"/>
  <c r="R20" i="45"/>
  <c r="T19" i="45"/>
  <c r="U19" i="45"/>
  <c r="V10" i="96" l="1"/>
  <c r="Q11" i="96"/>
  <c r="Q12" i="96" s="1"/>
  <c r="U13" i="96"/>
  <c r="M16" i="96"/>
  <c r="R14" i="96"/>
  <c r="O13" i="96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V19" i="45"/>
  <c r="S11" i="96" l="1"/>
  <c r="S12" i="96" s="1"/>
  <c r="O16" i="96"/>
  <c r="R17" i="96"/>
  <c r="M22" i="96"/>
  <c r="U16" i="96"/>
  <c r="Q13" i="96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5" i="43"/>
  <c r="Q14" i="96" l="1"/>
  <c r="V13" i="96"/>
  <c r="D7" i="100"/>
  <c r="I44" i="43"/>
  <c r="D7" i="99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M22" i="37"/>
  <c r="U16" i="37"/>
  <c r="R17" i="37"/>
  <c r="O16" i="37"/>
  <c r="Q12" i="51"/>
  <c r="Q13" i="51" s="1"/>
  <c r="S12" i="51"/>
  <c r="S12" i="39"/>
  <c r="Q12" i="45"/>
  <c r="Q13" i="45" s="1"/>
  <c r="S11" i="45"/>
  <c r="S12" i="45" s="1"/>
  <c r="R13" i="53"/>
  <c r="U12" i="53"/>
  <c r="T12" i="53"/>
  <c r="M13" i="53"/>
  <c r="Q12" i="53"/>
  <c r="S12" i="53" s="1"/>
  <c r="I33" i="43" l="1"/>
  <c r="I63" i="43"/>
  <c r="I61" i="43"/>
  <c r="I60" i="43" s="1"/>
  <c r="I50" i="43" s="1"/>
  <c r="I65" i="43" s="1"/>
  <c r="S14" i="39"/>
  <c r="Q14" i="39"/>
  <c r="D6" i="99"/>
  <c r="D12" i="99"/>
  <c r="I12" i="43"/>
  <c r="D12" i="100"/>
  <c r="D6" i="100"/>
  <c r="Q15" i="96"/>
  <c r="Q16" i="96" s="1"/>
  <c r="S14" i="96"/>
  <c r="S15" i="96" s="1"/>
  <c r="D7" i="67"/>
  <c r="D12" i="67" s="1"/>
  <c r="D7" i="88"/>
  <c r="D6" i="85"/>
  <c r="D12" i="85"/>
  <c r="V13" i="37"/>
  <c r="Q14" i="37"/>
  <c r="S15" i="37" s="1"/>
  <c r="S14" i="51"/>
  <c r="V13" i="51"/>
  <c r="Q14" i="51"/>
  <c r="O22" i="37"/>
  <c r="F44" i="43"/>
  <c r="U22" i="37"/>
  <c r="Q15" i="39"/>
  <c r="Q16" i="39" s="1"/>
  <c r="S15" i="39"/>
  <c r="U22" i="45"/>
  <c r="D7" i="64"/>
  <c r="C44" i="43"/>
  <c r="O22" i="45"/>
  <c r="Q14" i="45"/>
  <c r="V13" i="45"/>
  <c r="M16" i="53"/>
  <c r="R14" i="53"/>
  <c r="O13" i="53"/>
  <c r="Q13" i="53" s="1"/>
  <c r="U13" i="53"/>
  <c r="V12" i="53"/>
  <c r="C63" i="43" l="1"/>
  <c r="C61" i="43"/>
  <c r="C60" i="43" s="1"/>
  <c r="F33" i="43"/>
  <c r="F6" i="60" s="1"/>
  <c r="F61" i="43"/>
  <c r="F63" i="43"/>
  <c r="I66" i="43"/>
  <c r="D6" i="67"/>
  <c r="N4" i="60"/>
  <c r="C12" i="43"/>
  <c r="C33" i="43"/>
  <c r="D20" i="100"/>
  <c r="D16" i="100"/>
  <c r="V16" i="96"/>
  <c r="Q17" i="96"/>
  <c r="I43" i="43"/>
  <c r="D20" i="99"/>
  <c r="D16" i="99"/>
  <c r="F8" i="60"/>
  <c r="F67" i="60" s="1"/>
  <c r="F73" i="60" s="1"/>
  <c r="F12" i="43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Q15" i="51"/>
  <c r="Q16" i="51" s="1"/>
  <c r="S15" i="51"/>
  <c r="D6" i="64"/>
  <c r="D12" i="64"/>
  <c r="S14" i="45"/>
  <c r="S15" i="45" s="1"/>
  <c r="Q15" i="45"/>
  <c r="Q16" i="45" s="1"/>
  <c r="V13" i="53"/>
  <c r="Q14" i="53"/>
  <c r="S14" i="53"/>
  <c r="U16" i="53"/>
  <c r="O16" i="53"/>
  <c r="R17" i="53"/>
  <c r="F60" i="43" l="1"/>
  <c r="F50" i="43"/>
  <c r="F65" i="43" s="1"/>
  <c r="N9" i="60"/>
  <c r="C50" i="43"/>
  <c r="C65" i="43" s="1"/>
  <c r="C9" i="60" s="1"/>
  <c r="K9" i="60"/>
  <c r="F13" i="60"/>
  <c r="F68" i="60" s="1"/>
  <c r="F74" i="60" s="1"/>
  <c r="F7" i="60"/>
  <c r="C6" i="60"/>
  <c r="K4" i="60"/>
  <c r="D21" i="99"/>
  <c r="D25" i="99"/>
  <c r="I67" i="43"/>
  <c r="I68" i="43"/>
  <c r="I13" i="43" s="1"/>
  <c r="Q18" i="96"/>
  <c r="S17" i="96"/>
  <c r="S18" i="96" s="1"/>
  <c r="D25" i="100"/>
  <c r="D21" i="100"/>
  <c r="C7" i="60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D16" i="64"/>
  <c r="D20" i="64"/>
  <c r="C43" i="43"/>
  <c r="F43" i="43"/>
  <c r="V16" i="51"/>
  <c r="Q17" i="51"/>
  <c r="S17" i="51"/>
  <c r="Q17" i="45"/>
  <c r="Q18" i="45" s="1"/>
  <c r="S17" i="45"/>
  <c r="V16" i="45"/>
  <c r="Q15" i="53"/>
  <c r="Q16" i="53" s="1"/>
  <c r="S17" i="53" s="1"/>
  <c r="C66" i="43" l="1"/>
  <c r="F9" i="60"/>
  <c r="F66" i="43"/>
  <c r="F67" i="43" s="1"/>
  <c r="D26" i="100"/>
  <c r="H24" i="100" s="1"/>
  <c r="Q10" i="100"/>
  <c r="Q19" i="96"/>
  <c r="S19" i="96"/>
  <c r="Q10" i="99"/>
  <c r="D26" i="99"/>
  <c r="H24" i="99" s="1"/>
  <c r="C67" i="43"/>
  <c r="C68" i="43"/>
  <c r="C13" i="43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D21" i="64"/>
  <c r="D25" i="64"/>
  <c r="S18" i="45"/>
  <c r="Q19" i="45"/>
  <c r="Q20" i="45" s="1"/>
  <c r="Q21" i="45" s="1"/>
  <c r="S15" i="53"/>
  <c r="V16" i="53"/>
  <c r="Q17" i="53"/>
  <c r="F68" i="43" l="1"/>
  <c r="F13" i="43" s="1"/>
  <c r="S19" i="37"/>
  <c r="S20" i="37" s="1"/>
  <c r="S19" i="45"/>
  <c r="S20" i="45" s="1"/>
  <c r="F11" i="60"/>
  <c r="F70" i="60" s="1"/>
  <c r="F76" i="60" s="1"/>
  <c r="C11" i="60"/>
  <c r="C70" i="60" s="1"/>
  <c r="C76" i="60" s="1"/>
  <c r="L32" i="99"/>
  <c r="H25" i="99"/>
  <c r="M32" i="99" s="1"/>
  <c r="S20" i="96"/>
  <c r="Q20" i="96"/>
  <c r="Q21" i="96" s="1"/>
  <c r="H25" i="100"/>
  <c r="M32" i="100" s="1"/>
  <c r="L32" i="100"/>
  <c r="K11" i="60"/>
  <c r="N11" i="60"/>
  <c r="Q10" i="88"/>
  <c r="D26" i="88"/>
  <c r="H24" i="88" s="1"/>
  <c r="L32" i="85"/>
  <c r="H25" i="85"/>
  <c r="M32" i="85" s="1"/>
  <c r="L32" i="67"/>
  <c r="H25" i="67"/>
  <c r="M32" i="67" s="1"/>
  <c r="D26" i="64"/>
  <c r="H24" i="64" s="1"/>
  <c r="Q10" i="64"/>
  <c r="S21" i="37"/>
  <c r="Q22" i="37"/>
  <c r="V22" i="37" s="1"/>
  <c r="Q22" i="45"/>
  <c r="V22" i="45" s="1"/>
  <c r="S21" i="45"/>
  <c r="K70" i="100" l="1"/>
  <c r="M70" i="100" s="1"/>
  <c r="Q70" i="100" s="1"/>
  <c r="S70" i="100" s="1"/>
  <c r="U70" i="100" s="1"/>
  <c r="K54" i="100"/>
  <c r="M54" i="100" s="1"/>
  <c r="Q54" i="100" s="1"/>
  <c r="S54" i="100" s="1"/>
  <c r="U54" i="100" s="1"/>
  <c r="W54" i="100" s="1"/>
  <c r="Y54" i="100" s="1"/>
  <c r="AA54" i="100" s="1"/>
  <c r="K41" i="100"/>
  <c r="M41" i="100" s="1"/>
  <c r="Q41" i="100" s="1"/>
  <c r="S41" i="100" s="1"/>
  <c r="U41" i="100" s="1"/>
  <c r="W41" i="100" s="1"/>
  <c r="Y41" i="100" s="1"/>
  <c r="AA41" i="100" s="1"/>
  <c r="K84" i="100"/>
  <c r="M84" i="100" s="1"/>
  <c r="Q84" i="100" s="1"/>
  <c r="S84" i="100" s="1"/>
  <c r="U84" i="100" s="1"/>
  <c r="K82" i="100"/>
  <c r="M82" i="100" s="1"/>
  <c r="Q82" i="100" s="1"/>
  <c r="S82" i="100" s="1"/>
  <c r="U82" i="100" s="1"/>
  <c r="W82" i="100" s="1"/>
  <c r="Y82" i="100" s="1"/>
  <c r="AA82" i="100" s="1"/>
  <c r="K91" i="100"/>
  <c r="M91" i="100" s="1"/>
  <c r="Q91" i="100" s="1"/>
  <c r="K80" i="100"/>
  <c r="M80" i="100" s="1"/>
  <c r="Q80" i="100" s="1"/>
  <c r="S80" i="100" s="1"/>
  <c r="U80" i="100" s="1"/>
  <c r="W80" i="100" s="1"/>
  <c r="Y80" i="100" s="1"/>
  <c r="AA80" i="100" s="1"/>
  <c r="K69" i="100"/>
  <c r="M69" i="100" s="1"/>
  <c r="Q69" i="100" s="1"/>
  <c r="S69" i="100" s="1"/>
  <c r="U69" i="100" s="1"/>
  <c r="W69" i="100" s="1"/>
  <c r="K96" i="100"/>
  <c r="M96" i="100" s="1"/>
  <c r="Q96" i="100" s="1"/>
  <c r="S96" i="100" s="1"/>
  <c r="U96" i="100" s="1"/>
  <c r="K42" i="100"/>
  <c r="M42" i="100" s="1"/>
  <c r="Q42" i="100" s="1"/>
  <c r="S42" i="100" s="1"/>
  <c r="U42" i="100" s="1"/>
  <c r="W42" i="100" s="1"/>
  <c r="Y42" i="100" s="1"/>
  <c r="AA42" i="100" s="1"/>
  <c r="K67" i="100"/>
  <c r="M67" i="100" s="1"/>
  <c r="Q67" i="100" s="1"/>
  <c r="S67" i="100" s="1"/>
  <c r="U67" i="100" s="1"/>
  <c r="W67" i="100" s="1"/>
  <c r="K43" i="100"/>
  <c r="M43" i="100" s="1"/>
  <c r="Q43" i="100" s="1"/>
  <c r="S43" i="100" s="1"/>
  <c r="U43" i="100" s="1"/>
  <c r="W43" i="100" s="1"/>
  <c r="Y43" i="100" s="1"/>
  <c r="AA43" i="100" s="1"/>
  <c r="K45" i="100"/>
  <c r="M45" i="100" s="1"/>
  <c r="Q45" i="100" s="1"/>
  <c r="S45" i="100" s="1"/>
  <c r="U45" i="100" s="1"/>
  <c r="K57" i="100"/>
  <c r="M57" i="100" s="1"/>
  <c r="Q57" i="100" s="1"/>
  <c r="S57" i="100" s="1"/>
  <c r="U57" i="100" s="1"/>
  <c r="K56" i="100"/>
  <c r="M56" i="100" s="1"/>
  <c r="Q56" i="100" s="1"/>
  <c r="S56" i="100" s="1"/>
  <c r="U56" i="100" s="1"/>
  <c r="W56" i="100" s="1"/>
  <c r="Y56" i="100" s="1"/>
  <c r="AA56" i="100" s="1"/>
  <c r="K52" i="100"/>
  <c r="M52" i="100" s="1"/>
  <c r="Q52" i="100" s="1"/>
  <c r="K78" i="100"/>
  <c r="M78" i="100" s="1"/>
  <c r="Q78" i="100" s="1"/>
  <c r="K55" i="100"/>
  <c r="M55" i="100" s="1"/>
  <c r="Q55" i="100" s="1"/>
  <c r="S55" i="100" s="1"/>
  <c r="U55" i="100" s="1"/>
  <c r="W55" i="100" s="1"/>
  <c r="Y55" i="100" s="1"/>
  <c r="AA55" i="100" s="1"/>
  <c r="K95" i="100"/>
  <c r="M95" i="100" s="1"/>
  <c r="Q95" i="100" s="1"/>
  <c r="S95" i="100" s="1"/>
  <c r="U95" i="100" s="1"/>
  <c r="K71" i="100"/>
  <c r="M71" i="100" s="1"/>
  <c r="Q71" i="100" s="1"/>
  <c r="S71" i="100" s="1"/>
  <c r="U71" i="100" s="1"/>
  <c r="K93" i="100"/>
  <c r="M93" i="100" s="1"/>
  <c r="Q93" i="100" s="1"/>
  <c r="S93" i="100" s="1"/>
  <c r="U93" i="100" s="1"/>
  <c r="W93" i="100" s="1"/>
  <c r="Y93" i="100" s="1"/>
  <c r="AA93" i="100" s="1"/>
  <c r="K39" i="100"/>
  <c r="M39" i="100" s="1"/>
  <c r="Q39" i="100" s="1"/>
  <c r="K94" i="100"/>
  <c r="M94" i="100" s="1"/>
  <c r="Q94" i="100" s="1"/>
  <c r="S94" i="100" s="1"/>
  <c r="U94" i="100" s="1"/>
  <c r="W94" i="100" s="1"/>
  <c r="Y94" i="100" s="1"/>
  <c r="AA94" i="100" s="1"/>
  <c r="K65" i="100"/>
  <c r="M65" i="100" s="1"/>
  <c r="Q65" i="100" s="1"/>
  <c r="K68" i="100"/>
  <c r="M68" i="100" s="1"/>
  <c r="Q68" i="100" s="1"/>
  <c r="S68" i="100" s="1"/>
  <c r="U68" i="100" s="1"/>
  <c r="W68" i="100" s="1"/>
  <c r="K58" i="100"/>
  <c r="M58" i="100" s="1"/>
  <c r="Q58" i="100" s="1"/>
  <c r="S58" i="100" s="1"/>
  <c r="U58" i="100" s="1"/>
  <c r="K81" i="100"/>
  <c r="M81" i="100" s="1"/>
  <c r="Q81" i="100" s="1"/>
  <c r="S81" i="100" s="1"/>
  <c r="U81" i="100" s="1"/>
  <c r="W81" i="100" s="1"/>
  <c r="Y81" i="100" s="1"/>
  <c r="AA81" i="100" s="1"/>
  <c r="K83" i="100"/>
  <c r="M83" i="100" s="1"/>
  <c r="Q83" i="100" s="1"/>
  <c r="S83" i="100" s="1"/>
  <c r="U83" i="100" s="1"/>
  <c r="K44" i="100"/>
  <c r="M44" i="100" s="1"/>
  <c r="Q44" i="100" s="1"/>
  <c r="S44" i="100" s="1"/>
  <c r="U44" i="100" s="1"/>
  <c r="J84" i="100"/>
  <c r="L84" i="100" s="1"/>
  <c r="J93" i="100"/>
  <c r="L93" i="100" s="1"/>
  <c r="J67" i="100"/>
  <c r="L67" i="100" s="1"/>
  <c r="J91" i="100"/>
  <c r="L91" i="100" s="1"/>
  <c r="J65" i="100"/>
  <c r="L65" i="100" s="1"/>
  <c r="J80" i="100"/>
  <c r="L80" i="100" s="1"/>
  <c r="J54" i="100"/>
  <c r="L54" i="100" s="1"/>
  <c r="J41" i="100"/>
  <c r="L41" i="100" s="1"/>
  <c r="J39" i="100"/>
  <c r="L39" i="100" s="1"/>
  <c r="J52" i="100"/>
  <c r="L52" i="100" s="1"/>
  <c r="J69" i="100"/>
  <c r="L69" i="100" s="1"/>
  <c r="J58" i="100"/>
  <c r="L58" i="100" s="1"/>
  <c r="J83" i="100"/>
  <c r="L83" i="100" s="1"/>
  <c r="J55" i="100"/>
  <c r="L55" i="100" s="1"/>
  <c r="J42" i="100"/>
  <c r="L42" i="100" s="1"/>
  <c r="J95" i="100"/>
  <c r="L95" i="100" s="1"/>
  <c r="J43" i="100"/>
  <c r="L43" i="100" s="1"/>
  <c r="J81" i="100"/>
  <c r="L81" i="100" s="1"/>
  <c r="J56" i="100"/>
  <c r="L56" i="100" s="1"/>
  <c r="J82" i="100"/>
  <c r="L82" i="100" s="1"/>
  <c r="J71" i="100"/>
  <c r="L71" i="100" s="1"/>
  <c r="J44" i="100"/>
  <c r="L44" i="100" s="1"/>
  <c r="J94" i="100"/>
  <c r="L94" i="100" s="1"/>
  <c r="J70" i="100"/>
  <c r="L70" i="100" s="1"/>
  <c r="J57" i="100"/>
  <c r="L57" i="100" s="1"/>
  <c r="J68" i="100"/>
  <c r="L68" i="100" s="1"/>
  <c r="J45" i="100"/>
  <c r="L45" i="100" s="1"/>
  <c r="J78" i="100"/>
  <c r="L78" i="100" s="1"/>
  <c r="J96" i="100"/>
  <c r="L96" i="100" s="1"/>
  <c r="S21" i="96"/>
  <c r="Q22" i="96"/>
  <c r="V22" i="96" s="1"/>
  <c r="K78" i="99"/>
  <c r="M78" i="99" s="1"/>
  <c r="Q78" i="99" s="1"/>
  <c r="K52" i="99"/>
  <c r="M52" i="99" s="1"/>
  <c r="Q52" i="99" s="1"/>
  <c r="K67" i="99"/>
  <c r="M67" i="99" s="1"/>
  <c r="Q67" i="99" s="1"/>
  <c r="S67" i="99" s="1"/>
  <c r="U67" i="99" s="1"/>
  <c r="W67" i="99" s="1"/>
  <c r="K42" i="99"/>
  <c r="M42" i="99" s="1"/>
  <c r="Q42" i="99" s="1"/>
  <c r="S42" i="99" s="1"/>
  <c r="U42" i="99" s="1"/>
  <c r="W42" i="99" s="1"/>
  <c r="Y42" i="99" s="1"/>
  <c r="AA42" i="99" s="1"/>
  <c r="K83" i="99"/>
  <c r="M83" i="99" s="1"/>
  <c r="Q83" i="99" s="1"/>
  <c r="S83" i="99" s="1"/>
  <c r="U83" i="99" s="1"/>
  <c r="K69" i="99"/>
  <c r="M69" i="99" s="1"/>
  <c r="Q69" i="99" s="1"/>
  <c r="S69" i="99" s="1"/>
  <c r="U69" i="99" s="1"/>
  <c r="W69" i="99" s="1"/>
  <c r="K39" i="99"/>
  <c r="M39" i="99" s="1"/>
  <c r="Q39" i="99" s="1"/>
  <c r="K96" i="99"/>
  <c r="M96" i="99" s="1"/>
  <c r="Q96" i="99" s="1"/>
  <c r="S96" i="99" s="1"/>
  <c r="U96" i="99" s="1"/>
  <c r="K54" i="99"/>
  <c r="M54" i="99" s="1"/>
  <c r="Q54" i="99" s="1"/>
  <c r="S54" i="99" s="1"/>
  <c r="U54" i="99" s="1"/>
  <c r="W54" i="99" s="1"/>
  <c r="Y54" i="99" s="1"/>
  <c r="AA54" i="99" s="1"/>
  <c r="K84" i="99"/>
  <c r="M84" i="99" s="1"/>
  <c r="Q84" i="99" s="1"/>
  <c r="S84" i="99" s="1"/>
  <c r="U84" i="99" s="1"/>
  <c r="K56" i="99"/>
  <c r="M56" i="99" s="1"/>
  <c r="Q56" i="99" s="1"/>
  <c r="S56" i="99" s="1"/>
  <c r="U56" i="99" s="1"/>
  <c r="W56" i="99" s="1"/>
  <c r="Y56" i="99" s="1"/>
  <c r="AA56" i="99" s="1"/>
  <c r="K81" i="99"/>
  <c r="M81" i="99" s="1"/>
  <c r="Q81" i="99" s="1"/>
  <c r="S81" i="99" s="1"/>
  <c r="U81" i="99" s="1"/>
  <c r="W81" i="99" s="1"/>
  <c r="Y81" i="99" s="1"/>
  <c r="AA81" i="99" s="1"/>
  <c r="K95" i="99"/>
  <c r="M95" i="99" s="1"/>
  <c r="Q95" i="99" s="1"/>
  <c r="S95" i="99" s="1"/>
  <c r="U95" i="99" s="1"/>
  <c r="K70" i="99"/>
  <c r="M70" i="99" s="1"/>
  <c r="Q70" i="99" s="1"/>
  <c r="S70" i="99" s="1"/>
  <c r="U70" i="99" s="1"/>
  <c r="K41" i="99"/>
  <c r="M41" i="99" s="1"/>
  <c r="Q41" i="99" s="1"/>
  <c r="S41" i="99" s="1"/>
  <c r="U41" i="99" s="1"/>
  <c r="W41" i="99" s="1"/>
  <c r="Y41" i="99" s="1"/>
  <c r="AA41" i="99" s="1"/>
  <c r="K55" i="99"/>
  <c r="M55" i="99" s="1"/>
  <c r="Q55" i="99" s="1"/>
  <c r="S55" i="99" s="1"/>
  <c r="U55" i="99" s="1"/>
  <c r="W55" i="99" s="1"/>
  <c r="Y55" i="99" s="1"/>
  <c r="AA55" i="99" s="1"/>
  <c r="K65" i="99"/>
  <c r="M65" i="99" s="1"/>
  <c r="Q65" i="99" s="1"/>
  <c r="K94" i="99"/>
  <c r="M94" i="99" s="1"/>
  <c r="Q94" i="99" s="1"/>
  <c r="S94" i="99" s="1"/>
  <c r="U94" i="99" s="1"/>
  <c r="W94" i="99" s="1"/>
  <c r="Y94" i="99" s="1"/>
  <c r="AA94" i="99" s="1"/>
  <c r="K57" i="99"/>
  <c r="M57" i="99" s="1"/>
  <c r="Q57" i="99" s="1"/>
  <c r="S57" i="99" s="1"/>
  <c r="U57" i="99" s="1"/>
  <c r="K58" i="99"/>
  <c r="M58" i="99" s="1"/>
  <c r="Q58" i="99" s="1"/>
  <c r="S58" i="99" s="1"/>
  <c r="U58" i="99" s="1"/>
  <c r="K91" i="99"/>
  <c r="M91" i="99" s="1"/>
  <c r="Q91" i="99" s="1"/>
  <c r="K44" i="99"/>
  <c r="M44" i="99" s="1"/>
  <c r="Q44" i="99" s="1"/>
  <c r="S44" i="99" s="1"/>
  <c r="U44" i="99" s="1"/>
  <c r="K80" i="99"/>
  <c r="M80" i="99" s="1"/>
  <c r="Q80" i="99" s="1"/>
  <c r="S80" i="99" s="1"/>
  <c r="U80" i="99" s="1"/>
  <c r="W80" i="99" s="1"/>
  <c r="Y80" i="99" s="1"/>
  <c r="AA80" i="99" s="1"/>
  <c r="K68" i="99"/>
  <c r="M68" i="99" s="1"/>
  <c r="Q68" i="99" s="1"/>
  <c r="S68" i="99" s="1"/>
  <c r="U68" i="99" s="1"/>
  <c r="W68" i="99" s="1"/>
  <c r="K45" i="99"/>
  <c r="M45" i="99" s="1"/>
  <c r="Q45" i="99" s="1"/>
  <c r="S45" i="99" s="1"/>
  <c r="U45" i="99" s="1"/>
  <c r="K93" i="99"/>
  <c r="M93" i="99" s="1"/>
  <c r="Q93" i="99" s="1"/>
  <c r="S93" i="99" s="1"/>
  <c r="U93" i="99" s="1"/>
  <c r="W93" i="99" s="1"/>
  <c r="Y93" i="99" s="1"/>
  <c r="AA93" i="99" s="1"/>
  <c r="K71" i="99"/>
  <c r="M71" i="99" s="1"/>
  <c r="Q71" i="99" s="1"/>
  <c r="S71" i="99" s="1"/>
  <c r="U71" i="99" s="1"/>
  <c r="K43" i="99"/>
  <c r="M43" i="99" s="1"/>
  <c r="Q43" i="99" s="1"/>
  <c r="S43" i="99" s="1"/>
  <c r="U43" i="99" s="1"/>
  <c r="W43" i="99" s="1"/>
  <c r="Y43" i="99" s="1"/>
  <c r="AA43" i="99" s="1"/>
  <c r="K82" i="99"/>
  <c r="M82" i="99" s="1"/>
  <c r="Q82" i="99" s="1"/>
  <c r="S82" i="99" s="1"/>
  <c r="U82" i="99" s="1"/>
  <c r="W82" i="99" s="1"/>
  <c r="Y82" i="99" s="1"/>
  <c r="AA82" i="99" s="1"/>
  <c r="J67" i="99"/>
  <c r="L67" i="99" s="1"/>
  <c r="J93" i="99"/>
  <c r="L93" i="99" s="1"/>
  <c r="J91" i="99"/>
  <c r="L91" i="99" s="1"/>
  <c r="J82" i="99"/>
  <c r="L82" i="99" s="1"/>
  <c r="J68" i="99"/>
  <c r="L68" i="99" s="1"/>
  <c r="J69" i="99"/>
  <c r="L69" i="99" s="1"/>
  <c r="J65" i="99"/>
  <c r="L65" i="99" s="1"/>
  <c r="J43" i="99"/>
  <c r="L43" i="99" s="1"/>
  <c r="J81" i="99"/>
  <c r="L81" i="99" s="1"/>
  <c r="J84" i="99"/>
  <c r="L84" i="99" s="1"/>
  <c r="J78" i="99"/>
  <c r="L78" i="99" s="1"/>
  <c r="J95" i="99"/>
  <c r="L95" i="99" s="1"/>
  <c r="J71" i="99"/>
  <c r="L71" i="99" s="1"/>
  <c r="J80" i="99"/>
  <c r="L80" i="99" s="1"/>
  <c r="J56" i="99"/>
  <c r="L56" i="99" s="1"/>
  <c r="J58" i="99"/>
  <c r="L58" i="99" s="1"/>
  <c r="J52" i="99"/>
  <c r="L52" i="99" s="1"/>
  <c r="J57" i="99"/>
  <c r="L57" i="99" s="1"/>
  <c r="J42" i="99"/>
  <c r="L42" i="99" s="1"/>
  <c r="J96" i="99"/>
  <c r="L96" i="99" s="1"/>
  <c r="J54" i="99"/>
  <c r="L54" i="99" s="1"/>
  <c r="J41" i="99"/>
  <c r="L41" i="99" s="1"/>
  <c r="J39" i="99"/>
  <c r="L39" i="99" s="1"/>
  <c r="J83" i="99"/>
  <c r="L83" i="99" s="1"/>
  <c r="J45" i="99"/>
  <c r="L45" i="99" s="1"/>
  <c r="J70" i="99"/>
  <c r="L70" i="99" s="1"/>
  <c r="J55" i="99"/>
  <c r="L55" i="99" s="1"/>
  <c r="J94" i="99"/>
  <c r="L94" i="99" s="1"/>
  <c r="J44" i="99"/>
  <c r="L44" i="99" s="1"/>
  <c r="J95" i="67"/>
  <c r="L95" i="67" s="1"/>
  <c r="J80" i="67"/>
  <c r="L80" i="67" s="1"/>
  <c r="J45" i="67"/>
  <c r="J94" i="67"/>
  <c r="L94" i="67" s="1"/>
  <c r="J78" i="67"/>
  <c r="L78" i="67" s="1"/>
  <c r="J44" i="67"/>
  <c r="L44" i="67" s="1"/>
  <c r="J93" i="67"/>
  <c r="L93" i="67" s="1"/>
  <c r="J58" i="67"/>
  <c r="L58" i="67" s="1"/>
  <c r="J43" i="67"/>
  <c r="L43" i="67" s="1"/>
  <c r="J91" i="67"/>
  <c r="L91" i="67" s="1"/>
  <c r="J57" i="67"/>
  <c r="J42" i="67"/>
  <c r="L42" i="67" s="1"/>
  <c r="J52" i="67"/>
  <c r="L52" i="67" s="1"/>
  <c r="J84" i="67"/>
  <c r="L84" i="67" s="1"/>
  <c r="J56" i="67"/>
  <c r="L56" i="67" s="1"/>
  <c r="J41" i="67"/>
  <c r="L41" i="67" s="1"/>
  <c r="J96" i="67"/>
  <c r="L96" i="67" s="1"/>
  <c r="J83" i="67"/>
  <c r="L83" i="67" s="1"/>
  <c r="J55" i="67"/>
  <c r="J39" i="67"/>
  <c r="L39" i="67" s="1"/>
  <c r="J81" i="67"/>
  <c r="L81" i="67" s="1"/>
  <c r="J82" i="67"/>
  <c r="L82" i="67" s="1"/>
  <c r="J54" i="67"/>
  <c r="L54" i="67" s="1"/>
  <c r="J83" i="85"/>
  <c r="L83" i="85" s="1"/>
  <c r="J55" i="85"/>
  <c r="L55" i="85" s="1"/>
  <c r="J39" i="85"/>
  <c r="L39" i="85" s="1"/>
  <c r="J84" i="85"/>
  <c r="L84" i="85" s="1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L41" i="85" s="1"/>
  <c r="J95" i="85"/>
  <c r="L95" i="85" s="1"/>
  <c r="J80" i="85"/>
  <c r="J45" i="85"/>
  <c r="L45" i="85" s="1"/>
  <c r="J56" i="85"/>
  <c r="L56" i="85" s="1"/>
  <c r="J94" i="85"/>
  <c r="L94" i="85" s="1"/>
  <c r="J78" i="85"/>
  <c r="L78" i="85" s="1"/>
  <c r="J44" i="85"/>
  <c r="L44" i="85" s="1"/>
  <c r="J93" i="85"/>
  <c r="L93" i="85" s="1"/>
  <c r="J58" i="85"/>
  <c r="L58" i="85" s="1"/>
  <c r="J43" i="85"/>
  <c r="L43" i="85" s="1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J69" i="67"/>
  <c r="L69" i="67" s="1"/>
  <c r="L57" i="67"/>
  <c r="L45" i="67"/>
  <c r="J70" i="67"/>
  <c r="L70" i="67" s="1"/>
  <c r="J65" i="67"/>
  <c r="L65" i="67" s="1"/>
  <c r="J71" i="67"/>
  <c r="L71" i="67" s="1"/>
  <c r="J68" i="67"/>
  <c r="L68" i="67" s="1"/>
  <c r="L55" i="67"/>
  <c r="J67" i="67"/>
  <c r="L67" i="67" s="1"/>
  <c r="L32" i="64"/>
  <c r="H25" i="64"/>
  <c r="M32" i="64" s="1"/>
  <c r="Q62" i="100" l="1"/>
  <c r="S65" i="100"/>
  <c r="U65" i="100" s="1"/>
  <c r="S52" i="100"/>
  <c r="U52" i="100" s="1"/>
  <c r="Q49" i="100"/>
  <c r="Z69" i="100"/>
  <c r="Y69" i="100"/>
  <c r="AA69" i="100" s="1"/>
  <c r="Z67" i="99"/>
  <c r="Y67" i="99"/>
  <c r="AA67" i="99" s="1"/>
  <c r="Q49" i="99"/>
  <c r="S52" i="99"/>
  <c r="U52" i="99" s="1"/>
  <c r="Q36" i="100"/>
  <c r="S39" i="100"/>
  <c r="U39" i="100" s="1"/>
  <c r="S91" i="100"/>
  <c r="U91" i="100" s="1"/>
  <c r="Q88" i="100"/>
  <c r="Q62" i="99"/>
  <c r="S65" i="99"/>
  <c r="U65" i="99" s="1"/>
  <c r="S78" i="99"/>
  <c r="U78" i="99" s="1"/>
  <c r="Q75" i="99"/>
  <c r="Z68" i="99"/>
  <c r="Y68" i="99"/>
  <c r="AA68" i="99" s="1"/>
  <c r="Q36" i="99"/>
  <c r="S39" i="99"/>
  <c r="U39" i="99" s="1"/>
  <c r="Z67" i="100"/>
  <c r="Y67" i="100"/>
  <c r="AA67" i="100" s="1"/>
  <c r="Y69" i="99"/>
  <c r="AA69" i="99" s="1"/>
  <c r="Z69" i="99"/>
  <c r="S91" i="99"/>
  <c r="U91" i="99" s="1"/>
  <c r="Q88" i="99"/>
  <c r="Z68" i="100"/>
  <c r="Y68" i="100"/>
  <c r="AA68" i="100" s="1"/>
  <c r="S78" i="100"/>
  <c r="U78" i="100" s="1"/>
  <c r="Q75" i="100"/>
  <c r="J93" i="88"/>
  <c r="J58" i="88"/>
  <c r="J43" i="88"/>
  <c r="L43" i="88" s="1"/>
  <c r="J91" i="88"/>
  <c r="L91" i="88" s="1"/>
  <c r="J57" i="88"/>
  <c r="J42" i="88"/>
  <c r="L42" i="88" s="1"/>
  <c r="J84" i="88"/>
  <c r="L84" i="88" s="1"/>
  <c r="J56" i="88"/>
  <c r="L56" i="88" s="1"/>
  <c r="J41" i="88"/>
  <c r="J83" i="88"/>
  <c r="L83" i="88" s="1"/>
  <c r="J55" i="88"/>
  <c r="L55" i="88" s="1"/>
  <c r="J82" i="88"/>
  <c r="J54" i="88"/>
  <c r="J96" i="88"/>
  <c r="L96" i="88" s="1"/>
  <c r="J81" i="88"/>
  <c r="L81" i="88" s="1"/>
  <c r="J52" i="88"/>
  <c r="L52" i="88" s="1"/>
  <c r="J95" i="88"/>
  <c r="L95" i="88" s="1"/>
  <c r="J80" i="88"/>
  <c r="L80" i="88" s="1"/>
  <c r="J45" i="88"/>
  <c r="L45" i="88" s="1"/>
  <c r="J94" i="88"/>
  <c r="L94" i="88" s="1"/>
  <c r="J78" i="88"/>
  <c r="L78" i="88" s="1"/>
  <c r="J44" i="88"/>
  <c r="L44" i="88" s="1"/>
  <c r="J39" i="88"/>
  <c r="J96" i="64"/>
  <c r="L96" i="64" s="1"/>
  <c r="J81" i="64"/>
  <c r="J52" i="64"/>
  <c r="L52" i="64" s="1"/>
  <c r="J95" i="64"/>
  <c r="L95" i="64" s="1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L91" i="64" s="1"/>
  <c r="J57" i="64"/>
  <c r="L57" i="64" s="1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L45" i="64" s="1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J65" i="88"/>
  <c r="L65" i="88" s="1"/>
  <c r="L93" i="88"/>
  <c r="L82" i="88"/>
  <c r="J67" i="88"/>
  <c r="L67" i="88" s="1"/>
  <c r="L41" i="88"/>
  <c r="J71" i="88"/>
  <c r="L71" i="88" s="1"/>
  <c r="J69" i="88"/>
  <c r="L69" i="88" s="1"/>
  <c r="J68" i="88"/>
  <c r="L68" i="88" s="1"/>
  <c r="L57" i="88"/>
  <c r="L54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81" i="64"/>
  <c r="L42" i="64"/>
  <c r="L83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S75" i="100" l="1"/>
  <c r="Q74" i="100"/>
  <c r="U62" i="99"/>
  <c r="W65" i="99"/>
  <c r="W78" i="100"/>
  <c r="U75" i="100"/>
  <c r="Q61" i="99"/>
  <c r="S62" i="99"/>
  <c r="W39" i="99"/>
  <c r="U36" i="99"/>
  <c r="S88" i="100"/>
  <c r="Q87" i="100"/>
  <c r="S36" i="99"/>
  <c r="Q35" i="99"/>
  <c r="Q33" i="99"/>
  <c r="Q12" i="99" s="1"/>
  <c r="Q8" i="99" s="1"/>
  <c r="U88" i="100"/>
  <c r="W91" i="100"/>
  <c r="S88" i="99"/>
  <c r="Q87" i="99"/>
  <c r="W39" i="100"/>
  <c r="U36" i="100"/>
  <c r="S49" i="100"/>
  <c r="Q48" i="100"/>
  <c r="W91" i="99"/>
  <c r="U88" i="99"/>
  <c r="Q33" i="100"/>
  <c r="Q12" i="100" s="1"/>
  <c r="Q8" i="100" s="1"/>
  <c r="S36" i="100"/>
  <c r="Q35" i="100"/>
  <c r="W52" i="100"/>
  <c r="U49" i="100"/>
  <c r="S75" i="99"/>
  <c r="Q74" i="99"/>
  <c r="U49" i="99"/>
  <c r="W52" i="99"/>
  <c r="U62" i="100"/>
  <c r="W65" i="100"/>
  <c r="W78" i="99"/>
  <c r="U75" i="99"/>
  <c r="Q48" i="99"/>
  <c r="S49" i="99"/>
  <c r="S62" i="100"/>
  <c r="Q61" i="100"/>
  <c r="U94" i="85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S88" i="67" l="1"/>
  <c r="Q35" i="67"/>
  <c r="S36" i="67"/>
  <c r="Y91" i="99"/>
  <c r="AA91" i="99" s="1"/>
  <c r="W88" i="99"/>
  <c r="Y78" i="99"/>
  <c r="AA78" i="99" s="1"/>
  <c r="W75" i="99"/>
  <c r="W49" i="100"/>
  <c r="Y52" i="100"/>
  <c r="AA52" i="100" s="1"/>
  <c r="U34" i="100"/>
  <c r="U33" i="100" s="1"/>
  <c r="U12" i="100" s="1"/>
  <c r="U8" i="100" s="1"/>
  <c r="S34" i="99"/>
  <c r="S33" i="99" s="1"/>
  <c r="S12" i="99" s="1"/>
  <c r="S8" i="99" s="1"/>
  <c r="W75" i="100"/>
  <c r="Y78" i="100"/>
  <c r="AA78" i="100" s="1"/>
  <c r="Y65" i="100"/>
  <c r="AA65" i="100" s="1"/>
  <c r="W62" i="100"/>
  <c r="Z65" i="100"/>
  <c r="W36" i="100"/>
  <c r="Y39" i="100"/>
  <c r="AA39" i="100" s="1"/>
  <c r="W62" i="99"/>
  <c r="Y65" i="99"/>
  <c r="AA65" i="99" s="1"/>
  <c r="Z65" i="99"/>
  <c r="S34" i="100"/>
  <c r="S33" i="100" s="1"/>
  <c r="S12" i="100" s="1"/>
  <c r="S8" i="100" s="1"/>
  <c r="W49" i="99"/>
  <c r="Y52" i="99"/>
  <c r="AA52" i="99" s="1"/>
  <c r="U34" i="99"/>
  <c r="U33" i="99" s="1"/>
  <c r="U12" i="99" s="1"/>
  <c r="U8" i="99" s="1"/>
  <c r="W88" i="100"/>
  <c r="Y91" i="100"/>
  <c r="AA91" i="100" s="1"/>
  <c r="W36" i="99"/>
  <c r="Y39" i="99"/>
  <c r="AA39" i="99" s="1"/>
  <c r="S34" i="85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Y12" i="100" l="1"/>
  <c r="Y12" i="99"/>
  <c r="W34" i="100"/>
  <c r="W33" i="100" s="1"/>
  <c r="W12" i="100" s="1"/>
  <c r="W8" i="100" s="1"/>
  <c r="W34" i="99"/>
  <c r="W33" i="99" s="1"/>
  <c r="W12" i="99" s="1"/>
  <c r="W8" i="99" s="1"/>
  <c r="S34" i="67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4" i="43"/>
  <c r="U22" i="39"/>
  <c r="O22" i="39"/>
  <c r="G63" i="43" l="1"/>
  <c r="G61" i="43"/>
  <c r="G12" i="43"/>
  <c r="G33" i="43"/>
  <c r="D12" i="68"/>
  <c r="D16" i="68" s="1"/>
  <c r="D6" i="89"/>
  <c r="D12" i="89"/>
  <c r="S19" i="39"/>
  <c r="S20" i="39" s="1"/>
  <c r="V18" i="39"/>
  <c r="G8" i="60"/>
  <c r="G67" i="60" s="1"/>
  <c r="G73" i="60" s="1"/>
  <c r="Q22" i="39"/>
  <c r="V22" i="39" s="1"/>
  <c r="D20" i="68" l="1"/>
  <c r="D25" i="68" s="1"/>
  <c r="G6" i="60"/>
  <c r="O4" i="60"/>
  <c r="G43" i="43"/>
  <c r="G7" i="60"/>
  <c r="G13" i="60"/>
  <c r="G68" i="60" s="1"/>
  <c r="G74" i="60" s="1"/>
  <c r="D20" i="89"/>
  <c r="D16" i="89"/>
  <c r="G60" i="43"/>
  <c r="D21" i="68" l="1"/>
  <c r="D25" i="89"/>
  <c r="D21" i="89"/>
  <c r="D26" i="68"/>
  <c r="H24" i="68" s="1"/>
  <c r="Q10" i="68"/>
  <c r="G50" i="43"/>
  <c r="G65" i="43" s="1"/>
  <c r="G66" i="43" s="1"/>
  <c r="O9" i="60"/>
  <c r="Q10" i="89" l="1"/>
  <c r="D26" i="89"/>
  <c r="H24" i="89" s="1"/>
  <c r="L32" i="68"/>
  <c r="H25" i="68"/>
  <c r="M32" i="68" s="1"/>
  <c r="G9" i="60"/>
  <c r="G67" i="43" l="1"/>
  <c r="G68" i="43"/>
  <c r="G13" i="43" s="1"/>
  <c r="J83" i="68"/>
  <c r="L83" i="68" s="1"/>
  <c r="J55" i="68"/>
  <c r="L55" i="68" s="1"/>
  <c r="J39" i="68"/>
  <c r="L39" i="68" s="1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L95" i="68" s="1"/>
  <c r="J80" i="68"/>
  <c r="J45" i="68"/>
  <c r="L45" i="68" s="1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L43" i="68" s="1"/>
  <c r="J91" i="68"/>
  <c r="L91" i="68" s="1"/>
  <c r="J57" i="68"/>
  <c r="L57" i="68" s="1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J70" i="68"/>
  <c r="L70" i="68" s="1"/>
  <c r="L42" i="68"/>
  <c r="J69" i="68"/>
  <c r="L69" i="68" s="1"/>
  <c r="O11" i="60" l="1"/>
  <c r="G11" i="60"/>
  <c r="G70" i="60" s="1"/>
  <c r="G76" i="60" s="1"/>
  <c r="J84" i="89"/>
  <c r="L84" i="89" s="1"/>
  <c r="J56" i="89"/>
  <c r="L56" i="89" s="1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L96" i="89" s="1"/>
  <c r="J81" i="89"/>
  <c r="L81" i="89" s="1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L44" i="89" s="1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54" i="89"/>
  <c r="L78" i="89"/>
  <c r="J70" i="89"/>
  <c r="L70" i="89" s="1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M52" i="89" l="1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W91" i="68"/>
  <c r="U88" i="68"/>
  <c r="Q35" i="68" l="1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Q87" i="68"/>
  <c r="S36" i="68"/>
  <c r="S75" i="68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S34" i="68" l="1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M56" i="60"/>
  <c r="S75" i="89"/>
  <c r="Q74" i="89"/>
  <c r="W78" i="89"/>
  <c r="U75" i="89"/>
  <c r="M53" i="60"/>
  <c r="Q35" i="89"/>
  <c r="Q33" i="89"/>
  <c r="Q12" i="89" s="1"/>
  <c r="Q8" i="89" s="1"/>
  <c r="S36" i="89"/>
  <c r="W39" i="89"/>
  <c r="U36" i="89"/>
  <c r="Y12" i="68"/>
  <c r="W34" i="68"/>
  <c r="W33" i="68" s="1"/>
  <c r="W12" i="68" s="1"/>
  <c r="W8" i="68" s="1"/>
  <c r="U34" i="89" l="1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S34" i="89"/>
  <c r="S33" i="89" s="1"/>
  <c r="S12" i="89" s="1"/>
  <c r="S8" i="89" s="1"/>
  <c r="W34" i="89" l="1"/>
  <c r="W33" i="89" s="1"/>
  <c r="W12" i="89" s="1"/>
  <c r="W8" i="89" s="1"/>
  <c r="Y12" i="89"/>
  <c r="Y71" i="66" l="1"/>
  <c r="AA71" i="66" s="1"/>
  <c r="Y70" i="66"/>
  <c r="AA70" i="66" s="1"/>
  <c r="Y70" i="65" l="1"/>
  <c r="AA70" i="65" s="1"/>
  <c r="Y71" i="65"/>
  <c r="AA71" i="65" s="1"/>
  <c r="F33" i="41" l="1"/>
  <c r="M65" i="50"/>
  <c r="F9" i="41"/>
  <c r="C18" i="82" s="1"/>
  <c r="C20" i="82" l="1"/>
  <c r="J33" i="41" s="1"/>
  <c r="C19" i="82"/>
  <c r="H58" i="43"/>
  <c r="H57" i="43"/>
  <c r="F21" i="41" l="1"/>
  <c r="P6" i="60"/>
  <c r="M14" i="41"/>
  <c r="J40" i="41"/>
  <c r="M18" i="41" s="1"/>
  <c r="J41" i="41"/>
  <c r="M19" i="41" s="1"/>
  <c r="J37" i="41"/>
  <c r="M15" i="41" s="1"/>
  <c r="J42" i="41"/>
  <c r="M20" i="41" s="1"/>
  <c r="J34" i="41"/>
  <c r="M12" i="41" s="1"/>
  <c r="F39" i="41" l="1"/>
  <c r="H24" i="43"/>
  <c r="C28" i="82"/>
  <c r="H56" i="43"/>
  <c r="H55" i="43" s="1"/>
  <c r="P8" i="60" s="1"/>
  <c r="U20" i="41"/>
  <c r="T20" i="41"/>
  <c r="V20" i="41" s="1"/>
  <c r="R21" i="41"/>
  <c r="U14" i="41"/>
  <c r="R15" i="41"/>
  <c r="T14" i="41"/>
  <c r="U15" i="41"/>
  <c r="R16" i="41"/>
  <c r="T15" i="41"/>
  <c r="J51" i="41"/>
  <c r="M11" i="41"/>
  <c r="U19" i="41"/>
  <c r="R20" i="41"/>
  <c r="T19" i="41"/>
  <c r="T12" i="41"/>
  <c r="R13" i="41"/>
  <c r="U12" i="41"/>
  <c r="R19" i="41"/>
  <c r="T18" i="41"/>
  <c r="U18" i="41"/>
  <c r="C30" i="82" l="1"/>
  <c r="J39" i="41" s="1"/>
  <c r="M17" i="41" s="1"/>
  <c r="C29" i="82"/>
  <c r="V12" i="41"/>
  <c r="V15" i="41"/>
  <c r="V14" i="41"/>
  <c r="V19" i="41"/>
  <c r="F25" i="41"/>
  <c r="F19" i="41" s="1"/>
  <c r="M7" i="41"/>
  <c r="H62" i="43"/>
  <c r="V18" i="41"/>
  <c r="R12" i="41"/>
  <c r="T11" i="41"/>
  <c r="H46" i="43"/>
  <c r="U11" i="41"/>
  <c r="U17" i="41" l="1"/>
  <c r="T17" i="41"/>
  <c r="R18" i="41"/>
  <c r="H45" i="43"/>
  <c r="P5" i="60"/>
  <c r="M10" i="41"/>
  <c r="R8" i="41"/>
  <c r="Q7" i="41"/>
  <c r="O7" i="41"/>
  <c r="H32" i="43"/>
  <c r="V11" i="41"/>
  <c r="H19" i="41"/>
  <c r="H43" i="41" s="1"/>
  <c r="F43" i="41"/>
  <c r="V17" i="41" l="1"/>
  <c r="H4" i="60"/>
  <c r="J43" i="41"/>
  <c r="M21" i="41" s="1"/>
  <c r="S8" i="41"/>
  <c r="V7" i="41"/>
  <c r="Q8" i="41"/>
  <c r="H28" i="43"/>
  <c r="O10" i="41"/>
  <c r="Q10" i="41"/>
  <c r="R11" i="41"/>
  <c r="M13" i="41"/>
  <c r="H5" i="60" l="1"/>
  <c r="J49" i="41"/>
  <c r="J55" i="41" s="1"/>
  <c r="V10" i="41"/>
  <c r="Q11" i="41"/>
  <c r="Q12" i="41" s="1"/>
  <c r="Q9" i="41"/>
  <c r="S9" i="41"/>
  <c r="M16" i="41"/>
  <c r="O13" i="41"/>
  <c r="R14" i="41"/>
  <c r="U13" i="41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4" i="43"/>
  <c r="U22" i="41"/>
  <c r="H63" i="43" l="1"/>
  <c r="H61" i="43"/>
  <c r="H12" i="43"/>
  <c r="H33" i="43"/>
  <c r="D12" i="69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6" i="60" l="1"/>
  <c r="P4" i="60"/>
  <c r="D16" i="69"/>
  <c r="H7" i="60"/>
  <c r="H13" i="60"/>
  <c r="H68" i="60" s="1"/>
  <c r="H74" i="60" s="1"/>
  <c r="G10" i="60"/>
  <c r="G69" i="60" s="1"/>
  <c r="G75" i="60" s="1"/>
  <c r="O10" i="60"/>
  <c r="N10" i="60"/>
  <c r="F10" i="60"/>
  <c r="F69" i="60" s="1"/>
  <c r="F75" i="60" s="1"/>
  <c r="D20" i="90"/>
  <c r="D16" i="90"/>
  <c r="D21" i="69"/>
  <c r="D25" i="69"/>
  <c r="H43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L42" i="69" s="1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L54" i="69" s="1"/>
  <c r="J96" i="69"/>
  <c r="L96" i="69" s="1"/>
  <c r="J81" i="69"/>
  <c r="L81" i="69" s="1"/>
  <c r="J52" i="69"/>
  <c r="J95" i="69"/>
  <c r="L95" i="69" s="1"/>
  <c r="J80" i="69"/>
  <c r="L80" i="69" s="1"/>
  <c r="J45" i="69"/>
  <c r="J94" i="69"/>
  <c r="J78" i="69"/>
  <c r="L78" i="69" s="1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52" i="69"/>
  <c r="L45" i="69"/>
  <c r="L58" i="69"/>
  <c r="L39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L45" i="90" s="1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L57" i="90" s="1"/>
  <c r="J42" i="90"/>
  <c r="L42" i="90" s="1"/>
  <c r="J84" i="90"/>
  <c r="J56" i="90"/>
  <c r="L56" i="90" s="1"/>
  <c r="J41" i="90"/>
  <c r="L41" i="90" s="1"/>
  <c r="J83" i="90"/>
  <c r="L83" i="90" s="1"/>
  <c r="J55" i="90"/>
  <c r="J39" i="90"/>
  <c r="L39" i="90" s="1"/>
  <c r="J82" i="90"/>
  <c r="L82" i="90" s="1"/>
  <c r="J54" i="90"/>
  <c r="L54" i="90" s="1"/>
  <c r="J96" i="90"/>
  <c r="J81" i="90"/>
  <c r="L81" i="90" s="1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J68" i="90"/>
  <c r="L68" i="90" s="1"/>
  <c r="L78" i="90"/>
  <c r="L91" i="90"/>
  <c r="J70" i="90"/>
  <c r="L70" i="90" s="1"/>
  <c r="J65" i="90"/>
  <c r="L65" i="90" s="1"/>
  <c r="J71" i="90"/>
  <c r="L71" i="90" s="1"/>
  <c r="L95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2" i="43"/>
  <c r="H51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50" i="43"/>
  <c r="H65" i="43" s="1"/>
  <c r="H66" i="43" s="1"/>
  <c r="P9" i="60"/>
  <c r="W34" i="90" l="1"/>
  <c r="W33" i="90" s="1"/>
  <c r="W12" i="90" s="1"/>
  <c r="W8" i="90" s="1"/>
  <c r="Y12" i="90"/>
  <c r="H9" i="60"/>
  <c r="H67" i="43" l="1"/>
  <c r="H68" i="43"/>
  <c r="H10" i="60" l="1"/>
  <c r="H69" i="60" s="1"/>
  <c r="H75" i="60" s="1"/>
  <c r="H13" i="43"/>
  <c r="P10" i="60"/>
  <c r="P11" i="60"/>
  <c r="H11" i="60"/>
  <c r="H70" i="60" s="1"/>
  <c r="H76" i="60" s="1"/>
  <c r="W44" i="86" l="1"/>
  <c r="Y44" i="86"/>
  <c r="AA44" i="86" s="1"/>
  <c r="W71" i="65"/>
  <c r="Z71" i="65" s="1"/>
  <c r="W44" i="65"/>
  <c r="Y44" i="65"/>
  <c r="AA44" i="65" s="1"/>
  <c r="W70" i="65"/>
  <c r="Z70" i="65" s="1"/>
  <c r="W44" i="87"/>
  <c r="Y44" i="87"/>
  <c r="AA44" i="87" s="1"/>
  <c r="W71" i="66"/>
  <c r="Z71" i="66" s="1"/>
  <c r="W44" i="66"/>
  <c r="Y44" i="66"/>
  <c r="AA44" i="66" s="1"/>
  <c r="W70" i="66"/>
  <c r="Z70" i="66" s="1"/>
  <c r="W84" i="65"/>
  <c r="Y84" i="65"/>
  <c r="AA84" i="65" s="1"/>
  <c r="W95" i="65"/>
  <c r="Y95" i="65"/>
  <c r="AA95" i="65" s="1"/>
  <c r="W96" i="65"/>
  <c r="Y96" i="65"/>
  <c r="AA96" i="65" s="1"/>
  <c r="W57" i="65"/>
  <c r="Y57" i="65"/>
  <c r="AA57" i="65" s="1"/>
  <c r="W83" i="65"/>
  <c r="Y83" i="65"/>
  <c r="AA83" i="65" s="1"/>
  <c r="W58" i="65"/>
  <c r="Y58" i="65"/>
  <c r="AA58" i="65" s="1"/>
  <c r="W45" i="65"/>
  <c r="Y45" i="65"/>
  <c r="AA45" i="65" s="1"/>
  <c r="W83" i="66"/>
  <c r="Y83" i="66"/>
  <c r="AA83" i="66" s="1"/>
  <c r="W95" i="66"/>
  <c r="Y95" i="66"/>
  <c r="AA95" i="66" s="1"/>
  <c r="W84" i="66"/>
  <c r="Y84" i="66"/>
  <c r="AA84" i="66" s="1"/>
  <c r="W57" i="66"/>
  <c r="Y57" i="66"/>
  <c r="AA57" i="66" s="1"/>
  <c r="W96" i="66"/>
  <c r="Y96" i="66"/>
  <c r="AA96" i="66" s="1"/>
  <c r="W45" i="66"/>
  <c r="Y45" i="66"/>
  <c r="AA45" i="66" s="1"/>
  <c r="W58" i="66"/>
  <c r="Y58" i="66"/>
  <c r="AA58" i="66" s="1"/>
  <c r="E103" i="50"/>
  <c r="C104" i="50"/>
  <c r="F16" i="53"/>
  <c r="F16" i="51"/>
  <c r="F40" i="51" l="1"/>
  <c r="C19" i="59"/>
  <c r="H22" i="53"/>
  <c r="F40" i="53"/>
  <c r="E105" i="50"/>
  <c r="C105" i="50"/>
  <c r="C19" i="63" s="1"/>
  <c r="C25" i="59" l="1"/>
  <c r="C24" i="59" s="1"/>
  <c r="C23" i="59"/>
  <c r="C23" i="63"/>
  <c r="C25" i="63"/>
  <c r="C24" i="63" s="1"/>
  <c r="C26" i="59" l="1"/>
  <c r="J40" i="51" s="1"/>
  <c r="E18" i="60"/>
  <c r="E19" i="60" s="1"/>
  <c r="D18" i="60"/>
  <c r="D19" i="60" s="1"/>
  <c r="C26" i="63"/>
  <c r="J40" i="53" s="1"/>
  <c r="J49" i="51" l="1"/>
  <c r="J55" i="51" s="1"/>
  <c r="M18" i="51"/>
  <c r="J49" i="53"/>
  <c r="J55" i="53" s="1"/>
  <c r="M18" i="53"/>
  <c r="Q18" i="51" l="1"/>
  <c r="Q19" i="51" s="1"/>
  <c r="Q20" i="51" s="1"/>
  <c r="Q21" i="51" s="1"/>
  <c r="U18" i="51"/>
  <c r="R19" i="51"/>
  <c r="T18" i="51"/>
  <c r="S18" i="51"/>
  <c r="M22" i="51"/>
  <c r="Q18" i="53"/>
  <c r="Q19" i="53" s="1"/>
  <c r="Q20" i="53" s="1"/>
  <c r="Q21" i="53" s="1"/>
  <c r="R19" i="53"/>
  <c r="U18" i="53"/>
  <c r="T18" i="53"/>
  <c r="M22" i="53"/>
  <c r="V18" i="51" l="1"/>
  <c r="S19" i="51"/>
  <c r="S20" i="51" s="1"/>
  <c r="E44" i="43"/>
  <c r="U22" i="51"/>
  <c r="O22" i="51"/>
  <c r="Q22" i="51" s="1"/>
  <c r="V22" i="51" s="1"/>
  <c r="D7" i="87"/>
  <c r="D7" i="66"/>
  <c r="S21" i="51"/>
  <c r="S18" i="53"/>
  <c r="S21" i="53"/>
  <c r="O22" i="53"/>
  <c r="Q22" i="53" s="1"/>
  <c r="V22" i="53" s="1"/>
  <c r="U22" i="53"/>
  <c r="D44" i="43"/>
  <c r="D7" i="86"/>
  <c r="D7" i="65"/>
  <c r="V18" i="53"/>
  <c r="S19" i="53"/>
  <c r="S20" i="53" s="1"/>
  <c r="D63" i="43" l="1"/>
  <c r="D61" i="43"/>
  <c r="E61" i="43"/>
  <c r="E63" i="43"/>
  <c r="E60" i="43" s="1"/>
  <c r="M9" i="60" s="1"/>
  <c r="D6" i="66"/>
  <c r="D12" i="66"/>
  <c r="D6" i="87"/>
  <c r="D12" i="87"/>
  <c r="E12" i="43"/>
  <c r="E33" i="43"/>
  <c r="E8" i="60"/>
  <c r="D60" i="43"/>
  <c r="L9" i="60" s="1"/>
  <c r="D6" i="65"/>
  <c r="D12" i="65"/>
  <c r="D6" i="86"/>
  <c r="D12" i="86"/>
  <c r="D33" i="43"/>
  <c r="D12" i="43"/>
  <c r="D8" i="60"/>
  <c r="D50" i="43" l="1"/>
  <c r="D65" i="43" s="1"/>
  <c r="E50" i="43"/>
  <c r="E65" i="43" s="1"/>
  <c r="E66" i="43" s="1"/>
  <c r="D20" i="87"/>
  <c r="D16" i="87"/>
  <c r="M4" i="60"/>
  <c r="E43" i="43"/>
  <c r="E6" i="60"/>
  <c r="D20" i="66"/>
  <c r="D16" i="66"/>
  <c r="E13" i="60"/>
  <c r="E68" i="60" s="1"/>
  <c r="E74" i="60" s="1"/>
  <c r="E7" i="60"/>
  <c r="E67" i="60"/>
  <c r="E73" i="60" s="1"/>
  <c r="D7" i="60"/>
  <c r="D67" i="60"/>
  <c r="D73" i="60" s="1"/>
  <c r="D13" i="60"/>
  <c r="D68" i="60" s="1"/>
  <c r="D74" i="60" s="1"/>
  <c r="D9" i="60"/>
  <c r="D66" i="43"/>
  <c r="D16" i="86"/>
  <c r="D20" i="86"/>
  <c r="L4" i="60"/>
  <c r="D43" i="43"/>
  <c r="D6" i="60"/>
  <c r="D16" i="65"/>
  <c r="D20" i="65"/>
  <c r="E9" i="60" l="1"/>
  <c r="D21" i="66"/>
  <c r="D25" i="66"/>
  <c r="E67" i="43"/>
  <c r="E68" i="43"/>
  <c r="D25" i="87"/>
  <c r="D21" i="87"/>
  <c r="D67" i="43"/>
  <c r="D68" i="43"/>
  <c r="D21" i="86"/>
  <c r="D25" i="86"/>
  <c r="D21" i="65"/>
  <c r="D25" i="65"/>
  <c r="Q10" i="87" l="1"/>
  <c r="D26" i="87"/>
  <c r="H24" i="87" s="1"/>
  <c r="E11" i="60"/>
  <c r="E70" i="60" s="1"/>
  <c r="E76" i="60" s="1"/>
  <c r="M11" i="60"/>
  <c r="E13" i="43"/>
  <c r="M10" i="60"/>
  <c r="E10" i="60"/>
  <c r="E69" i="60" s="1"/>
  <c r="E75" i="60" s="1"/>
  <c r="Q10" i="66"/>
  <c r="D26" i="66"/>
  <c r="H24" i="66" s="1"/>
  <c r="Q10" i="86"/>
  <c r="D26" i="86"/>
  <c r="H24" i="86" s="1"/>
  <c r="D11" i="60"/>
  <c r="D70" i="60" s="1"/>
  <c r="D76" i="60" s="1"/>
  <c r="L11" i="60"/>
  <c r="Q10" i="65"/>
  <c r="D26" i="65"/>
  <c r="H24" i="65" s="1"/>
  <c r="L10" i="60"/>
  <c r="D13" i="43"/>
  <c r="D10" i="60"/>
  <c r="D69" i="60" s="1"/>
  <c r="D75" i="60" s="1"/>
  <c r="H25" i="87" l="1"/>
  <c r="M32" i="87" s="1"/>
  <c r="L32" i="87"/>
  <c r="L32" i="66"/>
  <c r="H25" i="66"/>
  <c r="M32" i="66" s="1"/>
  <c r="L32" i="65"/>
  <c r="H25" i="65"/>
  <c r="M32" i="65" s="1"/>
  <c r="L32" i="86"/>
  <c r="H25" i="86"/>
  <c r="M32" i="86" s="1"/>
  <c r="K45" i="66" l="1"/>
  <c r="M45" i="66" s="1"/>
  <c r="Q45" i="66" s="1"/>
  <c r="S45" i="66" s="1"/>
  <c r="U45" i="66" s="1"/>
  <c r="K67" i="66"/>
  <c r="M67" i="66" s="1"/>
  <c r="Q67" i="66" s="1"/>
  <c r="S67" i="66" s="1"/>
  <c r="U67" i="66" s="1"/>
  <c r="W67" i="66" s="1"/>
  <c r="K71" i="66"/>
  <c r="M71" i="66" s="1"/>
  <c r="Q71" i="66" s="1"/>
  <c r="S71" i="66" s="1"/>
  <c r="U71" i="66" s="1"/>
  <c r="K81" i="66"/>
  <c r="M81" i="66" s="1"/>
  <c r="Q81" i="66" s="1"/>
  <c r="S81" i="66" s="1"/>
  <c r="U81" i="66" s="1"/>
  <c r="W81" i="66" s="1"/>
  <c r="Y81" i="66" s="1"/>
  <c r="AA81" i="66" s="1"/>
  <c r="K57" i="66"/>
  <c r="M57" i="66" s="1"/>
  <c r="Q57" i="66" s="1"/>
  <c r="S57" i="66" s="1"/>
  <c r="U57" i="66" s="1"/>
  <c r="K82" i="66"/>
  <c r="M82" i="66" s="1"/>
  <c r="K93" i="66"/>
  <c r="M93" i="66" s="1"/>
  <c r="Q93" i="66" s="1"/>
  <c r="S93" i="66" s="1"/>
  <c r="U93" i="66" s="1"/>
  <c r="W93" i="66" s="1"/>
  <c r="Y93" i="66" s="1"/>
  <c r="AA93" i="66" s="1"/>
  <c r="K44" i="66"/>
  <c r="M44" i="66" s="1"/>
  <c r="Q44" i="66" s="1"/>
  <c r="S44" i="66" s="1"/>
  <c r="U44" i="66" s="1"/>
  <c r="K78" i="66"/>
  <c r="K96" i="66"/>
  <c r="M96" i="66" s="1"/>
  <c r="Q96" i="66" s="1"/>
  <c r="S96" i="66" s="1"/>
  <c r="U96" i="66" s="1"/>
  <c r="K41" i="66"/>
  <c r="M41" i="66" s="1"/>
  <c r="Q41" i="66" s="1"/>
  <c r="S41" i="66" s="1"/>
  <c r="U41" i="66" s="1"/>
  <c r="W41" i="66" s="1"/>
  <c r="Y41" i="66" s="1"/>
  <c r="AA41" i="66" s="1"/>
  <c r="K68" i="66"/>
  <c r="M68" i="66" s="1"/>
  <c r="Q68" i="66" s="1"/>
  <c r="S68" i="66" s="1"/>
  <c r="U68" i="66" s="1"/>
  <c r="W68" i="66" s="1"/>
  <c r="K91" i="66"/>
  <c r="K70" i="66"/>
  <c r="M70" i="66" s="1"/>
  <c r="Q70" i="66" s="1"/>
  <c r="S70" i="66" s="1"/>
  <c r="U70" i="66" s="1"/>
  <c r="K80" i="66"/>
  <c r="M80" i="66" s="1"/>
  <c r="Q80" i="66" s="1"/>
  <c r="S80" i="66" s="1"/>
  <c r="U80" i="66" s="1"/>
  <c r="W80" i="66" s="1"/>
  <c r="Y80" i="66" s="1"/>
  <c r="AA80" i="66" s="1"/>
  <c r="K65" i="66"/>
  <c r="K39" i="66"/>
  <c r="K84" i="66"/>
  <c r="M84" i="66" s="1"/>
  <c r="Q84" i="66" s="1"/>
  <c r="S84" i="66" s="1"/>
  <c r="U84" i="66" s="1"/>
  <c r="K56" i="66"/>
  <c r="M56" i="66" s="1"/>
  <c r="K55" i="66"/>
  <c r="M55" i="66" s="1"/>
  <c r="Q55" i="66" s="1"/>
  <c r="S55" i="66" s="1"/>
  <c r="U55" i="66" s="1"/>
  <c r="W55" i="66" s="1"/>
  <c r="Y55" i="66" s="1"/>
  <c r="AA55" i="66" s="1"/>
  <c r="K42" i="66"/>
  <c r="M42" i="66" s="1"/>
  <c r="Q42" i="66" s="1"/>
  <c r="S42" i="66" s="1"/>
  <c r="U42" i="66" s="1"/>
  <c r="W42" i="66" s="1"/>
  <c r="Y42" i="66" s="1"/>
  <c r="AA42" i="66" s="1"/>
  <c r="K94" i="66"/>
  <c r="M94" i="66" s="1"/>
  <c r="K54" i="66"/>
  <c r="M54" i="66" s="1"/>
  <c r="Q54" i="66" s="1"/>
  <c r="S54" i="66" s="1"/>
  <c r="U54" i="66" s="1"/>
  <c r="W54" i="66" s="1"/>
  <c r="Y54" i="66" s="1"/>
  <c r="AA54" i="66" s="1"/>
  <c r="K43" i="66"/>
  <c r="M43" i="66" s="1"/>
  <c r="K52" i="66"/>
  <c r="K83" i="66"/>
  <c r="M83" i="66" s="1"/>
  <c r="Q83" i="66" s="1"/>
  <c r="S83" i="66" s="1"/>
  <c r="U83" i="66" s="1"/>
  <c r="K95" i="66"/>
  <c r="M95" i="66" s="1"/>
  <c r="Q95" i="66" s="1"/>
  <c r="S95" i="66" s="1"/>
  <c r="U95" i="66" s="1"/>
  <c r="K58" i="66"/>
  <c r="M58" i="66" s="1"/>
  <c r="Q58" i="66" s="1"/>
  <c r="S58" i="66" s="1"/>
  <c r="U58" i="66" s="1"/>
  <c r="K69" i="66"/>
  <c r="M69" i="66" s="1"/>
  <c r="J57" i="66"/>
  <c r="L57" i="66" s="1"/>
  <c r="J39" i="66"/>
  <c r="L39" i="66" s="1"/>
  <c r="J68" i="66"/>
  <c r="L68" i="66" s="1"/>
  <c r="J71" i="66"/>
  <c r="L71" i="66" s="1"/>
  <c r="J94" i="66"/>
  <c r="L94" i="66" s="1"/>
  <c r="J83" i="66"/>
  <c r="L83" i="66" s="1"/>
  <c r="J55" i="66"/>
  <c r="L55" i="66" s="1"/>
  <c r="J42" i="66"/>
  <c r="L42" i="66" s="1"/>
  <c r="J82" i="66"/>
  <c r="L82" i="66" s="1"/>
  <c r="J70" i="66"/>
  <c r="L70" i="66" s="1"/>
  <c r="J56" i="66"/>
  <c r="L56" i="66" s="1"/>
  <c r="J44" i="66"/>
  <c r="L44" i="66" s="1"/>
  <c r="J54" i="66"/>
  <c r="L54" i="66" s="1"/>
  <c r="J67" i="66"/>
  <c r="L67" i="66" s="1"/>
  <c r="J95" i="66"/>
  <c r="L95" i="66" s="1"/>
  <c r="J93" i="66"/>
  <c r="L93" i="66" s="1"/>
  <c r="J84" i="66"/>
  <c r="L84" i="66" s="1"/>
  <c r="J96" i="66"/>
  <c r="L96" i="66" s="1"/>
  <c r="J41" i="66"/>
  <c r="L41" i="66" s="1"/>
  <c r="J91" i="66"/>
  <c r="L91" i="66" s="1"/>
  <c r="J65" i="66"/>
  <c r="L65" i="66" s="1"/>
  <c r="J80" i="66"/>
  <c r="L80" i="66" s="1"/>
  <c r="J58" i="66"/>
  <c r="L58" i="66" s="1"/>
  <c r="J78" i="66"/>
  <c r="L78" i="66" s="1"/>
  <c r="J52" i="66"/>
  <c r="L52" i="66" s="1"/>
  <c r="J81" i="66"/>
  <c r="L81" i="66" s="1"/>
  <c r="J69" i="66"/>
  <c r="L69" i="66" s="1"/>
  <c r="J43" i="66"/>
  <c r="L43" i="66" s="1"/>
  <c r="J45" i="66"/>
  <c r="L45" i="66" s="1"/>
  <c r="J83" i="87"/>
  <c r="L83" i="87" s="1"/>
  <c r="J43" i="87"/>
  <c r="L43" i="87" s="1"/>
  <c r="J52" i="87"/>
  <c r="L52" i="87" s="1"/>
  <c r="J45" i="87"/>
  <c r="L45" i="87" s="1"/>
  <c r="J81" i="87"/>
  <c r="L81" i="87" s="1"/>
  <c r="J44" i="87"/>
  <c r="L44" i="87" s="1"/>
  <c r="J70" i="87"/>
  <c r="L70" i="87" s="1"/>
  <c r="J56" i="87"/>
  <c r="L56" i="87" s="1"/>
  <c r="J96" i="87"/>
  <c r="L96" i="87" s="1"/>
  <c r="J58" i="87"/>
  <c r="L58" i="87" s="1"/>
  <c r="J57" i="87"/>
  <c r="L57" i="87" s="1"/>
  <c r="J94" i="87"/>
  <c r="L94" i="87" s="1"/>
  <c r="J54" i="87"/>
  <c r="L54" i="87" s="1"/>
  <c r="J71" i="87"/>
  <c r="L71" i="87" s="1"/>
  <c r="J39" i="87"/>
  <c r="L39" i="87" s="1"/>
  <c r="J68" i="87"/>
  <c r="L68" i="87" s="1"/>
  <c r="J55" i="87"/>
  <c r="L55" i="87" s="1"/>
  <c r="J91" i="87"/>
  <c r="L91" i="87" s="1"/>
  <c r="J93" i="87"/>
  <c r="L93" i="87" s="1"/>
  <c r="J67" i="87"/>
  <c r="L67" i="87" s="1"/>
  <c r="J82" i="87"/>
  <c r="L82" i="87" s="1"/>
  <c r="J95" i="87"/>
  <c r="L95" i="87" s="1"/>
  <c r="J42" i="87"/>
  <c r="L42" i="87" s="1"/>
  <c r="J78" i="87"/>
  <c r="L78" i="87" s="1"/>
  <c r="J41" i="87"/>
  <c r="L41" i="87" s="1"/>
  <c r="J80" i="87"/>
  <c r="L80" i="87" s="1"/>
  <c r="J69" i="87"/>
  <c r="L69" i="87" s="1"/>
  <c r="J84" i="87"/>
  <c r="L84" i="87" s="1"/>
  <c r="J65" i="87"/>
  <c r="L65" i="87" s="1"/>
  <c r="K41" i="87"/>
  <c r="M41" i="87" s="1"/>
  <c r="Q41" i="87" s="1"/>
  <c r="S41" i="87" s="1"/>
  <c r="U41" i="87" s="1"/>
  <c r="W41" i="87" s="1"/>
  <c r="Y41" i="87" s="1"/>
  <c r="AA41" i="87" s="1"/>
  <c r="K71" i="87"/>
  <c r="M71" i="87" s="1"/>
  <c r="Q71" i="87" s="1"/>
  <c r="S71" i="87" s="1"/>
  <c r="U71" i="87" s="1"/>
  <c r="K91" i="87"/>
  <c r="K44" i="87"/>
  <c r="M44" i="87" s="1"/>
  <c r="Q44" i="87" s="1"/>
  <c r="S44" i="87" s="1"/>
  <c r="U44" i="87" s="1"/>
  <c r="K42" i="87"/>
  <c r="M42" i="87" s="1"/>
  <c r="Q42" i="87" s="1"/>
  <c r="S42" i="87" s="1"/>
  <c r="U42" i="87" s="1"/>
  <c r="W42" i="87" s="1"/>
  <c r="Y42" i="87" s="1"/>
  <c r="AA42" i="87" s="1"/>
  <c r="K52" i="87"/>
  <c r="K67" i="87"/>
  <c r="M67" i="87" s="1"/>
  <c r="Q67" i="87" s="1"/>
  <c r="S67" i="87" s="1"/>
  <c r="U67" i="87" s="1"/>
  <c r="W67" i="87" s="1"/>
  <c r="K70" i="87"/>
  <c r="M70" i="87" s="1"/>
  <c r="Q70" i="87" s="1"/>
  <c r="S70" i="87" s="1"/>
  <c r="U70" i="87" s="1"/>
  <c r="K56" i="87"/>
  <c r="M56" i="87" s="1"/>
  <c r="K78" i="87"/>
  <c r="K80" i="87"/>
  <c r="M80" i="87" s="1"/>
  <c r="Q80" i="87" s="1"/>
  <c r="S80" i="87" s="1"/>
  <c r="U80" i="87" s="1"/>
  <c r="W80" i="87" s="1"/>
  <c r="Y80" i="87" s="1"/>
  <c r="AA80" i="87" s="1"/>
  <c r="K82" i="87"/>
  <c r="M82" i="87" s="1"/>
  <c r="K69" i="87"/>
  <c r="M69" i="87" s="1"/>
  <c r="K95" i="87"/>
  <c r="M95" i="87" s="1"/>
  <c r="Q95" i="87" s="1"/>
  <c r="S95" i="87" s="1"/>
  <c r="U95" i="87" s="1"/>
  <c r="K96" i="87"/>
  <c r="M96" i="87" s="1"/>
  <c r="Q96" i="87" s="1"/>
  <c r="S96" i="87" s="1"/>
  <c r="U96" i="87" s="1"/>
  <c r="K68" i="87"/>
  <c r="M68" i="87" s="1"/>
  <c r="Q68" i="87" s="1"/>
  <c r="S68" i="87" s="1"/>
  <c r="U68" i="87" s="1"/>
  <c r="W68" i="87" s="1"/>
  <c r="K43" i="87"/>
  <c r="M43" i="87" s="1"/>
  <c r="K65" i="87"/>
  <c r="K55" i="87"/>
  <c r="M55" i="87" s="1"/>
  <c r="Q55" i="87" s="1"/>
  <c r="S55" i="87" s="1"/>
  <c r="U55" i="87" s="1"/>
  <c r="W55" i="87" s="1"/>
  <c r="Y55" i="87" s="1"/>
  <c r="AA55" i="87" s="1"/>
  <c r="K54" i="87"/>
  <c r="M54" i="87" s="1"/>
  <c r="Q54" i="87" s="1"/>
  <c r="S54" i="87" s="1"/>
  <c r="U54" i="87" s="1"/>
  <c r="W54" i="87" s="1"/>
  <c r="Y54" i="87" s="1"/>
  <c r="AA54" i="87" s="1"/>
  <c r="K57" i="87"/>
  <c r="M57" i="87" s="1"/>
  <c r="Q57" i="87" s="1"/>
  <c r="S57" i="87" s="1"/>
  <c r="U57" i="87" s="1"/>
  <c r="K83" i="87"/>
  <c r="M83" i="87" s="1"/>
  <c r="Q83" i="87" s="1"/>
  <c r="S83" i="87" s="1"/>
  <c r="U83" i="87" s="1"/>
  <c r="K84" i="87"/>
  <c r="M84" i="87" s="1"/>
  <c r="Q84" i="87" s="1"/>
  <c r="S84" i="87" s="1"/>
  <c r="U84" i="87" s="1"/>
  <c r="K93" i="87"/>
  <c r="M93" i="87" s="1"/>
  <c r="Q93" i="87" s="1"/>
  <c r="S93" i="87" s="1"/>
  <c r="U93" i="87" s="1"/>
  <c r="W93" i="87" s="1"/>
  <c r="Y93" i="87" s="1"/>
  <c r="AA93" i="87" s="1"/>
  <c r="K58" i="87"/>
  <c r="M58" i="87" s="1"/>
  <c r="Q58" i="87" s="1"/>
  <c r="S58" i="87" s="1"/>
  <c r="U58" i="87" s="1"/>
  <c r="K45" i="87"/>
  <c r="M45" i="87" s="1"/>
  <c r="Q45" i="87" s="1"/>
  <c r="S45" i="87" s="1"/>
  <c r="U45" i="87" s="1"/>
  <c r="K39" i="87"/>
  <c r="K81" i="87"/>
  <c r="M81" i="87" s="1"/>
  <c r="Q81" i="87" s="1"/>
  <c r="S81" i="87" s="1"/>
  <c r="U81" i="87" s="1"/>
  <c r="W81" i="87" s="1"/>
  <c r="Y81" i="87" s="1"/>
  <c r="AA81" i="87" s="1"/>
  <c r="K94" i="87"/>
  <c r="M94" i="87" s="1"/>
  <c r="K96" i="86"/>
  <c r="M96" i="86" s="1"/>
  <c r="Q96" i="86" s="1"/>
  <c r="S96" i="86" s="1"/>
  <c r="U96" i="86" s="1"/>
  <c r="K93" i="86"/>
  <c r="M93" i="86" s="1"/>
  <c r="Q93" i="86" s="1"/>
  <c r="S93" i="86" s="1"/>
  <c r="U93" i="86" s="1"/>
  <c r="W93" i="86" s="1"/>
  <c r="Y93" i="86" s="1"/>
  <c r="AA93" i="86" s="1"/>
  <c r="K43" i="86"/>
  <c r="M43" i="86" s="1"/>
  <c r="K58" i="86"/>
  <c r="M58" i="86" s="1"/>
  <c r="Q58" i="86" s="1"/>
  <c r="S58" i="86" s="1"/>
  <c r="U58" i="86" s="1"/>
  <c r="K95" i="86"/>
  <c r="M95" i="86" s="1"/>
  <c r="Q95" i="86" s="1"/>
  <c r="S95" i="86" s="1"/>
  <c r="U95" i="86" s="1"/>
  <c r="K54" i="86"/>
  <c r="M54" i="86" s="1"/>
  <c r="Q54" i="86" s="1"/>
  <c r="S54" i="86" s="1"/>
  <c r="U54" i="86" s="1"/>
  <c r="W54" i="86" s="1"/>
  <c r="Y54" i="86" s="1"/>
  <c r="AA54" i="86" s="1"/>
  <c r="K44" i="86"/>
  <c r="M44" i="86" s="1"/>
  <c r="Q44" i="86" s="1"/>
  <c r="S44" i="86" s="1"/>
  <c r="U44" i="86" s="1"/>
  <c r="K71" i="86"/>
  <c r="M71" i="86" s="1"/>
  <c r="Q71" i="86" s="1"/>
  <c r="S71" i="86" s="1"/>
  <c r="U71" i="86" s="1"/>
  <c r="K42" i="86"/>
  <c r="M42" i="86" s="1"/>
  <c r="Q42" i="86" s="1"/>
  <c r="S42" i="86" s="1"/>
  <c r="U42" i="86" s="1"/>
  <c r="W42" i="86" s="1"/>
  <c r="Y42" i="86" s="1"/>
  <c r="AA42" i="86" s="1"/>
  <c r="K83" i="86"/>
  <c r="M83" i="86" s="1"/>
  <c r="Q83" i="86" s="1"/>
  <c r="S83" i="86" s="1"/>
  <c r="U83" i="86" s="1"/>
  <c r="K84" i="86"/>
  <c r="M84" i="86" s="1"/>
  <c r="Q84" i="86" s="1"/>
  <c r="S84" i="86" s="1"/>
  <c r="U84" i="86" s="1"/>
  <c r="K55" i="86"/>
  <c r="M55" i="86" s="1"/>
  <c r="Q55" i="86" s="1"/>
  <c r="S55" i="86" s="1"/>
  <c r="U55" i="86" s="1"/>
  <c r="W55" i="86" s="1"/>
  <c r="Y55" i="86" s="1"/>
  <c r="AA55" i="86" s="1"/>
  <c r="K45" i="86"/>
  <c r="M45" i="86" s="1"/>
  <c r="Q45" i="86" s="1"/>
  <c r="S45" i="86" s="1"/>
  <c r="U45" i="86" s="1"/>
  <c r="K56" i="86"/>
  <c r="M56" i="86" s="1"/>
  <c r="K52" i="86"/>
  <c r="K67" i="86"/>
  <c r="M67" i="86" s="1"/>
  <c r="Q67" i="86" s="1"/>
  <c r="S67" i="86" s="1"/>
  <c r="U67" i="86" s="1"/>
  <c r="W67" i="86" s="1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57" i="86"/>
  <c r="M57" i="86" s="1"/>
  <c r="Q57" i="86" s="1"/>
  <c r="S57" i="86" s="1"/>
  <c r="U57" i="86" s="1"/>
  <c r="K41" i="86"/>
  <c r="M41" i="86" s="1"/>
  <c r="Q41" i="86" s="1"/>
  <c r="S41" i="86" s="1"/>
  <c r="U41" i="86" s="1"/>
  <c r="W41" i="86" s="1"/>
  <c r="Y41" i="86" s="1"/>
  <c r="AA41" i="86" s="1"/>
  <c r="K94" i="86"/>
  <c r="M94" i="86" s="1"/>
  <c r="K78" i="86"/>
  <c r="K82" i="86"/>
  <c r="M82" i="86" s="1"/>
  <c r="K68" i="86"/>
  <c r="M68" i="86" s="1"/>
  <c r="Q68" i="86" s="1"/>
  <c r="S68" i="86" s="1"/>
  <c r="U68" i="86" s="1"/>
  <c r="W68" i="86" s="1"/>
  <c r="K91" i="86"/>
  <c r="K81" i="86"/>
  <c r="M81" i="86" s="1"/>
  <c r="Q81" i="86" s="1"/>
  <c r="S81" i="86" s="1"/>
  <c r="U81" i="86" s="1"/>
  <c r="W81" i="86" s="1"/>
  <c r="Y81" i="86" s="1"/>
  <c r="AA81" i="86" s="1"/>
  <c r="K69" i="86"/>
  <c r="M69" i="86" s="1"/>
  <c r="K39" i="86"/>
  <c r="K65" i="86"/>
  <c r="K71" i="65"/>
  <c r="M71" i="65" s="1"/>
  <c r="Q71" i="65" s="1"/>
  <c r="S71" i="65" s="1"/>
  <c r="U71" i="65" s="1"/>
  <c r="K55" i="65"/>
  <c r="M55" i="65" s="1"/>
  <c r="Q55" i="65" s="1"/>
  <c r="S55" i="65" s="1"/>
  <c r="U55" i="65" s="1"/>
  <c r="W55" i="65" s="1"/>
  <c r="Y55" i="65" s="1"/>
  <c r="AA55" i="65" s="1"/>
  <c r="K83" i="65"/>
  <c r="M83" i="65" s="1"/>
  <c r="Q83" i="65" s="1"/>
  <c r="S83" i="65" s="1"/>
  <c r="U83" i="65" s="1"/>
  <c r="K45" i="65"/>
  <c r="M45" i="65" s="1"/>
  <c r="Q45" i="65" s="1"/>
  <c r="S45" i="65" s="1"/>
  <c r="U45" i="65" s="1"/>
  <c r="K81" i="65"/>
  <c r="M81" i="65" s="1"/>
  <c r="Q81" i="65" s="1"/>
  <c r="S81" i="65" s="1"/>
  <c r="U81" i="65" s="1"/>
  <c r="W81" i="65" s="1"/>
  <c r="Y81" i="65" s="1"/>
  <c r="AA81" i="65" s="1"/>
  <c r="K96" i="65"/>
  <c r="M96" i="65" s="1"/>
  <c r="Q96" i="65" s="1"/>
  <c r="S96" i="65" s="1"/>
  <c r="U96" i="65" s="1"/>
  <c r="K93" i="65"/>
  <c r="M93" i="65" s="1"/>
  <c r="Q93" i="65" s="1"/>
  <c r="S93" i="65" s="1"/>
  <c r="U93" i="65" s="1"/>
  <c r="W93" i="65" s="1"/>
  <c r="Y93" i="65" s="1"/>
  <c r="AA93" i="65" s="1"/>
  <c r="K80" i="65"/>
  <c r="M80" i="65" s="1"/>
  <c r="Q80" i="65" s="1"/>
  <c r="S80" i="65" s="1"/>
  <c r="U80" i="65" s="1"/>
  <c r="W80" i="65" s="1"/>
  <c r="Y80" i="65" s="1"/>
  <c r="AA80" i="65" s="1"/>
  <c r="K54" i="65"/>
  <c r="M54" i="65" s="1"/>
  <c r="Q54" i="65" s="1"/>
  <c r="S54" i="65" s="1"/>
  <c r="U54" i="65" s="1"/>
  <c r="W54" i="65" s="1"/>
  <c r="Y54" i="65" s="1"/>
  <c r="AA54" i="65" s="1"/>
  <c r="K58" i="65"/>
  <c r="M58" i="65" s="1"/>
  <c r="Q58" i="65" s="1"/>
  <c r="S58" i="65" s="1"/>
  <c r="U58" i="65" s="1"/>
  <c r="K70" i="65"/>
  <c r="M70" i="65" s="1"/>
  <c r="Q70" i="65" s="1"/>
  <c r="S70" i="65" s="1"/>
  <c r="U70" i="65" s="1"/>
  <c r="K57" i="65"/>
  <c r="M57" i="65" s="1"/>
  <c r="Q57" i="65" s="1"/>
  <c r="S57" i="65" s="1"/>
  <c r="U57" i="65" s="1"/>
  <c r="K42" i="65"/>
  <c r="M42" i="65" s="1"/>
  <c r="Q42" i="65" s="1"/>
  <c r="S42" i="65" s="1"/>
  <c r="U42" i="65" s="1"/>
  <c r="W42" i="65" s="1"/>
  <c r="Y42" i="65" s="1"/>
  <c r="AA42" i="65" s="1"/>
  <c r="K82" i="65"/>
  <c r="M82" i="65" s="1"/>
  <c r="K44" i="65"/>
  <c r="M44" i="65" s="1"/>
  <c r="Q44" i="65" s="1"/>
  <c r="S44" i="65" s="1"/>
  <c r="U44" i="65" s="1"/>
  <c r="K95" i="65"/>
  <c r="M95" i="65" s="1"/>
  <c r="Q95" i="65" s="1"/>
  <c r="S95" i="65" s="1"/>
  <c r="U95" i="65" s="1"/>
  <c r="K94" i="65"/>
  <c r="M94" i="65" s="1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43" i="65"/>
  <c r="M43" i="65" s="1"/>
  <c r="K69" i="65"/>
  <c r="M69" i="65" s="1"/>
  <c r="K84" i="65"/>
  <c r="M84" i="65" s="1"/>
  <c r="Q84" i="65" s="1"/>
  <c r="S84" i="65" s="1"/>
  <c r="U84" i="65" s="1"/>
  <c r="K56" i="65"/>
  <c r="M56" i="65" s="1"/>
  <c r="K65" i="65"/>
  <c r="K91" i="65"/>
  <c r="K68" i="65"/>
  <c r="M68" i="65" s="1"/>
  <c r="Q68" i="65" s="1"/>
  <c r="S68" i="65" s="1"/>
  <c r="U68" i="65" s="1"/>
  <c r="W68" i="65" s="1"/>
  <c r="K52" i="65"/>
  <c r="K78" i="65"/>
  <c r="K39" i="65"/>
  <c r="J44" i="86"/>
  <c r="L44" i="86" s="1"/>
  <c r="J52" i="86"/>
  <c r="L52" i="86" s="1"/>
  <c r="J91" i="86"/>
  <c r="L91" i="86" s="1"/>
  <c r="J80" i="86"/>
  <c r="L80" i="86" s="1"/>
  <c r="J78" i="86"/>
  <c r="L78" i="86" s="1"/>
  <c r="J67" i="86"/>
  <c r="L67" i="86" s="1"/>
  <c r="J39" i="86"/>
  <c r="L39" i="86" s="1"/>
  <c r="J94" i="86"/>
  <c r="L94" i="86" s="1"/>
  <c r="J93" i="86"/>
  <c r="L93" i="86" s="1"/>
  <c r="J96" i="86"/>
  <c r="L96" i="86" s="1"/>
  <c r="J57" i="86"/>
  <c r="L57" i="86" s="1"/>
  <c r="J68" i="86"/>
  <c r="L68" i="86" s="1"/>
  <c r="J82" i="86"/>
  <c r="L82" i="86" s="1"/>
  <c r="J43" i="86"/>
  <c r="L43" i="86" s="1"/>
  <c r="J41" i="86"/>
  <c r="L41" i="86" s="1"/>
  <c r="J65" i="86"/>
  <c r="L65" i="86" s="1"/>
  <c r="J55" i="86"/>
  <c r="L55" i="86" s="1"/>
  <c r="J54" i="86"/>
  <c r="L54" i="86" s="1"/>
  <c r="J56" i="86"/>
  <c r="L56" i="86" s="1"/>
  <c r="J69" i="86"/>
  <c r="L69" i="86" s="1"/>
  <c r="J71" i="86"/>
  <c r="L71" i="86" s="1"/>
  <c r="J70" i="86"/>
  <c r="L70" i="86" s="1"/>
  <c r="J42" i="86"/>
  <c r="L42" i="86" s="1"/>
  <c r="J45" i="86"/>
  <c r="L45" i="86" s="1"/>
  <c r="J58" i="86"/>
  <c r="L58" i="86" s="1"/>
  <c r="J95" i="86"/>
  <c r="L95" i="86" s="1"/>
  <c r="J81" i="86"/>
  <c r="L81" i="86" s="1"/>
  <c r="J84" i="86"/>
  <c r="L84" i="86" s="1"/>
  <c r="J83" i="86"/>
  <c r="L83" i="86" s="1"/>
  <c r="J65" i="65"/>
  <c r="L65" i="65" s="1"/>
  <c r="J70" i="65"/>
  <c r="L70" i="65" s="1"/>
  <c r="J71" i="65"/>
  <c r="L71" i="65" s="1"/>
  <c r="J82" i="65"/>
  <c r="L82" i="65" s="1"/>
  <c r="J93" i="65"/>
  <c r="L93" i="65" s="1"/>
  <c r="J55" i="65"/>
  <c r="L55" i="65" s="1"/>
  <c r="J42" i="65"/>
  <c r="L42" i="65" s="1"/>
  <c r="J84" i="65"/>
  <c r="L84" i="65" s="1"/>
  <c r="J68" i="65"/>
  <c r="L68" i="65" s="1"/>
  <c r="J56" i="65"/>
  <c r="L56" i="65" s="1"/>
  <c r="J80" i="65"/>
  <c r="L80" i="65" s="1"/>
  <c r="J69" i="65"/>
  <c r="L69" i="65" s="1"/>
  <c r="J39" i="65"/>
  <c r="L39" i="65" s="1"/>
  <c r="J95" i="65"/>
  <c r="L95" i="65" s="1"/>
  <c r="J54" i="65"/>
  <c r="L54" i="65" s="1"/>
  <c r="J67" i="65"/>
  <c r="L67" i="65" s="1"/>
  <c r="J96" i="65"/>
  <c r="L96" i="65" s="1"/>
  <c r="J41" i="65"/>
  <c r="L41" i="65" s="1"/>
  <c r="J83" i="65"/>
  <c r="L83" i="65" s="1"/>
  <c r="J91" i="65"/>
  <c r="L91" i="65" s="1"/>
  <c r="J58" i="65"/>
  <c r="L58" i="65" s="1"/>
  <c r="J45" i="65"/>
  <c r="L45" i="65" s="1"/>
  <c r="J57" i="65"/>
  <c r="L57" i="65" s="1"/>
  <c r="J78" i="65"/>
  <c r="L78" i="65" s="1"/>
  <c r="J43" i="65"/>
  <c r="L43" i="65" s="1"/>
  <c r="J44" i="65"/>
  <c r="L44" i="65" s="1"/>
  <c r="J81" i="65"/>
  <c r="L81" i="65" s="1"/>
  <c r="J94" i="65"/>
  <c r="L94" i="65" s="1"/>
  <c r="J52" i="65"/>
  <c r="L52" i="65" s="1"/>
  <c r="Q43" i="66" l="1"/>
  <c r="S43" i="66" s="1"/>
  <c r="U43" i="66" s="1"/>
  <c r="W43" i="66" s="1"/>
  <c r="Y43" i="66" s="1"/>
  <c r="AA43" i="66" s="1"/>
  <c r="F41" i="60"/>
  <c r="Y68" i="87"/>
  <c r="AA68" i="87" s="1"/>
  <c r="Z68" i="87"/>
  <c r="Q56" i="87"/>
  <c r="S56" i="87" s="1"/>
  <c r="U56" i="87" s="1"/>
  <c r="W56" i="87" s="1"/>
  <c r="Y56" i="87" s="1"/>
  <c r="AA56" i="87" s="1"/>
  <c r="N42" i="60"/>
  <c r="D43" i="60"/>
  <c r="M65" i="66"/>
  <c r="Q65" i="66" s="1"/>
  <c r="Z67" i="87"/>
  <c r="Y67" i="87"/>
  <c r="AA67" i="87" s="1"/>
  <c r="F45" i="60"/>
  <c r="Q94" i="66"/>
  <c r="S94" i="66" s="1"/>
  <c r="U94" i="66" s="1"/>
  <c r="W94" i="66" s="1"/>
  <c r="Y94" i="66" s="1"/>
  <c r="AA94" i="66" s="1"/>
  <c r="F44" i="60"/>
  <c r="Q82" i="66"/>
  <c r="S82" i="66" s="1"/>
  <c r="U82" i="66" s="1"/>
  <c r="W82" i="66" s="1"/>
  <c r="Y82" i="66" s="1"/>
  <c r="AA82" i="66" s="1"/>
  <c r="Q43" i="87"/>
  <c r="S43" i="87" s="1"/>
  <c r="U43" i="87" s="1"/>
  <c r="W43" i="87" s="1"/>
  <c r="Y43" i="87" s="1"/>
  <c r="AA43" i="87" s="1"/>
  <c r="N41" i="60"/>
  <c r="M52" i="87"/>
  <c r="Q52" i="87" s="1"/>
  <c r="L42" i="60"/>
  <c r="Q69" i="66"/>
  <c r="S69" i="66" s="1"/>
  <c r="U69" i="66" s="1"/>
  <c r="W69" i="66" s="1"/>
  <c r="F43" i="60"/>
  <c r="M91" i="66"/>
  <c r="Q91" i="66" s="1"/>
  <c r="D45" i="60"/>
  <c r="Q94" i="87"/>
  <c r="S94" i="87" s="1"/>
  <c r="U94" i="87" s="1"/>
  <c r="W94" i="87" s="1"/>
  <c r="Y94" i="87" s="1"/>
  <c r="AA94" i="87" s="1"/>
  <c r="N45" i="60"/>
  <c r="N43" i="60"/>
  <c r="Q69" i="87"/>
  <c r="S69" i="87" s="1"/>
  <c r="U69" i="87" s="1"/>
  <c r="W69" i="87" s="1"/>
  <c r="Z68" i="66"/>
  <c r="Y68" i="66"/>
  <c r="AA68" i="66" s="1"/>
  <c r="Q82" i="87"/>
  <c r="S82" i="87" s="1"/>
  <c r="U82" i="87" s="1"/>
  <c r="W82" i="87" s="1"/>
  <c r="Y82" i="87" s="1"/>
  <c r="AA82" i="87" s="1"/>
  <c r="N44" i="60"/>
  <c r="F42" i="60"/>
  <c r="Q56" i="66"/>
  <c r="S56" i="66" s="1"/>
  <c r="U56" i="66" s="1"/>
  <c r="W56" i="66" s="1"/>
  <c r="Y56" i="66" s="1"/>
  <c r="AA56" i="66" s="1"/>
  <c r="L45" i="60"/>
  <c r="M91" i="87"/>
  <c r="Q91" i="87" s="1"/>
  <c r="Y67" i="66"/>
  <c r="AA67" i="66" s="1"/>
  <c r="Z67" i="66"/>
  <c r="L41" i="60"/>
  <c r="M39" i="87"/>
  <c r="Q39" i="87" s="1"/>
  <c r="L43" i="60"/>
  <c r="M65" i="87"/>
  <c r="Q65" i="87" s="1"/>
  <c r="L44" i="60"/>
  <c r="M78" i="87"/>
  <c r="Q78" i="87" s="1"/>
  <c r="D42" i="60"/>
  <c r="M52" i="66"/>
  <c r="Q52" i="66" s="1"/>
  <c r="M39" i="66"/>
  <c r="Q39" i="66" s="1"/>
  <c r="D41" i="60"/>
  <c r="D44" i="60"/>
  <c r="M78" i="66"/>
  <c r="Q78" i="66" s="1"/>
  <c r="M39" i="65"/>
  <c r="Q39" i="65" s="1"/>
  <c r="D35" i="60"/>
  <c r="F35" i="60"/>
  <c r="Q43" i="65"/>
  <c r="S43" i="65" s="1"/>
  <c r="U43" i="65" s="1"/>
  <c r="W43" i="65" s="1"/>
  <c r="Y43" i="65" s="1"/>
  <c r="AA43" i="65" s="1"/>
  <c r="D39" i="60"/>
  <c r="M91" i="65"/>
  <c r="Q91" i="65" s="1"/>
  <c r="F39" i="60"/>
  <c r="Q94" i="65"/>
  <c r="S94" i="65" s="1"/>
  <c r="U94" i="65" s="1"/>
  <c r="W94" i="65" s="1"/>
  <c r="Y94" i="65" s="1"/>
  <c r="AA94" i="65" s="1"/>
  <c r="L35" i="60"/>
  <c r="M39" i="86"/>
  <c r="Q39" i="86" s="1"/>
  <c r="F37" i="60"/>
  <c r="Q69" i="65"/>
  <c r="S69" i="65" s="1"/>
  <c r="U69" i="65" s="1"/>
  <c r="W69" i="65" s="1"/>
  <c r="Y67" i="86"/>
  <c r="AA67" i="86" s="1"/>
  <c r="Z67" i="86"/>
  <c r="M52" i="86"/>
  <c r="Q52" i="86" s="1"/>
  <c r="L36" i="60"/>
  <c r="D36" i="60"/>
  <c r="M52" i="65"/>
  <c r="Q52" i="65" s="1"/>
  <c r="L38" i="60"/>
  <c r="M78" i="86"/>
  <c r="Q78" i="86" s="1"/>
  <c r="Y68" i="65"/>
  <c r="AA68" i="65" s="1"/>
  <c r="Z68" i="65"/>
  <c r="D37" i="60"/>
  <c r="M65" i="65"/>
  <c r="Q65" i="65" s="1"/>
  <c r="Q69" i="86"/>
  <c r="S69" i="86" s="1"/>
  <c r="U69" i="86" s="1"/>
  <c r="W69" i="86" s="1"/>
  <c r="N37" i="60"/>
  <c r="Q43" i="86"/>
  <c r="S43" i="86" s="1"/>
  <c r="U43" i="86" s="1"/>
  <c r="W43" i="86" s="1"/>
  <c r="Y43" i="86" s="1"/>
  <c r="AA43" i="86" s="1"/>
  <c r="N35" i="60"/>
  <c r="Q82" i="86"/>
  <c r="S82" i="86" s="1"/>
  <c r="U82" i="86" s="1"/>
  <c r="W82" i="86" s="1"/>
  <c r="Y82" i="86" s="1"/>
  <c r="AA82" i="86" s="1"/>
  <c r="N38" i="60"/>
  <c r="Q56" i="65"/>
  <c r="S56" i="65" s="1"/>
  <c r="U56" i="65" s="1"/>
  <c r="W56" i="65" s="1"/>
  <c r="Y56" i="65" s="1"/>
  <c r="AA56" i="65" s="1"/>
  <c r="F36" i="60"/>
  <c r="Y68" i="86"/>
  <c r="AA68" i="86" s="1"/>
  <c r="Z68" i="86"/>
  <c r="D38" i="60"/>
  <c r="M78" i="65"/>
  <c r="Q78" i="65" s="1"/>
  <c r="Y67" i="65"/>
  <c r="AA67" i="65" s="1"/>
  <c r="Z67" i="65"/>
  <c r="N36" i="60"/>
  <c r="Q56" i="86"/>
  <c r="S56" i="86" s="1"/>
  <c r="U56" i="86" s="1"/>
  <c r="W56" i="86" s="1"/>
  <c r="Y56" i="86" s="1"/>
  <c r="AA56" i="86" s="1"/>
  <c r="L37" i="60"/>
  <c r="M65" i="86"/>
  <c r="Q65" i="86" s="1"/>
  <c r="Q94" i="86"/>
  <c r="S94" i="86" s="1"/>
  <c r="U94" i="86" s="1"/>
  <c r="W94" i="86" s="1"/>
  <c r="Y94" i="86" s="1"/>
  <c r="AA94" i="86" s="1"/>
  <c r="N39" i="60"/>
  <c r="F38" i="60"/>
  <c r="Q82" i="65"/>
  <c r="S82" i="65" s="1"/>
  <c r="U82" i="65" s="1"/>
  <c r="W82" i="65" s="1"/>
  <c r="Y82" i="65" s="1"/>
  <c r="AA82" i="65" s="1"/>
  <c r="M91" i="86"/>
  <c r="Q91" i="86" s="1"/>
  <c r="L39" i="60"/>
  <c r="S78" i="66" l="1"/>
  <c r="U78" i="66" s="1"/>
  <c r="Q75" i="66"/>
  <c r="S65" i="87"/>
  <c r="U65" i="87" s="1"/>
  <c r="Q62" i="87"/>
  <c r="S65" i="66"/>
  <c r="U65" i="66" s="1"/>
  <c r="Q62" i="66"/>
  <c r="S39" i="87"/>
  <c r="U39" i="87" s="1"/>
  <c r="Q36" i="87"/>
  <c r="S39" i="66"/>
  <c r="U39" i="66" s="1"/>
  <c r="Q36" i="66"/>
  <c r="S91" i="66"/>
  <c r="U91" i="66" s="1"/>
  <c r="Q88" i="66"/>
  <c r="Q49" i="66"/>
  <c r="S52" i="66"/>
  <c r="U52" i="66" s="1"/>
  <c r="Y69" i="66"/>
  <c r="AA69" i="66" s="1"/>
  <c r="Z69" i="66"/>
  <c r="Y69" i="87"/>
  <c r="AA69" i="87" s="1"/>
  <c r="Z69" i="87"/>
  <c r="S78" i="87"/>
  <c r="U78" i="87" s="1"/>
  <c r="Q75" i="87"/>
  <c r="Q88" i="87"/>
  <c r="S91" i="87"/>
  <c r="U91" i="87" s="1"/>
  <c r="Q49" i="87"/>
  <c r="S52" i="87"/>
  <c r="U52" i="87" s="1"/>
  <c r="Z69" i="65"/>
  <c r="Y69" i="65"/>
  <c r="AA69" i="65" s="1"/>
  <c r="Q36" i="65"/>
  <c r="S39" i="65"/>
  <c r="U39" i="65" s="1"/>
  <c r="S65" i="86"/>
  <c r="U65" i="86" s="1"/>
  <c r="Q62" i="86"/>
  <c r="Q75" i="86"/>
  <c r="S78" i="86"/>
  <c r="U78" i="86" s="1"/>
  <c r="S52" i="65"/>
  <c r="U52" i="65" s="1"/>
  <c r="Q49" i="65"/>
  <c r="S52" i="86"/>
  <c r="U52" i="86" s="1"/>
  <c r="Q49" i="86"/>
  <c r="S39" i="86"/>
  <c r="U39" i="86" s="1"/>
  <c r="Q36" i="86"/>
  <c r="Q62" i="65"/>
  <c r="S65" i="65"/>
  <c r="U65" i="65" s="1"/>
  <c r="S91" i="65"/>
  <c r="U91" i="65" s="1"/>
  <c r="Q88" i="65"/>
  <c r="Q88" i="86"/>
  <c r="S91" i="86"/>
  <c r="U91" i="86" s="1"/>
  <c r="Q75" i="65"/>
  <c r="S78" i="65"/>
  <c r="U78" i="65" s="1"/>
  <c r="Y69" i="86"/>
  <c r="AA69" i="86" s="1"/>
  <c r="Z69" i="86"/>
  <c r="U49" i="87" l="1"/>
  <c r="W52" i="87"/>
  <c r="W39" i="87"/>
  <c r="U36" i="87"/>
  <c r="W52" i="66"/>
  <c r="U49" i="66"/>
  <c r="E43" i="60"/>
  <c r="S62" i="66"/>
  <c r="Q61" i="66"/>
  <c r="S88" i="87"/>
  <c r="M45" i="60"/>
  <c r="Q87" i="87"/>
  <c r="E42" i="60"/>
  <c r="S49" i="66"/>
  <c r="Q48" i="66"/>
  <c r="U62" i="66"/>
  <c r="W65" i="66"/>
  <c r="M41" i="60"/>
  <c r="Q35" i="87"/>
  <c r="Q33" i="87"/>
  <c r="Q12" i="87" s="1"/>
  <c r="Q8" i="87" s="1"/>
  <c r="S36" i="87"/>
  <c r="Q48" i="87"/>
  <c r="S49" i="87"/>
  <c r="M42" i="60"/>
  <c r="U88" i="87"/>
  <c r="W91" i="87"/>
  <c r="Q74" i="87"/>
  <c r="M44" i="60"/>
  <c r="S75" i="87"/>
  <c r="E45" i="60"/>
  <c r="Q87" i="66"/>
  <c r="S88" i="66"/>
  <c r="M43" i="60"/>
  <c r="Q61" i="87"/>
  <c r="S62" i="87"/>
  <c r="U88" i="66"/>
  <c r="W91" i="66"/>
  <c r="U62" i="87"/>
  <c r="W65" i="87"/>
  <c r="Q35" i="66"/>
  <c r="Q33" i="66"/>
  <c r="Q12" i="66" s="1"/>
  <c r="Q8" i="66" s="1"/>
  <c r="E41" i="60"/>
  <c r="S36" i="66"/>
  <c r="S75" i="66"/>
  <c r="Q74" i="66"/>
  <c r="E44" i="60"/>
  <c r="U75" i="87"/>
  <c r="W78" i="87"/>
  <c r="U36" i="66"/>
  <c r="W39" i="66"/>
  <c r="U75" i="66"/>
  <c r="W78" i="66"/>
  <c r="S62" i="86"/>
  <c r="Q61" i="86"/>
  <c r="M37" i="60"/>
  <c r="Q33" i="65"/>
  <c r="Q12" i="65" s="1"/>
  <c r="Q8" i="65" s="1"/>
  <c r="Q35" i="65"/>
  <c r="E35" i="60"/>
  <c r="S36" i="65"/>
  <c r="M36" i="60"/>
  <c r="Q48" i="86"/>
  <c r="S49" i="86"/>
  <c r="E38" i="60"/>
  <c r="S75" i="65"/>
  <c r="Q74" i="65"/>
  <c r="W78" i="86"/>
  <c r="U75" i="86"/>
  <c r="U62" i="86"/>
  <c r="W65" i="86"/>
  <c r="U62" i="65"/>
  <c r="W65" i="65"/>
  <c r="Q61" i="65"/>
  <c r="S62" i="65"/>
  <c r="E37" i="60"/>
  <c r="E39" i="60"/>
  <c r="S88" i="65"/>
  <c r="Q87" i="65"/>
  <c r="M38" i="60"/>
  <c r="S75" i="86"/>
  <c r="Q74" i="86"/>
  <c r="W91" i="86"/>
  <c r="U88" i="86"/>
  <c r="U88" i="65"/>
  <c r="W91" i="65"/>
  <c r="E36" i="60"/>
  <c r="S49" i="65"/>
  <c r="Q48" i="65"/>
  <c r="U75" i="65"/>
  <c r="W78" i="65"/>
  <c r="U49" i="86"/>
  <c r="W52" i="86"/>
  <c r="M35" i="60"/>
  <c r="Q33" i="86"/>
  <c r="Q12" i="86" s="1"/>
  <c r="Q8" i="86" s="1"/>
  <c r="Q35" i="86"/>
  <c r="S36" i="86"/>
  <c r="U49" i="65"/>
  <c r="W52" i="65"/>
  <c r="W39" i="65"/>
  <c r="U36" i="65"/>
  <c r="M39" i="60"/>
  <c r="Q87" i="86"/>
  <c r="S88" i="86"/>
  <c r="U36" i="86"/>
  <c r="W39" i="86"/>
  <c r="Z65" i="87" l="1"/>
  <c r="W62" i="87"/>
  <c r="Y65" i="87"/>
  <c r="AA65" i="87" s="1"/>
  <c r="W75" i="87"/>
  <c r="Y78" i="87"/>
  <c r="AA78" i="87" s="1"/>
  <c r="Y91" i="66"/>
  <c r="AA91" i="66" s="1"/>
  <c r="W88" i="66"/>
  <c r="S34" i="87"/>
  <c r="S33" i="87" s="1"/>
  <c r="S12" i="87" s="1"/>
  <c r="S8" i="87" s="1"/>
  <c r="W49" i="66"/>
  <c r="Y52" i="66"/>
  <c r="AA52" i="66" s="1"/>
  <c r="Y78" i="66"/>
  <c r="AA78" i="66" s="1"/>
  <c r="W75" i="66"/>
  <c r="U34" i="87"/>
  <c r="U33" i="87" s="1"/>
  <c r="U12" i="87" s="1"/>
  <c r="U8" i="87" s="1"/>
  <c r="S34" i="66"/>
  <c r="S33" i="66" s="1"/>
  <c r="S12" i="66" s="1"/>
  <c r="S8" i="66" s="1"/>
  <c r="W36" i="87"/>
  <c r="Y39" i="87"/>
  <c r="AA39" i="87" s="1"/>
  <c r="Y52" i="87"/>
  <c r="AA52" i="87" s="1"/>
  <c r="W49" i="87"/>
  <c r="W36" i="66"/>
  <c r="Y39" i="66"/>
  <c r="AA39" i="66" s="1"/>
  <c r="Y91" i="87"/>
  <c r="AA91" i="87" s="1"/>
  <c r="W88" i="87"/>
  <c r="U34" i="66"/>
  <c r="U33" i="66" s="1"/>
  <c r="U12" i="66" s="1"/>
  <c r="U8" i="66" s="1"/>
  <c r="Z65" i="66"/>
  <c r="W62" i="66"/>
  <c r="Y65" i="66"/>
  <c r="AA65" i="66" s="1"/>
  <c r="S34" i="65"/>
  <c r="S33" i="65" s="1"/>
  <c r="S12" i="65" s="1"/>
  <c r="S8" i="65" s="1"/>
  <c r="Y52" i="65"/>
  <c r="AA52" i="65" s="1"/>
  <c r="W49" i="65"/>
  <c r="Y78" i="86"/>
  <c r="AA78" i="86" s="1"/>
  <c r="W75" i="86"/>
  <c r="W62" i="65"/>
  <c r="Y65" i="65"/>
  <c r="AA65" i="65" s="1"/>
  <c r="Z65" i="65"/>
  <c r="W36" i="86"/>
  <c r="Y39" i="86"/>
  <c r="AA39" i="86" s="1"/>
  <c r="U34" i="86"/>
  <c r="U33" i="86" s="1"/>
  <c r="U12" i="86" s="1"/>
  <c r="U8" i="86" s="1"/>
  <c r="Y91" i="86"/>
  <c r="AA91" i="86" s="1"/>
  <c r="W88" i="86"/>
  <c r="W75" i="65"/>
  <c r="Y78" i="65"/>
  <c r="AA78" i="65" s="1"/>
  <c r="U34" i="65"/>
  <c r="U33" i="65" s="1"/>
  <c r="U12" i="65" s="1"/>
  <c r="U8" i="65" s="1"/>
  <c r="W62" i="86"/>
  <c r="Y65" i="86"/>
  <c r="AA65" i="86" s="1"/>
  <c r="Z65" i="86"/>
  <c r="S34" i="86"/>
  <c r="S33" i="86" s="1"/>
  <c r="S12" i="86" s="1"/>
  <c r="S8" i="86" s="1"/>
  <c r="Y39" i="65"/>
  <c r="AA39" i="65" s="1"/>
  <c r="W36" i="65"/>
  <c r="W49" i="86"/>
  <c r="Y52" i="86"/>
  <c r="AA52" i="86" s="1"/>
  <c r="W88" i="65"/>
  <c r="Y91" i="65"/>
  <c r="AA91" i="65" s="1"/>
  <c r="Y12" i="87" l="1"/>
  <c r="W34" i="87"/>
  <c r="W33" i="87" s="1"/>
  <c r="W12" i="87" s="1"/>
  <c r="W8" i="87" s="1"/>
  <c r="Y12" i="66"/>
  <c r="W34" i="66"/>
  <c r="W33" i="66" s="1"/>
  <c r="W12" i="66" s="1"/>
  <c r="W8" i="66" s="1"/>
  <c r="Y12" i="65"/>
  <c r="W34" i="86"/>
  <c r="W33" i="86" s="1"/>
  <c r="W12" i="86" s="1"/>
  <c r="W8" i="86" s="1"/>
  <c r="W34" i="65"/>
  <c r="W33" i="65" s="1"/>
  <c r="W12" i="65" s="1"/>
  <c r="W8" i="65" s="1"/>
  <c r="Y12" i="86"/>
</calcChain>
</file>

<file path=xl/sharedStrings.xml><?xml version="1.0" encoding="utf-8"?>
<sst xmlns="http://schemas.openxmlformats.org/spreadsheetml/2006/main" count="7045" uniqueCount="630">
  <si>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</si>
  <si>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</si>
  <si>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</si>
  <si>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</si>
  <si>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</si>
  <si>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</si>
  <si>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</si>
  <si>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</si>
  <si>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</si>
  <si>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</si>
  <si>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</si>
  <si>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</si>
  <si>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</si>
  <si>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</si>
  <si>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</si>
  <si>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</si>
  <si>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</si>
  <si>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</si>
  <si>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</si>
  <si>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</si>
  <si>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</si>
  <si>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</si>
  <si>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</si>
  <si>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</si>
  <si>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</si>
  <si>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</si>
  <si>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</si>
  <si>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</si>
  <si>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</si>
  <si>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</si>
  <si>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</si>
  <si>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</si>
  <si>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</si>
  <si>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</si>
  <si>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</si>
  <si>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</si>
  <si>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</si>
  <si>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</si>
  <si>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</si>
  <si>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</si>
  <si>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</si>
  <si>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</si>
  <si>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</si>
  <si>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</si>
  <si>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</si>
  <si>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</si>
  <si>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</si>
  <si>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</si>
  <si>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</si>
  <si>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</si>
  <si>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</si>
  <si>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</si>
  <si>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</si>
  <si>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</si>
  <si>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</si>
  <si>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</si>
  <si>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</si>
  <si>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</si>
  <si>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</si>
  <si>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</si>
  <si>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</si>
  <si>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</si>
  <si>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</si>
  <si>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</si>
  <si>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</si>
  <si>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</si>
  <si>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</si>
  <si>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</si>
  <si>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</si>
  <si>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</si>
  <si>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</si>
  <si>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</si>
  <si>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</si>
  <si>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</si>
  <si>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</si>
  <si>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</si>
  <si>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</si>
  <si>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</si>
  <si>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</si>
  <si>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</si>
  <si>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</si>
  <si>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</si>
  <si>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</si>
  <si>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</si>
  <si>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</si>
  <si>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</si>
  <si>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</si>
  <si>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</si>
  <si>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</si>
  <si>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</si>
  <si>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</si>
  <si>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</si>
  <si>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</si>
  <si>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</si>
  <si>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</si>
  <si>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</si>
  <si>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</si>
  <si>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</si>
  <si>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</si>
  <si>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</si>
  <si>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</si>
  <si>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</si>
  <si>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</si>
  <si>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</si>
  <si>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</si>
  <si>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</si>
  <si>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</si>
  <si>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</si>
  <si>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</si>
  <si>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</si>
  <si>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</si>
  <si>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</si>
  <si>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</si>
  <si>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</si>
  <si>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</si>
  <si>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</si>
  <si>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</si>
  <si>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</si>
  <si>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</si>
  <si>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</si>
  <si>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</si>
  <si>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</si>
  <si>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</si>
  <si>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</si>
  <si>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</si>
  <si>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</si>
  <si>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</si>
  <si>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</si>
  <si>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</si>
  <si>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</si>
  <si>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</si>
  <si>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</si>
  <si>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</si>
  <si>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</si>
  <si>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</si>
  <si>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</si>
  <si>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</si>
  <si>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</si>
  <si>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</si>
  <si>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</si>
  <si>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</si>
  <si>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</si>
  <si>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</si>
  <si>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</si>
  <si>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</si>
  <si>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</si>
  <si>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</si>
  <si>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</si>
  <si>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</si>
  <si>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</si>
  <si>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</si>
  <si>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</si>
  <si>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</si>
  <si>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</si>
  <si>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</si>
  <si>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</si>
  <si>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</si>
  <si>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</si>
  <si>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</si>
  <si>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</si>
  <si>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</si>
  <si>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</si>
  <si>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</si>
  <si>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</si>
  <si>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</si>
  <si>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</si>
  <si>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</si>
  <si>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</si>
  <si>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</si>
  <si>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</si>
  <si>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</si>
  <si>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</si>
  <si>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</si>
  <si>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</si>
  <si>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</si>
  <si>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</si>
  <si>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</si>
  <si>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</si>
  <si>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</si>
  <si>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</si>
  <si>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</si>
  <si>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</si>
  <si>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</si>
  <si>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</si>
  <si>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</si>
  <si>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</si>
  <si>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</si>
  <si>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</si>
  <si>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</si>
  <si>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</si>
  <si>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</si>
  <si>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</si>
  <si>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</si>
  <si>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</si>
  <si>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</si>
  <si>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</si>
  <si>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</si>
  <si>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</si>
  <si>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</si>
  <si>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</si>
  <si>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</si>
  <si>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</si>
  <si>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</si>
  <si>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</si>
  <si>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</si>
  <si>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</si>
  <si>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</si>
  <si>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</si>
  <si>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</si>
  <si>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</si>
  <si>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</si>
  <si>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</si>
  <si>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</si>
  <si>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</si>
  <si>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</si>
  <si>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</si>
  <si>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</si>
  <si>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</si>
  <si>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</si>
  <si>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</si>
  <si>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</si>
  <si>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</si>
  <si>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</si>
  <si>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</si>
  <si>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</si>
  <si>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</si>
  <si>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</si>
  <si>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</si>
  <si>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</si>
  <si>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</si>
  <si>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</si>
  <si>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</si>
  <si>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</si>
  <si>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</si>
  <si>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</si>
  <si>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</si>
  <si>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</si>
  <si>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</si>
  <si>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</si>
  <si>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</si>
  <si>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</si>
  <si>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</si>
  <si>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</si>
  <si>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</si>
  <si>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</si>
  <si>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</si>
  <si>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</si>
  <si>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</si>
  <si>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</si>
  <si>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</si>
  <si>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</si>
  <si>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</si>
  <si>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</si>
  <si>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</si>
  <si>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</si>
  <si>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</si>
  <si>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</si>
  <si>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</si>
  <si>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</si>
  <si>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</si>
  <si>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</si>
  <si>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</si>
  <si>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</si>
  <si>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</si>
  <si>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</si>
  <si>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</si>
  <si>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</si>
  <si>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</si>
  <si>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</si>
  <si>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</si>
  <si>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</si>
  <si>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</si>
  <si>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</si>
  <si>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</si>
  <si>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</si>
  <si>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</si>
  <si>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</si>
  <si>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</si>
  <si>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</si>
  <si>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</si>
  <si>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</si>
  <si>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</si>
  <si>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</si>
  <si>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</si>
  <si>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</si>
  <si>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</si>
  <si>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</si>
  <si>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</si>
  <si>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</si>
  <si>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</si>
  <si>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</si>
  <si>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</si>
  <si>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</si>
  <si>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</si>
  <si>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</si>
  <si>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</si>
  <si>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</si>
  <si>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</si>
  <si>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</si>
  <si>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</si>
  <si>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</si>
  <si>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</si>
  <si>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</si>
  <si>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</si>
  <si>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</si>
  <si>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</si>
  <si>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</si>
  <si>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</si>
  <si>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</si>
  <si>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</si>
  <si>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</si>
  <si>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</si>
  <si>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</si>
  <si>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</si>
  <si>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</si>
  <si>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</si>
  <si>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</si>
  <si>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</si>
  <si>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</si>
  <si>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</si>
  <si>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</si>
  <si>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</si>
  <si>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</si>
  <si>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</si>
  <si>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</si>
  <si>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</si>
  <si>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</si>
  <si>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</si>
  <si>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</si>
  <si>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</si>
  <si>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</si>
  <si>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</si>
  <si>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</si>
  <si>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</si>
  <si>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</si>
  <si>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</si>
  <si>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</si>
  <si>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</si>
  <si>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</si>
  <si>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</si>
  <si>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</si>
  <si>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</si>
  <si>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</si>
  <si>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</si>
  <si>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</si>
  <si>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</si>
  <si>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</si>
  <si>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</si>
  <si>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</si>
  <si>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</si>
  <si>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</si>
  <si>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</si>
  <si>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</si>
  <si>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</si>
  <si>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</si>
  <si>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</si>
  <si>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</si>
  <si>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</si>
  <si>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</si>
  <si>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</si>
  <si>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</si>
  <si>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</si>
  <si>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</si>
  <si>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</si>
  <si>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</si>
  <si>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</si>
  <si>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</si>
  <si>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</si>
  <si>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</si>
  <si>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</si>
  <si>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</si>
  <si>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</si>
  <si>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</si>
  <si>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</si>
  <si>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</si>
  <si>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</si>
  <si>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</si>
  <si>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</si>
  <si>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</si>
  <si>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</si>
  <si>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</si>
  <si>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</si>
  <si>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</si>
  <si>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</si>
  <si>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</si>
  <si>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</si>
  <si>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</si>
  <si>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</si>
  <si>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</si>
  <si>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</si>
  <si>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</si>
  <si>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</si>
  <si>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</si>
  <si>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</si>
  <si>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</si>
  <si>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</si>
  <si>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</si>
  <si>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</si>
  <si>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</si>
  <si>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</si>
  <si>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</si>
  <si>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</si>
  <si>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</si>
  <si>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</si>
  <si>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</si>
  <si>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</si>
  <si>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</si>
  <si>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</si>
  <si>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</si>
  <si>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</si>
  <si>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</si>
  <si>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</si>
  <si>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</si>
  <si>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</si>
  <si>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</si>
  <si>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</si>
  <si>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</si>
  <si>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</si>
  <si>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</si>
  <si>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</si>
  <si>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</si>
  <si>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</si>
  <si>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</si>
  <si>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</si>
  <si>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</si>
  <si>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</si>
  <si>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</si>
  <si>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</si>
  <si>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</si>
  <si>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</si>
  <si>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</si>
  <si>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</si>
  <si>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</si>
  <si>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</si>
  <si>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</si>
  <si>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</si>
  <si>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</si>
  <si>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</si>
  <si>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</si>
  <si>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</si>
  <si>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</si>
  <si>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</si>
  <si>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</si>
  <si>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</si>
  <si>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</si>
  <si>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</si>
  <si>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</si>
  <si>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</si>
  <si>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</si>
  <si>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</si>
  <si>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</si>
  <si>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</si>
  <si>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</si>
  <si>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</si>
  <si>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</si>
  <si>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</si>
  <si>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</si>
  <si>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</si>
  <si>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</si>
  <si>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</si>
  <si>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</si>
  <si>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</si>
  <si>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</si>
  <si>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</si>
  <si>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</si>
  <si>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</si>
  <si>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</si>
  <si>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</si>
  <si>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</si>
  <si>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</si>
  <si>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</si>
  <si>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</si>
  <si>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</si>
  <si>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</si>
  <si>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</si>
  <si>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</si>
  <si>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</si>
  <si>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</si>
  <si>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</si>
  <si>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</si>
  <si>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</si>
  <si>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</si>
  <si>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</si>
  <si>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</si>
  <si>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</si>
  <si>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</si>
  <si>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</si>
  <si>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</si>
  <si>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</si>
  <si>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</si>
  <si>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</si>
  <si>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</si>
  <si>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</si>
  <si>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</si>
  <si>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</si>
  <si>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</si>
  <si>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</si>
  <si>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</si>
  <si>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</si>
  <si>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</si>
  <si>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</si>
  <si>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</si>
  <si>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</si>
  <si>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</si>
  <si>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</si>
  <si>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</si>
  <si>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</si>
  <si>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</si>
  <si>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</si>
  <si>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</si>
  <si>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</si>
  <si>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</si>
  <si>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</si>
  <si>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</si>
  <si>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</si>
  <si>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</si>
  <si>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</si>
  <si>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</si>
  <si>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</si>
  <si>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</si>
  <si>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</si>
  <si>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</si>
  <si>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</si>
  <si>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</si>
  <si>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</si>
  <si>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</si>
  <si>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</si>
  <si>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</si>
  <si>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</si>
  <si>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</si>
  <si>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</si>
  <si>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</si>
  <si>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</si>
  <si>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</si>
  <si>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</si>
  <si>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</si>
  <si>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</si>
  <si>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</si>
  <si>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</si>
  <si>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</si>
  <si>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</si>
  <si>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</si>
  <si>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</si>
  <si>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</si>
  <si>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</si>
  <si>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</si>
  <si>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</si>
  <si>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</si>
  <si>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</si>
  <si>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</si>
  <si>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</si>
  <si>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</si>
  <si>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</si>
  <si>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</si>
  <si>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</si>
  <si>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</si>
  <si>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</si>
  <si>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</si>
  <si>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</si>
  <si>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</si>
  <si>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</si>
  <si>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</si>
  <si>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</si>
  <si>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</si>
  <si>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</si>
  <si>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</si>
  <si>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</si>
  <si>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</si>
  <si>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</si>
  <si>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</si>
  <si>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</si>
  <si>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</si>
  <si>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</si>
  <si>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</si>
  <si>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</si>
  <si>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</si>
  <si>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</si>
  <si>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</si>
  <si>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</si>
  <si>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</si>
  <si>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</si>
  <si>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</si>
  <si>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</si>
  <si>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</si>
  <si>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</si>
  <si>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</si>
  <si>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</si>
  <si>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</si>
  <si>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</si>
  <si>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</si>
  <si>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</si>
  <si>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</si>
  <si>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</si>
  <si>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</si>
  <si>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</si>
  <si>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</si>
  <si>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</si>
  <si>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</si>
  <si>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</si>
  <si>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</si>
  <si>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</si>
  <si>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</si>
  <si>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</si>
  <si>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</si>
  <si>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</si>
  <si>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</si>
  <si>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</si>
  <si>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</si>
  <si>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</si>
  <si>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</si>
  <si>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</si>
  <si>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</si>
  <si>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</si>
  <si>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</si>
  <si>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</si>
  <si>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</si>
  <si>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sz val="20"/>
        <color theme="0"/>
        <rFont val="Calibri"/>
        <family val="2"/>
      </rPr>
      <t>Rota Tecnológica RT 5 -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</si>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</sst>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49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164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71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6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6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8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9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9" fontId="24" fillId="0" borderId="0" xfId="6" applyNumberFormat="1" applyFont="1" applyAlignment="1">
      <alignment horizontal="center" vertical="center"/>
    </xf>
    <xf numFmtId="169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1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8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8" fontId="3" fillId="7" borderId="76" xfId="6" applyNumberFormat="1" applyFill="1" applyBorder="1" applyAlignment="1">
      <alignment horizontal="center"/>
    </xf>
    <xf numFmtId="168" fontId="10" fillId="0" borderId="72" xfId="6" applyNumberFormat="1" applyFont="1" applyBorder="1" applyAlignment="1">
      <alignment horizontal="center" vertical="center"/>
    </xf>
    <xf numFmtId="169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8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9" fontId="3" fillId="10" borderId="73" xfId="6" applyNumberFormat="1" applyFill="1" applyBorder="1" applyAlignment="1">
      <alignment horizontal="center" vertical="center"/>
    </xf>
    <xf numFmtId="168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8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9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9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9" fontId="27" fillId="0" borderId="28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9" fontId="27" fillId="4" borderId="28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9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9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9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9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6" fontId="41" fillId="13" borderId="7" xfId="2" applyNumberFormat="1" applyFont="1" applyFill="1" applyBorder="1" applyAlignment="1">
      <alignment horizontal="center" vertical="center"/>
    </xf>
    <xf numFmtId="169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2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2" fontId="24" fillId="0" borderId="0" xfId="0" applyNumberFormat="1" applyFont="1"/>
    <xf numFmtId="172" fontId="25" fillId="0" borderId="125" xfId="10" applyNumberFormat="1" applyFont="1" applyBorder="1" applyAlignment="1">
      <alignment horizontal="center" vertical="center"/>
    </xf>
    <xf numFmtId="172" fontId="25" fillId="0" borderId="126" xfId="10" applyNumberFormat="1" applyFont="1" applyBorder="1" applyAlignment="1">
      <alignment horizontal="center" vertical="center"/>
    </xf>
    <xf numFmtId="172" fontId="54" fillId="0" borderId="126" xfId="10" applyNumberFormat="1" applyFont="1" applyBorder="1" applyAlignment="1">
      <alignment horizontal="center" vertical="center"/>
    </xf>
    <xf numFmtId="172" fontId="54" fillId="0" borderId="127" xfId="10" applyNumberFormat="1" applyFont="1" applyBorder="1" applyAlignment="1">
      <alignment horizontal="center" vertical="center"/>
    </xf>
    <xf numFmtId="172" fontId="22" fillId="0" borderId="128" xfId="10" applyNumberFormat="1" applyFont="1" applyBorder="1" applyAlignment="1">
      <alignment horizontal="center" vertical="center"/>
    </xf>
    <xf numFmtId="172" fontId="22" fillId="0" borderId="117" xfId="10" applyNumberFormat="1" applyFont="1" applyBorder="1" applyAlignment="1">
      <alignment horizontal="center" vertical="center"/>
    </xf>
    <xf numFmtId="172" fontId="24" fillId="0" borderId="117" xfId="10" applyNumberFormat="1" applyFont="1" applyBorder="1" applyAlignment="1">
      <alignment horizontal="center" vertical="center"/>
    </xf>
    <xf numFmtId="172" fontId="24" fillId="0" borderId="129" xfId="10" applyNumberFormat="1" applyFont="1" applyBorder="1" applyAlignment="1">
      <alignment horizontal="center" vertical="center"/>
    </xf>
    <xf numFmtId="172" fontId="25" fillId="0" borderId="128" xfId="10" applyNumberFormat="1" applyFont="1" applyBorder="1" applyAlignment="1">
      <alignment horizontal="center" vertical="center"/>
    </xf>
    <xf numFmtId="172" fontId="25" fillId="0" borderId="117" xfId="10" applyNumberFormat="1" applyFont="1" applyBorder="1" applyAlignment="1">
      <alignment horizontal="center" vertical="center"/>
    </xf>
    <xf numFmtId="172" fontId="54" fillId="0" borderId="117" xfId="10" applyNumberFormat="1" applyFont="1" applyBorder="1" applyAlignment="1">
      <alignment horizontal="center" vertical="center"/>
    </xf>
    <xf numFmtId="172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2" fontId="25" fillId="0" borderId="131" xfId="10" applyNumberFormat="1" applyFont="1" applyBorder="1" applyAlignment="1">
      <alignment horizontal="center" vertical="center"/>
    </xf>
    <xf numFmtId="172" fontId="25" fillId="0" borderId="132" xfId="10" applyNumberFormat="1" applyFont="1" applyBorder="1" applyAlignment="1">
      <alignment horizontal="center" vertical="center"/>
    </xf>
    <xf numFmtId="172" fontId="54" fillId="0" borderId="132" xfId="10" applyNumberFormat="1" applyFont="1" applyBorder="1" applyAlignment="1">
      <alignment horizontal="center" vertical="center"/>
    </xf>
    <xf numFmtId="172" fontId="54" fillId="0" borderId="130" xfId="10" applyNumberFormat="1" applyFont="1" applyBorder="1" applyAlignment="1">
      <alignment horizontal="center" vertical="center"/>
    </xf>
    <xf numFmtId="172" fontId="14" fillId="6" borderId="127" xfId="0" applyNumberFormat="1" applyFont="1" applyFill="1" applyBorder="1" applyAlignment="1">
      <alignment horizontal="center" vertical="center"/>
    </xf>
    <xf numFmtId="172" fontId="24" fillId="0" borderId="129" xfId="9" applyNumberFormat="1" applyFont="1" applyBorder="1" applyAlignment="1">
      <alignment horizontal="center" vertical="center"/>
    </xf>
    <xf numFmtId="172" fontId="14" fillId="6" borderId="129" xfId="9" applyNumberFormat="1" applyFont="1" applyFill="1" applyBorder="1" applyAlignment="1">
      <alignment horizontal="center" vertical="center"/>
    </xf>
    <xf numFmtId="172" fontId="14" fillId="6" borderId="129" xfId="0" applyNumberFormat="1" applyFont="1" applyFill="1" applyBorder="1" applyAlignment="1">
      <alignment horizontal="center" vertical="center"/>
    </xf>
    <xf numFmtId="172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8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9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7" fontId="0" fillId="0" borderId="135" xfId="0" applyNumberFormat="1" applyBorder="1" applyAlignment="1">
      <alignment horizontal="center" vertical="center"/>
    </xf>
    <xf numFmtId="168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9" fontId="59" fillId="0" borderId="112" xfId="0" applyNumberFormat="1" applyFont="1" applyBorder="1" applyAlignment="1" applyProtection="1">
      <alignment horizontal="right" vertical="center"/>
      <protection locked="0"/>
    </xf>
    <xf numFmtId="4" fontId="59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59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1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8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8" xfId="0" applyNumberFormat="1" applyFont="1" applyFill="1" applyBorder="1" applyAlignment="1">
      <alignment horizontal="center" vertical="center"/>
    </xf>
    <xf numFmtId="0" fontId="71" fillId="9" borderId="15" xfId="0" applyFont="1" applyFill="1" applyBorder="1" applyAlignment="1">
      <alignment horizontal="center" vertical="center"/>
    </xf>
    <xf numFmtId="0" fontId="72" fillId="13" borderId="6" xfId="0" applyFont="1" applyFill="1" applyBorder="1" applyAlignment="1">
      <alignment horizontal="center" vertical="center"/>
    </xf>
    <xf numFmtId="0" fontId="72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1" fillId="6" borderId="27" xfId="4" applyNumberFormat="1" applyFont="1" applyFill="1" applyBorder="1" applyAlignment="1">
      <alignment horizontal="center" vertical="center"/>
    </xf>
    <xf numFmtId="9" fontId="61" fillId="6" borderId="149" xfId="4" applyNumberFormat="1" applyFont="1" applyFill="1" applyBorder="1" applyAlignment="1">
      <alignment horizontal="center" vertical="center"/>
    </xf>
    <xf numFmtId="9" fontId="61" fillId="6" borderId="150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1" fillId="6" borderId="152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1" fillId="6" borderId="144" xfId="0" applyFont="1" applyFill="1" applyBorder="1" applyAlignment="1">
      <alignment horizontal="left" vertical="center"/>
    </xf>
    <xf numFmtId="0" fontId="61" fillId="6" borderId="152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2" fillId="6" borderId="151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62" fillId="6" borderId="143" xfId="0" applyFont="1" applyFill="1" applyBorder="1" applyAlignment="1">
      <alignment horizontal="right" vertical="center"/>
    </xf>
    <xf numFmtId="0" fontId="73" fillId="0" borderId="0" xfId="0" applyFont="1" applyAlignment="1">
      <alignment vertical="center"/>
    </xf>
    <xf numFmtId="1" fontId="62" fillId="6" borderId="25" xfId="0" applyNumberFormat="1" applyFont="1" applyFill="1" applyBorder="1" applyAlignment="1">
      <alignment horizontal="center" vertical="center"/>
    </xf>
    <xf numFmtId="1" fontId="62" fillId="6" borderId="49" xfId="0" applyNumberFormat="1" applyFont="1" applyFill="1" applyBorder="1" applyAlignment="1">
      <alignment horizontal="center" vertical="center"/>
    </xf>
    <xf numFmtId="1" fontId="62" fillId="6" borderId="118" xfId="0" applyNumberFormat="1" applyFont="1" applyFill="1" applyBorder="1" applyAlignment="1">
      <alignment horizontal="center" vertical="center"/>
    </xf>
    <xf numFmtId="1" fontId="62" fillId="6" borderId="143" xfId="0" applyNumberFormat="1" applyFont="1" applyFill="1" applyBorder="1" applyAlignment="1">
      <alignment horizontal="center" vertical="center"/>
    </xf>
    <xf numFmtId="0" fontId="79" fillId="0" borderId="0" xfId="0" applyFont="1" applyAlignment="1">
      <alignment vertical="center"/>
    </xf>
    <xf numFmtId="1" fontId="62" fillId="6" borderId="14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9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6" xfId="0" applyBorder="1"/>
    <xf numFmtId="0" fontId="0" fillId="0" borderId="155" xfId="0" applyBorder="1"/>
    <xf numFmtId="0" fontId="11" fillId="0" borderId="113" xfId="6" applyFont="1" applyBorder="1"/>
    <xf numFmtId="0" fontId="3" fillId="0" borderId="113" xfId="6" applyBorder="1"/>
    <xf numFmtId="169" fontId="59" fillId="0" borderId="113" xfId="0" applyNumberFormat="1" applyFont="1" applyBorder="1" applyAlignment="1" applyProtection="1">
      <alignment horizontal="center" vertical="center"/>
      <protection locked="0"/>
    </xf>
    <xf numFmtId="169" fontId="59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3" xfId="6" applyBorder="1"/>
    <xf numFmtId="0" fontId="3" fillId="0" borderId="165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79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9" fontId="59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4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2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2" fillId="0" borderId="46" xfId="0" applyFont="1" applyBorder="1" applyAlignment="1">
      <alignment horizontal="right" vertical="center"/>
    </xf>
    <xf numFmtId="0" fontId="22" fillId="0" borderId="168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1" xfId="0" applyFont="1" applyFill="1" applyBorder="1" applyAlignment="1">
      <alignment horizontal="left" vertical="center"/>
    </xf>
    <xf numFmtId="3" fontId="24" fillId="0" borderId="172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6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2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4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5" xfId="0" applyBorder="1"/>
    <xf numFmtId="0" fontId="0" fillId="0" borderId="13" xfId="0" applyBorder="1"/>
    <xf numFmtId="0" fontId="45" fillId="0" borderId="157" xfId="6" applyFont="1" applyBorder="1"/>
    <xf numFmtId="0" fontId="85" fillId="0" borderId="160" xfId="0" applyFont="1" applyBorder="1" applyAlignment="1">
      <alignment horizontal="left" vertical="center"/>
    </xf>
    <xf numFmtId="0" fontId="47" fillId="0" borderId="157" xfId="0" applyFont="1" applyBorder="1"/>
    <xf numFmtId="0" fontId="47" fillId="0" borderId="51" xfId="6" applyFont="1" applyBorder="1"/>
    <xf numFmtId="0" fontId="47" fillId="0" borderId="155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6" xfId="4" applyFont="1" applyBorder="1" applyAlignment="1">
      <alignment horizontal="center" vertical="center"/>
    </xf>
    <xf numFmtId="167" fontId="86" fillId="0" borderId="177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9" fontId="47" fillId="0" borderId="176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7" fontId="86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0" fontId="47" fillId="0" borderId="179" xfId="6" applyFont="1" applyBorder="1"/>
    <xf numFmtId="0" fontId="47" fillId="0" borderId="157" xfId="0" applyFont="1" applyBorder="1" applyAlignment="1">
      <alignment horizontal="right"/>
    </xf>
    <xf numFmtId="4" fontId="47" fillId="0" borderId="159" xfId="4" applyNumberFormat="1" applyFont="1" applyBorder="1" applyAlignment="1">
      <alignment horizontal="center" vertical="center"/>
    </xf>
    <xf numFmtId="167" fontId="86" fillId="0" borderId="161" xfId="0" applyNumberFormat="1" applyFont="1" applyBorder="1" applyAlignment="1">
      <alignment vertical="center"/>
    </xf>
    <xf numFmtId="167" fontId="86" fillId="0" borderId="52" xfId="0" applyNumberFormat="1" applyFont="1" applyBorder="1" applyAlignment="1">
      <alignment vertical="center"/>
    </xf>
    <xf numFmtId="167" fontId="24" fillId="0" borderId="47" xfId="0" applyNumberFormat="1" applyFont="1" applyFill="1" applyBorder="1" applyAlignment="1">
      <alignment horizontal="center" vertical="center"/>
    </xf>
    <xf numFmtId="167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0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2" fillId="0" borderId="89" xfId="0" applyFont="1" applyBorder="1" applyAlignment="1">
      <alignment horizontal="right" vertical="center"/>
    </xf>
    <xf numFmtId="0" fontId="84" fillId="0" borderId="89" xfId="0" applyFont="1" applyBorder="1" applyAlignment="1">
      <alignment horizontal="right" vertical="center"/>
    </xf>
    <xf numFmtId="0" fontId="0" fillId="0" borderId="181" xfId="0" applyBorder="1" applyAlignment="1">
      <alignment horizontal="right" vertical="center"/>
    </xf>
    <xf numFmtId="0" fontId="24" fillId="0" borderId="180" xfId="0" applyFont="1" applyBorder="1" applyAlignment="1">
      <alignment horizontal="right" vertical="center"/>
    </xf>
    <xf numFmtId="0" fontId="0" fillId="0" borderId="160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2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6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2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8" fontId="24" fillId="0" borderId="166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69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7" fontId="0" fillId="0" borderId="166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7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7" fontId="10" fillId="0" borderId="47" xfId="0" applyNumberFormat="1" applyFont="1" applyBorder="1" applyAlignment="1">
      <alignment horizontal="center" vertical="center"/>
    </xf>
    <xf numFmtId="165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5" fillId="0" borderId="156" xfId="0" applyFont="1" applyBorder="1" applyAlignment="1">
      <alignment horizontal="left" vertical="center"/>
    </xf>
    <xf numFmtId="0" fontId="89" fillId="0" borderId="167" xfId="0" applyFont="1" applyFill="1" applyBorder="1" applyAlignment="1">
      <alignment horizontal="right" vertical="center"/>
    </xf>
    <xf numFmtId="1" fontId="22" fillId="0" borderId="173" xfId="0" applyNumberFormat="1" applyFont="1" applyFill="1" applyBorder="1" applyAlignment="1">
      <alignment horizontal="center" vertical="center"/>
    </xf>
    <xf numFmtId="0" fontId="22" fillId="0" borderId="170" xfId="0" applyFont="1" applyFill="1" applyBorder="1" applyAlignment="1">
      <alignment horizontal="left" vertical="center"/>
    </xf>
    <xf numFmtId="2" fontId="22" fillId="0" borderId="184" xfId="6" applyNumberFormat="1" applyFont="1" applyBorder="1" applyAlignment="1">
      <alignment horizontal="center"/>
    </xf>
    <xf numFmtId="0" fontId="22" fillId="0" borderId="185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7" xfId="6" applyNumberFormat="1" applyFont="1" applyBorder="1" applyAlignment="1">
      <alignment horizontal="center"/>
    </xf>
    <xf numFmtId="0" fontId="22" fillId="0" borderId="188" xfId="6" applyFont="1" applyBorder="1"/>
    <xf numFmtId="0" fontId="10" fillId="0" borderId="12" xfId="0" applyFont="1" applyBorder="1"/>
    <xf numFmtId="0" fontId="69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69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69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5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4" fillId="0" borderId="0" xfId="0" applyNumberFormat="1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59" fillId="0" borderId="189" xfId="0" applyNumberFormat="1" applyFont="1" applyBorder="1" applyAlignment="1" applyProtection="1">
      <alignment horizontal="center" vertical="center"/>
      <protection locked="0"/>
    </xf>
    <xf numFmtId="3" fontId="10" fillId="0" borderId="164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0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47" fillId="0" borderId="162" xfId="0" applyFont="1" applyBorder="1" applyAlignment="1">
      <alignment horizontal="right" vertical="center"/>
    </xf>
    <xf numFmtId="0" fontId="69" fillId="17" borderId="0" xfId="0" applyFont="1" applyFill="1" applyAlignment="1">
      <alignment vertical="center"/>
    </xf>
    <xf numFmtId="1" fontId="69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2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9" fillId="17" borderId="15" xfId="0" applyNumberFormat="1" applyFont="1" applyFill="1" applyBorder="1" applyAlignment="1">
      <alignment horizontal="center" vertical="center"/>
    </xf>
    <xf numFmtId="1" fontId="69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9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6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0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5" xfId="6" applyNumberFormat="1" applyFont="1" applyFill="1" applyBorder="1" applyAlignment="1">
      <alignment horizontal="center"/>
    </xf>
    <xf numFmtId="0" fontId="3" fillId="0" borderId="196" xfId="6" applyBorder="1"/>
    <xf numFmtId="0" fontId="3" fillId="0" borderId="197" xfId="6" applyBorder="1"/>
    <xf numFmtId="165" fontId="0" fillId="0" borderId="0" xfId="0" applyNumberFormat="1" applyAlignment="1">
      <alignment horizontal="center" vertical="center"/>
    </xf>
    <xf numFmtId="1" fontId="69" fillId="0" borderId="61" xfId="0" applyNumberFormat="1" applyFont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198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7" fontId="86" fillId="0" borderId="179" xfId="0" applyNumberFormat="1" applyFont="1" applyBorder="1" applyAlignment="1">
      <alignment vertical="center"/>
    </xf>
    <xf numFmtId="166" fontId="24" fillId="0" borderId="47" xfId="4" applyNumberFormat="1" applyFont="1" applyFill="1" applyBorder="1" applyAlignment="1">
      <alignment horizontal="center" vertical="center"/>
    </xf>
    <xf numFmtId="166" fontId="47" fillId="0" borderId="176" xfId="4" applyNumberFormat="1" applyFont="1" applyBorder="1" applyAlignment="1">
      <alignment horizontal="center" vertical="center"/>
    </xf>
    <xf numFmtId="166" fontId="47" fillId="0" borderId="37" xfId="4" applyNumberFormat="1" applyFont="1" applyBorder="1" applyAlignment="1">
      <alignment horizontal="center" vertical="center"/>
    </xf>
    <xf numFmtId="167" fontId="0" fillId="0" borderId="182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199" xfId="0" applyBorder="1" applyAlignment="1">
      <alignment horizontal="right" vertical="center"/>
    </xf>
    <xf numFmtId="0" fontId="0" fillId="0" borderId="166" xfId="0" applyBorder="1" applyAlignment="1">
      <alignment horizontal="right" vertical="center"/>
    </xf>
    <xf numFmtId="0" fontId="0" fillId="0" borderId="22" xfId="0" applyBorder="1"/>
    <xf numFmtId="0" fontId="0" fillId="0" borderId="200" xfId="0" applyBorder="1"/>
    <xf numFmtId="0" fontId="47" fillId="0" borderId="162" xfId="6" applyFont="1" applyBorder="1"/>
    <xf numFmtId="0" fontId="47" fillId="0" borderId="162" xfId="0" applyFont="1" applyBorder="1" applyAlignment="1">
      <alignment vertical="center"/>
    </xf>
    <xf numFmtId="0" fontId="47" fillId="0" borderId="162" xfId="0" applyFont="1" applyBorder="1"/>
    <xf numFmtId="0" fontId="47" fillId="0" borderId="201" xfId="0" applyFont="1" applyBorder="1" applyAlignment="1">
      <alignment horizontal="right"/>
    </xf>
    <xf numFmtId="166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9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/>
    <xf numFmtId="0" fontId="101" fillId="0" borderId="0" xfId="5" applyFont="1"/>
    <xf numFmtId="0" fontId="101" fillId="14" borderId="0" xfId="5" applyFont="1" applyFill="1" applyAlignment="1">
      <alignment vertical="top"/>
    </xf>
    <xf numFmtId="0" fontId="101" fillId="0" borderId="0" xfId="5" applyFont="1" applyAlignment="1">
      <alignment vertical="top"/>
    </xf>
    <xf numFmtId="0" fontId="101" fillId="14" borderId="0" xfId="5" applyFont="1" applyFill="1" applyAlignment="1">
      <alignment horizontal="center" vertical="center"/>
    </xf>
    <xf numFmtId="0" fontId="105" fillId="22" borderId="203" xfId="5" applyFont="1" applyFill="1" applyBorder="1" applyAlignment="1">
      <alignment horizontal="left" vertical="center"/>
    </xf>
    <xf numFmtId="0" fontId="105" fillId="22" borderId="204" xfId="5" applyFont="1" applyFill="1" applyBorder="1" applyAlignment="1">
      <alignment horizontal="center" vertical="center"/>
    </xf>
    <xf numFmtId="167" fontId="105" fillId="22" borderId="205" xfId="5" applyNumberFormat="1" applyFont="1" applyFill="1" applyBorder="1" applyAlignment="1">
      <alignment horizontal="center" vertical="center"/>
    </xf>
    <xf numFmtId="0" fontId="105" fillId="22" borderId="203" xfId="5" applyFont="1" applyFill="1" applyBorder="1" applyAlignment="1">
      <alignment horizontal="center" vertical="center"/>
    </xf>
    <xf numFmtId="0" fontId="25" fillId="0" borderId="207" xfId="5" applyFont="1" applyBorder="1" applyAlignment="1">
      <alignment vertical="center"/>
    </xf>
    <xf numFmtId="0" fontId="42" fillId="0" borderId="208" xfId="5" applyFont="1" applyBorder="1" applyAlignment="1">
      <alignment horizontal="center" vertical="center"/>
    </xf>
    <xf numFmtId="167" fontId="42" fillId="0" borderId="209" xfId="5" applyNumberFormat="1" applyFont="1" applyBorder="1" applyAlignment="1">
      <alignment horizontal="center" vertical="center"/>
    </xf>
    <xf numFmtId="10" fontId="101" fillId="14" borderId="0" xfId="5" applyNumberFormat="1" applyFont="1" applyFill="1" applyAlignment="1">
      <alignment vertical="center"/>
    </xf>
    <xf numFmtId="0" fontId="109" fillId="0" borderId="207" xfId="5" applyFont="1" applyBorder="1" applyAlignment="1">
      <alignment vertical="center"/>
    </xf>
    <xf numFmtId="3" fontId="42" fillId="0" borderId="208" xfId="5" applyNumberFormat="1" applyFont="1" applyBorder="1" applyAlignment="1">
      <alignment horizontal="center" vertical="center"/>
    </xf>
    <xf numFmtId="10" fontId="109" fillId="0" borderId="209" xfId="5" applyNumberFormat="1" applyFont="1" applyBorder="1" applyAlignment="1">
      <alignment horizontal="center" vertical="center"/>
    </xf>
    <xf numFmtId="3" fontId="101" fillId="14" borderId="0" xfId="5" applyNumberFormat="1" applyFont="1" applyFill="1" applyAlignment="1">
      <alignment horizontal="center" vertical="center"/>
    </xf>
    <xf numFmtId="3" fontId="101" fillId="14" borderId="0" xfId="5" applyNumberFormat="1" applyFont="1" applyFill="1" applyAlignment="1">
      <alignment vertical="center"/>
    </xf>
    <xf numFmtId="0" fontId="109" fillId="0" borderId="208" xfId="5" applyFont="1" applyBorder="1" applyAlignment="1">
      <alignment horizontal="center" vertical="center"/>
    </xf>
    <xf numFmtId="3" fontId="109" fillId="0" borderId="209" xfId="5" applyNumberFormat="1" applyFont="1" applyBorder="1" applyAlignment="1">
      <alignment horizontal="center" vertical="center"/>
    </xf>
    <xf numFmtId="166" fontId="101" fillId="2" borderId="211" xfId="2" applyNumberFormat="1" applyFont="1" applyFill="1" applyBorder="1" applyAlignment="1" applyProtection="1">
      <alignment horizontal="center" vertical="center"/>
      <protection locked="0"/>
    </xf>
    <xf numFmtId="0" fontId="110" fillId="24" borderId="0" xfId="5" applyFont="1" applyFill="1" applyAlignment="1">
      <alignment horizontal="left" vertical="center"/>
    </xf>
    <xf numFmtId="3" fontId="42" fillId="20" borderId="208" xfId="5" applyNumberFormat="1" applyFont="1" applyFill="1" applyBorder="1" applyAlignment="1" applyProtection="1">
      <alignment horizontal="center" vertical="center"/>
      <protection locked="0"/>
    </xf>
    <xf numFmtId="166" fontId="108" fillId="0" borderId="210" xfId="5" applyNumberFormat="1" applyFont="1" applyBorder="1" applyAlignment="1">
      <alignment horizontal="center" vertical="center" wrapText="1"/>
    </xf>
    <xf numFmtId="166" fontId="111" fillId="0" borderId="210" xfId="5" applyNumberFormat="1" applyFont="1" applyBorder="1" applyAlignment="1">
      <alignment horizontal="center" vertical="center" wrapText="1"/>
    </xf>
    <xf numFmtId="0" fontId="42" fillId="20" borderId="209" xfId="5" applyFont="1" applyFill="1" applyBorder="1" applyAlignment="1" applyProtection="1">
      <alignment horizontal="center" vertical="center"/>
      <protection locked="0"/>
    </xf>
    <xf numFmtId="3" fontId="113" fillId="22" borderId="208" xfId="5" applyNumberFormat="1" applyFont="1" applyFill="1" applyBorder="1" applyAlignment="1">
      <alignment horizontal="center" vertical="center"/>
    </xf>
    <xf numFmtId="0" fontId="114" fillId="14" borderId="0" xfId="5" applyFont="1" applyFill="1" applyAlignment="1">
      <alignment vertical="center"/>
    </xf>
    <xf numFmtId="0" fontId="109" fillId="0" borderId="207" xfId="5" applyFont="1" applyBorder="1" applyAlignment="1">
      <alignment vertical="center" wrapText="1"/>
    </xf>
    <xf numFmtId="3" fontId="108" fillId="0" borderId="208" xfId="5" applyNumberFormat="1" applyFont="1" applyBorder="1" applyAlignment="1">
      <alignment horizontal="center" vertical="center"/>
    </xf>
    <xf numFmtId="169" fontId="108" fillId="0" borderId="208" xfId="5" applyNumberFormat="1" applyFont="1" applyBorder="1" applyAlignment="1">
      <alignment horizontal="center" vertical="center"/>
    </xf>
    <xf numFmtId="166" fontId="108" fillId="0" borderId="208" xfId="2" applyNumberFormat="1" applyFont="1" applyFill="1" applyBorder="1" applyAlignment="1">
      <alignment horizontal="center" vertical="center"/>
    </xf>
    <xf numFmtId="0" fontId="109" fillId="0" borderId="208" xfId="5" applyFont="1" applyBorder="1" applyAlignment="1">
      <alignment horizontal="center" vertical="center" wrapText="1"/>
    </xf>
    <xf numFmtId="167" fontId="109" fillId="0" borderId="209" xfId="5" applyNumberFormat="1" applyFont="1" applyBorder="1" applyAlignment="1">
      <alignment horizontal="center" vertical="center"/>
    </xf>
    <xf numFmtId="0" fontId="42" fillId="0" borderId="212" xfId="5" applyFont="1" applyBorder="1" applyAlignment="1">
      <alignment horizontal="left" vertical="center"/>
    </xf>
    <xf numFmtId="3" fontId="42" fillId="0" borderId="214" xfId="5" applyNumberFormat="1" applyFont="1" applyBorder="1" applyAlignment="1">
      <alignment horizontal="center" vertical="center"/>
    </xf>
    <xf numFmtId="10" fontId="109" fillId="0" borderId="213" xfId="5" applyNumberFormat="1" applyFont="1" applyBorder="1" applyAlignment="1">
      <alignment horizontal="center" vertical="center"/>
    </xf>
    <xf numFmtId="3" fontId="108" fillId="22" borderId="208" xfId="5" applyNumberFormat="1" applyFont="1" applyFill="1" applyBorder="1" applyAlignment="1">
      <alignment horizontal="center" vertical="center"/>
    </xf>
    <xf numFmtId="0" fontId="109" fillId="0" borderId="212" xfId="5" applyFont="1" applyBorder="1" applyAlignment="1">
      <alignment vertical="center"/>
    </xf>
    <xf numFmtId="0" fontId="109" fillId="0" borderId="214" xfId="5" applyFont="1" applyBorder="1" applyAlignment="1">
      <alignment horizontal="center" vertical="center"/>
    </xf>
    <xf numFmtId="167" fontId="109" fillId="0" borderId="213" xfId="5" applyNumberFormat="1" applyFont="1" applyBorder="1" applyAlignment="1">
      <alignment horizontal="center" vertical="center"/>
    </xf>
    <xf numFmtId="166" fontId="111" fillId="0" borderId="208" xfId="5" applyNumberFormat="1" applyFont="1" applyBorder="1" applyAlignment="1">
      <alignment horizontal="center" vertical="center"/>
    </xf>
    <xf numFmtId="0" fontId="108" fillId="14" borderId="0" xfId="5" applyFont="1" applyFill="1" applyAlignment="1">
      <alignment horizontal="right" vertical="center"/>
    </xf>
    <xf numFmtId="3" fontId="108" fillId="14" borderId="0" xfId="5" applyNumberFormat="1" applyFont="1" applyFill="1" applyAlignment="1">
      <alignment horizontal="center" vertical="center"/>
    </xf>
    <xf numFmtId="10" fontId="101" fillId="14" borderId="0" xfId="5" applyNumberFormat="1" applyFont="1" applyFill="1" applyAlignment="1">
      <alignment horizontal="center" vertical="center"/>
    </xf>
    <xf numFmtId="0" fontId="115" fillId="23" borderId="203" xfId="5" applyFont="1" applyFill="1" applyBorder="1" applyAlignment="1">
      <alignment horizontal="left" vertical="center"/>
    </xf>
    <xf numFmtId="0" fontId="115" fillId="22" borderId="204" xfId="5" applyFont="1" applyFill="1" applyBorder="1" applyAlignment="1">
      <alignment horizontal="center" vertical="center"/>
    </xf>
    <xf numFmtId="167" fontId="115" fillId="22" borderId="205" xfId="5" applyNumberFormat="1" applyFont="1" applyFill="1" applyBorder="1" applyAlignment="1">
      <alignment horizontal="center" vertical="center"/>
    </xf>
    <xf numFmtId="0" fontId="117" fillId="23" borderId="215" xfId="5" applyFont="1" applyFill="1" applyBorder="1" applyAlignment="1">
      <alignment horizontal="left" vertical="center"/>
    </xf>
    <xf numFmtId="167" fontId="115" fillId="22" borderId="216" xfId="5" applyNumberFormat="1" applyFont="1" applyFill="1" applyBorder="1" applyAlignment="1">
      <alignment horizontal="center" vertical="center"/>
    </xf>
    <xf numFmtId="169" fontId="108" fillId="14" borderId="0" xfId="5" applyNumberFormat="1" applyFont="1" applyFill="1" applyAlignment="1">
      <alignment horizontal="center" vertical="center"/>
    </xf>
    <xf numFmtId="0" fontId="22" fillId="0" borderId="207" xfId="5" applyFont="1" applyBorder="1" applyAlignment="1">
      <alignment vertical="center" wrapText="1"/>
    </xf>
    <xf numFmtId="9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14" borderId="0" xfId="5" applyFont="1" applyFill="1" applyAlignment="1" applyProtection="1">
      <alignment vertical="center"/>
      <protection locked="0"/>
    </xf>
    <xf numFmtId="0" fontId="54" fillId="0" borderId="207" xfId="5" applyFont="1" applyBorder="1" applyAlignment="1">
      <alignment vertical="center" wrapText="1"/>
    </xf>
    <xf numFmtId="169" fontId="109" fillId="0" borderId="209" xfId="5" applyNumberFormat="1" applyFont="1" applyBorder="1" applyAlignment="1">
      <alignment horizontal="center" vertical="center"/>
    </xf>
    <xf numFmtId="165" fontId="101" fillId="14" borderId="0" xfId="5" applyNumberFormat="1" applyFont="1" applyFill="1" applyAlignment="1">
      <alignment horizontal="center" vertic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25" fillId="0" borderId="208" xfId="5" applyFont="1" applyBorder="1" applyAlignment="1">
      <alignment horizontal="center" vertical="center"/>
    </xf>
    <xf numFmtId="166" fontId="25" fillId="2" borderId="209" xfId="2" applyNumberFormat="1" applyFont="1" applyFill="1" applyBorder="1" applyAlignment="1" applyProtection="1">
      <alignment horizontal="center" vertical="center"/>
      <protection locked="0"/>
    </xf>
    <xf numFmtId="0" fontId="25" fillId="0" borderId="207" xfId="5" applyFont="1" applyBorder="1" applyAlignment="1">
      <alignment vertical="center" wrapText="1"/>
    </xf>
    <xf numFmtId="169" fontId="42" fillId="0" borderId="209" xfId="5" applyNumberFormat="1" applyFont="1" applyBorder="1" applyAlignment="1">
      <alignment horizontal="center" vertical="center"/>
    </xf>
    <xf numFmtId="0" fontId="109" fillId="0" borderId="212" xfId="5" applyFont="1" applyBorder="1" applyAlignment="1">
      <alignment vertical="center" wrapText="1"/>
    </xf>
    <xf numFmtId="166" fontId="42" fillId="20" borderId="209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09" xfId="5" applyNumberFormat="1" applyFont="1" applyBorder="1" applyAlignment="1">
      <alignment horizontal="center" vertical="center"/>
    </xf>
    <xf numFmtId="3" fontId="42" fillId="0" borderId="213" xfId="5" applyNumberFormat="1" applyFont="1" applyBorder="1" applyAlignment="1">
      <alignment horizontal="center" vertical="center"/>
    </xf>
    <xf numFmtId="0" fontId="134" fillId="22" borderId="208" xfId="5" applyFont="1" applyFill="1" applyBorder="1" applyAlignment="1">
      <alignment horizontal="center" vertical="center"/>
    </xf>
    <xf numFmtId="3" fontId="136" fillId="0" borderId="208" xfId="5" applyNumberFormat="1" applyFont="1" applyBorder="1" applyAlignment="1">
      <alignment horizontal="center" vertical="center"/>
    </xf>
    <xf numFmtId="1" fontId="136" fillId="0" borderId="208" xfId="5" applyNumberFormat="1" applyFont="1" applyBorder="1" applyAlignment="1">
      <alignment horizontal="center" vertical="center"/>
    </xf>
    <xf numFmtId="0" fontId="137" fillId="14" borderId="0" xfId="5" applyFont="1" applyFill="1" applyAlignment="1">
      <alignment vertical="center"/>
    </xf>
    <xf numFmtId="0" fontId="101" fillId="0" borderId="223" xfId="5" applyFont="1" applyBorder="1" applyAlignment="1">
      <alignment vertical="center"/>
    </xf>
    <xf numFmtId="3" fontId="108" fillId="0" borderId="206" xfId="5" applyNumberFormat="1" applyFont="1" applyBorder="1" applyAlignment="1">
      <alignment horizontal="center" vertical="center"/>
    </xf>
    <xf numFmtId="3" fontId="101" fillId="0" borderId="223" xfId="5" applyNumberFormat="1" applyFont="1" applyBorder="1" applyAlignment="1">
      <alignment horizontal="center" vertical="center"/>
    </xf>
    <xf numFmtId="0" fontId="101" fillId="0" borderId="0" xfId="5" applyFont="1" applyAlignment="1">
      <alignment horizontal="center" vertical="center"/>
    </xf>
    <xf numFmtId="0" fontId="141" fillId="14" borderId="206" xfId="5" applyFont="1" applyFill="1" applyBorder="1" applyAlignment="1">
      <alignment vertical="center"/>
    </xf>
    <xf numFmtId="0" fontId="101" fillId="14" borderId="206" xfId="5" applyFont="1" applyFill="1" applyBorder="1" applyAlignment="1">
      <alignment vertical="center"/>
    </xf>
    <xf numFmtId="174" fontId="142" fillId="0" borderId="208" xfId="5" applyNumberFormat="1" applyFont="1" applyBorder="1" applyAlignment="1">
      <alignment horizontal="center" vertical="center" wrapText="1"/>
    </xf>
    <xf numFmtId="0" fontId="135" fillId="22" borderId="208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horizontal="center" vertical="center" wrapText="1"/>
    </xf>
    <xf numFmtId="0" fontId="143" fillId="23" borderId="220" xfId="5" applyFont="1" applyFill="1" applyBorder="1" applyAlignment="1">
      <alignment horizontal="center" vertical="center" wrapText="1"/>
    </xf>
    <xf numFmtId="0" fontId="141" fillId="14" borderId="223" xfId="5" applyFont="1" applyFill="1" applyBorder="1" applyAlignment="1">
      <alignment vertical="center"/>
    </xf>
    <xf numFmtId="0" fontId="101" fillId="14" borderId="223" xfId="5" applyFont="1" applyFill="1" applyBorder="1" applyAlignment="1">
      <alignment vertical="center"/>
    </xf>
    <xf numFmtId="0" fontId="142" fillId="0" borderId="210" xfId="5" applyFont="1" applyBorder="1" applyAlignment="1">
      <alignment vertical="center" wrapText="1"/>
    </xf>
    <xf numFmtId="9" fontId="142" fillId="20" borderId="208" xfId="5" applyNumberFormat="1" applyFont="1" applyFill="1" applyBorder="1" applyAlignment="1" applyProtection="1">
      <alignment horizontal="center" vertical="center" wrapText="1"/>
      <protection locked="0"/>
    </xf>
    <xf numFmtId="166" fontId="101" fillId="0" borderId="208" xfId="5" applyNumberFormat="1" applyFont="1" applyBorder="1" applyAlignment="1">
      <alignment horizontal="center" vertical="center"/>
    </xf>
    <xf numFmtId="0" fontId="109" fillId="0" borderId="222" xfId="5" applyFont="1" applyBorder="1" applyAlignment="1">
      <alignment vertical="center"/>
    </xf>
    <xf numFmtId="0" fontId="109" fillId="0" borderId="208" xfId="5" applyFont="1" applyBorder="1" applyAlignment="1">
      <alignment vertical="center"/>
    </xf>
    <xf numFmtId="0" fontId="135" fillId="22" borderId="220" xfId="5" applyFont="1" applyFill="1" applyBorder="1" applyAlignment="1">
      <alignment horizontal="center" vertical="center" wrapText="1"/>
    </xf>
    <xf numFmtId="0" fontId="109" fillId="14" borderId="223" xfId="5" applyFont="1" applyFill="1" applyBorder="1" applyAlignment="1">
      <alignment vertical="center"/>
    </xf>
    <xf numFmtId="0" fontId="39" fillId="0" borderId="208" xfId="5" applyFont="1" applyBorder="1" applyAlignment="1">
      <alignment horizontal="center" vertical="center"/>
    </xf>
    <xf numFmtId="0" fontId="39" fillId="26" borderId="208" xfId="5" applyFont="1" applyFill="1" applyBorder="1" applyAlignment="1">
      <alignment horizontal="center" vertical="center"/>
    </xf>
    <xf numFmtId="0" fontId="145" fillId="0" borderId="221" xfId="5" applyFont="1" applyBorder="1" applyAlignment="1">
      <alignment horizontal="left" vertical="center" wrapText="1"/>
    </xf>
    <xf numFmtId="0" fontId="145" fillId="0" borderId="221" xfId="5" applyFont="1" applyBorder="1" applyAlignment="1">
      <alignment vertical="center" wrapText="1"/>
    </xf>
    <xf numFmtId="0" fontId="101" fillId="0" borderId="221" xfId="5" applyFont="1" applyBorder="1" applyAlignment="1">
      <alignment vertical="center"/>
    </xf>
    <xf numFmtId="0" fontId="101" fillId="0" borderId="221" xfId="5" applyFont="1" applyBorder="1" applyAlignment="1">
      <alignment horizontal="center" vertical="center"/>
    </xf>
    <xf numFmtId="0" fontId="39" fillId="0" borderId="222" xfId="5" applyFont="1" applyBorder="1" applyAlignment="1">
      <alignment horizontal="center" vertical="center" wrapText="1"/>
    </xf>
    <xf numFmtId="0" fontId="39" fillId="20" borderId="208" xfId="5" applyFont="1" applyFill="1" applyBorder="1" applyAlignment="1" applyProtection="1">
      <alignment horizontal="center" vertical="center" wrapText="1"/>
      <protection locked="0"/>
    </xf>
    <xf numFmtId="175" fontId="39" fillId="20" borderId="220" xfId="5" applyNumberFormat="1" applyFont="1" applyFill="1" applyBorder="1" applyAlignment="1" applyProtection="1">
      <alignment horizontal="center" vertical="center" wrapText="1"/>
      <protection locked="0"/>
    </xf>
    <xf numFmtId="176" fontId="141" fillId="0" borderId="208" xfId="5" applyNumberFormat="1" applyFont="1" applyBorder="1" applyAlignment="1">
      <alignment horizontal="center" vertical="center"/>
    </xf>
    <xf numFmtId="176" fontId="141" fillId="26" borderId="208" xfId="5" applyNumberFormat="1" applyFont="1" applyFill="1" applyBorder="1" applyAlignment="1">
      <alignment horizontal="center" vertical="center"/>
    </xf>
    <xf numFmtId="1" fontId="137" fillId="20" borderId="208" xfId="5" applyNumberFormat="1" applyFont="1" applyFill="1" applyBorder="1" applyAlignment="1" applyProtection="1">
      <alignment horizontal="center" vertical="center" wrapText="1"/>
      <protection locked="0"/>
    </xf>
    <xf numFmtId="176" fontId="101" fillId="0" borderId="208" xfId="5" applyNumberFormat="1" applyFont="1" applyBorder="1" applyAlignment="1">
      <alignment horizontal="center" vertical="center"/>
    </xf>
    <xf numFmtId="168" fontId="101" fillId="0" borderId="208" xfId="5" applyNumberFormat="1" applyFont="1" applyBorder="1" applyAlignment="1">
      <alignment horizontal="center" vertical="center"/>
    </xf>
    <xf numFmtId="1" fontId="101" fillId="0" borderId="208" xfId="5" applyNumberFormat="1" applyFont="1" applyBorder="1" applyAlignment="1">
      <alignment horizontal="center" vertical="center"/>
    </xf>
    <xf numFmtId="3" fontId="108" fillId="0" borderId="221" xfId="5" applyNumberFormat="1" applyFont="1" applyBorder="1" applyAlignment="1">
      <alignment horizontal="center" vertical="center"/>
    </xf>
    <xf numFmtId="0" fontId="101" fillId="0" borderId="0" xfId="5" applyFont="1" applyAlignment="1">
      <alignment vertical="center"/>
    </xf>
    <xf numFmtId="176" fontId="109" fillId="0" borderId="208" xfId="5" applyNumberFormat="1" applyFont="1" applyBorder="1" applyAlignment="1">
      <alignment horizontal="center" vertical="center"/>
    </xf>
    <xf numFmtId="176" fontId="109" fillId="26" borderId="208" xfId="5" applyNumberFormat="1" applyFont="1" applyFill="1" applyBorder="1" applyAlignment="1">
      <alignment horizontal="center" vertical="center"/>
    </xf>
    <xf numFmtId="168" fontId="101" fillId="0" borderId="221" xfId="5" applyNumberFormat="1" applyFont="1" applyBorder="1" applyAlignment="1">
      <alignment horizontal="center" vertical="center"/>
    </xf>
    <xf numFmtId="1" fontId="101" fillId="0" borderId="221" xfId="5" applyNumberFormat="1" applyFont="1" applyBorder="1" applyAlignment="1">
      <alignment horizontal="center" vertical="center"/>
    </xf>
    <xf numFmtId="0" fontId="147" fillId="14" borderId="0" xfId="5" applyFont="1" applyFill="1" applyAlignment="1">
      <alignment vertical="center"/>
    </xf>
    <xf numFmtId="0" fontId="148" fillId="14" borderId="0" xfId="5" applyFont="1" applyFill="1" applyAlignment="1">
      <alignment vertical="center"/>
    </xf>
    <xf numFmtId="3" fontId="149" fillId="0" borderId="208" xfId="5" applyNumberFormat="1" applyFont="1" applyBorder="1" applyAlignment="1">
      <alignment horizontal="center" vertical="center"/>
    </xf>
    <xf numFmtId="0" fontId="147" fillId="14" borderId="224" xfId="5" applyFont="1" applyFill="1" applyBorder="1" applyAlignment="1">
      <alignment vertical="center"/>
    </xf>
    <xf numFmtId="0" fontId="147" fillId="14" borderId="0" xfId="5" applyFont="1" applyFill="1" applyAlignment="1">
      <alignment horizontal="center" vertical="center"/>
    </xf>
    <xf numFmtId="0" fontId="147" fillId="14" borderId="0" xfId="5" applyFont="1" applyFill="1"/>
    <xf numFmtId="0" fontId="147" fillId="0" borderId="0" xfId="5" applyFont="1"/>
    <xf numFmtId="174" fontId="142" fillId="0" borderId="210" xfId="5" applyNumberFormat="1" applyFont="1" applyBorder="1" applyAlignment="1">
      <alignment horizontal="center" vertical="center" wrapText="1"/>
    </xf>
    <xf numFmtId="0" fontId="142" fillId="0" borderId="208" xfId="5" applyFont="1" applyBorder="1" applyAlignment="1">
      <alignment vertical="center" wrapText="1"/>
    </xf>
    <xf numFmtId="0" fontId="101" fillId="14" borderId="221" xfId="5" applyFont="1" applyFill="1" applyBorder="1" applyAlignment="1">
      <alignment horizontal="center" vertical="center"/>
    </xf>
    <xf numFmtId="1" fontId="101" fillId="0" borderId="0" xfId="5" applyNumberFormat="1" applyFont="1" applyAlignment="1">
      <alignment horizontal="center" vertical="center"/>
    </xf>
    <xf numFmtId="1" fontId="101" fillId="0" borderId="225" xfId="5" applyNumberFormat="1" applyFont="1" applyBorder="1" applyAlignment="1">
      <alignment horizontal="center" vertical="center"/>
    </xf>
    <xf numFmtId="1" fontId="101" fillId="0" borderId="226" xfId="5" applyNumberFormat="1" applyFont="1" applyBorder="1" applyAlignment="1">
      <alignment horizontal="center" vertical="center"/>
    </xf>
    <xf numFmtId="1" fontId="101" fillId="0" borderId="227" xfId="5" applyNumberFormat="1" applyFont="1" applyBorder="1" applyAlignment="1">
      <alignment horizontal="center" vertical="center"/>
    </xf>
    <xf numFmtId="0" fontId="147" fillId="0" borderId="0" xfId="5" applyFont="1" applyAlignment="1">
      <alignment vertical="center"/>
    </xf>
    <xf numFmtId="0" fontId="39" fillId="0" borderId="222" xfId="5" applyFont="1" applyBorder="1" applyAlignment="1">
      <alignment horizontal="center" vertical="center"/>
    </xf>
    <xf numFmtId="0" fontId="39" fillId="0" borderId="208" xfId="5" applyFont="1" applyBorder="1" applyAlignment="1">
      <alignment horizontal="center" vertical="center" wrapText="1"/>
    </xf>
    <xf numFmtId="175" fontId="39" fillId="0" borderId="220" xfId="5" applyNumberFormat="1" applyFont="1" applyBorder="1" applyAlignment="1">
      <alignment horizontal="center" vertical="center" wrapText="1"/>
    </xf>
    <xf numFmtId="176" fontId="141" fillId="0" borderId="222" xfId="5" applyNumberFormat="1" applyFont="1" applyBorder="1" applyAlignment="1">
      <alignment horizontal="center" vertical="center"/>
    </xf>
    <xf numFmtId="176" fontId="109" fillId="0" borderId="222" xfId="5" applyNumberFormat="1" applyFont="1" applyBorder="1" applyAlignment="1">
      <alignment horizontal="center" vertical="center"/>
    </xf>
    <xf numFmtId="1" fontId="101" fillId="14" borderId="0" xfId="5" applyNumberFormat="1" applyFont="1" applyFill="1" applyAlignment="1">
      <alignment horizontal="center" vertical="center"/>
    </xf>
    <xf numFmtId="0" fontId="101" fillId="0" borderId="208" xfId="5" applyFont="1" applyBorder="1" applyAlignment="1">
      <alignment horizontal="center" vertical="center"/>
    </xf>
    <xf numFmtId="168" fontId="101" fillId="0" borderId="0" xfId="5" applyNumberFormat="1" applyFont="1" applyAlignment="1">
      <alignment horizontal="center" vertical="center"/>
    </xf>
    <xf numFmtId="3" fontId="101" fillId="0" borderId="0" xfId="5" applyNumberFormat="1" applyFont="1" applyAlignment="1">
      <alignment horizontal="center" vertical="center"/>
    </xf>
    <xf numFmtId="0" fontId="151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5" fontId="0" fillId="5" borderId="32" xfId="0" applyNumberFormat="1" applyFill="1" applyBorder="1" applyAlignment="1" applyProtection="1">
      <alignment horizontal="center" vertical="center"/>
      <protection locked="0"/>
    </xf>
    <xf numFmtId="165" fontId="0" fillId="5" borderId="33" xfId="0" applyNumberFormat="1" applyFill="1" applyBorder="1" applyAlignment="1" applyProtection="1">
      <alignment horizontal="center" vertical="center"/>
      <protection locked="0"/>
    </xf>
    <xf numFmtId="165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4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69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59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6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4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5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3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5" fillId="12" borderId="28" xfId="0" applyFont="1" applyFill="1" applyBorder="1" applyAlignment="1">
      <alignment horizontal="center" vertical="center"/>
    </xf>
    <xf numFmtId="0" fontId="155" fillId="12" borderId="37" xfId="0" applyFont="1" applyFill="1" applyBorder="1" applyAlignment="1">
      <alignment horizontal="center" vertical="center"/>
    </xf>
    <xf numFmtId="0" fontId="155" fillId="12" borderId="9" xfId="0" applyFont="1" applyFill="1" applyBorder="1" applyAlignment="1">
      <alignment horizontal="center" vertical="center"/>
    </xf>
    <xf numFmtId="0" fontId="155" fillId="12" borderId="166" xfId="0" applyFont="1" applyFill="1" applyBorder="1" applyAlignment="1">
      <alignment horizontal="right" vertical="center"/>
    </xf>
    <xf numFmtId="0" fontId="155" fillId="12" borderId="47" xfId="0" applyFont="1" applyFill="1" applyBorder="1" applyAlignment="1">
      <alignment horizontal="right" vertical="center"/>
    </xf>
    <xf numFmtId="0" fontId="155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1" xfId="0" applyNumberFormat="1" applyFont="1" applyBorder="1" applyAlignment="1">
      <alignment horizontal="center" vertical="center"/>
    </xf>
    <xf numFmtId="168" fontId="10" fillId="0" borderId="232" xfId="0" applyNumberFormat="1" applyFont="1" applyBorder="1" applyAlignment="1">
      <alignment horizontal="center" vertical="center"/>
    </xf>
    <xf numFmtId="0" fontId="10" fillId="0" borderId="233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8" fontId="11" fillId="0" borderId="0" xfId="0" applyNumberFormat="1" applyFont="1" applyFill="1" applyAlignment="1">
      <alignment horizontal="center" vertical="center"/>
    </xf>
    <xf numFmtId="168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8" fontId="4" fillId="0" borderId="0" xfId="0" applyNumberFormat="1" applyFont="1" applyFill="1" applyBorder="1" applyAlignment="1">
      <alignment horizontal="center" vertical="center"/>
    </xf>
    <xf numFmtId="165" fontId="22" fillId="0" borderId="117" xfId="4" applyNumberFormat="1" applyFont="1" applyFill="1" applyBorder="1" applyAlignment="1">
      <alignment horizontal="center" vertical="center"/>
    </xf>
    <xf numFmtId="168" fontId="22" fillId="2" borderId="117" xfId="0" applyNumberFormat="1" applyFont="1" applyFill="1" applyBorder="1" applyAlignment="1">
      <alignment horizontal="center" vertical="center"/>
    </xf>
    <xf numFmtId="168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8" fontId="43" fillId="0" borderId="0" xfId="0" applyNumberFormat="1" applyFont="1" applyFill="1" applyBorder="1" applyAlignment="1">
      <alignment horizontal="center" vertical="center"/>
    </xf>
    <xf numFmtId="168" fontId="0" fillId="0" borderId="126" xfId="0" applyNumberFormat="1" applyFill="1" applyBorder="1" applyAlignment="1">
      <alignment horizontal="center" vertical="center"/>
    </xf>
    <xf numFmtId="0" fontId="9" fillId="12" borderId="241" xfId="0" applyFont="1" applyFill="1" applyBorder="1" applyAlignment="1">
      <alignment horizontal="center" vertical="center"/>
    </xf>
    <xf numFmtId="0" fontId="9" fillId="12" borderId="242" xfId="0" applyFon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165" fontId="10" fillId="0" borderId="244" xfId="0" applyNumberFormat="1" applyFont="1" applyBorder="1" applyAlignment="1">
      <alignment horizontal="center" vertical="center"/>
    </xf>
    <xf numFmtId="165" fontId="10" fillId="0" borderId="245" xfId="0" applyNumberFormat="1" applyFont="1" applyBorder="1" applyAlignment="1">
      <alignment horizontal="center" vertical="center"/>
    </xf>
    <xf numFmtId="165" fontId="10" fillId="0" borderId="246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5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1" xfId="0" applyFont="1" applyBorder="1" applyAlignment="1">
      <alignment horizontal="right" vertical="center"/>
    </xf>
    <xf numFmtId="1" fontId="0" fillId="0" borderId="192" xfId="0" applyNumberFormat="1" applyBorder="1" applyAlignment="1">
      <alignment horizontal="center" vertical="center"/>
    </xf>
    <xf numFmtId="1" fontId="0" fillId="0" borderId="193" xfId="0" applyNumberFormat="1" applyBorder="1" applyAlignment="1">
      <alignment horizontal="center" vertical="center"/>
    </xf>
    <xf numFmtId="1" fontId="0" fillId="0" borderId="194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5" xfId="0" applyFont="1" applyFill="1" applyBorder="1" applyAlignment="1">
      <alignment horizontal="center" vertical="center"/>
    </xf>
    <xf numFmtId="0" fontId="5" fillId="12" borderId="196" xfId="0" applyFont="1" applyFill="1" applyBorder="1" applyAlignment="1">
      <alignment horizontal="center" vertical="center"/>
    </xf>
    <xf numFmtId="3" fontId="5" fillId="12" borderId="202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2" xfId="0" applyFont="1" applyFill="1" applyBorder="1" applyAlignment="1">
      <alignment horizontal="left"/>
    </xf>
    <xf numFmtId="0" fontId="3" fillId="0" borderId="247" xfId="6" applyBorder="1" applyAlignment="1">
      <alignment vertical="center"/>
    </xf>
    <xf numFmtId="0" fontId="10" fillId="0" borderId="0" xfId="0" applyFont="1" applyAlignment="1">
      <alignment horizontal="right"/>
    </xf>
    <xf numFmtId="166" fontId="0" fillId="0" borderId="236" xfId="4" applyNumberFormat="1" applyFont="1" applyFill="1" applyBorder="1" applyAlignment="1">
      <alignment horizontal="center" vertical="center"/>
    </xf>
    <xf numFmtId="166" fontId="0" fillId="0" borderId="238" xfId="4" applyNumberFormat="1" applyFont="1" applyFill="1" applyBorder="1" applyAlignment="1">
      <alignment horizontal="center" vertical="center"/>
    </xf>
    <xf numFmtId="165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5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5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7" fillId="0" borderId="223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7" fontId="24" fillId="0" borderId="97" xfId="0" applyNumberFormat="1" applyFont="1" applyFill="1" applyBorder="1" applyAlignment="1">
      <alignment horizontal="center" vertical="center"/>
    </xf>
    <xf numFmtId="9" fontId="24" fillId="0" borderId="172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9" fontId="0" fillId="0" borderId="0" xfId="0" applyNumberFormat="1" applyFont="1" applyAlignment="1">
      <alignment horizontal="center"/>
    </xf>
    <xf numFmtId="168" fontId="0" fillId="0" borderId="0" xfId="4" applyNumberFormat="1" applyFont="1" applyAlignment="1">
      <alignment horizont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0" borderId="208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 applyAlignment="1">
      <alignment vertical="center"/>
    </xf>
    <xf numFmtId="0" fontId="101" fillId="0" borderId="208" xfId="5" applyFont="1" applyBorder="1" applyAlignment="1">
      <alignment horizontal="center" vertic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9" fontId="0" fillId="2" borderId="117" xfId="4" applyFont="1" applyFill="1" applyBorder="1" applyAlignment="1">
      <alignment horizontal="center" vertical="center"/>
    </xf>
    <xf numFmtId="168" fontId="90" fillId="0" borderId="0" xfId="0" quotePrefix="1" applyNumberFormat="1" applyFont="1" applyFill="1" applyBorder="1" applyAlignment="1">
      <alignment horizontal="left" vertical="center"/>
    </xf>
    <xf numFmtId="0" fontId="159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1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69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69" fillId="0" borderId="0" xfId="0" applyNumberFormat="1" applyFont="1" applyBorder="1" applyAlignment="1">
      <alignment horizontal="left" vertical="center"/>
    </xf>
    <xf numFmtId="1" fontId="93" fillId="0" borderId="0" xfId="0" applyNumberFormat="1" applyFont="1" applyBorder="1" applyAlignment="1">
      <alignment horizontal="left" vertical="center"/>
    </xf>
    <xf numFmtId="1" fontId="69" fillId="17" borderId="0" xfId="0" applyNumberFormat="1" applyFont="1" applyFill="1" applyBorder="1" applyAlignment="1">
      <alignment horizontal="left" vertical="center"/>
    </xf>
    <xf numFmtId="165" fontId="42" fillId="20" borderId="209" xfId="5" applyNumberFormat="1" applyFont="1" applyFill="1" applyBorder="1" applyAlignment="1" applyProtection="1">
      <alignment horizontal="center" vertical="center"/>
      <protection locked="0"/>
    </xf>
    <xf numFmtId="168" fontId="42" fillId="0" borderId="213" xfId="5" applyNumberFormat="1" applyFont="1" applyBorder="1" applyAlignment="1">
      <alignment horizontal="center" vertical="center"/>
    </xf>
    <xf numFmtId="4" fontId="42" fillId="0" borderId="213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8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1" xfId="0" applyFont="1" applyFill="1" applyBorder="1" applyAlignment="1">
      <alignment horizontal="center" vertical="center"/>
    </xf>
    <xf numFmtId="0" fontId="5" fillId="12" borderId="242" xfId="0" applyFont="1" applyFill="1" applyBorder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3" fontId="4" fillId="0" borderId="244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2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69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2" fillId="6" borderId="151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1" fillId="6" borderId="31" xfId="0" applyFont="1" applyFill="1" applyBorder="1" applyAlignment="1">
      <alignment horizontal="center" vertical="center"/>
    </xf>
    <xf numFmtId="0" fontId="71" fillId="9" borderId="31" xfId="0" applyFont="1" applyFill="1" applyBorder="1" applyAlignment="1">
      <alignment horizontal="center" vertical="center"/>
    </xf>
    <xf numFmtId="0" fontId="72" fillId="13" borderId="31" xfId="0" applyFont="1" applyFill="1" applyBorder="1" applyAlignment="1">
      <alignment horizontal="center" vertical="center"/>
    </xf>
    <xf numFmtId="0" fontId="72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48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0" borderId="208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24" fillId="0" borderId="47" xfId="0" applyFont="1" applyBorder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8" fontId="0" fillId="17" borderId="117" xfId="0" applyNumberFormat="1" applyFill="1" applyBorder="1" applyAlignment="1">
      <alignment horizontal="center" vertical="center"/>
    </xf>
    <xf numFmtId="2" fontId="22" fillId="17" borderId="117" xfId="4" applyNumberFormat="1" applyFont="1" applyFill="1" applyBorder="1" applyAlignment="1">
      <alignment horizontal="center" vertical="center"/>
    </xf>
    <xf numFmtId="168" fontId="0" fillId="17" borderId="240" xfId="0" applyNumberFormat="1" applyFill="1" applyBorder="1" applyAlignment="1">
      <alignment horizontal="center" vertical="center"/>
    </xf>
    <xf numFmtId="0" fontId="47" fillId="0" borderId="157" xfId="0" applyFont="1" applyFill="1" applyBorder="1" applyAlignment="1">
      <alignment horizontal="right" vertical="center"/>
    </xf>
    <xf numFmtId="0" fontId="47" fillId="0" borderId="51" xfId="0" applyFont="1" applyFill="1" applyBorder="1" applyAlignment="1">
      <alignment horizontal="right" vertical="center"/>
    </xf>
    <xf numFmtId="0" fontId="47" fillId="0" borderId="79" xfId="0" applyFont="1" applyFill="1" applyBorder="1" applyAlignment="1">
      <alignment horizontal="right" vertical="center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152" fillId="4" borderId="5" xfId="0" applyFont="1" applyFill="1" applyBorder="1" applyAlignment="1">
      <alignment horizontal="center" vertical="center" wrapText="1"/>
    </xf>
    <xf numFmtId="0" fontId="152" fillId="4" borderId="6" xfId="0" applyFont="1" applyFill="1" applyBorder="1" applyAlignment="1">
      <alignment horizontal="center" vertical="center" wrapText="1"/>
    </xf>
    <xf numFmtId="0" fontId="152" fillId="4" borderId="9" xfId="0" applyFont="1" applyFill="1" applyBorder="1" applyAlignment="1">
      <alignment horizontal="center" vertical="center" wrapText="1"/>
    </xf>
    <xf numFmtId="0" fontId="153" fillId="12" borderId="5" xfId="0" applyFont="1" applyFill="1" applyBorder="1" applyAlignment="1">
      <alignment horizontal="center" vertical="center"/>
    </xf>
    <xf numFmtId="0" fontId="153" fillId="12" borderId="6" xfId="0" applyFont="1" applyFill="1" applyBorder="1" applyAlignment="1">
      <alignment horizontal="center" vertical="center"/>
    </xf>
    <xf numFmtId="0" fontId="152" fillId="8" borderId="5" xfId="0" applyFont="1" applyFill="1" applyBorder="1" applyAlignment="1">
      <alignment horizontal="center" vertical="center" wrapText="1"/>
    </xf>
    <xf numFmtId="0" fontId="152" fillId="8" borderId="6" xfId="0" applyFont="1" applyFill="1" applyBorder="1" applyAlignment="1">
      <alignment horizontal="center" vertical="center" wrapText="1"/>
    </xf>
    <xf numFmtId="0" fontId="152" fillId="8" borderId="9" xfId="0" applyFont="1" applyFill="1" applyBorder="1" applyAlignment="1">
      <alignment horizontal="center" vertical="center" wrapText="1"/>
    </xf>
    <xf numFmtId="0" fontId="157" fillId="12" borderId="2" xfId="0" applyFont="1" applyFill="1" applyBorder="1" applyAlignment="1">
      <alignment horizontal="left" vertical="center" wrapText="1"/>
    </xf>
    <xf numFmtId="0" fontId="157" fillId="12" borderId="3" xfId="0" applyFont="1" applyFill="1" applyBorder="1" applyAlignment="1">
      <alignment horizontal="left" vertical="center" wrapText="1"/>
    </xf>
    <xf numFmtId="0" fontId="157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center" vertical="center"/>
    </xf>
    <xf numFmtId="0" fontId="156" fillId="12" borderId="3" xfId="0" applyFont="1" applyFill="1" applyBorder="1" applyAlignment="1">
      <alignment horizontal="center" vertical="center"/>
    </xf>
    <xf numFmtId="0" fontId="156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4" fillId="12" borderId="11" xfId="0" applyFont="1" applyFill="1" applyBorder="1" applyAlignment="1">
      <alignment horizontal="center" vertical="center" wrapText="1"/>
    </xf>
    <xf numFmtId="0" fontId="154" fillId="12" borderId="12" xfId="0" applyFont="1" applyFill="1" applyBorder="1" applyAlignment="1">
      <alignment horizontal="center" vertical="center" wrapText="1"/>
    </xf>
    <xf numFmtId="0" fontId="154" fillId="12" borderId="17" xfId="0" applyFont="1" applyFill="1" applyBorder="1" applyAlignment="1">
      <alignment horizontal="center" vertical="center" wrapText="1"/>
    </xf>
    <xf numFmtId="0" fontId="154" fillId="12" borderId="15" xfId="0" applyFont="1" applyFill="1" applyBorder="1" applyAlignment="1">
      <alignment horizontal="center" vertical="center" wrapText="1"/>
    </xf>
    <xf numFmtId="0" fontId="154" fillId="12" borderId="0" xfId="0" applyFont="1" applyFill="1" applyBorder="1" applyAlignment="1">
      <alignment horizontal="center" vertical="center" wrapText="1"/>
    </xf>
    <xf numFmtId="0" fontId="154" fillId="12" borderId="18" xfId="0" applyFont="1" applyFill="1" applyBorder="1" applyAlignment="1">
      <alignment horizontal="center" vertical="center" wrapText="1"/>
    </xf>
    <xf numFmtId="0" fontId="154" fillId="12" borderId="35" xfId="0" applyFont="1" applyFill="1" applyBorder="1" applyAlignment="1">
      <alignment horizontal="center" vertical="center" wrapText="1"/>
    </xf>
    <xf numFmtId="0" fontId="154" fillId="12" borderId="36" xfId="0" applyFont="1" applyFill="1" applyBorder="1" applyAlignment="1">
      <alignment horizontal="center" vertical="center" wrapText="1"/>
    </xf>
    <xf numFmtId="0" fontId="154" fillId="12" borderId="40" xfId="0" applyFont="1" applyFill="1" applyBorder="1" applyAlignment="1">
      <alignment horizontal="center" vertical="center" wrapText="1"/>
    </xf>
    <xf numFmtId="0" fontId="5" fillId="12" borderId="195" xfId="0" applyFont="1" applyFill="1" applyBorder="1" applyAlignment="1">
      <alignment horizontal="right" vertical="center"/>
    </xf>
    <xf numFmtId="0" fontId="5" fillId="12" borderId="235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4" xfId="0" applyFont="1" applyFill="1" applyBorder="1" applyAlignment="1">
      <alignment horizontal="right" vertical="center"/>
    </xf>
    <xf numFmtId="0" fontId="9" fillId="12" borderId="229" xfId="0" applyFont="1" applyFill="1" applyBorder="1" applyAlignment="1">
      <alignment horizontal="right" vertical="center"/>
    </xf>
    <xf numFmtId="0" fontId="9" fillId="12" borderId="228" xfId="0" applyFont="1" applyFill="1" applyBorder="1" applyAlignment="1">
      <alignment horizontal="right" vertical="center"/>
    </xf>
    <xf numFmtId="0" fontId="9" fillId="12" borderId="239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left" vertical="center"/>
    </xf>
    <xf numFmtId="0" fontId="156" fillId="12" borderId="3" xfId="0" applyFont="1" applyFill="1" applyBorder="1" applyAlignment="1">
      <alignment horizontal="left" vertical="center"/>
    </xf>
    <xf numFmtId="0" fontId="156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4" xfId="0" applyFont="1" applyFill="1" applyBorder="1" applyAlignment="1">
      <alignment horizontal="right" vertical="center"/>
    </xf>
    <xf numFmtId="0" fontId="68" fillId="6" borderId="0" xfId="0" applyFont="1" applyFill="1" applyAlignment="1">
      <alignment horizontal="left" vertical="center" wrapText="1"/>
    </xf>
    <xf numFmtId="0" fontId="25" fillId="0" borderId="186" xfId="0" applyFont="1" applyBorder="1" applyAlignment="1">
      <alignment horizontal="center" vertical="center"/>
    </xf>
    <xf numFmtId="0" fontId="25" fillId="0" borderId="187" xfId="0" applyFont="1" applyBorder="1" applyAlignment="1">
      <alignment horizontal="center" vertical="center"/>
    </xf>
    <xf numFmtId="0" fontId="25" fillId="0" borderId="183" xfId="0" applyFont="1" applyBorder="1" applyAlignment="1">
      <alignment horizontal="center" vertical="center"/>
    </xf>
    <xf numFmtId="0" fontId="25" fillId="0" borderId="184" xfId="0" applyFont="1" applyBorder="1" applyAlignment="1">
      <alignment horizontal="center" vertical="center"/>
    </xf>
    <xf numFmtId="0" fontId="10" fillId="2" borderId="154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49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4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4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7" fillId="6" borderId="0" xfId="0" applyFont="1" applyFill="1" applyBorder="1" applyAlignment="1">
      <alignment horizontal="left" vertical="center" wrapText="1"/>
    </xf>
    <xf numFmtId="0" fontId="97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5" fillId="6" borderId="153" xfId="0" applyFont="1" applyFill="1" applyBorder="1" applyAlignment="1">
      <alignment horizontal="left" vertical="top" wrapText="1"/>
    </xf>
    <xf numFmtId="0" fontId="75" fillId="6" borderId="21" xfId="0" applyFont="1" applyFill="1" applyBorder="1" applyAlignment="1">
      <alignment horizontal="left" vertical="top" wrapText="1"/>
    </xf>
    <xf numFmtId="0" fontId="76" fillId="6" borderId="104" xfId="0" applyFont="1" applyFill="1" applyBorder="1" applyAlignment="1">
      <alignment horizontal="left" vertical="top" wrapText="1"/>
    </xf>
    <xf numFmtId="0" fontId="76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6" fontId="29" fillId="13" borderId="2" xfId="2" applyNumberFormat="1" applyFont="1" applyFill="1" applyBorder="1" applyAlignment="1">
      <alignment horizontal="center" vertical="center"/>
    </xf>
    <xf numFmtId="166" fontId="29" fillId="13" borderId="3" xfId="2" applyNumberFormat="1" applyFont="1" applyFill="1" applyBorder="1" applyAlignment="1">
      <alignment horizontal="center" vertical="center"/>
    </xf>
    <xf numFmtId="166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3" fontId="42" fillId="20" borderId="207" xfId="5" applyNumberFormat="1" applyFont="1" applyFill="1" applyBorder="1" applyAlignment="1" applyProtection="1">
      <alignment horizontal="center" vertical="center"/>
      <protection locked="0"/>
    </xf>
    <xf numFmtId="3" fontId="42" fillId="20" borderId="212" xfId="5" applyNumberFormat="1" applyFont="1" applyFill="1" applyBorder="1" applyAlignment="1" applyProtection="1">
      <alignment horizontal="center" vertical="center"/>
      <protection locked="0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166" fontId="42" fillId="20" borderId="213" xfId="5" applyNumberFormat="1" applyFont="1" applyFill="1" applyBorder="1" applyAlignment="1" applyProtection="1">
      <alignment horizontal="center" vertical="center"/>
      <protection locked="0"/>
    </xf>
    <xf numFmtId="0" fontId="42" fillId="0" borderId="217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6" xfId="5" applyFont="1" applyBorder="1" applyAlignment="1">
      <alignment horizontal="center" vertical="center"/>
    </xf>
    <xf numFmtId="0" fontId="42" fillId="0" borderId="219" xfId="5" applyFont="1" applyBorder="1" applyAlignment="1">
      <alignment horizontal="center" vertical="center"/>
    </xf>
    <xf numFmtId="9" fontId="42" fillId="20" borderId="218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1" fillId="22" borderId="203" xfId="5" applyFont="1" applyFill="1" applyBorder="1" applyAlignment="1">
      <alignment horizontal="center" vertical="center"/>
    </xf>
    <xf numFmtId="0" fontId="121" fillId="22" borderId="204" xfId="5" applyFont="1" applyFill="1" applyBorder="1" applyAlignment="1">
      <alignment horizontal="center" vertical="center"/>
    </xf>
    <xf numFmtId="0" fontId="121" fillId="22" borderId="205" xfId="5" applyFont="1" applyFill="1" applyBorder="1" applyAlignment="1">
      <alignment horizontal="center" vertical="center"/>
    </xf>
    <xf numFmtId="0" fontId="102" fillId="21" borderId="0" xfId="5" applyFont="1" applyFill="1" applyAlignment="1">
      <alignment horizontal="left" vertical="center"/>
    </xf>
    <xf numFmtId="0" fontId="104" fillId="21" borderId="0" xfId="5" applyFont="1" applyFill="1" applyAlignment="1">
      <alignment horizontal="left" vertical="center" wrapText="1"/>
    </xf>
    <xf numFmtId="3" fontId="105" fillId="22" borderId="203" xfId="5" applyNumberFormat="1" applyFont="1" applyFill="1" applyBorder="1" applyAlignment="1">
      <alignment horizontal="center" vertical="center" wrapText="1"/>
    </xf>
    <xf numFmtId="3" fontId="105" fillId="22" borderId="207" xfId="5" applyNumberFormat="1" applyFont="1" applyFill="1" applyBorder="1" applyAlignment="1">
      <alignment horizontal="center" vertical="center" wrapText="1"/>
    </xf>
    <xf numFmtId="3" fontId="105" fillId="22" borderId="205" xfId="5" applyNumberFormat="1" applyFont="1" applyFill="1" applyBorder="1" applyAlignment="1">
      <alignment horizontal="center" vertical="center" wrapText="1"/>
    </xf>
    <xf numFmtId="3" fontId="105" fillId="22" borderId="209" xfId="5" applyNumberFormat="1" applyFont="1" applyFill="1" applyBorder="1" applyAlignment="1">
      <alignment horizontal="center" vertical="center" wrapText="1"/>
    </xf>
    <xf numFmtId="3" fontId="108" fillId="23" borderId="206" xfId="5" applyNumberFormat="1" applyFont="1" applyFill="1" applyBorder="1" applyAlignment="1">
      <alignment horizontal="left" vertical="center" wrapText="1"/>
    </xf>
    <xf numFmtId="3" fontId="108" fillId="23" borderId="210" xfId="5" applyNumberFormat="1" applyFont="1" applyFill="1" applyBorder="1" applyAlignment="1">
      <alignment horizontal="left" vertical="center" wrapText="1"/>
    </xf>
    <xf numFmtId="0" fontId="122" fillId="22" borderId="220" xfId="5" applyFont="1" applyFill="1" applyBorder="1" applyAlignment="1">
      <alignment horizontal="center" vertical="center"/>
    </xf>
    <xf numFmtId="0" fontId="124" fillId="23" borderId="221" xfId="5" applyFont="1" applyFill="1" applyBorder="1" applyAlignment="1">
      <alignment vertical="center"/>
    </xf>
    <xf numFmtId="0" fontId="124" fillId="23" borderId="222" xfId="5" applyFont="1" applyFill="1" applyBorder="1" applyAlignment="1">
      <alignment vertical="center"/>
    </xf>
    <xf numFmtId="0" fontId="125" fillId="22" borderId="220" xfId="5" applyFont="1" applyFill="1" applyBorder="1" applyAlignment="1">
      <alignment horizontal="center" vertical="center"/>
    </xf>
    <xf numFmtId="0" fontId="126" fillId="23" borderId="221" xfId="5" applyFont="1" applyFill="1" applyBorder="1" applyAlignment="1">
      <alignment vertical="center"/>
    </xf>
    <xf numFmtId="0" fontId="126" fillId="23" borderId="222" xfId="5" applyFont="1" applyFill="1" applyBorder="1" applyAlignment="1">
      <alignment vertical="center"/>
    </xf>
    <xf numFmtId="0" fontId="127" fillId="21" borderId="221" xfId="5" applyFont="1" applyFill="1" applyBorder="1" applyAlignment="1">
      <alignment horizontal="center" vertical="center"/>
    </xf>
    <xf numFmtId="0" fontId="129" fillId="25" borderId="221" xfId="5" applyFont="1" applyFill="1" applyBorder="1" applyAlignment="1">
      <alignment vertical="center"/>
    </xf>
    <xf numFmtId="0" fontId="130" fillId="21" borderId="222" xfId="5" applyFont="1" applyFill="1" applyBorder="1" applyAlignment="1">
      <alignment horizontal="left" vertical="center" wrapText="1"/>
    </xf>
    <xf numFmtId="0" fontId="133" fillId="25" borderId="208" xfId="5" applyFont="1" applyFill="1" applyBorder="1" applyAlignment="1">
      <alignment horizontal="left" vertical="center"/>
    </xf>
    <xf numFmtId="0" fontId="133" fillId="25" borderId="222" xfId="5" applyFont="1" applyFill="1" applyBorder="1" applyAlignment="1">
      <alignment horizontal="left" vertical="center"/>
    </xf>
    <xf numFmtId="0" fontId="135" fillId="22" borderId="208" xfId="5" applyFont="1" applyFill="1" applyBorder="1" applyAlignment="1">
      <alignment horizontal="center" vertical="center" wrapText="1"/>
    </xf>
    <xf numFmtId="0" fontId="138" fillId="23" borderId="208" xfId="5" applyFont="1" applyFill="1" applyBorder="1" applyAlignment="1">
      <alignment horizontal="center" vertical="center"/>
    </xf>
    <xf numFmtId="0" fontId="138" fillId="23" borderId="206" xfId="5" applyFont="1" applyFill="1" applyBorder="1" applyAlignment="1">
      <alignment horizontal="center" vertical="center"/>
    </xf>
    <xf numFmtId="3" fontId="101" fillId="0" borderId="208" xfId="5" applyNumberFormat="1" applyFont="1" applyBorder="1" applyAlignment="1">
      <alignment horizontal="center" vertical="center"/>
    </xf>
    <xf numFmtId="0" fontId="101" fillId="0" borderId="208" xfId="5" applyFont="1" applyBorder="1" applyAlignment="1">
      <alignment horizontal="center" vertical="center"/>
    </xf>
    <xf numFmtId="0" fontId="143" fillId="23" borderId="222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vertical="center"/>
    </xf>
    <xf numFmtId="0" fontId="143" fillId="23" borderId="208" xfId="5" applyFont="1" applyFill="1" applyBorder="1" applyAlignment="1">
      <alignment horizontal="center" vertical="center"/>
    </xf>
    <xf numFmtId="2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08" xfId="5" applyFont="1" applyBorder="1" applyAlignment="1" applyProtection="1">
      <alignment vertical="center"/>
      <protection locked="0"/>
    </xf>
    <xf numFmtId="0" fontId="146" fillId="0" borderId="208" xfId="5" applyFont="1" applyBorder="1" applyAlignment="1" applyProtection="1">
      <alignment horizontal="center" vertical="center"/>
      <protection locked="0"/>
    </xf>
    <xf numFmtId="2" fontId="136" fillId="20" borderId="220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20" xfId="5" applyFont="1" applyBorder="1" applyAlignment="1" applyProtection="1">
      <alignment vertical="center"/>
      <protection locked="0"/>
    </xf>
    <xf numFmtId="166" fontId="101" fillId="2" borderId="206" xfId="2" applyNumberFormat="1" applyFont="1" applyFill="1" applyBorder="1" applyAlignment="1" applyProtection="1">
      <alignment horizontal="center" vertical="center"/>
      <protection locked="0"/>
    </xf>
    <xf numFmtId="166" fontId="101" fillId="2" borderId="210" xfId="2" applyNumberFormat="1" applyFont="1" applyFill="1" applyBorder="1" applyAlignment="1" applyProtection="1">
      <alignment horizontal="center" vertical="center"/>
      <protection locked="0"/>
    </xf>
    <xf numFmtId="0" fontId="139" fillId="22" borderId="208" xfId="5" applyFont="1" applyFill="1" applyBorder="1" applyAlignment="1">
      <alignment horizontal="center" vertical="center" wrapText="1"/>
    </xf>
    <xf numFmtId="0" fontId="140" fillId="23" borderId="208" xfId="5" applyFont="1" applyFill="1" applyBorder="1" applyAlignment="1">
      <alignment horizontal="center" vertical="center"/>
    </xf>
    <xf numFmtId="0" fontId="125" fillId="22" borderId="208" xfId="5" applyFont="1" applyFill="1" applyBorder="1" applyAlignment="1">
      <alignment horizontal="center" vertical="center" wrapText="1"/>
    </xf>
    <xf numFmtId="0" fontId="126" fillId="23" borderId="208" xfId="5" applyFont="1" applyFill="1" applyBorder="1" applyAlignment="1">
      <alignment horizontal="center" vertical="center"/>
    </xf>
    <xf numFmtId="0" fontId="126" fillId="23" borderId="206" xfId="5" applyFont="1" applyFill="1" applyBorder="1" applyAlignment="1">
      <alignment horizontal="center" vertical="center"/>
    </xf>
    <xf numFmtId="0" fontId="126" fillId="23" borderId="208" xfId="5" applyFont="1" applyFill="1" applyBorder="1" applyAlignment="1">
      <alignment vertical="center"/>
    </xf>
    <xf numFmtId="0" fontId="126" fillId="23" borderId="220" xfId="5" applyFont="1" applyFill="1" applyBorder="1" applyAlignment="1">
      <alignment vertical="center"/>
    </xf>
    <xf numFmtId="0" fontId="125" fillId="22" borderId="222" xfId="5" applyFont="1" applyFill="1" applyBorder="1" applyAlignment="1">
      <alignment horizontal="center" vertical="center" wrapText="1"/>
    </xf>
    <xf numFmtId="0" fontId="126" fillId="23" borderId="220" xfId="5" applyFont="1" applyFill="1" applyBorder="1" applyAlignment="1">
      <alignment horizontal="center" vertical="center"/>
    </xf>
    <xf numFmtId="0" fontId="126" fillId="23" borderId="222" xfId="5" applyFont="1" applyFill="1" applyBorder="1" applyAlignment="1">
      <alignment horizontal="center" vertical="center"/>
    </xf>
    <xf numFmtId="0" fontId="122" fillId="22" borderId="222" xfId="5" applyFont="1" applyFill="1" applyBorder="1" applyAlignment="1">
      <alignment horizontal="left" vertical="center" wrapText="1"/>
    </xf>
    <xf numFmtId="0" fontId="124" fillId="23" borderId="208" xfId="5" applyFont="1" applyFill="1" applyBorder="1" applyAlignment="1">
      <alignment horizontal="left" vertical="center"/>
    </xf>
    <xf numFmtId="0" fontId="101" fillId="0" borderId="208" xfId="5" applyFont="1" applyBorder="1" applyAlignment="1">
      <alignment vertical="center"/>
    </xf>
    <xf numFmtId="0" fontId="101" fillId="14" borderId="0" xfId="5" applyFont="1" applyFill="1" applyAlignment="1">
      <alignment horizontal="left" vertical="center"/>
    </xf>
    <xf numFmtId="0" fontId="101" fillId="14" borderId="0" xfId="5" applyFont="1" applyFill="1" applyAlignment="1">
      <alignment vertical="center"/>
    </xf>
    <xf numFmtId="3" fontId="101" fillId="0" borderId="210" xfId="5" applyNumberFormat="1" applyFont="1" applyBorder="1" applyAlignment="1">
      <alignment horizontal="center" vertical="center"/>
    </xf>
    <xf numFmtId="3" fontId="101" fillId="0" borderId="206" xfId="5" applyNumberFormat="1" applyFont="1" applyBorder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167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167" fontId="146" fillId="0" borderId="208" xfId="5" applyNumberFormat="1" applyFont="1" applyBorder="1" applyAlignment="1" applyProtection="1">
      <alignment vertical="center"/>
      <protection locked="0"/>
    </xf>
    <xf numFmtId="2" fontId="136" fillId="0" borderId="206" xfId="5" applyNumberFormat="1" applyFont="1" applyBorder="1" applyAlignment="1">
      <alignment horizontal="center" vertical="center" wrapText="1"/>
    </xf>
    <xf numFmtId="2" fontId="136" fillId="0" borderId="223" xfId="5" applyNumberFormat="1" applyFont="1" applyBorder="1" applyAlignment="1">
      <alignment horizontal="center" vertical="center" wrapText="1"/>
    </xf>
    <xf numFmtId="2" fontId="136" fillId="0" borderId="210" xfId="5" applyNumberFormat="1" applyFont="1" applyBorder="1" applyAlignment="1">
      <alignment horizontal="center" vertical="center" wrapText="1"/>
    </xf>
    <xf numFmtId="0" fontId="88" fillId="0" borderId="88" xfId="0" applyFont="1" applyBorder="1" applyAlignment="1">
      <alignment horizontal="right" vertical="center"/>
    </xf>
    <xf numFmtId="0" fontId="88" fillId="0" borderId="15" xfId="0" applyFont="1" applyBorder="1" applyAlignment="1">
      <alignment horizontal="right" vertical="center"/>
    </xf>
    <xf numFmtId="0" fontId="88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5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0" fillId="0" borderId="0" xfId="0" applyFont="1" applyAlignment="1">
      <alignment horizontal="left" vertical="top" wrapText="1"/>
    </xf>
    <xf numFmtId="0" fontId="92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 wrapText="1"/>
    </xf>
    <xf numFmtId="0" fontId="92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57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worksheet" Target="worksheets/sheet34.xml"/><Relationship Id="rId50" Type="http://schemas.openxmlformats.org/officeDocument/2006/relationships/worksheet" Target="worksheets/sheet37.xml"/><Relationship Id="rId55" Type="http://schemas.openxmlformats.org/officeDocument/2006/relationships/externalLink" Target="externalLinks/externalLink4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3" Type="http://schemas.openxmlformats.org/officeDocument/2006/relationships/externalLink" Target="externalLinks/externalLink2.xml"/><Relationship Id="rId58" Type="http://schemas.openxmlformats.org/officeDocument/2006/relationships/styles" Target="styles.xml"/><Relationship Id="rId5" Type="http://schemas.openxmlformats.org/officeDocument/2006/relationships/chartsheet" Target="chartsheets/sheet2.xml"/><Relationship Id="rId61" Type="http://schemas.microsoft.com/office/2006/relationships/vbaProject" Target="vbaProject.bin"/><Relationship Id="rId19" Type="http://schemas.openxmlformats.org/officeDocument/2006/relationships/worksheet" Target="worksheets/sheet11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worksheet" Target="worksheets/sheet35.xml"/><Relationship Id="rId56" Type="http://schemas.openxmlformats.org/officeDocument/2006/relationships/externalLink" Target="externalLinks/externalLink5.xml"/><Relationship Id="rId8" Type="http://schemas.openxmlformats.org/officeDocument/2006/relationships/chartsheet" Target="chartsheets/sheet5.xml"/><Relationship Id="rId51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chartsheet" Target="chartsheets/sheet13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54" Type="http://schemas.openxmlformats.org/officeDocument/2006/relationships/externalLink" Target="externalLinks/externalLink3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worksheet" Target="worksheets/sheet36.xml"/><Relationship Id="rId57" Type="http://schemas.openxmlformats.org/officeDocument/2006/relationships/theme" Target="theme/theme1.xml"/><Relationship Id="rId10" Type="http://schemas.openxmlformats.org/officeDocument/2006/relationships/worksheet" Target="worksheets/sheet4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52" Type="http://schemas.openxmlformats.org/officeDocument/2006/relationships/externalLink" Target="externalLinks/externalLink1.xml"/><Relationship Id="rId6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9.5517468313533112</c:v>
                </c:pt>
                <c:pt idx="1">
                  <c:v>8.8126556013385589</c:v>
                </c:pt>
                <c:pt idx="2">
                  <c:v>9.1041235644923191</c:v>
                </c:pt>
                <c:pt idx="3">
                  <c:v>9.8996400988042677</c:v>
                </c:pt>
                <c:pt idx="4">
                  <c:v>10.646099680032089</c:v>
                </c:pt>
                <c:pt idx="5">
                  <c:v>10.229671483117729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89.917776948603702</c:v>
                </c:pt>
                <c:pt idx="1">
                  <c:v>97.965325642565276</c:v>
                </c:pt>
                <c:pt idx="2">
                  <c:v>93.177075491002668</c:v>
                </c:pt>
                <c:pt idx="3">
                  <c:v>76.481187179286323</c:v>
                </c:pt>
                <c:pt idx="4">
                  <c:v>65.882004182929961</c:v>
                </c:pt>
                <c:pt idx="5">
                  <c:v>131.05002508493726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171.38890804925455</c:v>
                </c:pt>
                <c:pt idx="1">
                  <c:v>172.27947207889159</c:v>
                </c:pt>
                <c:pt idx="2">
                  <c:v>169.27840816301537</c:v>
                </c:pt>
                <c:pt idx="3">
                  <c:v>169.50928339649735</c:v>
                </c:pt>
                <c:pt idx="4">
                  <c:v>126.913523310405</c:v>
                </c:pt>
                <c:pt idx="5">
                  <c:v>130.02199791437505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104.78458210162638</c:v>
                </c:pt>
                <c:pt idx="1">
                  <c:v>152.06889329024713</c:v>
                </c:pt>
                <c:pt idx="2">
                  <c:v>116.56889329024713</c:v>
                </c:pt>
                <c:pt idx="3">
                  <c:v>102.86153302407891</c:v>
                </c:pt>
                <c:pt idx="4">
                  <c:v>95.384274238632713</c:v>
                </c:pt>
                <c:pt idx="5">
                  <c:v>92.660608102209721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16.784486900483252</c:v>
                </c:pt>
                <c:pt idx="1">
                  <c:v>16.942442751887093</c:v>
                </c:pt>
                <c:pt idx="2">
                  <c:v>14.791766212248021</c:v>
                </c:pt>
                <c:pt idx="3">
                  <c:v>17.622808465194492</c:v>
                </c:pt>
                <c:pt idx="4">
                  <c:v>16.782712143519269</c:v>
                </c:pt>
                <c:pt idx="5">
                  <c:v>16.373474022095028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488.08747016690063</c:v>
                </c:pt>
                <c:pt idx="1">
                  <c:v>492.68077542352671</c:v>
                </c:pt>
                <c:pt idx="2">
                  <c:v>430.13979471892645</c:v>
                </c:pt>
                <c:pt idx="3">
                  <c:v>512.46559111467218</c:v>
                </c:pt>
                <c:pt idx="4">
                  <c:v>488.03586080631396</c:v>
                </c:pt>
                <c:pt idx="5">
                  <c:v>476.13534811467707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102.33949684076066</c:v>
                </c:pt>
                <c:pt idx="1">
                  <c:v>102.33949684076066</c:v>
                </c:pt>
                <c:pt idx="2">
                  <c:v>102.33949684076066</c:v>
                </c:pt>
                <c:pt idx="3">
                  <c:v>90.388236363619555</c:v>
                </c:pt>
                <c:pt idx="4">
                  <c:v>113.19582424256106</c:v>
                </c:pt>
                <c:pt idx="5">
                  <c:v>215.57870149623446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13.314839779403641</c:v>
                </c:pt>
                <c:pt idx="1">
                  <c:v>13.314839779403641</c:v>
                </c:pt>
                <c:pt idx="2">
                  <c:v>13.314839779403641</c:v>
                </c:pt>
                <c:pt idx="3">
                  <c:v>13.878248705188518</c:v>
                </c:pt>
                <c:pt idx="4">
                  <c:v>12.029706899706493</c:v>
                </c:pt>
                <c:pt idx="5">
                  <c:v>6.3291622974414841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3047.1018800703523</c:v>
                </c:pt>
                <c:pt idx="1">
                  <c:v>4422.1144117893837</c:v>
                </c:pt>
                <c:pt idx="2">
                  <c:v>3389.7858518721832</c:v>
                </c:pt>
                <c:pt idx="3">
                  <c:v>2991.1802326090938</c:v>
                </c:pt>
                <c:pt idx="4">
                  <c:v>2773.7439567187303</c:v>
                </c:pt>
                <c:pt idx="5">
                  <c:v>2694.5406231889056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300.05849807869942</c:v>
                </c:pt>
                <c:pt idx="1">
                  <c:v>300.05849807869942</c:v>
                </c:pt>
                <c:pt idx="2">
                  <c:v>300.05849807869942</c:v>
                </c:pt>
                <c:pt idx="3">
                  <c:v>267.44890097890908</c:v>
                </c:pt>
                <c:pt idx="4">
                  <c:v>330.90986027933826</c:v>
                </c:pt>
                <c:pt idx="5">
                  <c:v>617.3653331946125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733.34849807869932</c:v>
                </c:pt>
                <c:pt idx="1">
                  <c:v>733.34849807869932</c:v>
                </c:pt>
                <c:pt idx="2">
                  <c:v>733.34849807869932</c:v>
                </c:pt>
                <c:pt idx="3">
                  <c:v>700.73890097890899</c:v>
                </c:pt>
                <c:pt idx="4">
                  <c:v>764.19986027933828</c:v>
                </c:pt>
                <c:pt idx="5">
                  <c:v>1050.6553331946125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138.64026876101201</c:v>
                </c:pt>
                <c:pt idx="1">
                  <c:v>94.38567813118965</c:v>
                </c:pt>
                <c:pt idx="2">
                  <c:v>111.83791523975384</c:v>
                </c:pt>
                <c:pt idx="3">
                  <c:v>159.47108572741826</c:v>
                </c:pt>
                <c:pt idx="4">
                  <c:v>204.16687137256309</c:v>
                </c:pt>
                <c:pt idx="5">
                  <c:v>179.23238611180273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571.93026876101192</c:v>
                </c:pt>
                <c:pt idx="1">
                  <c:v>527.67567813118956</c:v>
                </c:pt>
                <c:pt idx="2">
                  <c:v>545.12791523975375</c:v>
                </c:pt>
                <c:pt idx="3">
                  <c:v>592.76108572741816</c:v>
                </c:pt>
                <c:pt idx="4">
                  <c:v>637.45687137256311</c:v>
                </c:pt>
                <c:pt idx="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487.90725212708833</c:v>
                </c:pt>
                <c:pt idx="1">
                  <c:v>446.32487454902406</c:v>
                </c:pt>
                <c:pt idx="2">
                  <c:v>454.7721643452283</c:v>
                </c:pt>
                <c:pt idx="3">
                  <c:v>447.82180122857483</c:v>
                </c:pt>
                <c:pt idx="4">
                  <c:v>459.13623403460957</c:v>
                </c:pt>
                <c:pt idx="5">
                  <c:v>816.94312676217658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438.13294708280978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1.7138890804925455</c:v>
                </c:pt>
                <c:pt idx="1">
                  <c:v>1.7227947207889158</c:v>
                </c:pt>
                <c:pt idx="2">
                  <c:v>1.6927840816301536</c:v>
                </c:pt>
                <c:pt idx="3">
                  <c:v>1.6950928339649736</c:v>
                </c:pt>
                <c:pt idx="4">
                  <c:v>1.26913523310405</c:v>
                </c:pt>
                <c:pt idx="5">
                  <c:v>1.3002199791437505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0.899177769486037</c:v>
                </c:pt>
                <c:pt idx="1">
                  <c:v>0.97965325642565271</c:v>
                </c:pt>
                <c:pt idx="2">
                  <c:v>0.9317707549100267</c:v>
                </c:pt>
                <c:pt idx="3">
                  <c:v>0.76481187179286325</c:v>
                </c:pt>
                <c:pt idx="4">
                  <c:v>0.65882004182929965</c:v>
                </c:pt>
                <c:pt idx="5">
                  <c:v>1.3105002508493726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10.485505219974332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10.116334425957875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30.11449029771325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305.01625442740948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100.11218185342608</c:v>
                </c:pt>
                <c:pt idx="1">
                  <c:v>100.11218185342608</c:v>
                </c:pt>
                <c:pt idx="2">
                  <c:v>100.11218185342608</c:v>
                </c:pt>
                <c:pt idx="3">
                  <c:v>96.644778295140455</c:v>
                </c:pt>
                <c:pt idx="4">
                  <c:v>108.30876620887024</c:v>
                </c:pt>
                <c:pt idx="5">
                  <c:v>151.0391659491757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236.23150880860379</c:v>
                </c:pt>
                <c:pt idx="1">
                  <c:v>236.23150880860379</c:v>
                </c:pt>
                <c:pt idx="2">
                  <c:v>236.23150880860379</c:v>
                </c:pt>
                <c:pt idx="3">
                  <c:v>237.33287694768146</c:v>
                </c:pt>
                <c:pt idx="4">
                  <c:v>227.75105459221021</c:v>
                </c:pt>
                <c:pt idx="5">
                  <c:v>232.16052361139015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110.96356594737087</c:v>
                </c:pt>
                <c:pt idx="1">
                  <c:v>109.98118388699419</c:v>
                </c:pt>
                <c:pt idx="2">
                  <c:v>118.42847368319842</c:v>
                </c:pt>
                <c:pt idx="3">
                  <c:v>113.84414598575293</c:v>
                </c:pt>
                <c:pt idx="4">
                  <c:v>123.07641323352914</c:v>
                </c:pt>
                <c:pt idx="5">
                  <c:v>118.61084834824341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438.13294708280978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1.7138890804925455</c:v>
                </c:pt>
                <c:pt idx="1">
                  <c:v>1.7227947207889158</c:v>
                </c:pt>
                <c:pt idx="2">
                  <c:v>1.6927840816301536</c:v>
                </c:pt>
                <c:pt idx="3">
                  <c:v>1.6950928339649736</c:v>
                </c:pt>
                <c:pt idx="4">
                  <c:v>1.26913523310405</c:v>
                </c:pt>
                <c:pt idx="5">
                  <c:v>1.3002199791437505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0.899177769486037</c:v>
                </c:pt>
                <c:pt idx="1">
                  <c:v>0.97965325642565271</c:v>
                </c:pt>
                <c:pt idx="2">
                  <c:v>0.9317707549100267</c:v>
                </c:pt>
                <c:pt idx="3">
                  <c:v>0.76481187179286325</c:v>
                </c:pt>
                <c:pt idx="4">
                  <c:v>0.65882004182929965</c:v>
                </c:pt>
                <c:pt idx="5">
                  <c:v>1.3105002508493726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2.5957170506291103</c:v>
                </c:pt>
                <c:pt idx="2">
                  <c:v>3.6404931635073274</c:v>
                </c:pt>
                <c:pt idx="3">
                  <c:v>1.8202465817536637</c:v>
                </c:pt>
                <c:pt idx="4">
                  <c:v>3.5042180183492988</c:v>
                </c:pt>
                <c:pt idx="5">
                  <c:v>2.7255029031605655</c:v>
                </c:pt>
                <c:pt idx="7">
                  <c:v>2.3948666992125083</c:v>
                </c:pt>
                <c:pt idx="8">
                  <c:v>3.358800545645543</c:v>
                </c:pt>
                <c:pt idx="9">
                  <c:v>1.6794002728227715</c:v>
                </c:pt>
                <c:pt idx="10">
                  <c:v>3.2330700439368862</c:v>
                </c:pt>
                <c:pt idx="11">
                  <c:v>2.5146100341731334</c:v>
                </c:pt>
                <c:pt idx="13">
                  <c:v>2.4740740290369274</c:v>
                </c:pt>
                <c:pt idx="14">
                  <c:v>3.4698888257242908</c:v>
                </c:pt>
                <c:pt idx="15">
                  <c:v>1.7349444128621454</c:v>
                </c:pt>
                <c:pt idx="16">
                  <c:v>3.3399999391998523</c:v>
                </c:pt>
                <c:pt idx="17">
                  <c:v>2.5977777304887737</c:v>
                </c:pt>
                <c:pt idx="19">
                  <c:v>2.6902581332253681</c:v>
                </c:pt>
                <c:pt idx="20">
                  <c:v>3.7730870318485787</c:v>
                </c:pt>
                <c:pt idx="21">
                  <c:v>1.8865435159242894</c:v>
                </c:pt>
                <c:pt idx="22">
                  <c:v>3.6318484798542467</c:v>
                </c:pt>
                <c:pt idx="23">
                  <c:v>2.8247710398866364</c:v>
                </c:pt>
                <c:pt idx="25">
                  <c:v>2.8931108571102198</c:v>
                </c:pt>
                <c:pt idx="26">
                  <c:v>4.0575879770970831</c:v>
                </c:pt>
                <c:pt idx="27">
                  <c:v>2.0287939885485415</c:v>
                </c:pt>
                <c:pt idx="28">
                  <c:v>3.905699657098797</c:v>
                </c:pt>
                <c:pt idx="29">
                  <c:v>3.0377663999657303</c:v>
                </c:pt>
                <c:pt idx="31">
                  <c:v>2.7799451932606272</c:v>
                </c:pt>
                <c:pt idx="32">
                  <c:v>3.89887313354803</c:v>
                </c:pt>
                <c:pt idx="33">
                  <c:v>1.949436566774015</c:v>
                </c:pt>
                <c:pt idx="34">
                  <c:v>3.752926010901847</c:v>
                </c:pt>
                <c:pt idx="35">
                  <c:v>2.9189424529236585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15.489130338050893</c:v>
                </c:pt>
                <c:pt idx="2">
                  <c:v>12.378231406071336</c:v>
                </c:pt>
                <c:pt idx="3">
                  <c:v>4.3489315390548997</c:v>
                </c:pt>
                <c:pt idx="4">
                  <c:v>17.189990801672707</c:v>
                </c:pt>
                <c:pt idx="5">
                  <c:v>37.335739546197303</c:v>
                </c:pt>
                <c:pt idx="7">
                  <c:v>14.290618631707138</c:v>
                </c:pt>
                <c:pt idx="8">
                  <c:v>11.420433587845007</c:v>
                </c:pt>
                <c:pt idx="9">
                  <c:v>4.0124216611025947</c:v>
                </c:pt>
                <c:pt idx="10">
                  <c:v>15.8598705974974</c:v>
                </c:pt>
                <c:pt idx="11">
                  <c:v>34.446789686876166</c:v>
                </c:pt>
                <c:pt idx="13">
                  <c:v>14.763263620143793</c:v>
                </c:pt>
                <c:pt idx="14">
                  <c:v>11.798150665053422</c:v>
                </c:pt>
                <c:pt idx="15">
                  <c:v>4.1451276718421903</c:v>
                </c:pt>
                <c:pt idx="16">
                  <c:v>16.384416703467167</c:v>
                </c:pt>
                <c:pt idx="17">
                  <c:v>35.58607574109287</c:v>
                </c:pt>
                <c:pt idx="19">
                  <c:v>15.749107394167959</c:v>
                </c:pt>
                <c:pt idx="20">
                  <c:v>12.829070759872769</c:v>
                </c:pt>
                <c:pt idx="21">
                  <c:v>4.4219261097055602</c:v>
                </c:pt>
                <c:pt idx="22">
                  <c:v>17.478515922564721</c:v>
                </c:pt>
                <c:pt idx="23">
                  <c:v>37.962400659076494</c:v>
                </c:pt>
                <c:pt idx="25">
                  <c:v>17.263734942662392</c:v>
                </c:pt>
                <c:pt idx="26">
                  <c:v>13.796417319078836</c:v>
                </c:pt>
                <c:pt idx="27">
                  <c:v>4.8471928207349748</c:v>
                </c:pt>
                <c:pt idx="28">
                  <c:v>19.159464630357423</c:v>
                </c:pt>
                <c:pt idx="29">
                  <c:v>41.613331242387694</c:v>
                </c:pt>
                <c:pt idx="31">
                  <c:v>16.588454207909898</c:v>
                </c:pt>
                <c:pt idx="32">
                  <c:v>13.256762669889534</c:v>
                </c:pt>
                <c:pt idx="33">
                  <c:v>4.6575921381281029</c:v>
                </c:pt>
                <c:pt idx="34">
                  <c:v>18.410031359050674</c:v>
                </c:pt>
                <c:pt idx="35">
                  <c:v>39.985602307126094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22.712524193004711</c:v>
                </c:pt>
                <c:pt idx="2">
                  <c:v>40.95554808945743</c:v>
                </c:pt>
                <c:pt idx="3">
                  <c:v>20.477774044728715</c:v>
                </c:pt>
                <c:pt idx="4">
                  <c:v>33.095392395521152</c:v>
                </c:pt>
                <c:pt idx="5">
                  <c:v>44.776119123352146</c:v>
                </c:pt>
                <c:pt idx="7">
                  <c:v>20.955083618109448</c:v>
                </c:pt>
                <c:pt idx="8">
                  <c:v>37.786506138512351</c:v>
                </c:pt>
                <c:pt idx="9">
                  <c:v>18.893253069256176</c:v>
                </c:pt>
                <c:pt idx="10">
                  <c:v>30.534550414959476</c:v>
                </c:pt>
                <c:pt idx="11">
                  <c:v>41.311450561415768</c:v>
                </c:pt>
                <c:pt idx="13">
                  <c:v>21.648147754073115</c:v>
                </c:pt>
                <c:pt idx="14">
                  <c:v>39.036249289398263</c:v>
                </c:pt>
                <c:pt idx="15">
                  <c:v>19.518124644699132</c:v>
                </c:pt>
                <c:pt idx="16">
                  <c:v>31.544443870220821</c:v>
                </c:pt>
                <c:pt idx="17">
                  <c:v>42.677777000886998</c:v>
                </c:pt>
                <c:pt idx="19">
                  <c:v>23.539758665721973</c:v>
                </c:pt>
                <c:pt idx="20">
                  <c:v>42.447229108296511</c:v>
                </c:pt>
                <c:pt idx="21">
                  <c:v>21.223614554148256</c:v>
                </c:pt>
                <c:pt idx="22">
                  <c:v>34.300791198623443</c:v>
                </c:pt>
                <c:pt idx="23">
                  <c:v>46.406952798137596</c:v>
                </c:pt>
                <c:pt idx="25">
                  <c:v>25.314719999714423</c:v>
                </c:pt>
                <c:pt idx="26">
                  <c:v>45.647864742342186</c:v>
                </c:pt>
                <c:pt idx="27">
                  <c:v>22.823932371171093</c:v>
                </c:pt>
                <c:pt idx="28">
                  <c:v>36.887163428155304</c:v>
                </c:pt>
                <c:pt idx="29">
                  <c:v>49.906162285151289</c:v>
                </c:pt>
                <c:pt idx="31">
                  <c:v>24.324520441030486</c:v>
                </c:pt>
                <c:pt idx="32">
                  <c:v>43.862322752415331</c:v>
                </c:pt>
                <c:pt idx="33">
                  <c:v>21.931161376207665</c:v>
                </c:pt>
                <c:pt idx="34">
                  <c:v>35.444301214072993</c:v>
                </c:pt>
                <c:pt idx="35">
                  <c:v>47.954054583745815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0.62922165372775107</c:v>
                </c:pt>
                <c:pt idx="2">
                  <c:v>0.88248336935317095</c:v>
                </c:pt>
                <c:pt idx="3">
                  <c:v>0.44124168467658548</c:v>
                </c:pt>
                <c:pt idx="4">
                  <c:v>0.83057258292063141</c:v>
                </c:pt>
                <c:pt idx="5">
                  <c:v>0.66068273641413855</c:v>
                </c:pt>
                <c:pt idx="7">
                  <c:v>0.42837130231114862</c:v>
                </c:pt>
                <c:pt idx="8">
                  <c:v>0.60079075149138594</c:v>
                </c:pt>
                <c:pt idx="9">
                  <c:v>0.30039537574569297</c:v>
                </c:pt>
                <c:pt idx="10">
                  <c:v>0.57830125812005062</c:v>
                </c:pt>
                <c:pt idx="11">
                  <c:v>0.44978986742670601</c:v>
                </c:pt>
                <c:pt idx="13">
                  <c:v>0.50757863213556764</c:v>
                </c:pt>
                <c:pt idx="14">
                  <c:v>0.71187903157013366</c:v>
                </c:pt>
                <c:pt idx="15">
                  <c:v>0.35593951578506683</c:v>
                </c:pt>
                <c:pt idx="16">
                  <c:v>0.68523115338301632</c:v>
                </c:pt>
                <c:pt idx="17">
                  <c:v>0.53295756374234593</c:v>
                </c:pt>
                <c:pt idx="19">
                  <c:v>0.72376273632400911</c:v>
                </c:pt>
                <c:pt idx="20">
                  <c:v>1.0150772376944228</c:v>
                </c:pt>
                <c:pt idx="21">
                  <c:v>0.50753861884721141</c:v>
                </c:pt>
                <c:pt idx="22">
                  <c:v>0.97707969403741246</c:v>
                </c:pt>
                <c:pt idx="23">
                  <c:v>0.75995087314020959</c:v>
                </c:pt>
                <c:pt idx="25">
                  <c:v>0.92661546020886087</c:v>
                </c:pt>
                <c:pt idx="26">
                  <c:v>1.2995781829429276</c:v>
                </c:pt>
                <c:pt idx="27">
                  <c:v>0.6497890914714638</c:v>
                </c:pt>
                <c:pt idx="28">
                  <c:v>1.2509308712819622</c:v>
                </c:pt>
                <c:pt idx="29">
                  <c:v>0.97294623321930396</c:v>
                </c:pt>
                <c:pt idx="31">
                  <c:v>0.81344979635926762</c:v>
                </c:pt>
                <c:pt idx="32">
                  <c:v>1.1408633393938727</c:v>
                </c:pt>
                <c:pt idx="33">
                  <c:v>0.57043166969693637</c:v>
                </c:pt>
                <c:pt idx="34">
                  <c:v>1.0981572250850111</c:v>
                </c:pt>
                <c:pt idx="35">
                  <c:v>0.85412228617723107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3.7546835868535653</c:v>
                </c:pt>
                <c:pt idx="2">
                  <c:v>3.0005779072358054</c:v>
                </c:pt>
                <c:pt idx="3">
                  <c:v>1.0542142466143145</c:v>
                </c:pt>
                <c:pt idx="4">
                  <c:v>4.1445691425397158</c:v>
                </c:pt>
                <c:pt idx="5">
                  <c:v>9.0504686459231429</c:v>
                </c:pt>
                <c:pt idx="7">
                  <c:v>2.5561718805098073</c:v>
                </c:pt>
                <c:pt idx="8">
                  <c:v>2.0427800890094727</c:v>
                </c:pt>
                <c:pt idx="9">
                  <c:v>0.71770436866200815</c:v>
                </c:pt>
                <c:pt idx="10">
                  <c:v>2.8368649597784561</c:v>
                </c:pt>
                <c:pt idx="11">
                  <c:v>6.1615187866019969</c:v>
                </c:pt>
                <c:pt idx="13">
                  <c:v>3.0288168689464579</c:v>
                </c:pt>
                <c:pt idx="14">
                  <c:v>2.4204971662178876</c:v>
                </c:pt>
                <c:pt idx="15">
                  <c:v>0.85041037940160435</c:v>
                </c:pt>
                <c:pt idx="16">
                  <c:v>3.3614110657482201</c:v>
                </c:pt>
                <c:pt idx="17">
                  <c:v>7.3008048408186994</c:v>
                </c:pt>
                <c:pt idx="19">
                  <c:v>4.3188279531584239</c:v>
                </c:pt>
                <c:pt idx="20">
                  <c:v>3.4514172610372373</c:v>
                </c:pt>
                <c:pt idx="21">
                  <c:v>1.2126108236755977</c:v>
                </c:pt>
                <c:pt idx="22">
                  <c:v>4.7930781889296492</c:v>
                </c:pt>
                <c:pt idx="23">
                  <c:v>10.410309170672916</c:v>
                </c:pt>
                <c:pt idx="25">
                  <c:v>5.5292881914650618</c:v>
                </c:pt>
                <c:pt idx="26">
                  <c:v>4.4187638202433037</c:v>
                </c:pt>
                <c:pt idx="27">
                  <c:v>1.5524755282943905</c:v>
                </c:pt>
                <c:pt idx="28">
                  <c:v>6.1364589926384827</c:v>
                </c:pt>
                <c:pt idx="29">
                  <c:v>13.328060342113542</c:v>
                </c:pt>
                <c:pt idx="31">
                  <c:v>4.8540074567125675</c:v>
                </c:pt>
                <c:pt idx="32">
                  <c:v>3.8791091710539995</c:v>
                </c:pt>
                <c:pt idx="33">
                  <c:v>1.3628748456875164</c:v>
                </c:pt>
                <c:pt idx="34">
                  <c:v>5.3870257213317272</c:v>
                </c:pt>
                <c:pt idx="35">
                  <c:v>11.700331406851934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5.5056894701178214</c:v>
                </c:pt>
                <c:pt idx="2">
                  <c:v>9.9279379052231711</c:v>
                </c:pt>
                <c:pt idx="3">
                  <c:v>4.9639689526115856</c:v>
                </c:pt>
                <c:pt idx="4">
                  <c:v>7.9989802730140358</c:v>
                </c:pt>
                <c:pt idx="5">
                  <c:v>10.854073526803706</c:v>
                </c:pt>
                <c:pt idx="7">
                  <c:v>3.7482488952225501</c:v>
                </c:pt>
                <c:pt idx="8">
                  <c:v>6.7588959542780911</c:v>
                </c:pt>
                <c:pt idx="9">
                  <c:v>3.3794479771390455</c:v>
                </c:pt>
                <c:pt idx="10">
                  <c:v>5.4617341044671441</c:v>
                </c:pt>
                <c:pt idx="11">
                  <c:v>7.389404964867313</c:v>
                </c:pt>
                <c:pt idx="13">
                  <c:v>4.4413130311862172</c:v>
                </c:pt>
                <c:pt idx="14">
                  <c:v>8.0086391051640025</c:v>
                </c:pt>
                <c:pt idx="15">
                  <c:v>4.0043195525820012</c:v>
                </c:pt>
                <c:pt idx="16">
                  <c:v>6.4716275597284874</c:v>
                </c:pt>
                <c:pt idx="17">
                  <c:v>8.7557314043385404</c:v>
                </c:pt>
                <c:pt idx="19">
                  <c:v>6.3329239428350803</c:v>
                </c:pt>
                <c:pt idx="20">
                  <c:v>11.419618924062256</c:v>
                </c:pt>
                <c:pt idx="21">
                  <c:v>5.7098094620311279</c:v>
                </c:pt>
                <c:pt idx="22">
                  <c:v>9.227974888131115</c:v>
                </c:pt>
                <c:pt idx="23">
                  <c:v>12.484907201589158</c:v>
                </c:pt>
                <c:pt idx="25">
                  <c:v>8.1078852768275329</c:v>
                </c:pt>
                <c:pt idx="26">
                  <c:v>14.620254558107932</c:v>
                </c:pt>
                <c:pt idx="27">
                  <c:v>7.3101272790539662</c:v>
                </c:pt>
                <c:pt idx="28">
                  <c:v>11.814347117662976</c:v>
                </c:pt>
                <c:pt idx="29">
                  <c:v>15.98411668860285</c:v>
                </c:pt>
                <c:pt idx="31">
                  <c:v>7.1176857181435915</c:v>
                </c:pt>
                <c:pt idx="32">
                  <c:v>12.834712568181068</c:v>
                </c:pt>
                <c:pt idx="33">
                  <c:v>6.417356284090534</c:v>
                </c:pt>
                <c:pt idx="34">
                  <c:v>10.371484903580663</c:v>
                </c:pt>
                <c:pt idx="35">
                  <c:v>14.032008987197365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722.86299285872508</c:v>
                </c:pt>
                <c:pt idx="9">
                  <c:v>692.74850256101183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3">
                  <c:v>0</c:v>
                </c:pt>
                <c:pt idx="4">
                  <c:v>722.86299285872508</c:v>
                </c:pt>
                <c:pt idx="5">
                  <c:v>722.86299285872508</c:v>
                </c:pt>
                <c:pt idx="6">
                  <c:v>0</c:v>
                </c:pt>
                <c:pt idx="7">
                  <c:v>692.74850256101183</c:v>
                </c:pt>
                <c:pt idx="8">
                  <c:v>692.74850256101183</c:v>
                </c:pt>
                <c:pt idx="9">
                  <c:v>0</c:v>
                </c:pt>
                <c:pt idx="10">
                  <c:v>692.74850256101183</c:v>
                </c:pt>
                <c:pt idx="11">
                  <c:v>692.74850256101183</c:v>
                </c:pt>
                <c:pt idx="12">
                  <c:v>673.39103751101186</c:v>
                </c:pt>
                <c:pt idx="13">
                  <c:v>673.39103751101186</c:v>
                </c:pt>
                <c:pt idx="14">
                  <c:v>571.93026876101192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10.485505219974332</c:v>
                </c:pt>
                <c:pt idx="5">
                  <c:v>0</c:v>
                </c:pt>
                <c:pt idx="6">
                  <c:v>0</c:v>
                </c:pt>
                <c:pt idx="7">
                  <c:v>30.11449029771325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10.485505219974332</c:v>
                </c:pt>
                <c:pt idx="5">
                  <c:v>0</c:v>
                </c:pt>
                <c:pt idx="6">
                  <c:v>722.86299285872508</c:v>
                </c:pt>
                <c:pt idx="7">
                  <c:v>30.11449029771325</c:v>
                </c:pt>
                <c:pt idx="8">
                  <c:v>0</c:v>
                </c:pt>
                <c:pt idx="9">
                  <c:v>692.74850256101183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725.71072182215835</c:v>
                </c:pt>
                <c:pt idx="9">
                  <c:v>685.85459336538588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725.71072182215835</c:v>
                </c:pt>
                <c:pt idx="6">
                  <c:v>0</c:v>
                </c:pt>
                <c:pt idx="7">
                  <c:v>725.71072182215835</c:v>
                </c:pt>
                <c:pt idx="8">
                  <c:v>685.85459336538588</c:v>
                </c:pt>
                <c:pt idx="9">
                  <c:v>0</c:v>
                </c:pt>
                <c:pt idx="10">
                  <c:v>685.85459336538588</c:v>
                </c:pt>
                <c:pt idx="11">
                  <c:v>648.49391193118947</c:v>
                </c:pt>
                <c:pt idx="12">
                  <c:v>629.1364468811895</c:v>
                </c:pt>
                <c:pt idx="13">
                  <c:v>629.1364468811895</c:v>
                </c:pt>
                <c:pt idx="14">
                  <c:v>527.67567813118956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19.423098183257213</c:v>
                </c:pt>
                <c:pt idx="6">
                  <c:v>0</c:v>
                </c:pt>
                <c:pt idx="7">
                  <c:v>0</c:v>
                </c:pt>
                <c:pt idx="8">
                  <c:v>39.85612845677246</c:v>
                </c:pt>
                <c:pt idx="9">
                  <c:v>0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19.423098183257213</c:v>
                </c:pt>
                <c:pt idx="6">
                  <c:v>725.71072182215835</c:v>
                </c:pt>
                <c:pt idx="7">
                  <c:v>0</c:v>
                </c:pt>
                <c:pt idx="8">
                  <c:v>39.85612845677246</c:v>
                </c:pt>
                <c:pt idx="9">
                  <c:v>685.85459336538588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745.1338200054156</c:v>
                </c:pt>
                <c:pt idx="9">
                  <c:v>745.1338200054156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745.1338200054156</c:v>
                </c:pt>
                <c:pt idx="6">
                  <c:v>0</c:v>
                </c:pt>
                <c:pt idx="7">
                  <c:v>745.1338200054156</c:v>
                </c:pt>
                <c:pt idx="8">
                  <c:v>745.1338200054156</c:v>
                </c:pt>
                <c:pt idx="9">
                  <c:v>0</c:v>
                </c:pt>
                <c:pt idx="10">
                  <c:v>745.1338200054156</c:v>
                </c:pt>
                <c:pt idx="11">
                  <c:v>665.94614903975366</c:v>
                </c:pt>
                <c:pt idx="12">
                  <c:v>646.58868398975369</c:v>
                </c:pt>
                <c:pt idx="13">
                  <c:v>646.58868398975369</c:v>
                </c:pt>
                <c:pt idx="14">
                  <c:v>545.12791523975375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0</c:v>
                </c:pt>
                <c:pt idx="6">
                  <c:v>745.1338200054156</c:v>
                </c:pt>
                <c:pt idx="7">
                  <c:v>0</c:v>
                </c:pt>
                <c:pt idx="8">
                  <c:v>0</c:v>
                </c:pt>
                <c:pt idx="9">
                  <c:v>745.1338200054156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267.44890097890908</c:v>
                </c:pt>
                <c:pt idx="3">
                  <c:v>700.7389009789091</c:v>
                </c:pt>
                <c:pt idx="6">
                  <c:v>713.57931952741808</c:v>
                </c:pt>
                <c:pt idx="9">
                  <c:v>713.57931952741808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267.44890097890908</c:v>
                </c:pt>
                <c:pt idx="2">
                  <c:v>700.02890097890906</c:v>
                </c:pt>
                <c:pt idx="4">
                  <c:v>700.7389009789091</c:v>
                </c:pt>
                <c:pt idx="5">
                  <c:v>713.57931952741808</c:v>
                </c:pt>
                <c:pt idx="6">
                  <c:v>0</c:v>
                </c:pt>
                <c:pt idx="7">
                  <c:v>713.57931952741808</c:v>
                </c:pt>
                <c:pt idx="8">
                  <c:v>713.57931952741808</c:v>
                </c:pt>
                <c:pt idx="9">
                  <c:v>0</c:v>
                </c:pt>
                <c:pt idx="10">
                  <c:v>713.57931952741808</c:v>
                </c:pt>
                <c:pt idx="11">
                  <c:v>713.57931952741808</c:v>
                </c:pt>
                <c:pt idx="12">
                  <c:v>694.22185447741811</c:v>
                </c:pt>
                <c:pt idx="13">
                  <c:v>694.22185447741811</c:v>
                </c:pt>
                <c:pt idx="14">
                  <c:v>592.76108572741816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12.840418548508994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267.44890097890908</c:v>
                </c:pt>
                <c:pt idx="1">
                  <c:v>432.58</c:v>
                </c:pt>
                <c:pt idx="2">
                  <c:v>0.71</c:v>
                </c:pt>
                <c:pt idx="3">
                  <c:v>700.7389009789091</c:v>
                </c:pt>
                <c:pt idx="4">
                  <c:v>12.840418548508994</c:v>
                </c:pt>
                <c:pt idx="5">
                  <c:v>0</c:v>
                </c:pt>
                <c:pt idx="6">
                  <c:v>713.57931952741808</c:v>
                </c:pt>
                <c:pt idx="7">
                  <c:v>0</c:v>
                </c:pt>
                <c:pt idx="8">
                  <c:v>0</c:v>
                </c:pt>
                <c:pt idx="9">
                  <c:v>713.57931952741808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330.90986027933826</c:v>
                </c:pt>
                <c:pt idx="3">
                  <c:v>764.19986027933828</c:v>
                </c:pt>
                <c:pt idx="6">
                  <c:v>776.25609328006306</c:v>
                </c:pt>
                <c:pt idx="9">
                  <c:v>776.25609328006306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330.90986027933826</c:v>
                </c:pt>
                <c:pt idx="2">
                  <c:v>763.48986027933825</c:v>
                </c:pt>
                <c:pt idx="4">
                  <c:v>764.19986027933828</c:v>
                </c:pt>
                <c:pt idx="5">
                  <c:v>776.25609328006306</c:v>
                </c:pt>
                <c:pt idx="6">
                  <c:v>0</c:v>
                </c:pt>
                <c:pt idx="7">
                  <c:v>776.25609328006306</c:v>
                </c:pt>
                <c:pt idx="8">
                  <c:v>776.25609328006306</c:v>
                </c:pt>
                <c:pt idx="9">
                  <c:v>0</c:v>
                </c:pt>
                <c:pt idx="10">
                  <c:v>776.25609328006306</c:v>
                </c:pt>
                <c:pt idx="11">
                  <c:v>776.25609328006306</c:v>
                </c:pt>
                <c:pt idx="12">
                  <c:v>738.91764012256306</c:v>
                </c:pt>
                <c:pt idx="13">
                  <c:v>738.91764012256306</c:v>
                </c:pt>
                <c:pt idx="14">
                  <c:v>637.45687137256311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12.056233000724824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330.90986027933826</c:v>
                </c:pt>
                <c:pt idx="1">
                  <c:v>432.58</c:v>
                </c:pt>
                <c:pt idx="2">
                  <c:v>0.71</c:v>
                </c:pt>
                <c:pt idx="3">
                  <c:v>764.19986027933828</c:v>
                </c:pt>
                <c:pt idx="4">
                  <c:v>12.056233000724824</c:v>
                </c:pt>
                <c:pt idx="5">
                  <c:v>0</c:v>
                </c:pt>
                <c:pt idx="6">
                  <c:v>776.25609328006306</c:v>
                </c:pt>
                <c:pt idx="7">
                  <c:v>0</c:v>
                </c:pt>
                <c:pt idx="8">
                  <c:v>0</c:v>
                </c:pt>
                <c:pt idx="9">
                  <c:v>776.25609328006306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617.3653331946125</c:v>
                </c:pt>
                <c:pt idx="3">
                  <c:v>1050.6553331946125</c:v>
                </c:pt>
                <c:pt idx="6">
                  <c:v>1040.5389987686547</c:v>
                </c:pt>
                <c:pt idx="9">
                  <c:v>735.52274434124524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617.3653331946125</c:v>
                </c:pt>
                <c:pt idx="2">
                  <c:v>1049.9453331946124</c:v>
                </c:pt>
                <c:pt idx="4">
                  <c:v>1040.5389987686547</c:v>
                </c:pt>
                <c:pt idx="5">
                  <c:v>1040.5389987686547</c:v>
                </c:pt>
                <c:pt idx="6">
                  <c:v>0</c:v>
                </c:pt>
                <c:pt idx="7">
                  <c:v>735.52274434124524</c:v>
                </c:pt>
                <c:pt idx="8">
                  <c:v>735.52274434124524</c:v>
                </c:pt>
                <c:pt idx="9">
                  <c:v>0</c:v>
                </c:pt>
                <c:pt idx="10">
                  <c:v>735.52274434124524</c:v>
                </c:pt>
                <c:pt idx="11">
                  <c:v>735.52274434124524</c:v>
                </c:pt>
                <c:pt idx="12">
                  <c:v>735.52274434124524</c:v>
                </c:pt>
                <c:pt idx="13">
                  <c:v>735.52274434124524</c:v>
                </c:pt>
                <c:pt idx="14">
                  <c:v>612.52238611180269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10.116334425957875</c:v>
                </c:pt>
                <c:pt idx="5">
                  <c:v>0</c:v>
                </c:pt>
                <c:pt idx="6">
                  <c:v>0</c:v>
                </c:pt>
                <c:pt idx="7">
                  <c:v>305.01625442740948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617.3653331946125</c:v>
                </c:pt>
                <c:pt idx="1">
                  <c:v>432.58</c:v>
                </c:pt>
                <c:pt idx="2">
                  <c:v>0.71</c:v>
                </c:pt>
                <c:pt idx="3">
                  <c:v>1050.6553331946125</c:v>
                </c:pt>
                <c:pt idx="4">
                  <c:v>10.116334425957875</c:v>
                </c:pt>
                <c:pt idx="5">
                  <c:v>0</c:v>
                </c:pt>
                <c:pt idx="6">
                  <c:v>1040.5389987686547</c:v>
                </c:pt>
                <c:pt idx="7">
                  <c:v>305.01625442740948</c:v>
                </c:pt>
                <c:pt idx="8">
                  <c:v>0</c:v>
                </c:pt>
                <c:pt idx="9">
                  <c:v>735.52274434124524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1516.9592597123251</c:v>
                </c:pt>
                <c:pt idx="3">
                  <c:v>1950.2492597123251</c:v>
                </c:pt>
                <c:pt idx="6">
                  <c:v>1924.9654057767279</c:v>
                </c:pt>
                <c:pt idx="9">
                  <c:v>1698.332049617459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1516.9592597123251</c:v>
                </c:pt>
                <c:pt idx="2">
                  <c:v>1949.539259712325</c:v>
                </c:pt>
                <c:pt idx="4">
                  <c:v>1924.9654057767279</c:v>
                </c:pt>
                <c:pt idx="5">
                  <c:v>1924.9654057767279</c:v>
                </c:pt>
                <c:pt idx="6">
                  <c:v>0</c:v>
                </c:pt>
                <c:pt idx="7">
                  <c:v>1698.332049617459</c:v>
                </c:pt>
                <c:pt idx="8">
                  <c:v>1698.332049617459</c:v>
                </c:pt>
                <c:pt idx="9">
                  <c:v>0</c:v>
                </c:pt>
                <c:pt idx="10">
                  <c:v>1698.332049617459</c:v>
                </c:pt>
                <c:pt idx="11">
                  <c:v>1698.332049617459</c:v>
                </c:pt>
                <c:pt idx="12">
                  <c:v>1698.332049617459</c:v>
                </c:pt>
                <c:pt idx="13">
                  <c:v>1698.332049617459</c:v>
                </c:pt>
                <c:pt idx="14">
                  <c:v>1575.3316913880165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25.283853935597026</c:v>
                </c:pt>
                <c:pt idx="5">
                  <c:v>0</c:v>
                </c:pt>
                <c:pt idx="6">
                  <c:v>0</c:v>
                </c:pt>
                <c:pt idx="7">
                  <c:v>226.63335615926886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1516.9592597123251</c:v>
                </c:pt>
                <c:pt idx="1">
                  <c:v>432.58</c:v>
                </c:pt>
                <c:pt idx="2">
                  <c:v>0.71</c:v>
                </c:pt>
                <c:pt idx="3">
                  <c:v>1950.2492597123251</c:v>
                </c:pt>
                <c:pt idx="4">
                  <c:v>25.283853935597026</c:v>
                </c:pt>
                <c:pt idx="5">
                  <c:v>0</c:v>
                </c:pt>
                <c:pt idx="6">
                  <c:v>1924.9654057767279</c:v>
                </c:pt>
                <c:pt idx="7">
                  <c:v>226.63335615926886</c:v>
                </c:pt>
                <c:pt idx="8">
                  <c:v>0</c:v>
                </c:pt>
                <c:pt idx="9">
                  <c:v>1698.332049617459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29870" y="190500"/>
          <a:ext cx="56705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32647" y="104993"/>
          <a:ext cx="4428000" cy="1367774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921044C4-F4C0-41C2-A248-2DFA210CCC6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BF9CA5-D944-46A7-8980-597D7B4FC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F4605B8-125E-4165-87F3-4C2336C558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BECDCE-C390-4392-A599-EAE11B486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B18ECA24-DBDF-4818-A222-ECA78F78763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424CA22-5E97-4008-96DB-E7C30F6C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2C43C3F-4AFB-4CF2-810C-9E0FE6C9A9D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DC0909-EC41-4519-A95C-D18C7D43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BC211F35-2F65-40FF-98F4-D32F3A85527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26D602B-0AD3-4CA9-BD13-FB19F1705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108967CD-77CD-485E-AE40-7EA8B95DE45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7AA3AA-4E33-4DA1-BD43-55F0E440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98EDEB0-14FC-4209-AC4A-C51272229163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1595070-C483-41B0-A986-D74A574F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A0C62FE0-D833-4FD5-9A23-9C667071CD8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BA0EAF-41E9-4768-8545-B6473407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BF067B2A-2F6E-4CBD-8DAE-1502E98AE4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03B50C1-EBD4-490F-BC71-F840879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A8FB877C-94D1-45DE-B39C-40C9DB1A20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C10E8C-8BA6-45F5-85A3-0DCCA08E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Planilha1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44.415254000000026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5571.8936143000028</v>
          </cell>
        </row>
        <row r="70">
          <cell r="O70">
            <v>1392.9734035750007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39.361862475000009</v>
          </cell>
        </row>
        <row r="50">
          <cell r="G50">
            <v>43.349272655000007</v>
          </cell>
        </row>
        <row r="51">
          <cell r="G51">
            <v>18.948864869999998</v>
          </cell>
        </row>
        <row r="64">
          <cell r="D64">
            <v>8.1073850000000007</v>
          </cell>
        </row>
        <row r="69">
          <cell r="D69">
            <v>16.988834655000009</v>
          </cell>
        </row>
        <row r="73">
          <cell r="D73">
            <v>18.253052999999998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12280.901092200003</v>
          </cell>
        </row>
        <row r="31">
          <cell r="D31">
            <v>50.5</v>
          </cell>
          <cell r="H31">
            <v>151.95831392385614</v>
          </cell>
        </row>
        <row r="32">
          <cell r="D32">
            <v>35</v>
          </cell>
        </row>
        <row r="33">
          <cell r="D33">
            <v>268.77733415910234</v>
          </cell>
          <cell r="H33">
            <v>288.27317615198319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399.27287362885636</v>
          </cell>
          <cell r="P73">
            <v>151.95831392385614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30.402483024985166</v>
          </cell>
          <cell r="D63">
            <v>30.712026053230918</v>
          </cell>
          <cell r="E63">
            <v>40.624234593586955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5.0087194397754624</v>
          </cell>
          <cell r="D119">
            <v>5.0087194397754624</v>
          </cell>
          <cell r="E119">
            <v>5.0087194397754624</v>
          </cell>
          <cell r="F119">
            <v>18.687347580737072</v>
          </cell>
          <cell r="G119">
            <v>18.687347580737072</v>
          </cell>
          <cell r="H119">
            <v>18.687347580737072</v>
          </cell>
          <cell r="I119">
            <v>18.687347580737072</v>
          </cell>
          <cell r="J119">
            <v>18.687347580737072</v>
          </cell>
          <cell r="K119">
            <v>18.687347580737072</v>
          </cell>
          <cell r="L119">
            <v>18.687347580737072</v>
          </cell>
          <cell r="M119">
            <v>18.687347580737072</v>
          </cell>
          <cell r="N119">
            <v>18.687347580737072</v>
          </cell>
          <cell r="O119">
            <v>18.687347580737072</v>
          </cell>
          <cell r="P119">
            <v>18.687347580737072</v>
          </cell>
          <cell r="Q119">
            <v>18.687347580737072</v>
          </cell>
          <cell r="R119">
            <v>18.687347580737072</v>
          </cell>
          <cell r="S119">
            <v>18.687347580737072</v>
          </cell>
          <cell r="T119">
            <v>18.687347580737072</v>
          </cell>
          <cell r="U119">
            <v>18.687347580737072</v>
          </cell>
          <cell r="V119">
            <v>18.687347580737072</v>
          </cell>
          <cell r="W119">
            <v>18.687347580737072</v>
          </cell>
          <cell r="X119">
            <v>18.687347580737072</v>
          </cell>
          <cell r="Y119">
            <v>18.687347580737072</v>
          </cell>
          <cell r="Z119">
            <v>18.687347580737072</v>
          </cell>
          <cell r="AA119">
            <v>18.687347580737072</v>
          </cell>
          <cell r="AB119">
            <v>18.687347580737072</v>
          </cell>
          <cell r="AC119">
            <v>18.687347580737072</v>
          </cell>
          <cell r="AD119">
            <v>18.687347580737072</v>
          </cell>
          <cell r="AE119">
            <v>18.687347580737072</v>
          </cell>
          <cell r="AF119">
            <v>18.687347580737072</v>
          </cell>
          <cell r="AG119">
            <v>18.687347580737072</v>
          </cell>
          <cell r="AH119">
            <v>18.687347580737072</v>
          </cell>
          <cell r="AI119">
            <v>18.687347580737072</v>
          </cell>
          <cell r="AJ119">
            <v>18.687347580737072</v>
          </cell>
          <cell r="AK119">
            <v>18.687347580737072</v>
          </cell>
          <cell r="AL119">
            <v>18.687347580737072</v>
          </cell>
          <cell r="AM119">
            <v>18.687347580737072</v>
          </cell>
          <cell r="AN119">
            <v>18.687347580737072</v>
          </cell>
          <cell r="AO119">
            <v>18.687347580737072</v>
          </cell>
          <cell r="AP119">
            <v>18.687347580737072</v>
          </cell>
          <cell r="AQ119">
            <v>18.687347580737072</v>
          </cell>
          <cell r="AR119">
            <v>18.687347580737072</v>
          </cell>
          <cell r="AS119">
            <v>18.687347580737072</v>
          </cell>
          <cell r="AT119">
            <v>18.687347580737072</v>
          </cell>
          <cell r="AU119">
            <v>18.687347580737072</v>
          </cell>
          <cell r="AV119">
            <v>18.687347580737072</v>
          </cell>
          <cell r="AW119">
            <v>18.687347580737072</v>
          </cell>
          <cell r="AX119">
            <v>18.687347580737072</v>
          </cell>
          <cell r="AY119">
            <v>18.687347580737072</v>
          </cell>
          <cell r="AZ119">
            <v>18.687347580737072</v>
          </cell>
          <cell r="BA119">
            <v>18.687347580737072</v>
          </cell>
          <cell r="BB119">
            <v>18.687347580737072</v>
          </cell>
          <cell r="BC119">
            <v>18.687347580737072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9.3633110491539782</v>
          </cell>
          <cell r="D148">
            <v>9.4073186110849996</v>
          </cell>
          <cell r="E148">
            <v>9.4515330085570994</v>
          </cell>
          <cell r="F148">
            <v>9.495955213697318</v>
          </cell>
          <cell r="G148">
            <v>9.5405862032016948</v>
          </cell>
          <cell r="H148">
            <v>9.5854269583567415</v>
          </cell>
          <cell r="I148">
            <v>9.6304784650610173</v>
          </cell>
          <cell r="J148">
            <v>9.6757417138468043</v>
          </cell>
          <cell r="K148">
            <v>9.7212176999018833</v>
          </cell>
          <cell r="L148">
            <v>9.7669074230914212</v>
          </cell>
          <cell r="M148">
            <v>9.8128118879799473</v>
          </cell>
          <cell r="N148">
            <v>9.8589321038534532</v>
          </cell>
          <cell r="O148">
            <v>9.9052690847415654</v>
          </cell>
          <cell r="P148">
            <v>9.9518238494398474</v>
          </cell>
          <cell r="Q148">
            <v>9.9985974215322155</v>
          </cell>
          <cell r="R148">
            <v>10.045590829413415</v>
          </cell>
          <cell r="S148">
            <v>10.092805106311658</v>
          </cell>
          <cell r="T148">
            <v>10.140241290311323</v>
          </cell>
          <cell r="U148">
            <v>10.187900424375787</v>
          </cell>
          <cell r="V148">
            <v>10.235783556370349</v>
          </cell>
          <cell r="W148">
            <v>10.28389173908529</v>
          </cell>
          <cell r="X148">
            <v>10.33222603025899</v>
          </cell>
          <cell r="Y148">
            <v>10.380787492601206</v>
          </cell>
          <cell r="Z148">
            <v>10.429577193816431</v>
          </cell>
          <cell r="AA148">
            <v>10.478596206627369</v>
          </cell>
          <cell r="AB148">
            <v>10.527845608798517</v>
          </cell>
          <cell r="AC148">
            <v>10.577326483159869</v>
          </cell>
          <cell r="AD148">
            <v>10.62703991763072</v>
          </cell>
          <cell r="AE148">
            <v>10.676987005243584</v>
          </cell>
          <cell r="AF148">
            <v>10.727168844168226</v>
          </cell>
          <cell r="AG148">
            <v>10.777586537735818</v>
          </cell>
          <cell r="AH148">
            <v>10.828241194463175</v>
          </cell>
          <cell r="AI148">
            <v>10.879133928077151</v>
          </cell>
          <cell r="AJ148">
            <v>10.930265857539112</v>
          </cell>
          <cell r="AK148">
            <v>10.981638107069548</v>
          </cell>
          <cell r="AL148">
            <v>11.033251806172771</v>
          </cell>
          <cell r="AM148">
            <v>11.085108089661786</v>
          </cell>
          <cell r="AN148">
            <v>11.137208097683194</v>
          </cell>
          <cell r="AO148">
            <v>11.189552975742306</v>
          </cell>
          <cell r="AP148">
            <v>11.242143874728292</v>
          </cell>
          <cell r="AQ148">
            <v>11.294981950939514</v>
          </cell>
          <cell r="AR148">
            <v>11.348068366108929</v>
          </cell>
          <cell r="AS148">
            <v>11.401404287429639</v>
          </cell>
          <cell r="AT148">
            <v>11.454990887580557</v>
          </cell>
          <cell r="AU148">
            <v>11.508829344752185</v>
          </cell>
          <cell r="AV148">
            <v>11.562920842672522</v>
          </cell>
          <cell r="AW148">
            <v>11.617266570633079</v>
          </cell>
          <cell r="AX148">
            <v>11.671867723515053</v>
          </cell>
          <cell r="AY148">
            <v>11.726725501815576</v>
          </cell>
          <cell r="AZ148">
            <v>11.781841111674108</v>
          </cell>
          <cell r="BA148">
            <v>11.837215764898975</v>
          </cell>
          <cell r="BB148">
            <v>11.892850678994</v>
          </cell>
          <cell r="BC148">
            <v>11.948747077185271</v>
          </cell>
        </row>
        <row r="149">
          <cell r="B149" t="str">
            <v>Receita do Ente Público pela disposição do RPU</v>
          </cell>
          <cell r="C149">
            <v>2.0530738290130173</v>
          </cell>
          <cell r="D149">
            <v>2.0627232760093781</v>
          </cell>
          <cell r="E149">
            <v>2.0724180754066222</v>
          </cell>
          <cell r="F149">
            <v>2.0821584403610331</v>
          </cell>
          <cell r="G149">
            <v>2.0919445850307299</v>
          </cell>
          <cell r="H149">
            <v>2.101776724580374</v>
          </cell>
          <cell r="I149">
            <v>2.1116550751859018</v>
          </cell>
          <cell r="J149">
            <v>2.1215798540392754</v>
          </cell>
          <cell r="K149">
            <v>2.1315512793532601</v>
          </cell>
          <cell r="L149">
            <v>2.1415695703662201</v>
          </cell>
          <cell r="M149">
            <v>2.1516349473469414</v>
          </cell>
          <cell r="N149">
            <v>2.1617476315994719</v>
          </cell>
          <cell r="O149">
            <v>2.1719078454679894</v>
          </cell>
          <cell r="P149">
            <v>2.1821158123416886</v>
          </cell>
          <cell r="Q149">
            <v>2.1923717566596945</v>
          </cell>
          <cell r="R149">
            <v>2.2026759039159951</v>
          </cell>
          <cell r="S149">
            <v>2.2130284806644003</v>
          </cell>
          <cell r="T149">
            <v>2.2234297145235229</v>
          </cell>
          <cell r="U149">
            <v>2.2338798341817832</v>
          </cell>
          <cell r="V149">
            <v>2.2443790694024375</v>
          </cell>
          <cell r="W149">
            <v>2.2549276510286287</v>
          </cell>
          <cell r="X149">
            <v>2.2655258109884633</v>
          </cell>
          <cell r="Y149">
            <v>2.2761737823001087</v>
          </cell>
          <cell r="Z149">
            <v>2.286871799076919</v>
          </cell>
          <cell r="AA149">
            <v>2.2976200965325804</v>
          </cell>
          <cell r="AB149">
            <v>2.3084189109862834</v>
          </cell>
          <cell r="AC149">
            <v>2.3192684798679188</v>
          </cell>
          <cell r="AD149">
            <v>2.3301690417232979</v>
          </cell>
          <cell r="AE149">
            <v>2.3411208362193974</v>
          </cell>
          <cell r="AF149">
            <v>2.3521241041496284</v>
          </cell>
          <cell r="AG149">
            <v>2.3631790874391316</v>
          </cell>
          <cell r="AH149">
            <v>2.3742860291500953</v>
          </cell>
          <cell r="AI149">
            <v>2.3854451734871005</v>
          </cell>
          <cell r="AJ149">
            <v>2.3966567658024895</v>
          </cell>
          <cell r="AK149">
            <v>2.4079210526017611</v>
          </cell>
          <cell r="AL149">
            <v>2.4192382815489895</v>
          </cell>
          <cell r="AM149">
            <v>2.4306087014722695</v>
          </cell>
          <cell r="AN149">
            <v>2.4420325623691888</v>
          </cell>
          <cell r="AO149">
            <v>2.4535101154123238</v>
          </cell>
          <cell r="AP149">
            <v>2.4650416129547614</v>
          </cell>
          <cell r="AQ149">
            <v>2.4766273085356487</v>
          </cell>
          <cell r="AR149">
            <v>2.4882674568857661</v>
          </cell>
          <cell r="AS149">
            <v>2.4999623139331288</v>
          </cell>
          <cell r="AT149">
            <v>2.5117121368086144</v>
          </cell>
          <cell r="AU149">
            <v>2.5235171838516148</v>
          </cell>
          <cell r="AV149">
            <v>2.5353777146157173</v>
          </cell>
          <cell r="AW149">
            <v>2.5472939898744111</v>
          </cell>
          <cell r="AX149">
            <v>2.5592662716268206</v>
          </cell>
          <cell r="AY149">
            <v>2.5712948231034667</v>
          </cell>
          <cell r="AZ149">
            <v>2.5833799087720526</v>
          </cell>
          <cell r="BA149">
            <v>2.5955217943432811</v>
          </cell>
          <cell r="BB149">
            <v>2.6077207467766943</v>
          </cell>
          <cell r="BC149">
            <v>2.6199770342865447</v>
          </cell>
        </row>
        <row r="153">
          <cell r="C153">
            <v>-26.047891415606649</v>
          </cell>
          <cell r="D153">
            <v>-26.31342688192138</v>
          </cell>
          <cell r="E153">
            <v>-36.181421024805317</v>
          </cell>
          <cell r="F153">
            <v>-9.1913923670397537</v>
          </cell>
          <cell r="G153">
            <v>-9.1467613775353769</v>
          </cell>
          <cell r="H153">
            <v>-9.1019206223803302</v>
          </cell>
          <cell r="I153">
            <v>-9.0568691156760543</v>
          </cell>
          <cell r="J153">
            <v>-9.0116058668902674</v>
          </cell>
          <cell r="K153">
            <v>-8.9661298808351884</v>
          </cell>
          <cell r="L153">
            <v>-8.9204401576456505</v>
          </cell>
          <cell r="M153">
            <v>-8.8745356927571244</v>
          </cell>
          <cell r="N153">
            <v>-8.8284154768836185</v>
          </cell>
          <cell r="O153">
            <v>-8.7820784959955063</v>
          </cell>
          <cell r="P153">
            <v>-8.7355237312972243</v>
          </cell>
          <cell r="Q153">
            <v>-8.6887501592048562</v>
          </cell>
          <cell r="R153">
            <v>-8.6417567513236566</v>
          </cell>
          <cell r="S153">
            <v>-8.5945424744254133</v>
          </cell>
          <cell r="T153">
            <v>-8.5471062904257487</v>
          </cell>
          <cell r="U153">
            <v>-8.4994471563612848</v>
          </cell>
          <cell r="V153">
            <v>-8.4515640243667232</v>
          </cell>
          <cell r="W153">
            <v>-8.4034558416517822</v>
          </cell>
          <cell r="X153">
            <v>-8.3551215504780814</v>
          </cell>
          <cell r="Y153">
            <v>-8.3065600881358659</v>
          </cell>
          <cell r="Z153">
            <v>-8.2577703869206402</v>
          </cell>
          <cell r="AA153">
            <v>-8.2087513741097027</v>
          </cell>
          <cell r="AB153">
            <v>-8.1595019719385551</v>
          </cell>
          <cell r="AC153">
            <v>-8.1100210975772029</v>
          </cell>
          <cell r="AD153">
            <v>-8.0603076631063519</v>
          </cell>
          <cell r="AE153">
            <v>-8.0103605754934879</v>
          </cell>
          <cell r="AF153">
            <v>-7.9601787365688459</v>
          </cell>
          <cell r="AG153">
            <v>-7.9097610430012537</v>
          </cell>
          <cell r="AH153">
            <v>-7.859106386273897</v>
          </cell>
          <cell r="AI153">
            <v>-7.8082136526599211</v>
          </cell>
          <cell r="AJ153">
            <v>-7.7570817231979596</v>
          </cell>
          <cell r="AK153">
            <v>-7.7057094736675236</v>
          </cell>
          <cell r="AL153">
            <v>-7.6540957745643006</v>
          </cell>
          <cell r="AM153">
            <v>-7.6022394910752862</v>
          </cell>
          <cell r="AN153">
            <v>-7.5501394830538775</v>
          </cell>
          <cell r="AO153">
            <v>-7.4977946049947661</v>
          </cell>
          <cell r="AP153">
            <v>-7.4452037060087797</v>
          </cell>
          <cell r="AQ153">
            <v>-7.392365629797558</v>
          </cell>
          <cell r="AR153">
            <v>-7.3392792146281423</v>
          </cell>
          <cell r="AS153">
            <v>-7.2859432933074331</v>
          </cell>
          <cell r="AT153">
            <v>-7.2323566931565146</v>
          </cell>
          <cell r="AU153">
            <v>-7.1785182359848871</v>
          </cell>
          <cell r="AV153">
            <v>-7.1244267380645496</v>
          </cell>
          <cell r="AW153">
            <v>-7.0700810101039924</v>
          </cell>
          <cell r="AX153">
            <v>-7.0154798572220187</v>
          </cell>
          <cell r="AY153">
            <v>-6.9606220789214959</v>
          </cell>
          <cell r="AZ153">
            <v>-6.9055064690629635</v>
          </cell>
          <cell r="BA153">
            <v>-6.8501318158380968</v>
          </cell>
          <cell r="BB153">
            <v>-6.7944969017430719</v>
          </cell>
          <cell r="BC153">
            <v>-6.7386005035518011</v>
          </cell>
        </row>
        <row r="156">
          <cell r="C156">
            <v>-26.047891415606649</v>
          </cell>
          <cell r="D156">
            <v>-26.31342688192138</v>
          </cell>
          <cell r="E156">
            <v>-36.181421024805317</v>
          </cell>
          <cell r="F156">
            <v>-9.1913923670397537</v>
          </cell>
          <cell r="G156">
            <v>-9.1467613775353769</v>
          </cell>
          <cell r="H156">
            <v>-9.1019206223803302</v>
          </cell>
          <cell r="I156">
            <v>-9.0568691156760543</v>
          </cell>
          <cell r="J156">
            <v>-9.0116058668902674</v>
          </cell>
          <cell r="K156">
            <v>-8.9661298808351884</v>
          </cell>
          <cell r="L156">
            <v>-8.9204401576456505</v>
          </cell>
          <cell r="M156">
            <v>-8.8745356927571244</v>
          </cell>
          <cell r="N156">
            <v>-8.8284154768836185</v>
          </cell>
          <cell r="O156">
            <v>-8.7820784959955063</v>
          </cell>
          <cell r="P156">
            <v>-8.7355237312972243</v>
          </cell>
          <cell r="Q156">
            <v>-8.6887501592048562</v>
          </cell>
          <cell r="R156">
            <v>-8.6417567513236566</v>
          </cell>
          <cell r="S156">
            <v>-8.5945424744254133</v>
          </cell>
          <cell r="T156">
            <v>-8.5471062904257487</v>
          </cell>
          <cell r="U156">
            <v>-8.4994471563612848</v>
          </cell>
          <cell r="V156">
            <v>-8.4515640243667232</v>
          </cell>
          <cell r="W156">
            <v>-8.4034558416517822</v>
          </cell>
          <cell r="X156">
            <v>-8.3551215504780814</v>
          </cell>
          <cell r="Y156">
            <v>-8.3065600881358659</v>
          </cell>
          <cell r="Z156">
            <v>-8.2577703869206402</v>
          </cell>
          <cell r="AA156">
            <v>-8.2087513741097027</v>
          </cell>
          <cell r="AB156">
            <v>-8.1595019719385551</v>
          </cell>
          <cell r="AC156">
            <v>-8.1100210975772029</v>
          </cell>
          <cell r="AD156">
            <v>-8.0603076631063519</v>
          </cell>
          <cell r="AE156">
            <v>-8.0103605754934879</v>
          </cell>
          <cell r="AF156">
            <v>-7.9601787365688459</v>
          </cell>
          <cell r="AG156">
            <v>-7.9097610430012537</v>
          </cell>
          <cell r="AH156">
            <v>-7.859106386273897</v>
          </cell>
          <cell r="AI156">
            <v>-7.8082136526599211</v>
          </cell>
          <cell r="AJ156">
            <v>-7.7570817231979596</v>
          </cell>
          <cell r="AK156">
            <v>-7.7057094736675236</v>
          </cell>
          <cell r="AL156">
            <v>-7.6540957745643006</v>
          </cell>
          <cell r="AM156">
            <v>-7.6022394910752862</v>
          </cell>
          <cell r="AN156">
            <v>-7.5501394830538775</v>
          </cell>
          <cell r="AO156">
            <v>-7.4977946049947661</v>
          </cell>
          <cell r="AP156">
            <v>-7.4452037060087797</v>
          </cell>
          <cell r="AQ156">
            <v>-7.392365629797558</v>
          </cell>
          <cell r="AR156">
            <v>-7.3392792146281423</v>
          </cell>
          <cell r="AS156">
            <v>-7.2859432933074331</v>
          </cell>
          <cell r="AT156">
            <v>-7.2323566931565146</v>
          </cell>
          <cell r="AU156">
            <v>-7.1785182359848871</v>
          </cell>
          <cell r="AV156">
            <v>-7.1244267380645496</v>
          </cell>
          <cell r="AW156">
            <v>-7.0700810101039924</v>
          </cell>
          <cell r="AX156">
            <v>-7.0154798572220187</v>
          </cell>
          <cell r="AY156">
            <v>-6.9606220789214959</v>
          </cell>
          <cell r="AZ156">
            <v>-6.9055064690629635</v>
          </cell>
          <cell r="BA156">
            <v>-6.8501318158380968</v>
          </cell>
          <cell r="BB156">
            <v>-6.7944969017430719</v>
          </cell>
          <cell r="BC156">
            <v>-6.7386005035518011</v>
          </cell>
        </row>
        <row r="157">
          <cell r="C157">
            <v>-26.047891415606649</v>
          </cell>
          <cell r="D157">
            <v>-52.36131829752803</v>
          </cell>
          <cell r="E157">
            <v>-88.542739322333347</v>
          </cell>
          <cell r="F157">
            <v>-97.7341316893731</v>
          </cell>
          <cell r="G157">
            <v>-106.88089306690847</v>
          </cell>
          <cell r="H157">
            <v>-115.9828136892888</v>
          </cell>
          <cell r="I157">
            <v>-125.03968280496485</v>
          </cell>
          <cell r="J157">
            <v>-134.05128867185513</v>
          </cell>
          <cell r="K157">
            <v>-143.01741855269032</v>
          </cell>
          <cell r="L157">
            <v>-151.93785871033597</v>
          </cell>
          <cell r="M157">
            <v>-160.81239440309309</v>
          </cell>
          <cell r="N157">
            <v>-169.6408098799767</v>
          </cell>
          <cell r="O157">
            <v>-178.42288837597221</v>
          </cell>
          <cell r="P157">
            <v>-187.15841210726944</v>
          </cell>
          <cell r="Q157">
            <v>-195.8471622664743</v>
          </cell>
          <cell r="R157">
            <v>-204.48891901779797</v>
          </cell>
          <cell r="S157">
            <v>-213.08346149222339</v>
          </cell>
          <cell r="T157">
            <v>-221.63056778264914</v>
          </cell>
          <cell r="U157">
            <v>-230.13001493901044</v>
          </cell>
          <cell r="V157">
            <v>-238.58157896337715</v>
          </cell>
          <cell r="W157">
            <v>-246.98503480502893</v>
          </cell>
          <cell r="X157">
            <v>-255.34015635550702</v>
          </cell>
          <cell r="Y157">
            <v>-263.6467164436429</v>
          </cell>
          <cell r="Z157">
            <v>-271.90448683056354</v>
          </cell>
          <cell r="AA157">
            <v>-280.11323820467322</v>
          </cell>
          <cell r="AB157">
            <v>-288.27274017661176</v>
          </cell>
          <cell r="AC157">
            <v>-296.38276127418897</v>
          </cell>
          <cell r="AD157">
            <v>-304.44306893729532</v>
          </cell>
          <cell r="AE157">
            <v>-312.45342951278883</v>
          </cell>
          <cell r="AF157">
            <v>-320.41360824935765</v>
          </cell>
          <cell r="AG157">
            <v>-328.3233692923589</v>
          </cell>
          <cell r="AH157">
            <v>-336.18247567863278</v>
          </cell>
          <cell r="AI157">
            <v>-343.99068933129269</v>
          </cell>
          <cell r="AJ157">
            <v>-351.74777105449067</v>
          </cell>
          <cell r="AK157">
            <v>-359.4534805281582</v>
          </cell>
          <cell r="AL157">
            <v>-367.10757630272252</v>
          </cell>
          <cell r="AM157">
            <v>-374.70981579379782</v>
          </cell>
          <cell r="AN157">
            <v>-382.25995527685171</v>
          </cell>
          <cell r="AO157">
            <v>-389.75774988184651</v>
          </cell>
          <cell r="AP157">
            <v>-397.20295358785529</v>
          </cell>
          <cell r="AQ157">
            <v>-404.59531921765284</v>
          </cell>
          <cell r="AR157">
            <v>-411.93459843228101</v>
          </cell>
          <cell r="AS157">
            <v>-419.22054172558842</v>
          </cell>
          <cell r="AT157">
            <v>-426.45289841874495</v>
          </cell>
          <cell r="AU157">
            <v>-433.63141665472983</v>
          </cell>
          <cell r="AV157">
            <v>-440.75584339279436</v>
          </cell>
          <cell r="AW157">
            <v>-447.82592440289835</v>
          </cell>
          <cell r="AX157">
            <v>-454.84140426012038</v>
          </cell>
          <cell r="AY157">
            <v>-461.8020263390419</v>
          </cell>
          <cell r="AZ157">
            <v>-468.70753280810487</v>
          </cell>
          <cell r="BA157">
            <v>-475.55766462394297</v>
          </cell>
          <cell r="BB157">
            <v>-482.35216152568603</v>
          </cell>
          <cell r="BC157">
            <v>-489.09076202923785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/>
      <sheetData sheetId="13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4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6">
        <row r="2">
          <cell r="H2">
            <v>11816.678326700006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21.886523695424433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7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8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9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0.7901515779992061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41.027434500000005</v>
          </cell>
        </row>
        <row r="50">
          <cell r="G50">
            <v>46.34730230000001</v>
          </cell>
        </row>
        <row r="51">
          <cell r="G51">
            <v>14.285263199999997</v>
          </cell>
        </row>
        <row r="64">
          <cell r="D64">
            <v>8.1073850000000007</v>
          </cell>
        </row>
        <row r="69">
          <cell r="D69">
            <v>19.986864300000011</v>
          </cell>
        </row>
        <row r="73">
          <cell r="D73">
            <v>18.253052999999998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12800.559564000001</v>
          </cell>
        </row>
        <row r="31">
          <cell r="D31">
            <v>50.5</v>
          </cell>
          <cell r="H31">
            <v>150.7178199411884</v>
          </cell>
        </row>
        <row r="32">
          <cell r="D32">
            <v>35</v>
          </cell>
        </row>
        <row r="33">
          <cell r="D33">
            <v>237.54494967426146</v>
          </cell>
          <cell r="H33">
            <v>254.60848243040007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396.28048587014518</v>
          </cell>
          <cell r="P73">
            <v>150.7178199411884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30.679994694602051</v>
          </cell>
          <cell r="D63">
            <v>31.20722848041671</v>
          </cell>
          <cell r="E63">
            <v>40.974309849060141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5.0090883972904399</v>
          </cell>
          <cell r="D119">
            <v>5.0090883972904399</v>
          </cell>
          <cell r="E119">
            <v>5.0090883972904399</v>
          </cell>
          <cell r="F119">
            <v>18.805344721560498</v>
          </cell>
          <cell r="G119">
            <v>18.805344721560498</v>
          </cell>
          <cell r="H119">
            <v>18.805344721560498</v>
          </cell>
          <cell r="I119">
            <v>18.805344721560498</v>
          </cell>
          <cell r="J119">
            <v>18.805344721560498</v>
          </cell>
          <cell r="K119">
            <v>18.805344721560498</v>
          </cell>
          <cell r="L119">
            <v>18.805344721560498</v>
          </cell>
          <cell r="M119">
            <v>18.805344721560498</v>
          </cell>
          <cell r="N119">
            <v>18.805344721560498</v>
          </cell>
          <cell r="O119">
            <v>18.805344721560498</v>
          </cell>
          <cell r="P119">
            <v>18.805344721560498</v>
          </cell>
          <cell r="Q119">
            <v>18.805344721560498</v>
          </cell>
          <cell r="R119">
            <v>18.805344721560498</v>
          </cell>
          <cell r="S119">
            <v>18.805344721560498</v>
          </cell>
          <cell r="T119">
            <v>18.805344721560498</v>
          </cell>
          <cell r="U119">
            <v>18.805344721560498</v>
          </cell>
          <cell r="V119">
            <v>18.805344721560498</v>
          </cell>
          <cell r="W119">
            <v>18.805344721560498</v>
          </cell>
          <cell r="X119">
            <v>18.805344721560498</v>
          </cell>
          <cell r="Y119">
            <v>18.805344721560498</v>
          </cell>
          <cell r="Z119">
            <v>18.805344721560498</v>
          </cell>
          <cell r="AA119">
            <v>18.805344721560498</v>
          </cell>
          <cell r="AB119">
            <v>18.805344721560498</v>
          </cell>
          <cell r="AC119">
            <v>18.805344721560498</v>
          </cell>
          <cell r="AD119">
            <v>18.805344721560498</v>
          </cell>
          <cell r="AE119">
            <v>18.805344721560498</v>
          </cell>
          <cell r="AF119">
            <v>18.805344721560498</v>
          </cell>
          <cell r="AG119">
            <v>18.805344721560498</v>
          </cell>
          <cell r="AH119">
            <v>18.805344721560498</v>
          </cell>
          <cell r="AI119">
            <v>18.805344721560498</v>
          </cell>
          <cell r="AJ119">
            <v>18.805344721560498</v>
          </cell>
          <cell r="AK119">
            <v>18.805344721560498</v>
          </cell>
          <cell r="AL119">
            <v>18.805344721560498</v>
          </cell>
          <cell r="AM119">
            <v>18.805344721560498</v>
          </cell>
          <cell r="AN119">
            <v>18.805344721560498</v>
          </cell>
          <cell r="AO119">
            <v>18.805344721560498</v>
          </cell>
          <cell r="AP119">
            <v>18.805344721560498</v>
          </cell>
          <cell r="AQ119">
            <v>18.805344721560498</v>
          </cell>
          <cell r="AR119">
            <v>18.805344721560498</v>
          </cell>
          <cell r="AS119">
            <v>18.805344721560498</v>
          </cell>
          <cell r="AT119">
            <v>18.805344721560498</v>
          </cell>
          <cell r="AU119">
            <v>18.805344721560498</v>
          </cell>
          <cell r="AV119">
            <v>18.805344721560498</v>
          </cell>
          <cell r="AW119">
            <v>18.805344721560498</v>
          </cell>
          <cell r="AX119">
            <v>18.805344721560498</v>
          </cell>
          <cell r="AY119">
            <v>18.805344721560498</v>
          </cell>
          <cell r="AZ119">
            <v>18.805344721560498</v>
          </cell>
          <cell r="BA119">
            <v>18.805344721560498</v>
          </cell>
          <cell r="BB119">
            <v>18.805344721560498</v>
          </cell>
          <cell r="BC119">
            <v>18.805344721560498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8.4970889915995134</v>
          </cell>
          <cell r="D148">
            <v>8.5370253098600308</v>
          </cell>
          <cell r="E148">
            <v>8.5771493288163736</v>
          </cell>
          <cell r="F148">
            <v>8.6174619306618094</v>
          </cell>
          <cell r="G148">
            <v>8.6579640017359178</v>
          </cell>
          <cell r="H148">
            <v>8.6986564325440767</v>
          </cell>
          <cell r="I148">
            <v>8.7395401177770342</v>
          </cell>
          <cell r="J148">
            <v>8.7806159563305854</v>
          </cell>
          <cell r="K148">
            <v>8.8218848513253381</v>
          </cell>
          <cell r="L148">
            <v>8.8633477101265647</v>
          </cell>
          <cell r="M148">
            <v>8.9050054443641589</v>
          </cell>
          <cell r="N148">
            <v>8.9468589699526699</v>
          </cell>
          <cell r="O148">
            <v>8.9889092071114458</v>
          </cell>
          <cell r="P148">
            <v>9.0311570803848706</v>
          </cell>
          <cell r="Q148">
            <v>9.0736035186626793</v>
          </cell>
          <cell r="R148">
            <v>9.1162494552003928</v>
          </cell>
          <cell r="S148">
            <v>9.1590958276398329</v>
          </cell>
          <cell r="T148">
            <v>9.2021435780297391</v>
          </cell>
          <cell r="U148">
            <v>9.2453936528464791</v>
          </cell>
          <cell r="V148">
            <v>9.2888470030148564</v>
          </cell>
          <cell r="W148">
            <v>9.3325045839290244</v>
          </cell>
          <cell r="X148">
            <v>9.3763673554734908</v>
          </cell>
          <cell r="Y148">
            <v>9.420436282044216</v>
          </cell>
          <cell r="Z148">
            <v>9.4647123325698246</v>
          </cell>
          <cell r="AA148">
            <v>9.5091964805328999</v>
          </cell>
          <cell r="AB148">
            <v>9.5538897039914037</v>
          </cell>
          <cell r="AC148">
            <v>9.5987929856001628</v>
          </cell>
          <cell r="AD148">
            <v>9.6439073126324821</v>
          </cell>
          <cell r="AE148">
            <v>9.6892336770018552</v>
          </cell>
          <cell r="AF148">
            <v>9.734773075283762</v>
          </cell>
          <cell r="AG148">
            <v>9.7805265087375961</v>
          </cell>
          <cell r="AH148">
            <v>9.8264949833286632</v>
          </cell>
          <cell r="AI148">
            <v>9.8726795097503057</v>
          </cell>
          <cell r="AJ148">
            <v>9.9190811034461319</v>
          </cell>
          <cell r="AK148">
            <v>9.9657007846323271</v>
          </cell>
          <cell r="AL148">
            <v>10.012539578320101</v>
          </cell>
          <cell r="AM148">
            <v>10.059598514338205</v>
          </cell>
          <cell r="AN148">
            <v>10.106878627355593</v>
          </cell>
          <cell r="AO148">
            <v>10.154380956904163</v>
          </cell>
          <cell r="AP148">
            <v>10.202106547401613</v>
          </cell>
          <cell r="AQ148">
            <v>10.250056448174398</v>
          </cell>
          <cell r="AR148">
            <v>10.298231713480815</v>
          </cell>
          <cell r="AS148">
            <v>10.346633402534176</v>
          </cell>
          <cell r="AT148">
            <v>10.395262579526086</v>
          </cell>
          <cell r="AU148">
            <v>10.444120313649858</v>
          </cell>
          <cell r="AV148">
            <v>10.493207679124012</v>
          </cell>
          <cell r="AW148">
            <v>10.542525755215895</v>
          </cell>
          <cell r="AX148">
            <v>10.592075626265407</v>
          </cell>
          <cell r="AY148">
            <v>10.641858381708854</v>
          </cell>
          <cell r="AZ148">
            <v>10.691875116102889</v>
          </cell>
          <cell r="BA148">
            <v>10.74212692914857</v>
          </cell>
          <cell r="BB148">
            <v>10.792614925715569</v>
          </cell>
          <cell r="BC148">
            <v>10.84334021586643</v>
          </cell>
        </row>
        <row r="149">
          <cell r="B149" t="str">
            <v>Receita do Ente Público pela disposição do RPU</v>
          </cell>
          <cell r="C149">
            <v>2.0363138001268095</v>
          </cell>
          <cell r="D149">
            <v>2.0458844749874054</v>
          </cell>
          <cell r="E149">
            <v>2.055500132019846</v>
          </cell>
          <cell r="F149">
            <v>2.065160982640339</v>
          </cell>
          <cell r="G149">
            <v>2.0748672392587486</v>
          </cell>
          <cell r="H149">
            <v>2.0846191152832647</v>
          </cell>
          <cell r="I149">
            <v>2.0944168251250961</v>
          </cell>
          <cell r="J149">
            <v>2.1042605842031841</v>
          </cell>
          <cell r="K149">
            <v>2.1141506089489388</v>
          </cell>
          <cell r="L149">
            <v>2.1240871168109985</v>
          </cell>
          <cell r="M149">
            <v>2.13407032626001</v>
          </cell>
          <cell r="N149">
            <v>2.1441004567934319</v>
          </cell>
          <cell r="O149">
            <v>2.1541777289403607</v>
          </cell>
          <cell r="P149">
            <v>2.1643023642663803</v>
          </cell>
          <cell r="Q149">
            <v>2.174474585378432</v>
          </cell>
          <cell r="R149">
            <v>2.1846946159297103</v>
          </cell>
          <cell r="S149">
            <v>2.1949626806245797</v>
          </cell>
          <cell r="T149">
            <v>2.2052790052235149</v>
          </cell>
          <cell r="U149">
            <v>2.2156438165480652</v>
          </cell>
          <cell r="V149">
            <v>2.226057342485841</v>
          </cell>
          <cell r="W149">
            <v>2.2365198119955241</v>
          </cell>
          <cell r="X149">
            <v>2.2470314551119031</v>
          </cell>
          <cell r="Y149">
            <v>2.2575925029509287</v>
          </cell>
          <cell r="Z149">
            <v>2.2682031877147981</v>
          </cell>
          <cell r="AA149">
            <v>2.2788637426970575</v>
          </cell>
          <cell r="AB149">
            <v>2.2895744022877333</v>
          </cell>
          <cell r="AC149">
            <v>2.3003354019784856</v>
          </cell>
          <cell r="AD149">
            <v>2.3111469783677845</v>
          </cell>
          <cell r="AE149">
            <v>2.3220093691661128</v>
          </cell>
          <cell r="AF149">
            <v>2.3329228132011934</v>
          </cell>
          <cell r="AG149">
            <v>2.343887550423239</v>
          </cell>
          <cell r="AH149">
            <v>2.3549038219102281</v>
          </cell>
          <cell r="AI149">
            <v>2.365971869873206</v>
          </cell>
          <cell r="AJ149">
            <v>2.3770919376616098</v>
          </cell>
          <cell r="AK149">
            <v>2.3882642697686189</v>
          </cell>
          <cell r="AL149">
            <v>2.3994891118365311</v>
          </cell>
          <cell r="AM149">
            <v>2.4107667106621626</v>
          </cell>
          <cell r="AN149">
            <v>2.4220973142022748</v>
          </cell>
          <cell r="AO149">
            <v>2.4334811715790252</v>
          </cell>
          <cell r="AP149">
            <v>2.4449185330854464</v>
          </cell>
          <cell r="AQ149">
            <v>2.4564096501909476</v>
          </cell>
          <cell r="AR149">
            <v>2.4679547755468447</v>
          </cell>
          <cell r="AS149">
            <v>2.4795541629919149</v>
          </cell>
          <cell r="AT149">
            <v>2.4912080675579769</v>
          </cell>
          <cell r="AU149">
            <v>2.502916745475499</v>
          </cell>
          <cell r="AV149">
            <v>2.5146804541792336</v>
          </cell>
          <cell r="AW149">
            <v>2.526499452313876</v>
          </cell>
          <cell r="AX149">
            <v>2.538373999739751</v>
          </cell>
          <cell r="AY149">
            <v>2.5503043575385278</v>
          </cell>
          <cell r="AZ149">
            <v>2.5622907880189585</v>
          </cell>
          <cell r="BA149">
            <v>2.5743335547226476</v>
          </cell>
          <cell r="BB149">
            <v>2.5864329224298439</v>
          </cell>
          <cell r="BC149">
            <v>2.598589157165264</v>
          </cell>
        </row>
        <row r="153">
          <cell r="C153">
            <v>-27.191994100292977</v>
          </cell>
          <cell r="D153">
            <v>-27.67929156784712</v>
          </cell>
          <cell r="E153">
            <v>-37.406248917534207</v>
          </cell>
          <cell r="F153">
            <v>-10.187882790898689</v>
          </cell>
          <cell r="G153">
            <v>-10.14738071982458</v>
          </cell>
          <cell r="H153">
            <v>-10.106688289016422</v>
          </cell>
          <cell r="I153">
            <v>-10.065804603783464</v>
          </cell>
          <cell r="J153">
            <v>-10.024728765229913</v>
          </cell>
          <cell r="K153">
            <v>-9.9834598702351602</v>
          </cell>
          <cell r="L153">
            <v>-9.9419970114339336</v>
          </cell>
          <cell r="M153">
            <v>-9.9003392771963394</v>
          </cell>
          <cell r="N153">
            <v>-9.8584857516078284</v>
          </cell>
          <cell r="O153">
            <v>-9.8164355144490525</v>
          </cell>
          <cell r="P153">
            <v>-9.7741876411756277</v>
          </cell>
          <cell r="Q153">
            <v>-9.731741202897819</v>
          </cell>
          <cell r="R153">
            <v>-9.6890952663601055</v>
          </cell>
          <cell r="S153">
            <v>-9.6462488939206654</v>
          </cell>
          <cell r="T153">
            <v>-9.6032011435307592</v>
          </cell>
          <cell r="U153">
            <v>-9.5599510687140192</v>
          </cell>
          <cell r="V153">
            <v>-9.5164977185456419</v>
          </cell>
          <cell r="W153">
            <v>-9.4728401376314739</v>
          </cell>
          <cell r="X153">
            <v>-9.4289773660870075</v>
          </cell>
          <cell r="Y153">
            <v>-9.3849084395162823</v>
          </cell>
          <cell r="Z153">
            <v>-9.3406323889906737</v>
          </cell>
          <cell r="AA153">
            <v>-9.2961482410275984</v>
          </cell>
          <cell r="AB153">
            <v>-9.2514550175690946</v>
          </cell>
          <cell r="AC153">
            <v>-9.2065517359603355</v>
          </cell>
          <cell r="AD153">
            <v>-9.1614374089280162</v>
          </cell>
          <cell r="AE153">
            <v>-9.1161110445586431</v>
          </cell>
          <cell r="AF153">
            <v>-9.0705716462767363</v>
          </cell>
          <cell r="AG153">
            <v>-9.0248182128229022</v>
          </cell>
          <cell r="AH153">
            <v>-8.9788497382318351</v>
          </cell>
          <cell r="AI153">
            <v>-8.9326652118101926</v>
          </cell>
          <cell r="AJ153">
            <v>-8.8862636181143664</v>
          </cell>
          <cell r="AK153">
            <v>-8.8396439369281712</v>
          </cell>
          <cell r="AL153">
            <v>-8.7928051432403969</v>
          </cell>
          <cell r="AM153">
            <v>-8.7457462072222931</v>
          </cell>
          <cell r="AN153">
            <v>-8.698466094204905</v>
          </cell>
          <cell r="AO153">
            <v>-8.6509637646563355</v>
          </cell>
          <cell r="AP153">
            <v>-8.6032381741588857</v>
          </cell>
          <cell r="AQ153">
            <v>-8.5552882733861004</v>
          </cell>
          <cell r="AR153">
            <v>-8.5071130080796831</v>
          </cell>
          <cell r="AS153">
            <v>-8.4587113190263228</v>
          </cell>
          <cell r="AT153">
            <v>-8.4100821420344118</v>
          </cell>
          <cell r="AU153">
            <v>-8.3612244079106404</v>
          </cell>
          <cell r="AV153">
            <v>-8.3121370424364862</v>
          </cell>
          <cell r="AW153">
            <v>-8.2628189663446037</v>
          </cell>
          <cell r="AX153">
            <v>-8.2132690952950913</v>
          </cell>
          <cell r="AY153">
            <v>-8.1634863398516444</v>
          </cell>
          <cell r="AZ153">
            <v>-8.1134696054576096</v>
          </cell>
          <cell r="BA153">
            <v>-8.0632177924119279</v>
          </cell>
          <cell r="BB153">
            <v>-8.0127297958449297</v>
          </cell>
          <cell r="BC153">
            <v>-7.9620045056940683</v>
          </cell>
        </row>
        <row r="156">
          <cell r="C156">
            <v>-27.191994100292977</v>
          </cell>
          <cell r="D156">
            <v>-27.67929156784712</v>
          </cell>
          <cell r="E156">
            <v>-37.406248917534207</v>
          </cell>
          <cell r="F156">
            <v>-10.187882790898689</v>
          </cell>
          <cell r="G156">
            <v>-10.14738071982458</v>
          </cell>
          <cell r="H156">
            <v>-10.106688289016422</v>
          </cell>
          <cell r="I156">
            <v>-10.065804603783464</v>
          </cell>
          <cell r="J156">
            <v>-10.024728765229913</v>
          </cell>
          <cell r="K156">
            <v>-9.9834598702351602</v>
          </cell>
          <cell r="L156">
            <v>-9.9419970114339336</v>
          </cell>
          <cell r="M156">
            <v>-9.9003392771963394</v>
          </cell>
          <cell r="N156">
            <v>-9.8584857516078284</v>
          </cell>
          <cell r="O156">
            <v>-9.8164355144490525</v>
          </cell>
          <cell r="P156">
            <v>-9.7741876411756277</v>
          </cell>
          <cell r="Q156">
            <v>-9.731741202897819</v>
          </cell>
          <cell r="R156">
            <v>-9.6890952663601055</v>
          </cell>
          <cell r="S156">
            <v>-9.6462488939206654</v>
          </cell>
          <cell r="T156">
            <v>-9.6032011435307592</v>
          </cell>
          <cell r="U156">
            <v>-9.5599510687140192</v>
          </cell>
          <cell r="V156">
            <v>-9.5164977185456419</v>
          </cell>
          <cell r="W156">
            <v>-9.4728401376314739</v>
          </cell>
          <cell r="X156">
            <v>-9.4289773660870075</v>
          </cell>
          <cell r="Y156">
            <v>-9.3849084395162823</v>
          </cell>
          <cell r="Z156">
            <v>-9.3406323889906737</v>
          </cell>
          <cell r="AA156">
            <v>-9.2961482410275984</v>
          </cell>
          <cell r="AB156">
            <v>-9.2514550175690946</v>
          </cell>
          <cell r="AC156">
            <v>-9.2065517359603355</v>
          </cell>
          <cell r="AD156">
            <v>-9.1614374089280162</v>
          </cell>
          <cell r="AE156">
            <v>-9.1161110445586431</v>
          </cell>
          <cell r="AF156">
            <v>-9.0705716462767363</v>
          </cell>
          <cell r="AG156">
            <v>-9.0248182128229022</v>
          </cell>
          <cell r="AH156">
            <v>-8.9788497382318351</v>
          </cell>
          <cell r="AI156">
            <v>-8.9326652118101926</v>
          </cell>
          <cell r="AJ156">
            <v>-8.8862636181143664</v>
          </cell>
          <cell r="AK156">
            <v>-8.8396439369281712</v>
          </cell>
          <cell r="AL156">
            <v>-8.7928051432403969</v>
          </cell>
          <cell r="AM156">
            <v>-8.7457462072222931</v>
          </cell>
          <cell r="AN156">
            <v>-8.698466094204905</v>
          </cell>
          <cell r="AO156">
            <v>-8.6509637646563355</v>
          </cell>
          <cell r="AP156">
            <v>-8.6032381741588857</v>
          </cell>
          <cell r="AQ156">
            <v>-8.5552882733861004</v>
          </cell>
          <cell r="AR156">
            <v>-8.5071130080796831</v>
          </cell>
          <cell r="AS156">
            <v>-8.4587113190263228</v>
          </cell>
          <cell r="AT156">
            <v>-8.4100821420344118</v>
          </cell>
          <cell r="AU156">
            <v>-8.3612244079106404</v>
          </cell>
          <cell r="AV156">
            <v>-8.3121370424364862</v>
          </cell>
          <cell r="AW156">
            <v>-8.2628189663446037</v>
          </cell>
          <cell r="AX156">
            <v>-8.2132690952950913</v>
          </cell>
          <cell r="AY156">
            <v>-8.1634863398516444</v>
          </cell>
          <cell r="AZ156">
            <v>-8.1134696054576096</v>
          </cell>
          <cell r="BA156">
            <v>-8.0632177924119279</v>
          </cell>
          <cell r="BB156">
            <v>-8.0127297958449297</v>
          </cell>
          <cell r="BC156">
            <v>-7.9620045056940683</v>
          </cell>
        </row>
        <row r="157">
          <cell r="C157">
            <v>-27.191994100292977</v>
          </cell>
          <cell r="D157">
            <v>-54.871285668140096</v>
          </cell>
          <cell r="E157">
            <v>-92.277534585674303</v>
          </cell>
          <cell r="F157">
            <v>-102.46541737657299</v>
          </cell>
          <cell r="G157">
            <v>-112.61279809639757</v>
          </cell>
          <cell r="H157">
            <v>-122.71948638541399</v>
          </cell>
          <cell r="I157">
            <v>-132.78529098919745</v>
          </cell>
          <cell r="J157">
            <v>-142.81001975442737</v>
          </cell>
          <cell r="K157">
            <v>-152.79347962466252</v>
          </cell>
          <cell r="L157">
            <v>-162.73547663609645</v>
          </cell>
          <cell r="M157">
            <v>-172.63581591329279</v>
          </cell>
          <cell r="N157">
            <v>-182.4943016649006</v>
          </cell>
          <cell r="O157">
            <v>-192.31073717934964</v>
          </cell>
          <cell r="P157">
            <v>-202.08492482052526</v>
          </cell>
          <cell r="Q157">
            <v>-211.81666602342307</v>
          </cell>
          <cell r="R157">
            <v>-221.50576128978318</v>
          </cell>
          <cell r="S157">
            <v>-231.15201018370385</v>
          </cell>
          <cell r="T157">
            <v>-240.7552113272346</v>
          </cell>
          <cell r="U157">
            <v>-250.31516239594862</v>
          </cell>
          <cell r="V157">
            <v>-259.83166011449424</v>
          </cell>
          <cell r="W157">
            <v>-269.30450025212571</v>
          </cell>
          <cell r="X157">
            <v>-278.7334776182127</v>
          </cell>
          <cell r="Y157">
            <v>-288.11838605772897</v>
          </cell>
          <cell r="Z157">
            <v>-297.45901844671965</v>
          </cell>
          <cell r="AA157">
            <v>-306.75516668774725</v>
          </cell>
          <cell r="AB157">
            <v>-316.00662170531632</v>
          </cell>
          <cell r="AC157">
            <v>-325.21317344127664</v>
          </cell>
          <cell r="AD157">
            <v>-334.37461085020465</v>
          </cell>
          <cell r="AE157">
            <v>-343.49072189476328</v>
          </cell>
          <cell r="AF157">
            <v>-352.56129354104002</v>
          </cell>
          <cell r="AG157">
            <v>-361.58611175386289</v>
          </cell>
          <cell r="AH157">
            <v>-370.56496149209471</v>
          </cell>
          <cell r="AI157">
            <v>-379.49762670390493</v>
          </cell>
          <cell r="AJ157">
            <v>-388.38389032201928</v>
          </cell>
          <cell r="AK157">
            <v>-397.22353425894744</v>
          </cell>
          <cell r="AL157">
            <v>-406.01633940218784</v>
          </cell>
          <cell r="AM157">
            <v>-414.76208560941012</v>
          </cell>
          <cell r="AN157">
            <v>-423.46055170361501</v>
          </cell>
          <cell r="AO157">
            <v>-432.11151546827136</v>
          </cell>
          <cell r="AP157">
            <v>-440.71475364243025</v>
          </cell>
          <cell r="AQ157">
            <v>-449.27004191581636</v>
          </cell>
          <cell r="AR157">
            <v>-457.77715492389603</v>
          </cell>
          <cell r="AS157">
            <v>-466.23586624292238</v>
          </cell>
          <cell r="AT157">
            <v>-474.6459483849568</v>
          </cell>
          <cell r="AU157">
            <v>-483.00717279286744</v>
          </cell>
          <cell r="AV157">
            <v>-491.3193098353039</v>
          </cell>
          <cell r="AW157">
            <v>-499.58212880164848</v>
          </cell>
          <cell r="AX157">
            <v>-507.7953978969436</v>
          </cell>
          <cell r="AY157">
            <v>-515.95888423679526</v>
          </cell>
          <cell r="AZ157">
            <v>-524.07235384225282</v>
          </cell>
          <cell r="BA157">
            <v>-532.13557163466476</v>
          </cell>
          <cell r="BB157">
            <v>-540.14830143050972</v>
          </cell>
          <cell r="BC157">
            <v>-548.11030593620376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20.789768783283296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0.79469185919586949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35.562701200000006</v>
          </cell>
        </row>
        <row r="50">
          <cell r="G50">
            <v>43.315546950000012</v>
          </cell>
        </row>
        <row r="51">
          <cell r="G51">
            <v>22.781751849999988</v>
          </cell>
        </row>
        <row r="64">
          <cell r="D64">
            <v>8.1073850000000007</v>
          </cell>
        </row>
        <row r="69">
          <cell r="D69">
            <v>0</v>
          </cell>
        </row>
        <row r="73">
          <cell r="D73">
            <v>35.208161950000012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11095.562774400001</v>
          </cell>
        </row>
        <row r="31">
          <cell r="D31">
            <v>50.5</v>
          </cell>
          <cell r="H31">
            <v>154.96754328356084</v>
          </cell>
        </row>
        <row r="32">
          <cell r="D32">
            <v>35</v>
          </cell>
        </row>
        <row r="33">
          <cell r="D33">
            <v>292.94394556662456</v>
          </cell>
          <cell r="H33">
            <v>318.85362727861343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406.53190206829277</v>
          </cell>
          <cell r="P73">
            <v>154.96754328356084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28.889114116753916</v>
          </cell>
          <cell r="D63">
            <v>27.83788511364223</v>
          </cell>
          <cell r="E63">
            <v>38.65727500823656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5.007877849569824</v>
          </cell>
          <cell r="D119">
            <v>5.007877849569824</v>
          </cell>
          <cell r="E119">
            <v>5.007877849569824</v>
          </cell>
          <cell r="F119">
            <v>17.886602858577039</v>
          </cell>
          <cell r="G119">
            <v>17.886602858577039</v>
          </cell>
          <cell r="H119">
            <v>17.886602858577039</v>
          </cell>
          <cell r="I119">
            <v>17.886602858577039</v>
          </cell>
          <cell r="J119">
            <v>17.886602858577039</v>
          </cell>
          <cell r="K119">
            <v>17.886602858577039</v>
          </cell>
          <cell r="L119">
            <v>17.886602858577039</v>
          </cell>
          <cell r="M119">
            <v>17.886602858577039</v>
          </cell>
          <cell r="N119">
            <v>17.886602858577039</v>
          </cell>
          <cell r="O119">
            <v>17.886602858577039</v>
          </cell>
          <cell r="P119">
            <v>17.886602858577039</v>
          </cell>
          <cell r="Q119">
            <v>17.886602858577039</v>
          </cell>
          <cell r="R119">
            <v>17.886602858577039</v>
          </cell>
          <cell r="S119">
            <v>17.886602858577039</v>
          </cell>
          <cell r="T119">
            <v>17.886602858577039</v>
          </cell>
          <cell r="U119">
            <v>17.886602858577039</v>
          </cell>
          <cell r="V119">
            <v>17.886602858577039</v>
          </cell>
          <cell r="W119">
            <v>17.886602858577039</v>
          </cell>
          <cell r="X119">
            <v>17.886602858577039</v>
          </cell>
          <cell r="Y119">
            <v>17.886602858577039</v>
          </cell>
          <cell r="Z119">
            <v>17.886602858577039</v>
          </cell>
          <cell r="AA119">
            <v>17.886602858577039</v>
          </cell>
          <cell r="AB119">
            <v>17.886602858577039</v>
          </cell>
          <cell r="AC119">
            <v>17.886602858577039</v>
          </cell>
          <cell r="AD119">
            <v>17.886602858577039</v>
          </cell>
          <cell r="AE119">
            <v>17.886602858577039</v>
          </cell>
          <cell r="AF119">
            <v>17.886602858577039</v>
          </cell>
          <cell r="AG119">
            <v>17.886602858577039</v>
          </cell>
          <cell r="AH119">
            <v>17.886602858577039</v>
          </cell>
          <cell r="AI119">
            <v>17.886602858577039</v>
          </cell>
          <cell r="AJ119">
            <v>17.886602858577039</v>
          </cell>
          <cell r="AK119">
            <v>17.886602858577039</v>
          </cell>
          <cell r="AL119">
            <v>17.886602858577039</v>
          </cell>
          <cell r="AM119">
            <v>17.886602858577039</v>
          </cell>
          <cell r="AN119">
            <v>17.886602858577039</v>
          </cell>
          <cell r="AO119">
            <v>17.886602858577039</v>
          </cell>
          <cell r="AP119">
            <v>17.886602858577039</v>
          </cell>
          <cell r="AQ119">
            <v>17.886602858577039</v>
          </cell>
          <cell r="AR119">
            <v>17.886602858577039</v>
          </cell>
          <cell r="AS119">
            <v>17.886602858577039</v>
          </cell>
          <cell r="AT119">
            <v>17.886602858577039</v>
          </cell>
          <cell r="AU119">
            <v>17.886602858577039</v>
          </cell>
          <cell r="AV119">
            <v>17.886602858577039</v>
          </cell>
          <cell r="AW119">
            <v>17.886602858577039</v>
          </cell>
          <cell r="AX119">
            <v>17.886602858577039</v>
          </cell>
          <cell r="AY119">
            <v>17.886602858577039</v>
          </cell>
          <cell r="AZ119">
            <v>17.886602858577039</v>
          </cell>
          <cell r="BA119">
            <v>17.886602858577039</v>
          </cell>
          <cell r="BB119">
            <v>17.886602858577039</v>
          </cell>
          <cell r="BC119">
            <v>17.886602858577039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10.061254364965553</v>
          </cell>
          <cell r="D148">
            <v>10.108542260480888</v>
          </cell>
          <cell r="E148">
            <v>10.156052409105151</v>
          </cell>
          <cell r="F148">
            <v>10.203785855427943</v>
          </cell>
          <cell r="G148">
            <v>10.251743648948453</v>
          </cell>
          <cell r="H148">
            <v>10.299926844098511</v>
          </cell>
          <cell r="I148">
            <v>10.348336500265772</v>
          </cell>
          <cell r="J148">
            <v>10.396973681817022</v>
          </cell>
          <cell r="K148">
            <v>10.445839458121561</v>
          </cell>
          <cell r="L148">
            <v>10.49493490357473</v>
          </cell>
          <cell r="M148">
            <v>10.544261097621531</v>
          </cell>
          <cell r="N148">
            <v>10.593819124780353</v>
          </cell>
          <cell r="O148">
            <v>10.643610074666817</v>
          </cell>
          <cell r="P148">
            <v>10.69363504201775</v>
          </cell>
          <cell r="Q148">
            <v>10.743895126715234</v>
          </cell>
          <cell r="R148">
            <v>10.794391433810796</v>
          </cell>
          <cell r="S148">
            <v>10.845125073549704</v>
          </cell>
          <cell r="T148">
            <v>10.896097161395387</v>
          </cell>
          <cell r="U148">
            <v>10.947308818053944</v>
          </cell>
          <cell r="V148">
            <v>10.998761169498795</v>
          </cell>
          <cell r="W148">
            <v>11.050455346995442</v>
          </cell>
          <cell r="X148">
            <v>11.10239248712632</v>
          </cell>
          <cell r="Y148">
            <v>11.154573731815811</v>
          </cell>
          <cell r="Z148">
            <v>11.207000228355344</v>
          </cell>
          <cell r="AA148">
            <v>11.259673129428613</v>
          </cell>
          <cell r="AB148">
            <v>11.312593593136928</v>
          </cell>
          <cell r="AC148">
            <v>11.365762783024671</v>
          </cell>
          <cell r="AD148">
            <v>11.419181868104886</v>
          </cell>
          <cell r="AE148">
            <v>11.472852022884977</v>
          </cell>
          <cell r="AF148">
            <v>11.526774427392535</v>
          </cell>
          <cell r="AG148">
            <v>11.580950267201279</v>
          </cell>
          <cell r="AH148">
            <v>11.635380733457126</v>
          </cell>
          <cell r="AI148">
            <v>11.690067022904374</v>
          </cell>
          <cell r="AJ148">
            <v>11.745010337912023</v>
          </cell>
          <cell r="AK148">
            <v>11.800211886500211</v>
          </cell>
          <cell r="AL148">
            <v>11.855672882366759</v>
          </cell>
          <cell r="AM148">
            <v>11.911394544913882</v>
          </cell>
          <cell r="AN148">
            <v>11.967378099274979</v>
          </cell>
          <cell r="AO148">
            <v>12.023624776341569</v>
          </cell>
          <cell r="AP148">
            <v>12.080135812790372</v>
          </cell>
          <cell r="AQ148">
            <v>12.136912451110485</v>
          </cell>
          <cell r="AR148">
            <v>12.193955939630705</v>
          </cell>
          <cell r="AS148">
            <v>12.251267532546969</v>
          </cell>
          <cell r="AT148">
            <v>12.308848489949938</v>
          </cell>
          <cell r="AU148">
            <v>12.3667000778527</v>
          </cell>
          <cell r="AV148">
            <v>12.42482356821861</v>
          </cell>
          <cell r="AW148">
            <v>12.483220238989235</v>
          </cell>
          <cell r="AX148">
            <v>12.541891374112485</v>
          </cell>
          <cell r="AY148">
            <v>12.600838263570814</v>
          </cell>
          <cell r="AZ148">
            <v>12.660062203409597</v>
          </cell>
          <cell r="BA148">
            <v>12.719564495765621</v>
          </cell>
          <cell r="BB148">
            <v>12.779346448895719</v>
          </cell>
          <cell r="BC148">
            <v>12.839409377205527</v>
          </cell>
        </row>
        <row r="149">
          <cell r="B149" t="str">
            <v>Receita do Ente Público pela disposição do RPU</v>
          </cell>
          <cell r="C149">
            <v>2.0937308347692354</v>
          </cell>
          <cell r="D149">
            <v>2.1035713696926508</v>
          </cell>
          <cell r="E149">
            <v>2.1134581551302061</v>
          </cell>
          <cell r="F149">
            <v>2.1233914084593177</v>
          </cell>
          <cell r="G149">
            <v>2.1333713480790766</v>
          </cell>
          <cell r="H149">
            <v>2.1433981934150479</v>
          </cell>
          <cell r="I149">
            <v>2.1534721649240987</v>
          </cell>
          <cell r="J149">
            <v>2.1635934840992417</v>
          </cell>
          <cell r="K149">
            <v>2.1737623734745082</v>
          </cell>
          <cell r="L149">
            <v>2.183979056629838</v>
          </cell>
          <cell r="M149">
            <v>2.1942437581959982</v>
          </cell>
          <cell r="N149">
            <v>2.2045567038595193</v>
          </cell>
          <cell r="O149">
            <v>2.2149181203676589</v>
          </cell>
          <cell r="P149">
            <v>2.2253282355333868</v>
          </cell>
          <cell r="Q149">
            <v>2.2357872782403936</v>
          </cell>
          <cell r="R149">
            <v>2.2462954784481233</v>
          </cell>
          <cell r="S149">
            <v>2.2568530671968294</v>
          </cell>
          <cell r="T149">
            <v>2.2674602766126544</v>
          </cell>
          <cell r="U149">
            <v>2.2781173399127335</v>
          </cell>
          <cell r="V149">
            <v>2.2888244914103231</v>
          </cell>
          <cell r="W149">
            <v>2.2995819665199515</v>
          </cell>
          <cell r="X149">
            <v>2.3103900017625949</v>
          </cell>
          <cell r="Y149">
            <v>2.3212488347708788</v>
          </cell>
          <cell r="Z149">
            <v>2.3321587042943017</v>
          </cell>
          <cell r="AA149">
            <v>2.3431198502044848</v>
          </cell>
          <cell r="AB149">
            <v>2.3541325135004456</v>
          </cell>
          <cell r="AC149">
            <v>2.3651969363138976</v>
          </cell>
          <cell r="AD149">
            <v>2.3763133619145727</v>
          </cell>
          <cell r="AE149">
            <v>2.3874820347155712</v>
          </cell>
          <cell r="AF149">
            <v>2.3987032002787343</v>
          </cell>
          <cell r="AG149">
            <v>2.4099771053200443</v>
          </cell>
          <cell r="AH149">
            <v>2.4213039977150483</v>
          </cell>
          <cell r="AI149">
            <v>2.4326841265043089</v>
          </cell>
          <cell r="AJ149">
            <v>2.4441177418988791</v>
          </cell>
          <cell r="AK149">
            <v>2.4556050952858035</v>
          </cell>
          <cell r="AL149">
            <v>2.4671464392336464</v>
          </cell>
          <cell r="AM149">
            <v>2.4787420274980443</v>
          </cell>
          <cell r="AN149">
            <v>2.490392115027285</v>
          </cell>
          <cell r="AO149">
            <v>2.5020969579679129</v>
          </cell>
          <cell r="AP149">
            <v>2.5138568136703618</v>
          </cell>
          <cell r="AQ149">
            <v>2.5256719406946124</v>
          </cell>
          <cell r="AR149">
            <v>2.5375425988158771</v>
          </cell>
          <cell r="AS149">
            <v>2.5494690490303116</v>
          </cell>
          <cell r="AT149">
            <v>2.561451553560754</v>
          </cell>
          <cell r="AU149">
            <v>2.5734903758624892</v>
          </cell>
          <cell r="AV149">
            <v>2.5855857806290428</v>
          </cell>
          <cell r="AW149">
            <v>2.5977380337979992</v>
          </cell>
          <cell r="AX149">
            <v>2.6099474025568496</v>
          </cell>
          <cell r="AY149">
            <v>2.6222141553488667</v>
          </cell>
          <cell r="AZ149">
            <v>2.634538561879006</v>
          </cell>
          <cell r="BA149">
            <v>2.6469208931198374</v>
          </cell>
          <cell r="BB149">
            <v>2.6593614213175005</v>
          </cell>
          <cell r="BC149">
            <v>2.6718604199976927</v>
          </cell>
        </row>
        <row r="153">
          <cell r="C153">
            <v>-23.835737601358186</v>
          </cell>
          <cell r="D153">
            <v>-22.737220702731165</v>
          </cell>
          <cell r="E153">
            <v>-33.509100448701233</v>
          </cell>
          <cell r="F153">
            <v>-7.6828170031490952</v>
          </cell>
          <cell r="G153">
            <v>-7.6348592096285852</v>
          </cell>
          <cell r="H153">
            <v>-7.5866760144785275</v>
          </cell>
          <cell r="I153">
            <v>-7.538266358311267</v>
          </cell>
          <cell r="J153">
            <v>-7.4896291767600172</v>
          </cell>
          <cell r="K153">
            <v>-7.4407634004554772</v>
          </cell>
          <cell r="L153">
            <v>-7.3916679550023083</v>
          </cell>
          <cell r="M153">
            <v>-7.3423417609555077</v>
          </cell>
          <cell r="N153">
            <v>-7.2927837337966857</v>
          </cell>
          <cell r="O153">
            <v>-7.2429927839102213</v>
          </cell>
          <cell r="P153">
            <v>-7.192967816559289</v>
          </cell>
          <cell r="Q153">
            <v>-7.1427077318618046</v>
          </cell>
          <cell r="R153">
            <v>-7.0922114247662424</v>
          </cell>
          <cell r="S153">
            <v>-7.0414777850273342</v>
          </cell>
          <cell r="T153">
            <v>-6.9905056971816517</v>
          </cell>
          <cell r="U153">
            <v>-6.9392940405230945</v>
          </cell>
          <cell r="V153">
            <v>-6.8878416890782432</v>
          </cell>
          <cell r="W153">
            <v>-6.8361475115815971</v>
          </cell>
          <cell r="X153">
            <v>-6.7842103714507189</v>
          </cell>
          <cell r="Y153">
            <v>-6.732029126761228</v>
          </cell>
          <cell r="Z153">
            <v>-6.6796026302216944</v>
          </cell>
          <cell r="AA153">
            <v>-6.6269297291484257</v>
          </cell>
          <cell r="AB153">
            <v>-6.574009265440111</v>
          </cell>
          <cell r="AC153">
            <v>-6.5208400755523677</v>
          </cell>
          <cell r="AD153">
            <v>-6.4674209904721529</v>
          </cell>
          <cell r="AE153">
            <v>-6.4137508356920616</v>
          </cell>
          <cell r="AF153">
            <v>-6.3598284311845035</v>
          </cell>
          <cell r="AG153">
            <v>-6.3056525913757593</v>
          </cell>
          <cell r="AH153">
            <v>-6.2512221251199129</v>
          </cell>
          <cell r="AI153">
            <v>-6.1965358356726643</v>
          </cell>
          <cell r="AJ153">
            <v>-6.1415925206650162</v>
          </cell>
          <cell r="AK153">
            <v>-6.0863909720768277</v>
          </cell>
          <cell r="AL153">
            <v>-6.0309299762102793</v>
          </cell>
          <cell r="AM153">
            <v>-5.9752083136631562</v>
          </cell>
          <cell r="AN153">
            <v>-5.9192247593020593</v>
          </cell>
          <cell r="AO153">
            <v>-5.86297808223547</v>
          </cell>
          <cell r="AP153">
            <v>-5.8064670457866665</v>
          </cell>
          <cell r="AQ153">
            <v>-5.749690407466554</v>
          </cell>
          <cell r="AR153">
            <v>-5.692646918946334</v>
          </cell>
          <cell r="AS153">
            <v>-5.63533532603007</v>
          </cell>
          <cell r="AT153">
            <v>-5.5777543686271009</v>
          </cell>
          <cell r="AU153">
            <v>-5.5199027807243386</v>
          </cell>
          <cell r="AV153">
            <v>-5.4617792903584288</v>
          </cell>
          <cell r="AW153">
            <v>-5.4033826195878039</v>
          </cell>
          <cell r="AX153">
            <v>-5.344711484464554</v>
          </cell>
          <cell r="AY153">
            <v>-5.2857645950062242</v>
          </cell>
          <cell r="AZ153">
            <v>-5.226540655167442</v>
          </cell>
          <cell r="BA153">
            <v>-5.167038362811418</v>
          </cell>
          <cell r="BB153">
            <v>-5.1072564096813196</v>
          </cell>
          <cell r="BC153">
            <v>-5.0471934813715116</v>
          </cell>
        </row>
        <row r="156">
          <cell r="C156">
            <v>-23.835737601358186</v>
          </cell>
          <cell r="D156">
            <v>-22.737220702731165</v>
          </cell>
          <cell r="E156">
            <v>-33.509100448701233</v>
          </cell>
          <cell r="F156">
            <v>-7.6828170031490952</v>
          </cell>
          <cell r="G156">
            <v>-7.6348592096285852</v>
          </cell>
          <cell r="H156">
            <v>-7.5866760144785275</v>
          </cell>
          <cell r="I156">
            <v>-7.538266358311267</v>
          </cell>
          <cell r="J156">
            <v>-7.4896291767600172</v>
          </cell>
          <cell r="K156">
            <v>-7.4407634004554772</v>
          </cell>
          <cell r="L156">
            <v>-7.3916679550023083</v>
          </cell>
          <cell r="M156">
            <v>-7.3423417609555077</v>
          </cell>
          <cell r="N156">
            <v>-7.2927837337966857</v>
          </cell>
          <cell r="O156">
            <v>-7.2429927839102213</v>
          </cell>
          <cell r="P156">
            <v>-7.192967816559289</v>
          </cell>
          <cell r="Q156">
            <v>-7.1427077318618046</v>
          </cell>
          <cell r="R156">
            <v>-7.0922114247662424</v>
          </cell>
          <cell r="S156">
            <v>-7.0414777850273342</v>
          </cell>
          <cell r="T156">
            <v>-6.9905056971816517</v>
          </cell>
          <cell r="U156">
            <v>-6.9392940405230945</v>
          </cell>
          <cell r="V156">
            <v>-6.8878416890782432</v>
          </cell>
          <cell r="W156">
            <v>-6.8361475115815971</v>
          </cell>
          <cell r="X156">
            <v>-6.7842103714507189</v>
          </cell>
          <cell r="Y156">
            <v>-6.732029126761228</v>
          </cell>
          <cell r="Z156">
            <v>-6.6796026302216944</v>
          </cell>
          <cell r="AA156">
            <v>-6.6269297291484257</v>
          </cell>
          <cell r="AB156">
            <v>-6.574009265440111</v>
          </cell>
          <cell r="AC156">
            <v>-6.5208400755523677</v>
          </cell>
          <cell r="AD156">
            <v>-6.4674209904721529</v>
          </cell>
          <cell r="AE156">
            <v>-6.4137508356920616</v>
          </cell>
          <cell r="AF156">
            <v>-6.3598284311845035</v>
          </cell>
          <cell r="AG156">
            <v>-6.3056525913757593</v>
          </cell>
          <cell r="AH156">
            <v>-6.2512221251199129</v>
          </cell>
          <cell r="AI156">
            <v>-6.1965358356726643</v>
          </cell>
          <cell r="AJ156">
            <v>-6.1415925206650162</v>
          </cell>
          <cell r="AK156">
            <v>-6.0863909720768277</v>
          </cell>
          <cell r="AL156">
            <v>-6.0309299762102793</v>
          </cell>
          <cell r="AM156">
            <v>-5.9752083136631562</v>
          </cell>
          <cell r="AN156">
            <v>-5.9192247593020593</v>
          </cell>
          <cell r="AO156">
            <v>-5.86297808223547</v>
          </cell>
          <cell r="AP156">
            <v>-5.8064670457866665</v>
          </cell>
          <cell r="AQ156">
            <v>-5.749690407466554</v>
          </cell>
          <cell r="AR156">
            <v>-5.692646918946334</v>
          </cell>
          <cell r="AS156">
            <v>-5.63533532603007</v>
          </cell>
          <cell r="AT156">
            <v>-5.5777543686271009</v>
          </cell>
          <cell r="AU156">
            <v>-5.5199027807243386</v>
          </cell>
          <cell r="AV156">
            <v>-5.4617792903584288</v>
          </cell>
          <cell r="AW156">
            <v>-5.4033826195878039</v>
          </cell>
          <cell r="AX156">
            <v>-5.344711484464554</v>
          </cell>
          <cell r="AY156">
            <v>-5.2857645950062242</v>
          </cell>
          <cell r="AZ156">
            <v>-5.226540655167442</v>
          </cell>
          <cell r="BA156">
            <v>-5.167038362811418</v>
          </cell>
          <cell r="BB156">
            <v>-5.1072564096813196</v>
          </cell>
          <cell r="BC156">
            <v>-5.0471934813715116</v>
          </cell>
        </row>
        <row r="157">
          <cell r="C157">
            <v>-23.835737601358186</v>
          </cell>
          <cell r="D157">
            <v>-46.572958304089354</v>
          </cell>
          <cell r="E157">
            <v>-80.082058752790587</v>
          </cell>
          <cell r="F157">
            <v>-87.764875755939684</v>
          </cell>
          <cell r="G157">
            <v>-95.399734965568271</v>
          </cell>
          <cell r="H157">
            <v>-102.9864109800468</v>
          </cell>
          <cell r="I157">
            <v>-110.52467733835806</v>
          </cell>
          <cell r="J157">
            <v>-118.01430651511808</v>
          </cell>
          <cell r="K157">
            <v>-125.45506991557356</v>
          </cell>
          <cell r="L157">
            <v>-132.84673787057588</v>
          </cell>
          <cell r="M157">
            <v>-140.1890796315314</v>
          </cell>
          <cell r="N157">
            <v>-147.48186336532808</v>
          </cell>
          <cell r="O157">
            <v>-154.72485614923829</v>
          </cell>
          <cell r="P157">
            <v>-161.9178239657976</v>
          </cell>
          <cell r="Q157">
            <v>-169.0605316976594</v>
          </cell>
          <cell r="R157">
            <v>-176.15274312242565</v>
          </cell>
          <cell r="S157">
            <v>-183.19422090745297</v>
          </cell>
          <cell r="T157">
            <v>-190.18472660463462</v>
          </cell>
          <cell r="U157">
            <v>-197.12402064515771</v>
          </cell>
          <cell r="V157">
            <v>-204.01186233423596</v>
          </cell>
          <cell r="W157">
            <v>-210.84800984581756</v>
          </cell>
          <cell r="X157">
            <v>-217.63222021726827</v>
          </cell>
          <cell r="Y157">
            <v>-224.3642493440295</v>
          </cell>
          <cell r="Z157">
            <v>-231.0438519742512</v>
          </cell>
          <cell r="AA157">
            <v>-237.67078170339963</v>
          </cell>
          <cell r="AB157">
            <v>-244.24479096883974</v>
          </cell>
          <cell r="AC157">
            <v>-250.76563104439211</v>
          </cell>
          <cell r="AD157">
            <v>-257.23305203486427</v>
          </cell>
          <cell r="AE157">
            <v>-263.64680287055631</v>
          </cell>
          <cell r="AF157">
            <v>-270.00663130174081</v>
          </cell>
          <cell r="AG157">
            <v>-276.31228389311656</v>
          </cell>
          <cell r="AH157">
            <v>-282.56350601823647</v>
          </cell>
          <cell r="AI157">
            <v>-288.76004185390912</v>
          </cell>
          <cell r="AJ157">
            <v>-294.90163437457414</v>
          </cell>
          <cell r="AK157">
            <v>-300.98802534665094</v>
          </cell>
          <cell r="AL157">
            <v>-307.01895532286125</v>
          </cell>
          <cell r="AM157">
            <v>-312.99416363652438</v>
          </cell>
          <cell r="AN157">
            <v>-318.91338839582642</v>
          </cell>
          <cell r="AO157">
            <v>-324.7763664780619</v>
          </cell>
          <cell r="AP157">
            <v>-330.58283352384859</v>
          </cell>
          <cell r="AQ157">
            <v>-336.33252393131517</v>
          </cell>
          <cell r="AR157">
            <v>-342.02517085026147</v>
          </cell>
          <cell r="AS157">
            <v>-347.66050617629156</v>
          </cell>
          <cell r="AT157">
            <v>-353.23826054491866</v>
          </cell>
          <cell r="AU157">
            <v>-358.75816332564301</v>
          </cell>
          <cell r="AV157">
            <v>-364.21994261600145</v>
          </cell>
          <cell r="AW157">
            <v>-369.62332523558928</v>
          </cell>
          <cell r="AX157">
            <v>-374.96803672005382</v>
          </cell>
          <cell r="AY157">
            <v>-380.25380131506006</v>
          </cell>
          <cell r="AZ157">
            <v>-385.48034197022753</v>
          </cell>
          <cell r="BA157">
            <v>-390.64738033303894</v>
          </cell>
          <cell r="BB157">
            <v>-395.75463674272027</v>
          </cell>
          <cell r="BC157">
            <v>-400.80183022409176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32412.219677500001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0.77979521979850064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545.44961638466214</v>
          </cell>
          <cell r="H33">
            <v>607.24899876865459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28.146383253966345</v>
          </cell>
          <cell r="D63">
            <v>26.72354908980946</v>
          </cell>
          <cell r="E63">
            <v>37.79067575843392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17.439348640880034</v>
          </cell>
          <cell r="G119">
            <v>17.439348640880034</v>
          </cell>
          <cell r="H119">
            <v>17.439348640880034</v>
          </cell>
          <cell r="I119">
            <v>17.439348640880034</v>
          </cell>
          <cell r="J119">
            <v>17.439348640880034</v>
          </cell>
          <cell r="K119">
            <v>17.439348640880034</v>
          </cell>
          <cell r="L119">
            <v>17.439348640880034</v>
          </cell>
          <cell r="M119">
            <v>17.439348640880034</v>
          </cell>
          <cell r="N119">
            <v>17.439348640880034</v>
          </cell>
          <cell r="O119">
            <v>17.439348640880034</v>
          </cell>
          <cell r="P119">
            <v>17.439348640880034</v>
          </cell>
          <cell r="Q119">
            <v>17.439348640880034</v>
          </cell>
          <cell r="R119">
            <v>17.439348640880034</v>
          </cell>
          <cell r="S119">
            <v>17.439348640880034</v>
          </cell>
          <cell r="T119">
            <v>17.439348640880034</v>
          </cell>
          <cell r="U119">
            <v>17.439348640880034</v>
          </cell>
          <cell r="V119">
            <v>17.439348640880034</v>
          </cell>
          <cell r="W119">
            <v>17.439348640880034</v>
          </cell>
          <cell r="X119">
            <v>17.439348640880034</v>
          </cell>
          <cell r="Y119">
            <v>17.439348640880034</v>
          </cell>
          <cell r="Z119">
            <v>17.439348640880034</v>
          </cell>
          <cell r="AA119">
            <v>17.439348640880034</v>
          </cell>
          <cell r="AB119">
            <v>17.439348640880034</v>
          </cell>
          <cell r="AC119">
            <v>17.439348640880034</v>
          </cell>
          <cell r="AD119">
            <v>17.439348640880034</v>
          </cell>
          <cell r="AE119">
            <v>17.439348640880034</v>
          </cell>
          <cell r="AF119">
            <v>17.439348640880034</v>
          </cell>
          <cell r="AG119">
            <v>17.439348640880034</v>
          </cell>
          <cell r="AH119">
            <v>17.439348640880034</v>
          </cell>
          <cell r="AI119">
            <v>17.439348640880034</v>
          </cell>
          <cell r="AJ119">
            <v>17.439348640880034</v>
          </cell>
          <cell r="AK119">
            <v>17.439348640880034</v>
          </cell>
          <cell r="AL119">
            <v>17.439348640880034</v>
          </cell>
          <cell r="AM119">
            <v>17.439348640880034</v>
          </cell>
          <cell r="AN119">
            <v>17.439348640880034</v>
          </cell>
          <cell r="AO119">
            <v>17.439348640880034</v>
          </cell>
          <cell r="AP119">
            <v>17.439348640880034</v>
          </cell>
          <cell r="AQ119">
            <v>17.439348640880034</v>
          </cell>
          <cell r="AR119">
            <v>17.439348640880034</v>
          </cell>
          <cell r="AS119">
            <v>17.439348640880034</v>
          </cell>
          <cell r="AT119">
            <v>17.439348640880034</v>
          </cell>
          <cell r="AU119">
            <v>17.439348640880034</v>
          </cell>
          <cell r="AV119">
            <v>17.439348640880034</v>
          </cell>
          <cell r="AW119">
            <v>17.439348640880034</v>
          </cell>
          <cell r="AX119">
            <v>17.439348640880034</v>
          </cell>
          <cell r="AY119">
            <v>17.439348640880034</v>
          </cell>
          <cell r="AZ119">
            <v>17.439348640880034</v>
          </cell>
          <cell r="BA119">
            <v>17.439348640880034</v>
          </cell>
          <cell r="BB119">
            <v>17.439348640880034</v>
          </cell>
          <cell r="BC119">
            <v>17.439348640880034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17.163089907104201</v>
          </cell>
          <cell r="D148">
            <v>17.243756429667588</v>
          </cell>
          <cell r="E148">
            <v>17.324802084887025</v>
          </cell>
          <cell r="F148">
            <v>17.406228654685993</v>
          </cell>
          <cell r="G148">
            <v>17.488037929363017</v>
          </cell>
          <cell r="H148">
            <v>17.570231707631024</v>
          </cell>
          <cell r="I148">
            <v>17.652811796656884</v>
          </cell>
          <cell r="J148">
            <v>17.73578001210117</v>
          </cell>
          <cell r="K148">
            <v>17.819138178158042</v>
          </cell>
          <cell r="L148">
            <v>17.902888127595386</v>
          </cell>
          <cell r="M148">
            <v>17.987031701795079</v>
          </cell>
          <cell r="N148">
            <v>18.071570750793516</v>
          </cell>
          <cell r="O148">
            <v>18.156507133322243</v>
          </cell>
          <cell r="P148">
            <v>18.241842716848858</v>
          </cell>
          <cell r="Q148">
            <v>18.327579377618047</v>
          </cell>
          <cell r="R148">
            <v>18.413719000692851</v>
          </cell>
          <cell r="S148">
            <v>18.500263479996104</v>
          </cell>
          <cell r="T148">
            <v>18.587214718352087</v>
          </cell>
          <cell r="U148">
            <v>18.67457462752834</v>
          </cell>
          <cell r="V148">
            <v>18.762345128277722</v>
          </cell>
          <cell r="W148">
            <v>18.850528150380622</v>
          </cell>
          <cell r="X148">
            <v>18.939125632687407</v>
          </cell>
          <cell r="Y148">
            <v>19.028139523161041</v>
          </cell>
          <cell r="Z148">
            <v>19.117571778919896</v>
          </cell>
          <cell r="AA148">
            <v>19.207424366280819</v>
          </cell>
          <cell r="AB148">
            <v>19.297699260802339</v>
          </cell>
          <cell r="AC148">
            <v>19.388398447328107</v>
          </cell>
          <cell r="AD148">
            <v>19.479523920030548</v>
          </cell>
          <cell r="AE148">
            <v>19.571077682454693</v>
          </cell>
          <cell r="AF148">
            <v>19.663061747562224</v>
          </cell>
          <cell r="AG148">
            <v>19.755478137775768</v>
          </cell>
          <cell r="AH148">
            <v>19.848328885023314</v>
          </cell>
          <cell r="AI148">
            <v>19.941616030782917</v>
          </cell>
          <cell r="AJ148">
            <v>20.035341626127597</v>
          </cell>
          <cell r="AK148">
            <v>20.129507731770399</v>
          </cell>
          <cell r="AL148">
            <v>20.22411641810972</v>
          </cell>
          <cell r="AM148">
            <v>20.319169765274832</v>
          </cell>
          <cell r="AN148">
            <v>20.414669863171625</v>
          </cell>
          <cell r="AO148">
            <v>20.510618811528527</v>
          </cell>
          <cell r="AP148">
            <v>20.607018719942708</v>
          </cell>
          <cell r="AQ148">
            <v>20.703871707926435</v>
          </cell>
          <cell r="AR148">
            <v>20.801179904953692</v>
          </cell>
          <cell r="AS148">
            <v>20.898945450506968</v>
          </cell>
          <cell r="AT148">
            <v>20.997170494124351</v>
          </cell>
          <cell r="AU148">
            <v>21.095857195446737</v>
          </cell>
          <cell r="AV148">
            <v>21.195007724265338</v>
          </cell>
          <cell r="AW148">
            <v>21.294624260569378</v>
          </cell>
          <cell r="AX148">
            <v>21.394708994594055</v>
          </cell>
          <cell r="AY148">
            <v>21.495264126868648</v>
          </cell>
          <cell r="AZ148">
            <v>21.596291868264924</v>
          </cell>
          <cell r="BA148">
            <v>21.697794440045772</v>
          </cell>
          <cell r="BB148">
            <v>21.799774073913987</v>
          </cell>
          <cell r="BC148">
            <v>21.902233012061373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-15.987438101917103</v>
          </cell>
          <cell r="D153">
            <v>-14.483937415196831</v>
          </cell>
          <cell r="E153">
            <v>-25.470018428601854</v>
          </cell>
          <cell r="F153">
            <v>-3.3119986194041218E-2</v>
          </cell>
          <cell r="G153">
            <v>4.8689288482982818E-2</v>
          </cell>
          <cell r="H153">
            <v>0.13088306675098949</v>
          </cell>
          <cell r="I153">
            <v>0.21346315577685004</v>
          </cell>
          <cell r="J153">
            <v>0.29643137122113572</v>
          </cell>
          <cell r="K153">
            <v>0.37978953727800757</v>
          </cell>
          <cell r="L153">
            <v>0.4635394867153515</v>
          </cell>
          <cell r="M153">
            <v>0.54768306091504471</v>
          </cell>
          <cell r="N153">
            <v>0.63222210991348149</v>
          </cell>
          <cell r="O153">
            <v>0.71715849244220919</v>
          </cell>
          <cell r="P153">
            <v>0.80249407596882349</v>
          </cell>
          <cell r="Q153">
            <v>0.88823073673801289</v>
          </cell>
          <cell r="R153">
            <v>0.97437035981281639</v>
          </cell>
          <cell r="S153">
            <v>1.0609148391160694</v>
          </cell>
          <cell r="T153">
            <v>1.1478660774720524</v>
          </cell>
          <cell r="U153">
            <v>1.235225986648306</v>
          </cell>
          <cell r="V153">
            <v>1.3229964873976883</v>
          </cell>
          <cell r="W153">
            <v>1.4111795095005881</v>
          </cell>
          <cell r="X153">
            <v>1.4997769918073729</v>
          </cell>
          <cell r="Y153">
            <v>1.5887908822810068</v>
          </cell>
          <cell r="Z153">
            <v>1.6782231380398613</v>
          </cell>
          <cell r="AA153">
            <v>1.7680757254007844</v>
          </cell>
          <cell r="AB153">
            <v>1.8583506199223052</v>
          </cell>
          <cell r="AC153">
            <v>1.9490498064480732</v>
          </cell>
          <cell r="AD153">
            <v>2.0401752791505139</v>
          </cell>
          <cell r="AE153">
            <v>2.1317290415746584</v>
          </cell>
          <cell r="AF153">
            <v>2.2237131066821902</v>
          </cell>
          <cell r="AG153">
            <v>2.3161294968957336</v>
          </cell>
          <cell r="AH153">
            <v>2.4089802441432795</v>
          </cell>
          <cell r="AI153">
            <v>2.5022673899028831</v>
          </cell>
          <cell r="AJ153">
            <v>2.5959929852475625</v>
          </cell>
          <cell r="AK153">
            <v>2.690159090890365</v>
          </cell>
          <cell r="AL153">
            <v>2.7847677772296855</v>
          </cell>
          <cell r="AM153">
            <v>2.8798211243947982</v>
          </cell>
          <cell r="AN153">
            <v>2.9753212222915906</v>
          </cell>
          <cell r="AO153">
            <v>3.0712701706484928</v>
          </cell>
          <cell r="AP153">
            <v>3.1676700790626739</v>
          </cell>
          <cell r="AQ153">
            <v>3.2645230670464009</v>
          </cell>
          <cell r="AR153">
            <v>3.3618312640736576</v>
          </cell>
          <cell r="AS153">
            <v>3.4595968096269338</v>
          </cell>
          <cell r="AT153">
            <v>3.5578218532443167</v>
          </cell>
          <cell r="AU153">
            <v>3.6565085545667024</v>
          </cell>
          <cell r="AV153">
            <v>3.7556590833853036</v>
          </cell>
          <cell r="AW153">
            <v>3.8552756196893441</v>
          </cell>
          <cell r="AX153">
            <v>3.9553603537140205</v>
          </cell>
          <cell r="AY153">
            <v>4.0559154859886135</v>
          </cell>
          <cell r="AZ153">
            <v>4.1569432273848896</v>
          </cell>
          <cell r="BA153">
            <v>4.2584457991657381</v>
          </cell>
          <cell r="BB153">
            <v>4.3604254330339529</v>
          </cell>
          <cell r="BC153">
            <v>4.4628843711813388</v>
          </cell>
        </row>
        <row r="156">
          <cell r="C156">
            <v>-15.987438101917103</v>
          </cell>
          <cell r="D156">
            <v>-14.483937415196831</v>
          </cell>
          <cell r="E156">
            <v>-25.470018428601854</v>
          </cell>
          <cell r="F156">
            <v>-3.3119986194041218E-2</v>
          </cell>
          <cell r="G156">
            <v>3.2134930398768663E-2</v>
          </cell>
          <cell r="H156">
            <v>8.6382824055653062E-2</v>
          </cell>
          <cell r="I156">
            <v>0.14088568281272104</v>
          </cell>
          <cell r="J156">
            <v>0.19564470500594958</v>
          </cell>
          <cell r="K156">
            <v>0.25066109460348501</v>
          </cell>
          <cell r="L156">
            <v>0.30593606123213202</v>
          </cell>
          <cell r="M156">
            <v>0.36147082020392951</v>
          </cell>
          <cell r="N156">
            <v>0.41726659254289783</v>
          </cell>
          <cell r="O156">
            <v>0.47332460501185808</v>
          </cell>
          <cell r="P156">
            <v>0.52964609013942354</v>
          </cell>
          <cell r="Q156">
            <v>0.58623228624708856</v>
          </cell>
          <cell r="R156">
            <v>0.64308443747645883</v>
          </cell>
          <cell r="S156">
            <v>0.7002037938166058</v>
          </cell>
          <cell r="T156">
            <v>0.7575916111315546</v>
          </cell>
          <cell r="U156">
            <v>0.81524915118788199</v>
          </cell>
          <cell r="V156">
            <v>0.87317768168247434</v>
          </cell>
          <cell r="W156">
            <v>0.93137847627038817</v>
          </cell>
          <cell r="X156">
            <v>0.98985281459286611</v>
          </cell>
          <cell r="Y156">
            <v>1.0486019823054646</v>
          </cell>
          <cell r="Z156">
            <v>1.1076272711063084</v>
          </cell>
          <cell r="AA156">
            <v>1.1669299787645178</v>
          </cell>
          <cell r="AB156">
            <v>1.2265114091487215</v>
          </cell>
          <cell r="AC156">
            <v>1.2863728722557284</v>
          </cell>
          <cell r="AD156">
            <v>1.3465156842393393</v>
          </cell>
          <cell r="AE156">
            <v>1.4069411674392747</v>
          </cell>
          <cell r="AF156">
            <v>1.4676506504102456</v>
          </cell>
          <cell r="AG156">
            <v>1.5286454679511843</v>
          </cell>
          <cell r="AH156">
            <v>1.5899269611345646</v>
          </cell>
          <cell r="AI156">
            <v>1.6514964773359029</v>
          </cell>
          <cell r="AJ156">
            <v>1.7133553702633912</v>
          </cell>
          <cell r="AK156">
            <v>1.7755049999876409</v>
          </cell>
          <cell r="AL156">
            <v>1.8379467329715926</v>
          </cell>
          <cell r="AM156">
            <v>1.900681942100567</v>
          </cell>
          <cell r="AN156">
            <v>1.9637120067124498</v>
          </cell>
          <cell r="AO156">
            <v>2.0270383126280054</v>
          </cell>
          <cell r="AP156">
            <v>2.0906622521813647</v>
          </cell>
          <cell r="AQ156">
            <v>2.1545852242506247</v>
          </cell>
          <cell r="AR156">
            <v>2.2188086342886142</v>
          </cell>
          <cell r="AS156">
            <v>2.2833338943537766</v>
          </cell>
          <cell r="AT156">
            <v>2.348162423141249</v>
          </cell>
          <cell r="AU156">
            <v>2.4132956460140238</v>
          </cell>
          <cell r="AV156">
            <v>2.4787349950343005</v>
          </cell>
          <cell r="AW156">
            <v>2.5444819089949671</v>
          </cell>
          <cell r="AX156">
            <v>2.6105378334512537</v>
          </cell>
          <cell r="AY156">
            <v>2.6769042207524851</v>
          </cell>
          <cell r="AZ156">
            <v>2.7435825300740273</v>
          </cell>
          <cell r="BA156">
            <v>2.8105742274493872</v>
          </cell>
          <cell r="BB156">
            <v>2.8778807858024091</v>
          </cell>
          <cell r="BC156">
            <v>2.9455036849796836</v>
          </cell>
        </row>
        <row r="157">
          <cell r="C157">
            <v>-15.987438101917103</v>
          </cell>
          <cell r="D157">
            <v>-30.471375517113934</v>
          </cell>
          <cell r="E157">
            <v>-55.941393945715788</v>
          </cell>
          <cell r="F157">
            <v>-55.974513931909826</v>
          </cell>
          <cell r="G157">
            <v>-55.942379001511057</v>
          </cell>
          <cell r="H157">
            <v>-55.855996177455403</v>
          </cell>
          <cell r="I157">
            <v>-55.71511049464268</v>
          </cell>
          <cell r="J157">
            <v>-55.519465789636733</v>
          </cell>
          <cell r="K157">
            <v>-55.268804695033246</v>
          </cell>
          <cell r="L157">
            <v>-54.962868633801115</v>
          </cell>
          <cell r="M157">
            <v>-54.601397813597188</v>
          </cell>
          <cell r="N157">
            <v>-54.184131221054294</v>
          </cell>
          <cell r="O157">
            <v>-53.710806616042433</v>
          </cell>
          <cell r="P157">
            <v>-53.18116052590301</v>
          </cell>
          <cell r="Q157">
            <v>-52.594928239655921</v>
          </cell>
          <cell r="R157">
            <v>-51.951843802179461</v>
          </cell>
          <cell r="S157">
            <v>-51.251640008362855</v>
          </cell>
          <cell r="T157">
            <v>-50.494048397231303</v>
          </cell>
          <cell r="U157">
            <v>-49.678799246043418</v>
          </cell>
          <cell r="V157">
            <v>-48.805621564360941</v>
          </cell>
          <cell r="W157">
            <v>-47.874243088090552</v>
          </cell>
          <cell r="X157">
            <v>-46.884390273497687</v>
          </cell>
          <cell r="Y157">
            <v>-45.835788291192223</v>
          </cell>
          <cell r="Z157">
            <v>-44.728161020085913</v>
          </cell>
          <cell r="AA157">
            <v>-43.561231041321399</v>
          </cell>
          <cell r="AB157">
            <v>-42.334719632172678</v>
          </cell>
          <cell r="AC157">
            <v>-41.048346759916953</v>
          </cell>
          <cell r="AD157">
            <v>-39.70183107567761</v>
          </cell>
          <cell r="AE157">
            <v>-38.294889908238332</v>
          </cell>
          <cell r="AF157">
            <v>-36.827239257828083</v>
          </cell>
          <cell r="AG157">
            <v>-35.298593789876897</v>
          </cell>
          <cell r="AH157">
            <v>-33.708666828742331</v>
          </cell>
          <cell r="AI157">
            <v>-32.057170351406427</v>
          </cell>
          <cell r="AJ157">
            <v>-30.343814981143037</v>
          </cell>
          <cell r="AK157">
            <v>-28.568309981155394</v>
          </cell>
          <cell r="AL157">
            <v>-26.730363248183803</v>
          </cell>
          <cell r="AM157">
            <v>-24.829681306083238</v>
          </cell>
          <cell r="AN157">
            <v>-22.865969299370789</v>
          </cell>
          <cell r="AO157">
            <v>-20.838930986742785</v>
          </cell>
          <cell r="AP157">
            <v>-18.748268734561421</v>
          </cell>
          <cell r="AQ157">
            <v>-16.593683510310797</v>
          </cell>
          <cell r="AR157">
            <v>-14.374874876022183</v>
          </cell>
          <cell r="AS157">
            <v>-12.091540981668405</v>
          </cell>
          <cell r="AT157">
            <v>-9.7433785585271568</v>
          </cell>
          <cell r="AU157">
            <v>-7.3300829125131326</v>
          </cell>
          <cell r="AV157">
            <v>-4.8513479174788321</v>
          </cell>
          <cell r="AW157">
            <v>-2.306866008483865</v>
          </cell>
          <cell r="AX157">
            <v>0.30367182496738865</v>
          </cell>
          <cell r="AY157">
            <v>2.9805760457198738</v>
          </cell>
          <cell r="AZ157">
            <v>5.7241585757939006</v>
          </cell>
          <cell r="BA157">
            <v>8.534732803243287</v>
          </cell>
          <cell r="BB157">
            <v>11.412613589045696</v>
          </cell>
          <cell r="BC157">
            <v>14.35811727402538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1396.7092707049733</v>
          </cell>
          <cell r="H33">
            <v>1491.675405776728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29.726971231631744</v>
          </cell>
          <cell r="D63">
            <v>43.206328630450415</v>
          </cell>
          <cell r="E63">
            <v>37.762073174048545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27.463962014071814</v>
          </cell>
          <cell r="G119">
            <v>27.463962014071814</v>
          </cell>
          <cell r="H119">
            <v>27.463962014071814</v>
          </cell>
          <cell r="I119">
            <v>27.463962014071814</v>
          </cell>
          <cell r="J119">
            <v>27.463962014071814</v>
          </cell>
          <cell r="K119">
            <v>27.463962014071814</v>
          </cell>
          <cell r="L119">
            <v>27.463962014071814</v>
          </cell>
          <cell r="M119">
            <v>27.463962014071814</v>
          </cell>
          <cell r="N119">
            <v>27.463962014071814</v>
          </cell>
          <cell r="O119">
            <v>27.463962014071814</v>
          </cell>
          <cell r="P119">
            <v>27.463962014071814</v>
          </cell>
          <cell r="Q119">
            <v>27.463962014071814</v>
          </cell>
          <cell r="R119">
            <v>27.463962014071814</v>
          </cell>
          <cell r="S119">
            <v>27.463962014071814</v>
          </cell>
          <cell r="T119">
            <v>27.463962014071814</v>
          </cell>
          <cell r="U119">
            <v>27.463962014071814</v>
          </cell>
          <cell r="V119">
            <v>27.463962014071814</v>
          </cell>
          <cell r="W119">
            <v>27.463962014071814</v>
          </cell>
          <cell r="X119">
            <v>27.463962014071814</v>
          </cell>
          <cell r="Y119">
            <v>27.463962014071814</v>
          </cell>
          <cell r="Z119">
            <v>27.463962014071814</v>
          </cell>
          <cell r="AA119">
            <v>27.463962014071814</v>
          </cell>
          <cell r="AB119">
            <v>27.463962014071814</v>
          </cell>
          <cell r="AC119">
            <v>27.463962014071814</v>
          </cell>
          <cell r="AD119">
            <v>27.463962014071814</v>
          </cell>
          <cell r="AE119">
            <v>27.463962014071814</v>
          </cell>
          <cell r="AF119">
            <v>27.463962014071814</v>
          </cell>
          <cell r="AG119">
            <v>27.463962014071814</v>
          </cell>
          <cell r="AH119">
            <v>27.463962014071814</v>
          </cell>
          <cell r="AI119">
            <v>27.463962014071814</v>
          </cell>
          <cell r="AJ119">
            <v>27.463962014071814</v>
          </cell>
          <cell r="AK119">
            <v>27.463962014071814</v>
          </cell>
          <cell r="AL119">
            <v>27.463962014071814</v>
          </cell>
          <cell r="AM119">
            <v>27.463962014071814</v>
          </cell>
          <cell r="AN119">
            <v>27.463962014071814</v>
          </cell>
          <cell r="AO119">
            <v>27.463962014071814</v>
          </cell>
          <cell r="AP119">
            <v>27.463962014071814</v>
          </cell>
          <cell r="AQ119">
            <v>27.463962014071814</v>
          </cell>
          <cell r="AR119">
            <v>27.463962014071814</v>
          </cell>
          <cell r="AS119">
            <v>27.463962014071814</v>
          </cell>
          <cell r="AT119">
            <v>27.463962014071814</v>
          </cell>
          <cell r="AU119">
            <v>27.463962014071814</v>
          </cell>
          <cell r="AV119">
            <v>27.463962014071814</v>
          </cell>
          <cell r="AW119">
            <v>27.463962014071814</v>
          </cell>
          <cell r="AX119">
            <v>27.463962014071814</v>
          </cell>
          <cell r="AY119">
            <v>27.463962014071814</v>
          </cell>
          <cell r="AZ119">
            <v>27.463962014071814</v>
          </cell>
          <cell r="BA119">
            <v>27.463962014071814</v>
          </cell>
          <cell r="BB119">
            <v>27.463962014071814</v>
          </cell>
          <cell r="BC119">
            <v>27.463962014071814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40.315749071931783</v>
          </cell>
          <cell r="D148">
            <v>40.505233092569853</v>
          </cell>
          <cell r="E148">
            <v>40.695607688104936</v>
          </cell>
          <cell r="F148">
            <v>40.886877044239029</v>
          </cell>
          <cell r="G148">
            <v>41.079045366346946</v>
          </cell>
          <cell r="H148">
            <v>41.272116879568777</v>
          </cell>
          <cell r="I148">
            <v>41.466095828902738</v>
          </cell>
          <cell r="J148">
            <v>41.660986479298586</v>
          </cell>
          <cell r="K148">
            <v>41.85679311575128</v>
          </cell>
          <cell r="L148">
            <v>42.053520043395309</v>
          </cell>
          <cell r="M148">
            <v>42.251171587599259</v>
          </cell>
          <cell r="N148">
            <v>42.449752094060976</v>
          </cell>
          <cell r="O148">
            <v>42.649265928903056</v>
          </cell>
          <cell r="P148">
            <v>42.849717478768902</v>
          </cell>
          <cell r="Q148">
            <v>43.051111150919112</v>
          </cell>
          <cell r="R148">
            <v>43.253451373328424</v>
          </cell>
          <cell r="S148">
            <v>43.456742594783059</v>
          </cell>
          <cell r="T148">
            <v>43.660989284978541</v>
          </cell>
          <cell r="U148">
            <v>43.866195934617942</v>
          </cell>
          <cell r="V148">
            <v>44.072367055510632</v>
          </cell>
          <cell r="W148">
            <v>44.27950718067153</v>
          </cell>
          <cell r="X148">
            <v>44.487620864420677</v>
          </cell>
          <cell r="Y148">
            <v>44.696712682483458</v>
          </cell>
          <cell r="Z148">
            <v>44.906787232091133</v>
          </cell>
          <cell r="AA148">
            <v>45.11784913208195</v>
          </cell>
          <cell r="AB148">
            <v>45.329903023002736</v>
          </cell>
          <cell r="AC148">
            <v>45.542953567210851</v>
          </cell>
          <cell r="AD148">
            <v>45.757005448976741</v>
          </cell>
          <cell r="AE148">
            <v>45.972063374586916</v>
          </cell>
          <cell r="AF148">
            <v>46.188132072447473</v>
          </cell>
          <cell r="AG148">
            <v>46.405216293187983</v>
          </cell>
          <cell r="AH148">
            <v>46.623320809765957</v>
          </cell>
          <cell r="AI148">
            <v>46.842450417571854</v>
          </cell>
          <cell r="AJ148">
            <v>47.062609934534443</v>
          </cell>
          <cell r="AK148">
            <v>47.283804201226751</v>
          </cell>
          <cell r="AL148">
            <v>47.506038080972523</v>
          </cell>
          <cell r="AM148">
            <v>47.729316459953083</v>
          </cell>
          <cell r="AN148">
            <v>47.953644247314855</v>
          </cell>
          <cell r="AO148">
            <v>48.179026375277239</v>
          </cell>
          <cell r="AP148">
            <v>48.40546779924103</v>
          </cell>
          <cell r="AQ148">
            <v>48.63297349789746</v>
          </cell>
          <cell r="AR148">
            <v>48.861548473337571</v>
          </cell>
          <cell r="AS148">
            <v>49.091197751162255</v>
          </cell>
          <cell r="AT148">
            <v>49.321926380592714</v>
          </cell>
          <cell r="AU148">
            <v>49.553739434581495</v>
          </cell>
          <cell r="AV148">
            <v>49.78664200992403</v>
          </cell>
          <cell r="AW148">
            <v>50.020639227370673</v>
          </cell>
          <cell r="AX148">
            <v>50.255736231739306</v>
          </cell>
          <cell r="AY148">
            <v>50.491938192028485</v>
          </cell>
          <cell r="AZ148">
            <v>50.729250301531017</v>
          </cell>
          <cell r="BA148">
            <v>50.967677777948204</v>
          </cell>
          <cell r="BB148">
            <v>51.207225863504569</v>
          </cell>
          <cell r="BC148">
            <v>51.447899825063026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5.5846330852450805</v>
          </cell>
          <cell r="D153">
            <v>-7.705240292935521</v>
          </cell>
          <cell r="E153">
            <v>-2.0706102409985689</v>
          </cell>
          <cell r="F153">
            <v>13.422915030167214</v>
          </cell>
          <cell r="G153">
            <v>13.615083352275132</v>
          </cell>
          <cell r="H153">
            <v>13.808154865496963</v>
          </cell>
          <cell r="I153">
            <v>14.002133814830923</v>
          </cell>
          <cell r="J153">
            <v>14.197024465226772</v>
          </cell>
          <cell r="K153">
            <v>14.392831101679466</v>
          </cell>
          <cell r="L153">
            <v>14.589558029323495</v>
          </cell>
          <cell r="M153">
            <v>14.787209573527445</v>
          </cell>
          <cell r="N153">
            <v>14.985790079989162</v>
          </cell>
          <cell r="O153">
            <v>15.185303914831241</v>
          </cell>
          <cell r="P153">
            <v>15.385755464697088</v>
          </cell>
          <cell r="Q153">
            <v>15.587149136847298</v>
          </cell>
          <cell r="R153">
            <v>15.78948935925661</v>
          </cell>
          <cell r="S153">
            <v>15.992780580711244</v>
          </cell>
          <cell r="T153">
            <v>16.197027270906727</v>
          </cell>
          <cell r="U153">
            <v>16.402233920546127</v>
          </cell>
          <cell r="V153">
            <v>16.608405041438818</v>
          </cell>
          <cell r="W153">
            <v>16.815545166599716</v>
          </cell>
          <cell r="X153">
            <v>17.023658850348863</v>
          </cell>
          <cell r="Y153">
            <v>17.232750668411644</v>
          </cell>
          <cell r="Z153">
            <v>17.442825218019319</v>
          </cell>
          <cell r="AA153">
            <v>17.653887118010136</v>
          </cell>
          <cell r="AB153">
            <v>17.865941008930921</v>
          </cell>
          <cell r="AC153">
            <v>18.078991553139037</v>
          </cell>
          <cell r="AD153">
            <v>18.293043434904927</v>
          </cell>
          <cell r="AE153">
            <v>18.508101360515102</v>
          </cell>
          <cell r="AF153">
            <v>18.724170058375659</v>
          </cell>
          <cell r="AG153">
            <v>18.941254279116169</v>
          </cell>
          <cell r="AH153">
            <v>19.159358795694143</v>
          </cell>
          <cell r="AI153">
            <v>19.37848840350004</v>
          </cell>
          <cell r="AJ153">
            <v>19.598647920462628</v>
          </cell>
          <cell r="AK153">
            <v>19.819842187154936</v>
          </cell>
          <cell r="AL153">
            <v>20.042076066900709</v>
          </cell>
          <cell r="AM153">
            <v>20.265354445881268</v>
          </cell>
          <cell r="AN153">
            <v>20.489682233243041</v>
          </cell>
          <cell r="AO153">
            <v>20.715064361205425</v>
          </cell>
          <cell r="AP153">
            <v>20.941505785169216</v>
          </cell>
          <cell r="AQ153">
            <v>21.169011483825646</v>
          </cell>
          <cell r="AR153">
            <v>21.397586459265757</v>
          </cell>
          <cell r="AS153">
            <v>21.627235737090441</v>
          </cell>
          <cell r="AT153">
            <v>21.8579643665209</v>
          </cell>
          <cell r="AU153">
            <v>22.08977742050968</v>
          </cell>
          <cell r="AV153">
            <v>22.322679995852216</v>
          </cell>
          <cell r="AW153">
            <v>22.556677213298858</v>
          </cell>
          <cell r="AX153">
            <v>22.791774217667491</v>
          </cell>
          <cell r="AY153">
            <v>23.027976177956671</v>
          </cell>
          <cell r="AZ153">
            <v>23.265288287459203</v>
          </cell>
          <cell r="BA153">
            <v>23.503715763876389</v>
          </cell>
          <cell r="BB153">
            <v>23.743263849432754</v>
          </cell>
          <cell r="BC153">
            <v>23.983937810991211</v>
          </cell>
        </row>
        <row r="156">
          <cell r="C156">
            <v>3.6858578362617531</v>
          </cell>
          <cell r="D156">
            <v>-7.705240292935521</v>
          </cell>
          <cell r="E156">
            <v>-2.0706102409985689</v>
          </cell>
          <cell r="F156">
            <v>8.8591239199103615</v>
          </cell>
          <cell r="G156">
            <v>8.9859550125015879</v>
          </cell>
          <cell r="H156">
            <v>9.1133822112279965</v>
          </cell>
          <cell r="I156">
            <v>9.2414083177884105</v>
          </cell>
          <cell r="J156">
            <v>9.3700361470496691</v>
          </cell>
          <cell r="K156">
            <v>9.4992685271084483</v>
          </cell>
          <cell r="L156">
            <v>9.6291082993535078</v>
          </cell>
          <cell r="M156">
            <v>9.7595583185281143</v>
          </cell>
          <cell r="N156">
            <v>9.890621452792848</v>
          </cell>
          <cell r="O156">
            <v>10.022300583788621</v>
          </cell>
          <cell r="P156">
            <v>10.154598606700079</v>
          </cell>
          <cell r="Q156">
            <v>10.287518430319217</v>
          </cell>
          <cell r="R156">
            <v>10.421062977109363</v>
          </cell>
          <cell r="S156">
            <v>10.555235183269422</v>
          </cell>
          <cell r="T156">
            <v>10.69003799879844</v>
          </cell>
          <cell r="U156">
            <v>10.825474387560444</v>
          </cell>
          <cell r="V156">
            <v>10.961547327349621</v>
          </cell>
          <cell r="W156">
            <v>11.098259809955813</v>
          </cell>
          <cell r="X156">
            <v>11.23561484123025</v>
          </cell>
          <cell r="Y156">
            <v>11.373615441151685</v>
          </cell>
          <cell r="Z156">
            <v>11.512264643892751</v>
          </cell>
          <cell r="AA156">
            <v>11.65156549788669</v>
          </cell>
          <cell r="AB156">
            <v>11.791521065894409</v>
          </cell>
          <cell r="AC156">
            <v>11.932134425071766</v>
          </cell>
          <cell r="AD156">
            <v>12.073408667037253</v>
          </cell>
          <cell r="AE156">
            <v>12.215346897939968</v>
          </cell>
          <cell r="AF156">
            <v>12.357952238527936</v>
          </cell>
          <cell r="AG156">
            <v>12.501227824216672</v>
          </cell>
          <cell r="AH156">
            <v>12.645176805158135</v>
          </cell>
          <cell r="AI156">
            <v>12.789802346310026</v>
          </cell>
          <cell r="AJ156">
            <v>12.935107627505335</v>
          </cell>
          <cell r="AK156">
            <v>13.08109584352226</v>
          </cell>
          <cell r="AL156">
            <v>13.227770204154469</v>
          </cell>
          <cell r="AM156">
            <v>13.375133934281637</v>
          </cell>
          <cell r="AN156">
            <v>13.523190273940408</v>
          </cell>
          <cell r="AO156">
            <v>13.671942478395581</v>
          </cell>
          <cell r="AP156">
            <v>13.821393818211684</v>
          </cell>
          <cell r="AQ156">
            <v>13.971547579324927</v>
          </cell>
          <cell r="AR156">
            <v>14.1224070631154</v>
          </cell>
          <cell r="AS156">
            <v>14.273975586479692</v>
          </cell>
          <cell r="AT156">
            <v>14.426256481903794</v>
          </cell>
          <cell r="AU156">
            <v>14.579253097536389</v>
          </cell>
          <cell r="AV156">
            <v>14.732968797262464</v>
          </cell>
          <cell r="AW156">
            <v>14.887406960777247</v>
          </cell>
          <cell r="AX156">
            <v>15.042570983660545</v>
          </cell>
          <cell r="AY156">
            <v>15.198464277451404</v>
          </cell>
          <cell r="AZ156">
            <v>15.355090269723075</v>
          </cell>
          <cell r="BA156">
            <v>15.512452404158418</v>
          </cell>
          <cell r="BB156">
            <v>15.670554140625619</v>
          </cell>
          <cell r="BC156">
            <v>15.8293989552542</v>
          </cell>
        </row>
        <row r="157">
          <cell r="C157">
            <v>3.6858578362617531</v>
          </cell>
          <cell r="D157">
            <v>-4.0193824566737675</v>
          </cell>
          <cell r="E157">
            <v>-6.0899926976723364</v>
          </cell>
          <cell r="F157">
            <v>2.7691312222380251</v>
          </cell>
          <cell r="G157">
            <v>11.755086234739613</v>
          </cell>
          <cell r="H157">
            <v>20.868468445967608</v>
          </cell>
          <cell r="I157">
            <v>30.10987676375602</v>
          </cell>
          <cell r="J157">
            <v>39.479912910805687</v>
          </cell>
          <cell r="K157">
            <v>48.979181437914136</v>
          </cell>
          <cell r="L157">
            <v>58.60828973726764</v>
          </cell>
          <cell r="M157">
            <v>68.367848055795747</v>
          </cell>
          <cell r="N157">
            <v>78.25846950858859</v>
          </cell>
          <cell r="O157">
            <v>88.28077009237721</v>
          </cell>
          <cell r="P157">
            <v>98.435368699077287</v>
          </cell>
          <cell r="Q157">
            <v>108.7228871293965</v>
          </cell>
          <cell r="R157">
            <v>119.14395010650586</v>
          </cell>
          <cell r="S157">
            <v>129.69918528977527</v>
          </cell>
          <cell r="T157">
            <v>140.3892232885737</v>
          </cell>
          <cell r="U157">
            <v>151.21469767613414</v>
          </cell>
          <cell r="V157">
            <v>162.17624500348376</v>
          </cell>
          <cell r="W157">
            <v>173.27450481343956</v>
          </cell>
          <cell r="X157">
            <v>184.51011965466981</v>
          </cell>
          <cell r="Y157">
            <v>195.88373509582149</v>
          </cell>
          <cell r="Z157">
            <v>207.39599973971426</v>
          </cell>
          <cell r="AA157">
            <v>219.04756523760094</v>
          </cell>
          <cell r="AB157">
            <v>230.83908630349535</v>
          </cell>
          <cell r="AC157">
            <v>242.77122072856713</v>
          </cell>
          <cell r="AD157">
            <v>254.84462939560439</v>
          </cell>
          <cell r="AE157">
            <v>267.05997629354437</v>
          </cell>
          <cell r="AF157">
            <v>279.41792853207232</v>
          </cell>
          <cell r="AG157">
            <v>291.91915635628902</v>
          </cell>
          <cell r="AH157">
            <v>304.56433316144717</v>
          </cell>
          <cell r="AI157">
            <v>317.35413550775718</v>
          </cell>
          <cell r="AJ157">
            <v>330.2892431352625</v>
          </cell>
          <cell r="AK157">
            <v>343.37033897878473</v>
          </cell>
          <cell r="AL157">
            <v>356.5981091829392</v>
          </cell>
          <cell r="AM157">
            <v>369.97324311722082</v>
          </cell>
          <cell r="AN157">
            <v>383.49643339116125</v>
          </cell>
          <cell r="AO157">
            <v>397.16837586955683</v>
          </cell>
          <cell r="AP157">
            <v>410.9897696877685</v>
          </cell>
          <cell r="AQ157">
            <v>424.96131726709342</v>
          </cell>
          <cell r="AR157">
            <v>439.08372433020884</v>
          </cell>
          <cell r="AS157">
            <v>453.35769991668855</v>
          </cell>
          <cell r="AT157">
            <v>467.78395639859235</v>
          </cell>
          <cell r="AU157">
            <v>482.36320949612872</v>
          </cell>
          <cell r="AV157">
            <v>497.09617829339118</v>
          </cell>
          <cell r="AW157">
            <v>511.98358525416842</v>
          </cell>
          <cell r="AX157">
            <v>527.02615623782901</v>
          </cell>
          <cell r="AY157">
            <v>542.22462051528044</v>
          </cell>
          <cell r="AZ157">
            <v>557.5797107850035</v>
          </cell>
          <cell r="BA157">
            <v>573.09216318916197</v>
          </cell>
          <cell r="BB157">
            <v>588.76271732978762</v>
          </cell>
          <cell r="BC157">
            <v>604.59211628504181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>
            <v>181.01525887718196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opLeftCell="A7" zoomScale="75" zoomScaleNormal="75" workbookViewId="0">
      <selection activeCell="H52" sqref="H52"/>
    </sheetView>
  </sheetViews>
  <sheetFormatPr defaultColWidth="8.88671875" defaultRowHeight="14.4" outlineLevelRow="1" x14ac:dyDescent="0.3"/>
  <cols>
    <col min="1" max="1" width="3.109375" style="1" customWidth="1"/>
    <col min="2" max="2" width="0.88671875" style="1" customWidth="1"/>
    <col min="3" max="3" width="18.33203125" style="4" customWidth="1"/>
    <col min="4" max="4" width="21" style="21" bestFit="1" customWidth="1"/>
    <col min="5" max="5" width="12.109375" style="21" bestFit="1" customWidth="1"/>
    <col min="6" max="6" width="15.6640625" style="21" customWidth="1"/>
    <col min="7" max="7" width="22.88671875" style="21" bestFit="1" customWidth="1"/>
    <col min="8" max="8" width="25.44140625" style="21" bestFit="1" customWidth="1"/>
    <col min="9" max="9" width="24.5546875" style="21" bestFit="1" customWidth="1"/>
    <col min="10" max="10" width="19.6640625" style="21" customWidth="1"/>
    <col min="11" max="11" width="15.6640625" style="21" customWidth="1"/>
    <col min="12" max="12" width="19.6640625" style="21" bestFit="1" customWidth="1"/>
    <col min="13" max="13" width="18.44140625" style="21" bestFit="1" customWidth="1"/>
    <col min="14" max="14" width="0.88671875" style="1" customWidth="1"/>
    <col min="15" max="15" width="18.33203125" style="21" customWidth="1"/>
    <col min="16" max="16" width="0.88671875" style="1" customWidth="1"/>
    <col min="17" max="17" width="18.33203125" style="1" customWidth="1"/>
    <col min="18" max="18" width="0.88671875" style="1" customWidth="1"/>
    <col min="19" max="19" width="18.33203125" style="1" customWidth="1"/>
    <col min="20" max="20" width="0.88671875" style="1" customWidth="1"/>
    <col min="21" max="21" width="18.33203125" style="1" customWidth="1"/>
    <col min="22" max="22" width="0.88671875" style="1" customWidth="1"/>
    <col min="23" max="23" width="8.33203125" style="1" customWidth="1"/>
    <col min="24" max="16384" width="8.88671875" style="1"/>
  </cols>
  <sheetData>
    <row r="1" spans="2:29" ht="4.95" customHeight="1" thickBot="1" x14ac:dyDescent="0.35">
      <c r="D1" s="724"/>
      <c r="E1" s="724"/>
      <c r="F1" s="724"/>
      <c r="G1" s="724"/>
      <c r="H1" s="724"/>
      <c r="I1" s="724"/>
      <c r="J1" s="724"/>
      <c r="K1" s="724"/>
      <c r="L1" s="724"/>
      <c r="M1" s="724"/>
    </row>
    <row r="2" spans="2:29" s="680" customFormat="1" ht="30" customHeight="1" thickTop="1" thickBot="1" x14ac:dyDescent="0.35">
      <c r="B2" s="5"/>
      <c r="C2" s="1155" t="s">
        <v>491</v>
      </c>
      <c r="D2" s="1156"/>
      <c r="E2" s="1156"/>
      <c r="F2" s="1156"/>
      <c r="G2" s="1156"/>
      <c r="H2" s="1156"/>
      <c r="I2" s="1156"/>
      <c r="J2" s="1156"/>
      <c r="K2" s="1156"/>
      <c r="L2" s="1156"/>
      <c r="M2" s="1156"/>
      <c r="N2" s="1156"/>
      <c r="O2" s="1156"/>
      <c r="P2" s="1156"/>
      <c r="Q2" s="1156"/>
      <c r="R2" s="1156"/>
      <c r="S2" s="1156"/>
      <c r="T2" s="1156"/>
      <c r="U2" s="1157"/>
      <c r="V2" s="5"/>
    </row>
    <row r="3" spans="2:29" ht="4.95" customHeight="1" thickTop="1" thickBot="1" x14ac:dyDescent="0.35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3">
      <c r="B4" s="5"/>
      <c r="C4" s="1150" t="s">
        <v>482</v>
      </c>
      <c r="D4" s="1173" t="s">
        <v>13</v>
      </c>
      <c r="E4" s="1174"/>
      <c r="F4" s="1174"/>
      <c r="G4" s="1174"/>
      <c r="H4" s="1174"/>
      <c r="I4" s="1174"/>
      <c r="J4" s="1174"/>
      <c r="K4" s="1174"/>
      <c r="L4" s="1174"/>
      <c r="M4" s="1175"/>
      <c r="O4" s="1170" t="s">
        <v>42</v>
      </c>
      <c r="Q4" s="1147" t="s">
        <v>480</v>
      </c>
      <c r="S4" s="1152" t="s">
        <v>486</v>
      </c>
      <c r="U4" s="1152" t="s">
        <v>487</v>
      </c>
    </row>
    <row r="5" spans="2:29" ht="15" customHeight="1" x14ac:dyDescent="0.3">
      <c r="B5" s="5"/>
      <c r="C5" s="1151"/>
      <c r="D5" s="1176"/>
      <c r="E5" s="1177"/>
      <c r="F5" s="1177"/>
      <c r="G5" s="1177"/>
      <c r="H5" s="1177"/>
      <c r="I5" s="1177"/>
      <c r="J5" s="1177"/>
      <c r="K5" s="1177"/>
      <c r="L5" s="1177"/>
      <c r="M5" s="1178"/>
      <c r="O5" s="1171"/>
      <c r="Q5" s="1148"/>
      <c r="S5" s="1153"/>
      <c r="U5" s="1153"/>
    </row>
    <row r="6" spans="2:29" ht="15" customHeight="1" thickBot="1" x14ac:dyDescent="0.35">
      <c r="C6" s="1151"/>
      <c r="D6" s="1179"/>
      <c r="E6" s="1180"/>
      <c r="F6" s="1180"/>
      <c r="G6" s="1180"/>
      <c r="H6" s="1180"/>
      <c r="I6" s="1180"/>
      <c r="J6" s="1180"/>
      <c r="K6" s="1180"/>
      <c r="L6" s="1180"/>
      <c r="M6" s="1181"/>
      <c r="O6" s="1172"/>
      <c r="Q6" s="1149"/>
      <c r="S6" s="1154"/>
      <c r="U6" s="1154"/>
    </row>
    <row r="7" spans="2:29" ht="15" customHeight="1" outlineLevel="1" thickBot="1" x14ac:dyDescent="0.35">
      <c r="C7" s="942"/>
      <c r="D7" s="945" t="str">
        <f>C8</f>
        <v>Álvares Machado</v>
      </c>
      <c r="E7" s="946" t="str">
        <f>C9</f>
        <v>Caiabu</v>
      </c>
      <c r="F7" s="946" t="str">
        <f>C10</f>
        <v>Martinópolis</v>
      </c>
      <c r="G7" s="946" t="str">
        <f>C11</f>
        <v>Paraguaçu Paulista</v>
      </c>
      <c r="H7" s="946" t="str">
        <f>C12</f>
        <v>Presidente Bernardes</v>
      </c>
      <c r="I7" s="946" t="str">
        <f>C13</f>
        <v>Presidente Prudente</v>
      </c>
      <c r="J7" s="946" t="str">
        <f>C14</f>
        <v>Rancharia</v>
      </c>
      <c r="K7" s="946" t="str">
        <f>C15</f>
        <v>Regente Feijó</v>
      </c>
      <c r="L7" s="946" t="str">
        <f>C16</f>
        <v>Santo Anastácio</v>
      </c>
      <c r="M7" s="947" t="str">
        <f>C17</f>
        <v>Santo Expedito</v>
      </c>
      <c r="O7" s="939" t="s">
        <v>12</v>
      </c>
      <c r="Q7" s="936" t="s">
        <v>476</v>
      </c>
      <c r="S7" s="935" t="s">
        <v>476</v>
      </c>
      <c r="U7" s="935" t="s">
        <v>14</v>
      </c>
    </row>
    <row r="8" spans="2:29" ht="15" customHeight="1" outlineLevel="1" thickTop="1" thickBot="1" x14ac:dyDescent="0.35">
      <c r="B8" s="3"/>
      <c r="C8" s="948" t="s">
        <v>15</v>
      </c>
      <c r="D8" s="955">
        <v>0</v>
      </c>
      <c r="E8" s="956">
        <v>52.5</v>
      </c>
      <c r="F8" s="957">
        <v>40.799999999999997</v>
      </c>
      <c r="G8" s="957">
        <v>122</v>
      </c>
      <c r="H8" s="957">
        <v>16.7</v>
      </c>
      <c r="I8" s="958">
        <v>15.2</v>
      </c>
      <c r="J8" s="959">
        <v>71.5</v>
      </c>
      <c r="K8" s="959">
        <v>30</v>
      </c>
      <c r="L8" s="959">
        <v>25.6</v>
      </c>
      <c r="M8" s="960">
        <v>36</v>
      </c>
      <c r="N8" s="3"/>
      <c r="O8" s="914">
        <f>26.67*365/312</f>
        <v>31.200480769230772</v>
      </c>
      <c r="P8" s="3"/>
      <c r="Q8" s="914">
        <v>275</v>
      </c>
      <c r="R8" s="3"/>
      <c r="S8" s="914">
        <v>83.394247808065074</v>
      </c>
      <c r="T8" s="3"/>
      <c r="U8" s="917">
        <v>0.65</v>
      </c>
      <c r="V8" s="3"/>
      <c r="X8" s="721"/>
      <c r="Y8" s="3"/>
      <c r="Z8" s="3"/>
      <c r="AA8" s="3"/>
      <c r="AB8" s="3"/>
      <c r="AC8" s="3"/>
    </row>
    <row r="9" spans="2:29" ht="15" customHeight="1" outlineLevel="1" thickBot="1" x14ac:dyDescent="0.35">
      <c r="B9" s="3"/>
      <c r="C9" s="949" t="s">
        <v>16</v>
      </c>
      <c r="D9" s="961">
        <f>E8</f>
        <v>52.5</v>
      </c>
      <c r="E9" s="962">
        <v>0</v>
      </c>
      <c r="F9" s="963">
        <v>19.2</v>
      </c>
      <c r="G9" s="964">
        <v>92.3</v>
      </c>
      <c r="H9" s="964">
        <v>65.2</v>
      </c>
      <c r="I9" s="965">
        <v>40.4</v>
      </c>
      <c r="J9" s="966">
        <v>50.9</v>
      </c>
      <c r="K9" s="966">
        <v>38.4</v>
      </c>
      <c r="L9" s="966">
        <v>70.099999999999994</v>
      </c>
      <c r="M9" s="967">
        <v>53.9</v>
      </c>
      <c r="N9" s="3"/>
      <c r="O9" s="915">
        <f>1.19*365/312</f>
        <v>1.3921474358974357</v>
      </c>
      <c r="P9" s="3"/>
      <c r="Q9" s="915">
        <v>500</v>
      </c>
      <c r="R9" s="3"/>
      <c r="S9" s="915">
        <v>1008.2987797858868</v>
      </c>
      <c r="T9" s="3"/>
      <c r="U9" s="918">
        <v>0.9</v>
      </c>
      <c r="V9" s="3"/>
      <c r="X9" s="721"/>
      <c r="Y9" s="3"/>
      <c r="Z9" s="3"/>
      <c r="AA9" s="3"/>
      <c r="AB9" s="3"/>
      <c r="AC9" s="3"/>
    </row>
    <row r="10" spans="2:29" ht="15" customHeight="1" outlineLevel="1" thickBot="1" x14ac:dyDescent="0.35">
      <c r="B10" s="3"/>
      <c r="C10" s="949" t="s">
        <v>17</v>
      </c>
      <c r="D10" s="968">
        <f>F8</f>
        <v>40.799999999999997</v>
      </c>
      <c r="E10" s="969">
        <f>F9</f>
        <v>19.2</v>
      </c>
      <c r="F10" s="962">
        <v>0</v>
      </c>
      <c r="G10" s="963">
        <v>74.400000000000006</v>
      </c>
      <c r="H10" s="964">
        <v>52.8</v>
      </c>
      <c r="I10" s="965">
        <v>27.9</v>
      </c>
      <c r="J10" s="966">
        <v>34.299999999999997</v>
      </c>
      <c r="K10" s="966">
        <v>26.7</v>
      </c>
      <c r="L10" s="966">
        <v>61.4</v>
      </c>
      <c r="M10" s="967">
        <v>53.7</v>
      </c>
      <c r="N10" s="3"/>
      <c r="O10" s="915">
        <f>19.49*365/312</f>
        <v>22.800801282051282</v>
      </c>
      <c r="P10" s="3"/>
      <c r="Q10" s="915">
        <v>275</v>
      </c>
      <c r="R10" s="3"/>
      <c r="S10" s="915">
        <v>65.788894199343474</v>
      </c>
      <c r="T10" s="3"/>
      <c r="U10" s="918">
        <v>0.75</v>
      </c>
      <c r="V10" s="3"/>
      <c r="X10" s="721"/>
      <c r="Y10" s="3"/>
      <c r="Z10" s="3"/>
      <c r="AA10" s="3"/>
      <c r="AB10" s="3"/>
      <c r="AC10" s="3"/>
    </row>
    <row r="11" spans="2:29" ht="15" customHeight="1" outlineLevel="1" thickBot="1" x14ac:dyDescent="0.35">
      <c r="B11" s="3"/>
      <c r="C11" s="949" t="s">
        <v>18</v>
      </c>
      <c r="D11" s="968">
        <f>G8</f>
        <v>122</v>
      </c>
      <c r="E11" s="970">
        <f>G9</f>
        <v>92.3</v>
      </c>
      <c r="F11" s="969">
        <f>G10</f>
        <v>74.400000000000006</v>
      </c>
      <c r="G11" s="962">
        <v>0</v>
      </c>
      <c r="H11" s="963">
        <v>134</v>
      </c>
      <c r="I11" s="965">
        <v>100</v>
      </c>
      <c r="J11" s="966">
        <v>42.3</v>
      </c>
      <c r="K11" s="966">
        <v>100</v>
      </c>
      <c r="L11" s="966">
        <v>143</v>
      </c>
      <c r="M11" s="967">
        <v>127</v>
      </c>
      <c r="N11" s="3"/>
      <c r="O11" s="915">
        <f>30.39*365/312</f>
        <v>35.552403846153844</v>
      </c>
      <c r="P11" s="3"/>
      <c r="Q11" s="915">
        <v>275</v>
      </c>
      <c r="R11" s="3"/>
      <c r="S11" s="915">
        <v>73.736906516653377</v>
      </c>
      <c r="T11" s="3"/>
      <c r="U11" s="918">
        <v>0.65</v>
      </c>
      <c r="V11" s="3"/>
      <c r="X11" s="721"/>
      <c r="Y11" s="3"/>
      <c r="Z11" s="3"/>
      <c r="AA11" s="3"/>
      <c r="AB11" s="3"/>
      <c r="AC11" s="3"/>
    </row>
    <row r="12" spans="2:29" ht="15" customHeight="1" outlineLevel="1" thickBot="1" x14ac:dyDescent="0.35">
      <c r="B12" s="3"/>
      <c r="C12" s="949" t="s">
        <v>19</v>
      </c>
      <c r="D12" s="968">
        <f>H8</f>
        <v>16.7</v>
      </c>
      <c r="E12" s="970">
        <f>H9</f>
        <v>65.2</v>
      </c>
      <c r="F12" s="970">
        <f>H10</f>
        <v>52.8</v>
      </c>
      <c r="G12" s="969">
        <f>H11</f>
        <v>134</v>
      </c>
      <c r="H12" s="962">
        <v>0</v>
      </c>
      <c r="I12" s="971">
        <v>26.7</v>
      </c>
      <c r="J12" s="966">
        <v>85.2</v>
      </c>
      <c r="K12" s="966">
        <v>42.4</v>
      </c>
      <c r="L12" s="966">
        <v>16.899999999999999</v>
      </c>
      <c r="M12" s="967">
        <v>34.200000000000003</v>
      </c>
      <c r="N12" s="3"/>
      <c r="O12" s="915">
        <f>12.64*365/312</f>
        <v>14.787179487179488</v>
      </c>
      <c r="P12" s="3"/>
      <c r="Q12" s="915">
        <v>500</v>
      </c>
      <c r="R12" s="3"/>
      <c r="S12" s="915">
        <v>99.003207907057373</v>
      </c>
      <c r="T12" s="3"/>
      <c r="U12" s="918">
        <v>0.75</v>
      </c>
      <c r="V12" s="3"/>
      <c r="X12" s="721"/>
      <c r="Y12" s="3"/>
      <c r="Z12" s="3"/>
      <c r="AA12" s="3"/>
      <c r="AB12" s="3"/>
      <c r="AC12" s="3"/>
    </row>
    <row r="13" spans="2:29" ht="15" customHeight="1" outlineLevel="1" thickBot="1" x14ac:dyDescent="0.35">
      <c r="B13" s="3"/>
      <c r="C13" s="949" t="s">
        <v>20</v>
      </c>
      <c r="D13" s="968">
        <f>I8</f>
        <v>15.2</v>
      </c>
      <c r="E13" s="970">
        <f>I9</f>
        <v>40.4</v>
      </c>
      <c r="F13" s="970">
        <f>I10</f>
        <v>27.9</v>
      </c>
      <c r="G13" s="970">
        <f>I11</f>
        <v>100</v>
      </c>
      <c r="H13" s="969">
        <f>I12</f>
        <v>26.7</v>
      </c>
      <c r="I13" s="962">
        <v>0</v>
      </c>
      <c r="J13" s="971">
        <v>60.3</v>
      </c>
      <c r="K13" s="966">
        <v>17.399999999999999</v>
      </c>
      <c r="L13" s="966">
        <v>34</v>
      </c>
      <c r="M13" s="967">
        <v>41.7</v>
      </c>
      <c r="N13" s="3"/>
      <c r="O13" s="915">
        <f>262.25*365/312</f>
        <v>306.79887820512823</v>
      </c>
      <c r="P13" s="3"/>
      <c r="Q13" s="915">
        <v>100</v>
      </c>
      <c r="R13" s="3"/>
      <c r="S13" s="915">
        <v>29.886212570354019</v>
      </c>
      <c r="T13" s="3"/>
      <c r="U13" s="918">
        <v>0.5</v>
      </c>
      <c r="V13" s="3"/>
      <c r="X13" s="721"/>
      <c r="Y13" s="3"/>
      <c r="Z13" s="3"/>
      <c r="AA13" s="3"/>
      <c r="AB13" s="3"/>
      <c r="AC13" s="3"/>
    </row>
    <row r="14" spans="2:29" ht="15" customHeight="1" outlineLevel="1" thickBot="1" x14ac:dyDescent="0.35">
      <c r="B14" s="3"/>
      <c r="C14" s="949" t="s">
        <v>21</v>
      </c>
      <c r="D14" s="968">
        <f>J8</f>
        <v>71.5</v>
      </c>
      <c r="E14" s="970">
        <f>J9</f>
        <v>50.9</v>
      </c>
      <c r="F14" s="970">
        <f>J10</f>
        <v>34.299999999999997</v>
      </c>
      <c r="G14" s="970">
        <f>J11</f>
        <v>42.3</v>
      </c>
      <c r="H14" s="970">
        <f>J12</f>
        <v>85.2</v>
      </c>
      <c r="I14" s="969">
        <f>J13</f>
        <v>60.3</v>
      </c>
      <c r="J14" s="962">
        <v>0</v>
      </c>
      <c r="K14" s="971">
        <v>57.4</v>
      </c>
      <c r="L14" s="966">
        <v>92.1</v>
      </c>
      <c r="M14" s="967">
        <v>85.3</v>
      </c>
      <c r="N14" s="3"/>
      <c r="O14" s="915">
        <f>19.43*365/312</f>
        <v>22.730608974358972</v>
      </c>
      <c r="P14" s="3"/>
      <c r="Q14" s="915">
        <v>275</v>
      </c>
      <c r="R14" s="3"/>
      <c r="S14" s="915">
        <v>65.978154809326071</v>
      </c>
      <c r="T14" s="3"/>
      <c r="U14" s="918">
        <v>0.75</v>
      </c>
      <c r="V14" s="3"/>
      <c r="X14" s="721"/>
      <c r="Y14" s="3"/>
      <c r="Z14" s="3"/>
      <c r="AA14" s="3"/>
      <c r="AB14" s="3"/>
      <c r="AC14" s="3"/>
    </row>
    <row r="15" spans="2:29" ht="15" customHeight="1" outlineLevel="1" thickBot="1" x14ac:dyDescent="0.35">
      <c r="B15" s="3"/>
      <c r="C15" s="949" t="s">
        <v>22</v>
      </c>
      <c r="D15" s="968">
        <f>K8</f>
        <v>30</v>
      </c>
      <c r="E15" s="970">
        <f>K9</f>
        <v>38.4</v>
      </c>
      <c r="F15" s="970">
        <f>K10</f>
        <v>26.7</v>
      </c>
      <c r="G15" s="970">
        <f>K11</f>
        <v>100</v>
      </c>
      <c r="H15" s="972">
        <f>K12</f>
        <v>42.4</v>
      </c>
      <c r="I15" s="973">
        <f>K13</f>
        <v>17.399999999999999</v>
      </c>
      <c r="J15" s="974">
        <f>K14</f>
        <v>57.4</v>
      </c>
      <c r="K15" s="962">
        <v>0</v>
      </c>
      <c r="L15" s="971">
        <v>50.5</v>
      </c>
      <c r="M15" s="967">
        <v>61.5</v>
      </c>
      <c r="N15" s="3"/>
      <c r="O15" s="915">
        <f>13.72*365/312</f>
        <v>16.050641025641028</v>
      </c>
      <c r="P15" s="3"/>
      <c r="Q15" s="915">
        <v>275</v>
      </c>
      <c r="R15" s="3"/>
      <c r="S15" s="915">
        <v>91.564179879388121</v>
      </c>
      <c r="T15" s="3"/>
      <c r="U15" s="918">
        <v>0.75</v>
      </c>
      <c r="V15" s="3"/>
      <c r="X15" s="721"/>
      <c r="Y15" s="3"/>
      <c r="Z15" s="3"/>
      <c r="AA15" s="3"/>
      <c r="AB15" s="3"/>
      <c r="AC15" s="3"/>
    </row>
    <row r="16" spans="2:29" ht="15" customHeight="1" outlineLevel="1" thickBot="1" x14ac:dyDescent="0.35">
      <c r="B16" s="3"/>
      <c r="C16" s="949" t="s">
        <v>24</v>
      </c>
      <c r="D16" s="968">
        <f>L8</f>
        <v>25.6</v>
      </c>
      <c r="E16" s="970">
        <f>L9</f>
        <v>70.099999999999994</v>
      </c>
      <c r="F16" s="970">
        <f>L10</f>
        <v>61.4</v>
      </c>
      <c r="G16" s="970">
        <f>L11</f>
        <v>143</v>
      </c>
      <c r="H16" s="970">
        <f>L12</f>
        <v>16.899999999999999</v>
      </c>
      <c r="I16" s="973">
        <f>L13</f>
        <v>34</v>
      </c>
      <c r="J16" s="975">
        <f>L14</f>
        <v>92.1</v>
      </c>
      <c r="K16" s="974">
        <f>L15</f>
        <v>50.5</v>
      </c>
      <c r="L16" s="962">
        <v>0</v>
      </c>
      <c r="M16" s="976">
        <v>52.3</v>
      </c>
      <c r="N16" s="3"/>
      <c r="O16" s="915">
        <f>16.78*365/312</f>
        <v>19.63044871794872</v>
      </c>
      <c r="P16" s="3"/>
      <c r="Q16" s="915">
        <v>275</v>
      </c>
      <c r="R16" s="3"/>
      <c r="S16" s="915">
        <v>75.68716018743774</v>
      </c>
      <c r="T16" s="3"/>
      <c r="U16" s="918">
        <v>0.75</v>
      </c>
      <c r="V16" s="3"/>
      <c r="X16" s="721"/>
      <c r="Y16" s="3"/>
      <c r="Z16" s="3"/>
      <c r="AA16" s="3"/>
      <c r="AB16" s="3"/>
      <c r="AC16" s="3"/>
    </row>
    <row r="17" spans="1:56" ht="15" customHeight="1" outlineLevel="1" thickBot="1" x14ac:dyDescent="0.35">
      <c r="B17" s="3"/>
      <c r="C17" s="950" t="s">
        <v>23</v>
      </c>
      <c r="D17" s="977">
        <f>M8</f>
        <v>36</v>
      </c>
      <c r="E17" s="978">
        <f>M9</f>
        <v>53.9</v>
      </c>
      <c r="F17" s="978">
        <f>M10</f>
        <v>53.7</v>
      </c>
      <c r="G17" s="978">
        <f>M11</f>
        <v>127</v>
      </c>
      <c r="H17" s="978">
        <f>M12</f>
        <v>34.200000000000003</v>
      </c>
      <c r="I17" s="979">
        <f>M13</f>
        <v>41.7</v>
      </c>
      <c r="J17" s="980">
        <f>M14</f>
        <v>85.3</v>
      </c>
      <c r="K17" s="980">
        <f>M15</f>
        <v>61.5</v>
      </c>
      <c r="L17" s="981">
        <f>M16</f>
        <v>52.3</v>
      </c>
      <c r="M17" s="962">
        <v>0</v>
      </c>
      <c r="N17" s="3"/>
      <c r="O17" s="916">
        <f>1.81*365/312</f>
        <v>2.1174679487179486</v>
      </c>
      <c r="P17" s="3"/>
      <c r="Q17" s="916">
        <v>500</v>
      </c>
      <c r="R17" s="3"/>
      <c r="S17" s="916">
        <v>664.45610383713006</v>
      </c>
      <c r="T17" s="3"/>
      <c r="U17" s="919">
        <v>0.9</v>
      </c>
      <c r="V17" s="3"/>
      <c r="X17" s="721"/>
      <c r="Y17" s="3"/>
      <c r="Z17" s="3"/>
      <c r="AA17" s="3"/>
      <c r="AB17" s="3"/>
      <c r="AC17" s="3"/>
    </row>
    <row r="18" spans="1:56" ht="4.95" customHeight="1" outlineLevel="1" thickTop="1" thickBot="1" x14ac:dyDescent="0.35">
      <c r="B18" s="3"/>
      <c r="C18" s="1000"/>
      <c r="D18" s="1001"/>
      <c r="E18" s="1001"/>
      <c r="F18" s="1001"/>
      <c r="G18" s="1001"/>
      <c r="H18" s="1001"/>
      <c r="I18" s="1001"/>
      <c r="J18" s="1001"/>
      <c r="K18" s="1002"/>
      <c r="L18" s="1001"/>
      <c r="M18" s="1001"/>
      <c r="N18" s="3"/>
      <c r="O18" s="1000"/>
      <c r="P18" s="3"/>
      <c r="Q18" s="1003"/>
      <c r="R18" s="3"/>
      <c r="S18" s="1003"/>
      <c r="T18" s="3"/>
      <c r="U18" s="1002"/>
      <c r="V18" s="943"/>
      <c r="W18" s="1004"/>
      <c r="X18" s="1001"/>
      <c r="Y18" s="1001"/>
      <c r="Z18" s="1001"/>
      <c r="AA18" s="1001"/>
      <c r="AB18" s="1001"/>
      <c r="AC18" s="1001"/>
      <c r="AD18" s="1001"/>
      <c r="AE18" s="1001"/>
      <c r="AF18" s="1001"/>
      <c r="AG18" s="1001"/>
      <c r="AH18" s="1001"/>
      <c r="AI18" s="1001"/>
      <c r="AJ18" s="1001"/>
      <c r="AK18" s="1001"/>
      <c r="AL18" s="1001"/>
      <c r="AM18" s="1001"/>
      <c r="AN18" s="1001"/>
      <c r="AO18" s="1001"/>
      <c r="AP18" s="1001"/>
      <c r="AQ18" s="1001"/>
      <c r="AR18" s="1001"/>
      <c r="AS18" s="1001"/>
      <c r="AT18" s="1001"/>
      <c r="AU18" s="1000"/>
      <c r="AV18" s="1001"/>
      <c r="AW18" s="1001"/>
      <c r="AX18" s="1001"/>
      <c r="AY18" s="1001"/>
      <c r="AZ18" s="1001"/>
      <c r="BA18" s="3"/>
    </row>
    <row r="19" spans="1:56" ht="15.6" outlineLevel="1" thickTop="1" thickBot="1" x14ac:dyDescent="0.35">
      <c r="B19" s="3"/>
      <c r="C19" s="1005" t="s">
        <v>43</v>
      </c>
      <c r="D19" s="1006">
        <f>AVERAGE(D8:D17)</f>
        <v>41.03</v>
      </c>
      <c r="E19" s="1007">
        <f t="shared" ref="E19:M19" si="0">AVERAGE(E8:E17)</f>
        <v>48.289999999999985</v>
      </c>
      <c r="F19" s="1007">
        <f t="shared" si="0"/>
        <v>39.11999999999999</v>
      </c>
      <c r="G19" s="1007">
        <f t="shared" si="0"/>
        <v>93.5</v>
      </c>
      <c r="H19" s="1007">
        <f t="shared" si="0"/>
        <v>47.409999999999989</v>
      </c>
      <c r="I19" s="1007">
        <f t="shared" si="0"/>
        <v>36.36</v>
      </c>
      <c r="J19" s="1007">
        <f t="shared" si="0"/>
        <v>57.929999999999993</v>
      </c>
      <c r="K19" s="1007">
        <f t="shared" si="0"/>
        <v>42.43</v>
      </c>
      <c r="L19" s="1007">
        <f t="shared" si="0"/>
        <v>54.589999999999996</v>
      </c>
      <c r="M19" s="1008">
        <f t="shared" si="0"/>
        <v>54.56</v>
      </c>
      <c r="N19" s="3"/>
      <c r="O19" s="953">
        <f>SUM(O8:O17)</f>
        <v>473.06105769230766</v>
      </c>
      <c r="P19" s="3"/>
      <c r="Q19" s="937">
        <f>(O8*Q8+O9*Q9+O10*Q10+O11*Q11+O12*Q12+O13*Q13+O14*Q14+O15*Q15+O16*Q16+O17*Q17)/$O$19</f>
        <v>170.20797784207534</v>
      </c>
      <c r="R19" s="3"/>
      <c r="S19" s="937">
        <f>(O8*S8+O9*S9+O10*S10+O11*S11+O12*S12+O13*S13+O14*S14+O15*S15+O16*S16+O17*S17)/$O$19</f>
        <v>52.049020106026582</v>
      </c>
      <c r="T19" s="3"/>
      <c r="U19" s="678">
        <f>(O8*U8+O9*U9+O10*U10+O11*U11+O12*U12+O13*U13+O14*U14+O15*U15+O16*U16+O17*U17)/$O$19</f>
        <v>0.57486707718178909</v>
      </c>
      <c r="V19" s="3"/>
      <c r="W19" s="943"/>
      <c r="X19" s="943"/>
      <c r="Y19" s="943"/>
      <c r="Z19" s="943"/>
      <c r="AA19" s="943"/>
      <c r="AB19" s="943"/>
      <c r="AC19" s="943"/>
      <c r="AD19" s="943"/>
      <c r="AE19" s="943"/>
      <c r="AF19" s="943"/>
      <c r="AG19" s="943"/>
      <c r="AH19" s="943"/>
      <c r="AI19" s="943"/>
      <c r="AJ19" s="943"/>
      <c r="AK19" s="943"/>
      <c r="AL19" s="943"/>
      <c r="AM19" s="943"/>
      <c r="AN19" s="943"/>
      <c r="AO19" s="943"/>
      <c r="AP19" s="943"/>
      <c r="AQ19" s="943"/>
      <c r="AR19" s="943"/>
      <c r="AS19" s="943"/>
      <c r="AT19" s="943"/>
      <c r="AU19" s="943"/>
      <c r="AV19" s="943"/>
      <c r="AW19" s="943"/>
      <c r="AX19" s="943"/>
      <c r="AY19" s="943"/>
      <c r="AZ19" s="943"/>
      <c r="BA19" s="23"/>
      <c r="BB19" s="24"/>
    </row>
    <row r="20" spans="1:56" ht="15.6" outlineLevel="1" thickTop="1" thickBot="1" x14ac:dyDescent="0.35">
      <c r="B20" s="3"/>
      <c r="C20" s="1005" t="s">
        <v>488</v>
      </c>
      <c r="D20" s="1009">
        <f>STDEV(D8:D17)</f>
        <v>34.870906370656769</v>
      </c>
      <c r="E20" s="1010">
        <f t="shared" ref="E20:M20" si="1">STDEV(E8:E17)</f>
        <v>26.018645024076292</v>
      </c>
      <c r="F20" s="1010">
        <f t="shared" si="1"/>
        <v>22.04585120959397</v>
      </c>
      <c r="G20" s="1010">
        <f t="shared" si="1"/>
        <v>44.521455501813961</v>
      </c>
      <c r="H20" s="1010">
        <f t="shared" si="1"/>
        <v>39.470986531600381</v>
      </c>
      <c r="I20" s="1010">
        <f t="shared" si="1"/>
        <v>27.824337867733313</v>
      </c>
      <c r="J20" s="1010">
        <f t="shared" si="1"/>
        <v>28.004723807878481</v>
      </c>
      <c r="K20" s="1010">
        <f t="shared" si="1"/>
        <v>27.511979209064542</v>
      </c>
      <c r="L20" s="1010">
        <f t="shared" si="1"/>
        <v>41.092320180026071</v>
      </c>
      <c r="M20" s="1011">
        <f t="shared" si="1"/>
        <v>33.579299178710272</v>
      </c>
      <c r="N20" s="679"/>
      <c r="O20" s="952">
        <f>O19*312</f>
        <v>147595.04999999999</v>
      </c>
      <c r="P20" s="679"/>
      <c r="Q20" s="954" t="s">
        <v>5</v>
      </c>
      <c r="R20" s="943"/>
      <c r="S20" s="1012"/>
      <c r="T20" s="943"/>
      <c r="U20" s="1012"/>
      <c r="V20" s="943"/>
      <c r="W20" s="943"/>
      <c r="X20" s="943"/>
      <c r="Y20" s="943"/>
      <c r="Z20" s="943"/>
      <c r="AA20" s="943"/>
      <c r="AB20" s="943"/>
      <c r="AC20" s="943"/>
      <c r="AD20" s="943"/>
      <c r="AE20" s="943"/>
      <c r="AF20" s="943"/>
      <c r="AG20" s="943"/>
      <c r="AH20" s="943"/>
      <c r="AI20" s="943"/>
      <c r="AJ20" s="943"/>
      <c r="AK20" s="943"/>
      <c r="AL20" s="943"/>
      <c r="AM20" s="943"/>
      <c r="AN20" s="943"/>
      <c r="AO20" s="943"/>
      <c r="AP20" s="943"/>
      <c r="AQ20" s="943"/>
      <c r="AR20" s="943"/>
      <c r="AS20" s="943"/>
      <c r="AT20" s="943"/>
      <c r="AU20" s="943"/>
      <c r="AV20" s="943"/>
      <c r="AW20" s="943"/>
      <c r="AX20" s="943"/>
      <c r="AY20" s="943"/>
      <c r="AZ20" s="943"/>
      <c r="BA20" s="23"/>
      <c r="BB20" s="24"/>
    </row>
    <row r="21" spans="1:56" ht="15" outlineLevel="1" thickTop="1" x14ac:dyDescent="0.3">
      <c r="A21" s="2"/>
      <c r="B21" s="3"/>
      <c r="F21" s="1013"/>
      <c r="G21" s="1013"/>
      <c r="H21" s="1013"/>
      <c r="M21" s="1013"/>
      <c r="N21" s="749"/>
      <c r="P21" s="3"/>
      <c r="Q21" s="21"/>
      <c r="R21" s="21"/>
      <c r="S21" s="21"/>
      <c r="T21" s="749"/>
      <c r="U21" s="944"/>
      <c r="V21" s="749"/>
      <c r="W21" s="749"/>
      <c r="X21" s="749"/>
      <c r="Y21" s="749"/>
      <c r="Z21" s="749"/>
      <c r="AA21" s="749"/>
      <c r="AB21" s="749"/>
      <c r="AC21" s="749"/>
      <c r="AD21" s="749"/>
      <c r="AE21" s="749"/>
      <c r="AF21" s="749"/>
      <c r="AG21" s="749"/>
      <c r="AH21" s="749"/>
      <c r="AI21" s="749"/>
      <c r="AJ21" s="749"/>
      <c r="AK21" s="749"/>
      <c r="AL21" s="749"/>
      <c r="AM21" s="749"/>
      <c r="AN21" s="749"/>
      <c r="AO21" s="749"/>
      <c r="AP21" s="749"/>
      <c r="AQ21" s="749"/>
      <c r="AR21" s="749"/>
      <c r="AS21" s="749"/>
      <c r="AT21" s="749"/>
      <c r="AU21" s="749"/>
      <c r="AV21" s="749"/>
      <c r="AW21" s="749"/>
      <c r="AX21" s="749"/>
      <c r="AY21" s="749"/>
      <c r="AZ21" s="749"/>
      <c r="BA21" s="1000"/>
      <c r="BB21" s="2"/>
      <c r="BD21" s="2"/>
    </row>
    <row r="22" spans="1:56" ht="4.95" customHeight="1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49"/>
      <c r="U22" s="944"/>
    </row>
    <row r="23" spans="1:56" ht="15" customHeight="1" thickBot="1" x14ac:dyDescent="0.35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39" t="str">
        <f>O7</f>
        <v>t.(d)-1</v>
      </c>
      <c r="P23" s="1">
        <f t="shared" ref="P23:U23" si="2">P7</f>
        <v>0</v>
      </c>
      <c r="Q23" s="936" t="str">
        <f t="shared" si="2"/>
        <v>R$.(t RSU)-1</v>
      </c>
      <c r="R23" s="1">
        <f t="shared" si="2"/>
        <v>0</v>
      </c>
      <c r="S23" s="935" t="str">
        <f t="shared" si="2"/>
        <v>R$.(t RSU)-1</v>
      </c>
      <c r="T23" s="1">
        <f t="shared" si="2"/>
        <v>0</v>
      </c>
      <c r="U23" s="935" t="str">
        <f t="shared" si="2"/>
        <v>R$.(t RSU)-1.(Km)-1</v>
      </c>
    </row>
    <row r="24" spans="1:56" ht="15" customHeight="1" thickTop="1" thickBot="1" x14ac:dyDescent="0.35">
      <c r="B24" s="3"/>
      <c r="C24" s="8" t="s">
        <v>15</v>
      </c>
      <c r="D24" s="722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29">
        <f t="shared" ref="O24:U24" si="4">O8</f>
        <v>31.200480769230772</v>
      </c>
      <c r="P24" s="363">
        <f t="shared" si="4"/>
        <v>0</v>
      </c>
      <c r="Q24" s="1029">
        <f t="shared" si="4"/>
        <v>275</v>
      </c>
      <c r="R24" s="363">
        <f t="shared" si="4"/>
        <v>0</v>
      </c>
      <c r="S24" s="1029">
        <f t="shared" si="4"/>
        <v>83.394247808065074</v>
      </c>
      <c r="T24" s="363">
        <f t="shared" si="4"/>
        <v>0</v>
      </c>
      <c r="U24" s="1030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5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1">
        <f t="shared" ref="O25:U25" si="6">O9</f>
        <v>1.3921474358974357</v>
      </c>
      <c r="P25" s="363">
        <f t="shared" si="6"/>
        <v>0</v>
      </c>
      <c r="Q25" s="1031">
        <f t="shared" si="6"/>
        <v>500</v>
      </c>
      <c r="R25" s="363">
        <f t="shared" si="6"/>
        <v>0</v>
      </c>
      <c r="S25" s="1031">
        <f t="shared" si="6"/>
        <v>1008.2987797858868</v>
      </c>
      <c r="T25" s="363">
        <f t="shared" si="6"/>
        <v>0</v>
      </c>
      <c r="U25" s="1032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5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1">
        <f t="shared" ref="O26:U26" si="8">O10</f>
        <v>22.800801282051282</v>
      </c>
      <c r="P26" s="363">
        <f t="shared" si="8"/>
        <v>0</v>
      </c>
      <c r="Q26" s="1031">
        <f t="shared" si="8"/>
        <v>275</v>
      </c>
      <c r="R26" s="363">
        <f t="shared" si="8"/>
        <v>0</v>
      </c>
      <c r="S26" s="1031">
        <f t="shared" si="8"/>
        <v>65.788894199343474</v>
      </c>
      <c r="T26" s="363">
        <f t="shared" si="8"/>
        <v>0</v>
      </c>
      <c r="U26" s="1032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5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1">
        <f t="shared" ref="O27:U27" si="10">O11</f>
        <v>35.552403846153844</v>
      </c>
      <c r="P27" s="363">
        <f t="shared" si="10"/>
        <v>0</v>
      </c>
      <c r="Q27" s="1031">
        <f t="shared" si="10"/>
        <v>275</v>
      </c>
      <c r="R27" s="363">
        <f t="shared" si="10"/>
        <v>0</v>
      </c>
      <c r="S27" s="1031">
        <f t="shared" si="10"/>
        <v>73.736906516653377</v>
      </c>
      <c r="T27" s="363">
        <f t="shared" si="10"/>
        <v>0</v>
      </c>
      <c r="U27" s="1032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5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1">
        <f t="shared" ref="O28:U28" si="12">O12</f>
        <v>14.787179487179488</v>
      </c>
      <c r="P28" s="363">
        <f t="shared" si="12"/>
        <v>0</v>
      </c>
      <c r="Q28" s="1031">
        <f t="shared" si="12"/>
        <v>500</v>
      </c>
      <c r="R28" s="363">
        <f t="shared" si="12"/>
        <v>0</v>
      </c>
      <c r="S28" s="1031">
        <f t="shared" si="12"/>
        <v>99.003207907057373</v>
      </c>
      <c r="T28" s="363">
        <f t="shared" si="12"/>
        <v>0</v>
      </c>
      <c r="U28" s="1032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5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1">
        <f t="shared" ref="O29:U29" si="14">O13</f>
        <v>306.79887820512823</v>
      </c>
      <c r="P29" s="363">
        <f t="shared" si="14"/>
        <v>0</v>
      </c>
      <c r="Q29" s="1031">
        <f t="shared" si="14"/>
        <v>100</v>
      </c>
      <c r="R29" s="363">
        <f t="shared" si="14"/>
        <v>0</v>
      </c>
      <c r="S29" s="1031">
        <f t="shared" si="14"/>
        <v>29.886212570354019</v>
      </c>
      <c r="T29" s="363">
        <f t="shared" si="14"/>
        <v>0</v>
      </c>
      <c r="U29" s="1032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5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1">
        <f t="shared" ref="O30:U30" si="16">O14</f>
        <v>22.730608974358972</v>
      </c>
      <c r="P30" s="363">
        <f t="shared" si="16"/>
        <v>0</v>
      </c>
      <c r="Q30" s="1031">
        <f t="shared" si="16"/>
        <v>275</v>
      </c>
      <c r="R30" s="363">
        <f t="shared" si="16"/>
        <v>0</v>
      </c>
      <c r="S30" s="1031">
        <f t="shared" si="16"/>
        <v>65.978154809326071</v>
      </c>
      <c r="T30" s="363">
        <f t="shared" si="16"/>
        <v>0</v>
      </c>
      <c r="U30" s="1032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5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1">
        <f t="shared" ref="O31:U31" si="18">O15</f>
        <v>16.050641025641028</v>
      </c>
      <c r="P31" s="363">
        <f t="shared" si="18"/>
        <v>0</v>
      </c>
      <c r="Q31" s="1031">
        <f t="shared" si="18"/>
        <v>275</v>
      </c>
      <c r="R31" s="363">
        <f t="shared" si="18"/>
        <v>0</v>
      </c>
      <c r="S31" s="1031">
        <f t="shared" si="18"/>
        <v>91.564179879388121</v>
      </c>
      <c r="T31" s="363">
        <f t="shared" si="18"/>
        <v>0</v>
      </c>
      <c r="U31" s="1032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5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1">
        <f t="shared" ref="O32:U32" si="20">O16</f>
        <v>19.63044871794872</v>
      </c>
      <c r="P32" s="363">
        <f t="shared" si="20"/>
        <v>0</v>
      </c>
      <c r="Q32" s="1031">
        <f t="shared" si="20"/>
        <v>275</v>
      </c>
      <c r="R32" s="363">
        <f t="shared" si="20"/>
        <v>0</v>
      </c>
      <c r="S32" s="1031">
        <f t="shared" si="20"/>
        <v>75.68716018743774</v>
      </c>
      <c r="T32" s="363">
        <f t="shared" si="20"/>
        <v>0</v>
      </c>
      <c r="U32" s="1032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5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33">
        <f t="shared" ref="O33:U33" si="22">O17</f>
        <v>2.1174679487179486</v>
      </c>
      <c r="P33" s="363">
        <f t="shared" si="22"/>
        <v>0</v>
      </c>
      <c r="Q33" s="1033">
        <f t="shared" si="22"/>
        <v>500</v>
      </c>
      <c r="R33" s="363">
        <f t="shared" si="22"/>
        <v>0</v>
      </c>
      <c r="S33" s="1033">
        <f t="shared" si="22"/>
        <v>664.45610383713006</v>
      </c>
      <c r="T33" s="363">
        <f t="shared" si="22"/>
        <v>0</v>
      </c>
      <c r="U33" s="1034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5" customHeight="1" thickTop="1" thickBot="1" x14ac:dyDescent="0.35">
      <c r="B34" s="3"/>
      <c r="C34" s="1000"/>
      <c r="D34" s="1001"/>
      <c r="E34" s="1001"/>
      <c r="F34" s="1001"/>
      <c r="G34" s="1001"/>
      <c r="H34" s="1001"/>
      <c r="I34" s="1001"/>
      <c r="J34" s="1001"/>
      <c r="K34" s="1002"/>
      <c r="L34" s="1001"/>
      <c r="M34" s="1001"/>
      <c r="N34" s="3"/>
      <c r="O34" s="1000"/>
      <c r="P34" s="3">
        <f>P18</f>
        <v>0</v>
      </c>
      <c r="Q34" s="1003"/>
      <c r="R34" s="3">
        <f>R18</f>
        <v>0</v>
      </c>
      <c r="S34" s="1003"/>
      <c r="T34" s="3">
        <f>T18</f>
        <v>0</v>
      </c>
      <c r="U34" s="1002"/>
      <c r="V34" s="3"/>
      <c r="W34" s="1001"/>
      <c r="X34" s="1001"/>
      <c r="Y34" s="1001"/>
      <c r="Z34" s="1001"/>
      <c r="AA34" s="1001"/>
      <c r="AB34" s="1001"/>
      <c r="AC34" s="1001"/>
      <c r="AD34" s="1001"/>
      <c r="AE34" s="1001"/>
      <c r="AF34" s="1001"/>
      <c r="AG34" s="1001"/>
      <c r="AH34" s="1001"/>
      <c r="AI34" s="1001"/>
      <c r="AJ34" s="1001"/>
      <c r="AK34" s="1001"/>
      <c r="AL34" s="1001"/>
      <c r="AM34" s="1001"/>
      <c r="AN34" s="1001"/>
      <c r="AO34" s="1001"/>
      <c r="AP34" s="1001"/>
      <c r="AQ34" s="1001"/>
      <c r="AR34" s="1001"/>
      <c r="AS34" s="1001"/>
      <c r="AT34" s="1001"/>
      <c r="AU34" s="1000"/>
      <c r="AV34" s="1001"/>
      <c r="AW34" s="1001"/>
      <c r="AX34" s="1001"/>
      <c r="AY34" s="1001"/>
      <c r="AZ34" s="1001"/>
      <c r="BA34" s="3"/>
    </row>
    <row r="35" spans="1:54" ht="15.6" thickTop="1" thickBot="1" x14ac:dyDescent="0.35">
      <c r="B35" s="3"/>
      <c r="C35" s="1005" t="s">
        <v>43</v>
      </c>
      <c r="D35" s="1014">
        <f>AVERAGE(D24:D33)</f>
        <v>41.03</v>
      </c>
      <c r="E35" s="1015">
        <f t="shared" ref="E35:M35" si="23">AVERAGE(E24:E33)</f>
        <v>48.289999999999985</v>
      </c>
      <c r="F35" s="1015">
        <f t="shared" si="23"/>
        <v>39.11999999999999</v>
      </c>
      <c r="G35" s="1015">
        <f t="shared" si="23"/>
        <v>93.5</v>
      </c>
      <c r="H35" s="1015">
        <f t="shared" si="23"/>
        <v>47.409999999999989</v>
      </c>
      <c r="I35" s="1015">
        <f t="shared" si="23"/>
        <v>36.36</v>
      </c>
      <c r="J35" s="1015">
        <f t="shared" si="23"/>
        <v>57.929999999999993</v>
      </c>
      <c r="K35" s="1015">
        <f t="shared" si="23"/>
        <v>42.43</v>
      </c>
      <c r="L35" s="1015">
        <f t="shared" si="23"/>
        <v>54.589999999999996</v>
      </c>
      <c r="M35" s="1016">
        <f t="shared" si="23"/>
        <v>54.56</v>
      </c>
      <c r="N35" s="3"/>
      <c r="O35" s="953">
        <f t="shared" ref="O35:U35" si="24">O19</f>
        <v>473.06105769230766</v>
      </c>
      <c r="P35" s="3">
        <f t="shared" si="24"/>
        <v>0</v>
      </c>
      <c r="Q35" s="937">
        <f t="shared" si="24"/>
        <v>170.20797784207534</v>
      </c>
      <c r="R35" s="3">
        <f t="shared" si="24"/>
        <v>0</v>
      </c>
      <c r="S35" s="937">
        <f t="shared" si="24"/>
        <v>52.049020106026582</v>
      </c>
      <c r="T35" s="3">
        <f t="shared" si="24"/>
        <v>0</v>
      </c>
      <c r="U35" s="678">
        <f t="shared" si="24"/>
        <v>0.57486707718178909</v>
      </c>
      <c r="V35" s="3"/>
      <c r="W35" s="23"/>
      <c r="X35" s="943"/>
      <c r="Y35" s="943"/>
      <c r="Z35" s="943"/>
      <c r="AA35" s="943"/>
      <c r="AB35" s="943"/>
      <c r="AC35" s="943"/>
      <c r="AD35" s="943"/>
      <c r="AE35" s="943"/>
      <c r="AF35" s="943"/>
      <c r="AG35" s="943"/>
      <c r="AH35" s="943"/>
      <c r="AI35" s="943"/>
      <c r="AJ35" s="943"/>
      <c r="AK35" s="943"/>
      <c r="AL35" s="943"/>
      <c r="AM35" s="943"/>
      <c r="AN35" s="943"/>
      <c r="AO35" s="943"/>
      <c r="AP35" s="943"/>
      <c r="AQ35" s="943"/>
      <c r="AR35" s="943"/>
      <c r="AS35" s="943"/>
      <c r="AT35" s="943"/>
      <c r="AU35" s="943"/>
      <c r="AV35" s="943"/>
      <c r="AW35" s="943"/>
      <c r="AX35" s="943"/>
      <c r="AY35" s="943"/>
      <c r="AZ35" s="943"/>
      <c r="BA35" s="23"/>
      <c r="BB35" s="24"/>
    </row>
    <row r="36" spans="1:54" ht="15.6" thickTop="1" thickBot="1" x14ac:dyDescent="0.35">
      <c r="B36" s="3"/>
      <c r="C36" s="1005" t="s">
        <v>488</v>
      </c>
      <c r="D36" s="1017">
        <f>STDEV(D24:D33)</f>
        <v>34.870906370656769</v>
      </c>
      <c r="E36" s="1018">
        <f>STDEV(E24:E33)</f>
        <v>26.018645024076292</v>
      </c>
      <c r="F36" s="1018">
        <f t="shared" ref="F36:M36" si="25">STDEV(F24:F33)</f>
        <v>22.04585120959397</v>
      </c>
      <c r="G36" s="1018">
        <f t="shared" si="25"/>
        <v>44.521455501813961</v>
      </c>
      <c r="H36" s="1018">
        <f t="shared" si="25"/>
        <v>39.470986531600381</v>
      </c>
      <c r="I36" s="1018">
        <f t="shared" si="25"/>
        <v>27.824337867733313</v>
      </c>
      <c r="J36" s="1018">
        <f t="shared" si="25"/>
        <v>28.004723807878481</v>
      </c>
      <c r="K36" s="1018">
        <f t="shared" si="25"/>
        <v>27.511979209064542</v>
      </c>
      <c r="L36" s="1018">
        <f t="shared" si="25"/>
        <v>41.092320180026071</v>
      </c>
      <c r="M36" s="1019">
        <f t="shared" si="25"/>
        <v>33.579299178710272</v>
      </c>
      <c r="N36" s="3"/>
      <c r="O36" s="952">
        <f t="shared" ref="O36:R36" si="26">O20</f>
        <v>147595.04999999999</v>
      </c>
      <c r="P36" s="679">
        <f t="shared" si="26"/>
        <v>0</v>
      </c>
      <c r="Q36" s="954" t="str">
        <f t="shared" si="26"/>
        <v>t/a</v>
      </c>
      <c r="R36" s="943">
        <f t="shared" si="26"/>
        <v>0</v>
      </c>
      <c r="S36" s="1012"/>
      <c r="T36" s="943"/>
      <c r="U36" s="1012"/>
      <c r="V36" s="3"/>
      <c r="W36" s="23"/>
      <c r="X36" s="943"/>
      <c r="Y36" s="943"/>
      <c r="Z36" s="943"/>
      <c r="AA36" s="943"/>
      <c r="AB36" s="943"/>
      <c r="AC36" s="943"/>
      <c r="AD36" s="943"/>
      <c r="AE36" s="943"/>
      <c r="AF36" s="943"/>
      <c r="AG36" s="943"/>
      <c r="AH36" s="943"/>
      <c r="AI36" s="943"/>
      <c r="AJ36" s="943"/>
      <c r="AK36" s="943"/>
      <c r="AL36" s="943"/>
      <c r="AM36" s="943"/>
      <c r="AN36" s="943"/>
      <c r="AO36" s="943"/>
      <c r="AP36" s="943"/>
      <c r="AQ36" s="943"/>
      <c r="AR36" s="943"/>
      <c r="AS36" s="943"/>
      <c r="AT36" s="943"/>
      <c r="AU36" s="943"/>
      <c r="AV36" s="943"/>
      <c r="AW36" s="943"/>
      <c r="AX36" s="943"/>
      <c r="AY36" s="943"/>
      <c r="AZ36" s="943"/>
      <c r="BA36" s="23"/>
      <c r="BB36" s="24"/>
    </row>
    <row r="37" spans="1:54" ht="4.95" customHeight="1" thickTop="1" thickBot="1" x14ac:dyDescent="0.35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2" customHeight="1" thickTop="1" thickBot="1" x14ac:dyDescent="0.35">
      <c r="A38" s="951"/>
      <c r="B38" s="951"/>
      <c r="C38" s="1190" t="s">
        <v>481</v>
      </c>
      <c r="D38" s="1191"/>
      <c r="E38" s="1191"/>
      <c r="F38" s="1191"/>
      <c r="G38" s="1191"/>
      <c r="H38" s="1191"/>
      <c r="I38" s="1191"/>
      <c r="J38" s="1191"/>
      <c r="K38" s="1191"/>
      <c r="L38" s="1191"/>
      <c r="M38" s="1192"/>
      <c r="N38" s="3"/>
      <c r="P38" s="3"/>
      <c r="Q38" s="1000"/>
      <c r="R38" s="3"/>
      <c r="S38" s="1000"/>
      <c r="T38" s="3"/>
      <c r="U38" s="1000"/>
      <c r="V38" s="3"/>
      <c r="W38" s="1000"/>
      <c r="X38" s="1000"/>
      <c r="Y38" s="1000"/>
      <c r="Z38" s="1000"/>
      <c r="AA38" s="1000"/>
      <c r="AB38" s="1000"/>
      <c r="AC38" s="1000"/>
      <c r="AD38" s="1000"/>
      <c r="AE38" s="1000"/>
      <c r="AF38" s="1000"/>
      <c r="AG38" s="1000"/>
      <c r="AH38" s="1000"/>
      <c r="AI38" s="1000"/>
      <c r="AJ38" s="1000"/>
      <c r="AK38" s="1000"/>
      <c r="AL38" s="1000"/>
      <c r="AM38" s="1000"/>
      <c r="AN38" s="1000"/>
      <c r="AO38" s="1000"/>
      <c r="AP38" s="1000"/>
      <c r="AQ38" s="1000"/>
      <c r="AR38" s="1000"/>
      <c r="AS38" s="1000"/>
      <c r="AT38" s="1000"/>
      <c r="AU38" s="1000"/>
      <c r="AV38" s="1000"/>
      <c r="AW38" s="1000"/>
      <c r="AX38" s="1000"/>
      <c r="AY38" s="1000"/>
      <c r="AZ38" s="1000"/>
      <c r="BA38" s="2"/>
      <c r="BB38" s="2"/>
    </row>
    <row r="39" spans="1:54" ht="4.95" customHeight="1" thickTop="1" x14ac:dyDescent="0.3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3">
      <c r="C40" s="1158" t="s">
        <v>485</v>
      </c>
      <c r="D40" s="1159"/>
      <c r="E40" s="1159"/>
      <c r="F40" s="1159"/>
      <c r="G40" s="1160"/>
      <c r="H40" s="988">
        <f>Q19</f>
        <v>170.20797784207534</v>
      </c>
      <c r="I40" s="984"/>
      <c r="J40" s="984"/>
      <c r="K40" s="984"/>
      <c r="L40" s="984"/>
      <c r="M40" s="984"/>
      <c r="O40" s="21"/>
    </row>
    <row r="41" spans="1:54" ht="4.95" customHeight="1" x14ac:dyDescent="0.3">
      <c r="C41" s="985"/>
      <c r="D41" s="985"/>
      <c r="E41" s="985"/>
      <c r="F41" s="985"/>
      <c r="G41" s="985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3">
      <c r="C42" s="1161" t="s">
        <v>592</v>
      </c>
      <c r="D42" s="1162"/>
      <c r="E42" s="1162"/>
      <c r="F42" s="1162"/>
      <c r="G42" s="1163"/>
      <c r="H42" s="989" t="s">
        <v>20</v>
      </c>
      <c r="I42" s="984"/>
      <c r="J42" s="984"/>
      <c r="K42" s="984"/>
      <c r="L42" s="984"/>
      <c r="M42" s="984"/>
      <c r="O42" s="21"/>
    </row>
    <row r="43" spans="1:54" ht="4.95" customHeight="1" x14ac:dyDescent="0.3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3">
      <c r="C44" s="940"/>
      <c r="D44" s="994" t="str">
        <f t="shared" ref="D44:M44" si="27">D7</f>
        <v>Álvares Machado</v>
      </c>
      <c r="E44" s="995" t="str">
        <f t="shared" si="27"/>
        <v>Caiabu</v>
      </c>
      <c r="F44" s="995" t="str">
        <f t="shared" si="27"/>
        <v>Martinópolis</v>
      </c>
      <c r="G44" s="995" t="str">
        <f t="shared" si="27"/>
        <v>Paraguaçu Paulista</v>
      </c>
      <c r="H44" s="995" t="str">
        <f t="shared" si="27"/>
        <v>Presidente Bernardes</v>
      </c>
      <c r="I44" s="995" t="str">
        <f t="shared" si="27"/>
        <v>Presidente Prudente</v>
      </c>
      <c r="J44" s="995" t="str">
        <f t="shared" si="27"/>
        <v>Rancharia</v>
      </c>
      <c r="K44" s="995" t="str">
        <f t="shared" si="27"/>
        <v>Regente Feijó</v>
      </c>
      <c r="L44" s="995" t="str">
        <f t="shared" si="27"/>
        <v>Santo Anastácio</v>
      </c>
      <c r="M44" s="996" t="str">
        <f t="shared" si="27"/>
        <v>Santo Expedito</v>
      </c>
      <c r="N44" s="1"/>
      <c r="O44" s="21"/>
    </row>
    <row r="45" spans="1:54" s="5" customFormat="1" ht="15" customHeight="1" x14ac:dyDescent="0.3">
      <c r="C45" s="941"/>
      <c r="D45" s="997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998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998">
        <f t="shared" si="28"/>
        <v>71.811167520523213</v>
      </c>
      <c r="G45" s="998">
        <f t="shared" si="28"/>
        <v>104.81282812838238</v>
      </c>
      <c r="H45" s="998">
        <f t="shared" si="28"/>
        <v>74.863308628914055</v>
      </c>
      <c r="I45" s="998">
        <f t="shared" si="28"/>
        <v>63.169155872774866</v>
      </c>
      <c r="J45" s="998">
        <f t="shared" si="28"/>
        <v>84.776886045636346</v>
      </c>
      <c r="K45" s="998">
        <f t="shared" si="28"/>
        <v>69.811324802220668</v>
      </c>
      <c r="L45" s="998">
        <f t="shared" si="28"/>
        <v>78.773460222751382</v>
      </c>
      <c r="M45" s="999">
        <f t="shared" si="28"/>
        <v>82.470793234596968</v>
      </c>
      <c r="N45" s="2"/>
      <c r="O45" s="21"/>
    </row>
    <row r="46" spans="1:54" ht="4.95" customHeight="1" x14ac:dyDescent="0.3">
      <c r="C46" s="985"/>
      <c r="D46" s="985"/>
      <c r="E46" s="985"/>
      <c r="F46" s="985"/>
      <c r="G46" s="985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3">
      <c r="C47" s="1161" t="s">
        <v>483</v>
      </c>
      <c r="D47" s="1193"/>
      <c r="E47" s="1193"/>
      <c r="F47" s="1193"/>
      <c r="G47" s="1194"/>
      <c r="H47" s="993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84"/>
      <c r="J47" s="984"/>
      <c r="K47" s="6"/>
      <c r="L47" s="984"/>
      <c r="M47" s="984"/>
      <c r="O47" s="21"/>
    </row>
    <row r="48" spans="1:54" s="5" customFormat="1" ht="15" customHeight="1" x14ac:dyDescent="0.3">
      <c r="C48" s="1161" t="s">
        <v>484</v>
      </c>
      <c r="D48" s="1162"/>
      <c r="E48" s="1162"/>
      <c r="F48" s="1162"/>
      <c r="G48" s="1163"/>
      <c r="H48" s="1138">
        <v>175</v>
      </c>
      <c r="I48" s="984"/>
      <c r="J48" s="984"/>
      <c r="K48" s="6"/>
      <c r="L48" s="984"/>
      <c r="M48" s="984"/>
      <c r="O48" s="21"/>
    </row>
    <row r="49" spans="1:55" ht="4.95" customHeight="1" x14ac:dyDescent="0.3">
      <c r="C49" s="985"/>
      <c r="D49" s="985"/>
      <c r="E49" s="985"/>
      <c r="F49" s="985"/>
      <c r="G49" s="985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3">
      <c r="C50" s="1144" t="s">
        <v>478</v>
      </c>
      <c r="D50" s="1145"/>
      <c r="E50" s="1145"/>
      <c r="F50" s="1145"/>
      <c r="G50" s="1146"/>
      <c r="H50" s="989" t="s">
        <v>17</v>
      </c>
      <c r="I50" s="6"/>
      <c r="J50" s="6"/>
      <c r="K50" s="984"/>
      <c r="L50" s="984"/>
      <c r="M50" s="984"/>
      <c r="O50" s="21"/>
      <c r="Q50" s="1060"/>
    </row>
    <row r="51" spans="1:55" s="5" customFormat="1" ht="15" customHeight="1" x14ac:dyDescent="0.3">
      <c r="C51" s="1144" t="s">
        <v>593</v>
      </c>
      <c r="D51" s="1145"/>
      <c r="E51" s="1145"/>
      <c r="F51" s="1145"/>
      <c r="G51" s="1146"/>
      <c r="H51" s="990">
        <f>VLOOKUP(H42,C7:M17,MATCH(H50,C7:M7,0),0)</f>
        <v>27.9</v>
      </c>
      <c r="J51" s="984"/>
      <c r="K51" s="984"/>
      <c r="L51" s="984"/>
      <c r="M51" s="984"/>
      <c r="O51" s="21"/>
      <c r="Q51" s="1060"/>
    </row>
    <row r="52" spans="1:55" s="5" customFormat="1" ht="15" customHeight="1" x14ac:dyDescent="0.3">
      <c r="C52" s="1144" t="s">
        <v>594</v>
      </c>
      <c r="D52" s="1145"/>
      <c r="E52" s="1145"/>
      <c r="F52" s="1145"/>
      <c r="G52" s="1146"/>
      <c r="H52" s="1139">
        <v>5</v>
      </c>
      <c r="I52" s="1057">
        <v>0.8</v>
      </c>
      <c r="J52" s="1058" t="s">
        <v>558</v>
      </c>
      <c r="K52" s="984"/>
      <c r="L52" s="984"/>
      <c r="M52" s="984"/>
      <c r="O52" s="21"/>
      <c r="Q52" s="1060"/>
    </row>
    <row r="53" spans="1:55" ht="4.95" customHeight="1" thickBot="1" x14ac:dyDescent="0.35">
      <c r="C53" s="985"/>
      <c r="D53" s="986"/>
      <c r="E53" s="985"/>
      <c r="F53" s="985"/>
      <c r="G53" s="985"/>
      <c r="H53" s="23"/>
      <c r="I53" s="23"/>
      <c r="J53" s="23"/>
      <c r="K53" s="23"/>
      <c r="L53" s="23"/>
      <c r="M53" s="23"/>
      <c r="Q53" s="17"/>
    </row>
    <row r="54" spans="1:55" s="991" customFormat="1" ht="19.95" customHeight="1" thickBot="1" x14ac:dyDescent="0.35">
      <c r="C54" s="1182" t="s">
        <v>489</v>
      </c>
      <c r="D54" s="1183"/>
      <c r="E54" s="1183"/>
      <c r="F54" s="1183"/>
      <c r="G54" s="1183"/>
      <c r="H54" s="1020" t="s">
        <v>477</v>
      </c>
      <c r="I54" s="1020" t="s">
        <v>215</v>
      </c>
      <c r="J54" s="1020" t="s">
        <v>216</v>
      </c>
      <c r="K54" s="1021" t="s">
        <v>217</v>
      </c>
      <c r="L54" s="1021" t="s">
        <v>617</v>
      </c>
      <c r="M54" s="992"/>
      <c r="O54" s="1059"/>
      <c r="Q54" s="1060"/>
    </row>
    <row r="55" spans="1:55" s="5" customFormat="1" ht="15" customHeight="1" x14ac:dyDescent="0.3">
      <c r="C55" s="1184" t="s">
        <v>479</v>
      </c>
      <c r="D55" s="1185"/>
      <c r="E55" s="1185"/>
      <c r="F55" s="1185"/>
      <c r="G55" s="1186"/>
      <c r="H55" s="1027">
        <v>0.61299999999999999</v>
      </c>
      <c r="I55" s="1027">
        <v>0.59599999999999997</v>
      </c>
      <c r="J55" s="1027">
        <v>0.65</v>
      </c>
      <c r="K55" s="1028">
        <v>0.80200000000000005</v>
      </c>
      <c r="L55" s="1028">
        <v>0.80200000000000005</v>
      </c>
      <c r="M55" s="984"/>
      <c r="O55" s="21"/>
    </row>
    <row r="56" spans="1:55" s="5" customFormat="1" ht="15" customHeight="1" thickBot="1" x14ac:dyDescent="0.35">
      <c r="C56" s="1187" t="s">
        <v>595</v>
      </c>
      <c r="D56" s="1188"/>
      <c r="E56" s="1188"/>
      <c r="F56" s="1188"/>
      <c r="G56" s="1189"/>
      <c r="H56" s="1140">
        <f>(1-H55)*$H$52</f>
        <v>1.9350000000000001</v>
      </c>
      <c r="I56" s="1140">
        <f t="shared" ref="I56:L56" si="29">(1-I55)*$H$52</f>
        <v>2.02</v>
      </c>
      <c r="J56" s="1140">
        <f t="shared" si="29"/>
        <v>1.75</v>
      </c>
      <c r="K56" s="1140">
        <f t="shared" si="29"/>
        <v>0.98999999999999977</v>
      </c>
      <c r="L56" s="1140">
        <f t="shared" si="29"/>
        <v>0.98999999999999977</v>
      </c>
      <c r="M56" s="984"/>
      <c r="O56" s="21"/>
    </row>
    <row r="57" spans="1:55" ht="4.95" customHeight="1" thickBot="1" x14ac:dyDescent="0.35">
      <c r="C57" s="985"/>
      <c r="D57" s="986"/>
      <c r="E57" s="985"/>
      <c r="F57" s="985"/>
      <c r="G57" s="985"/>
      <c r="H57" s="23"/>
      <c r="I57" s="23"/>
      <c r="J57" s="23"/>
      <c r="K57" s="23"/>
      <c r="L57" s="23"/>
      <c r="M57" s="23"/>
    </row>
    <row r="58" spans="1:55" s="7" customFormat="1" ht="25.2" customHeight="1" thickTop="1" thickBot="1" x14ac:dyDescent="0.35">
      <c r="C58" s="1167" t="s">
        <v>490</v>
      </c>
      <c r="D58" s="1168"/>
      <c r="E58" s="1168"/>
      <c r="F58" s="1168"/>
      <c r="G58" s="1169"/>
      <c r="H58" s="1022">
        <f>$H$48+H56</f>
        <v>176.935</v>
      </c>
      <c r="I58" s="1022">
        <f>$H$48+I56</f>
        <v>177.02</v>
      </c>
      <c r="J58" s="1022">
        <f>$H$48+J56</f>
        <v>176.75</v>
      </c>
      <c r="K58" s="1023">
        <f>$H$48+K56</f>
        <v>175.99</v>
      </c>
      <c r="L58" s="1023">
        <f>$H$48+L56</f>
        <v>175.99</v>
      </c>
      <c r="M58" s="987"/>
      <c r="O58" s="938"/>
    </row>
    <row r="59" spans="1:55" s="5" customFormat="1" ht="15" customHeight="1" thickTop="1" x14ac:dyDescent="0.3">
      <c r="C59" s="982"/>
      <c r="D59" s="983"/>
      <c r="E59" s="983"/>
      <c r="F59" s="983"/>
      <c r="G59" s="983"/>
      <c r="H59" s="723"/>
      <c r="I59" s="723"/>
      <c r="J59" s="723"/>
      <c r="K59" s="723"/>
      <c r="L59" s="723"/>
      <c r="M59" s="723"/>
      <c r="O59" s="21"/>
    </row>
    <row r="60" spans="1:55" s="2" customFormat="1" ht="15" thickBot="1" x14ac:dyDescent="0.35">
      <c r="B60" s="1000"/>
      <c r="C60" s="1000"/>
      <c r="D60" s="1000"/>
      <c r="E60" s="1000"/>
      <c r="F60" s="1000"/>
      <c r="G60" s="1000"/>
      <c r="H60" s="1000"/>
      <c r="I60" s="1085">
        <f>AVERAGE(H58:K58)</f>
        <v>176.67375000000001</v>
      </c>
      <c r="J60" s="1000"/>
      <c r="K60" s="1000"/>
      <c r="L60" s="1000"/>
      <c r="M60" s="1000"/>
      <c r="N60" s="1000"/>
      <c r="O60" s="1000"/>
      <c r="P60" s="1000"/>
      <c r="Q60" s="1000"/>
      <c r="R60" s="1000"/>
      <c r="S60" s="1000"/>
      <c r="T60" s="1000"/>
      <c r="U60" s="1000"/>
      <c r="V60" s="1000"/>
      <c r="W60" s="1000"/>
      <c r="X60" s="1000"/>
      <c r="Y60" s="1000"/>
      <c r="Z60" s="1000"/>
      <c r="AA60" s="1000"/>
      <c r="AB60" s="1000"/>
      <c r="AC60" s="1000"/>
      <c r="AD60" s="1000"/>
      <c r="AE60" s="1000"/>
      <c r="AF60" s="1000"/>
      <c r="AG60" s="1000"/>
      <c r="AH60" s="1000"/>
      <c r="AI60" s="1000"/>
      <c r="AJ60" s="1000"/>
      <c r="AK60" s="1000"/>
      <c r="AL60" s="1000"/>
      <c r="AM60" s="1000"/>
      <c r="AN60" s="1000"/>
      <c r="AO60" s="1000"/>
      <c r="AP60" s="1000"/>
      <c r="AQ60" s="1000"/>
      <c r="AR60" s="1000"/>
      <c r="AS60" s="1000"/>
      <c r="AT60" s="1000"/>
      <c r="AU60" s="1000"/>
      <c r="AV60" s="1000"/>
      <c r="AW60" s="1000"/>
      <c r="AX60" s="1000"/>
      <c r="AY60" s="1000"/>
      <c r="AZ60" s="1000"/>
      <c r="BB60" s="1"/>
      <c r="BC60" s="1"/>
    </row>
    <row r="61" spans="1:55" ht="25.2" customHeight="1" thickTop="1" thickBot="1" x14ac:dyDescent="0.35">
      <c r="A61" s="951"/>
      <c r="B61" s="951"/>
      <c r="C61" s="1"/>
      <c r="D61" s="1164" t="s">
        <v>596</v>
      </c>
      <c r="E61" s="1165"/>
      <c r="F61" s="1165"/>
      <c r="G61" s="1165"/>
      <c r="H61" s="1165"/>
      <c r="I61" s="1165"/>
      <c r="J61" s="1165"/>
      <c r="K61" s="1165"/>
      <c r="L61" s="1165"/>
      <c r="M61" s="1166"/>
      <c r="N61" s="3"/>
      <c r="P61" s="3"/>
      <c r="Q61" s="1000"/>
      <c r="R61" s="3"/>
      <c r="S61" s="1000"/>
      <c r="T61" s="3"/>
      <c r="U61" s="1000"/>
      <c r="V61" s="3"/>
      <c r="W61" s="1000"/>
      <c r="X61" s="1000"/>
      <c r="Y61" s="1000"/>
      <c r="Z61" s="1000"/>
      <c r="AA61" s="1000"/>
      <c r="AB61" s="1000"/>
      <c r="AC61" s="1000"/>
      <c r="AD61" s="1000"/>
      <c r="AE61" s="1000"/>
      <c r="AF61" s="1000"/>
      <c r="AG61" s="1000"/>
      <c r="AH61" s="1000"/>
      <c r="AI61" s="1000"/>
      <c r="AJ61" s="1000"/>
      <c r="AK61" s="1000"/>
      <c r="AL61" s="1000"/>
      <c r="AM61" s="1000"/>
      <c r="AN61" s="1000"/>
      <c r="AO61" s="1000"/>
      <c r="AP61" s="1000"/>
      <c r="AQ61" s="1000"/>
      <c r="AR61" s="1000"/>
      <c r="AS61" s="1000"/>
      <c r="AT61" s="1000"/>
      <c r="AU61" s="1000"/>
      <c r="AV61" s="1000"/>
      <c r="AW61" s="1000"/>
      <c r="AX61" s="1000"/>
      <c r="AY61" s="1000"/>
      <c r="AZ61" s="1000"/>
      <c r="BA61" s="2"/>
      <c r="BB61" s="2"/>
    </row>
    <row r="62" spans="1:55" ht="4.95" customHeight="1" thickTop="1" x14ac:dyDescent="0.3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" x14ac:dyDescent="0.3">
      <c r="B63" s="1000"/>
      <c r="C63" s="14"/>
      <c r="D63" s="1086" t="s">
        <v>15</v>
      </c>
      <c r="E63" s="1087" t="s">
        <v>16</v>
      </c>
      <c r="F63" s="1087" t="s">
        <v>17</v>
      </c>
      <c r="G63" s="1087" t="s">
        <v>18</v>
      </c>
      <c r="H63" s="1087" t="s">
        <v>19</v>
      </c>
      <c r="I63" s="1087" t="s">
        <v>20</v>
      </c>
      <c r="J63" s="1087" t="s">
        <v>21</v>
      </c>
      <c r="K63" s="1087" t="s">
        <v>22</v>
      </c>
      <c r="L63" s="1087" t="s">
        <v>24</v>
      </c>
      <c r="M63" s="1088" t="s">
        <v>23</v>
      </c>
      <c r="N63" s="21"/>
      <c r="O63" s="1000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" x14ac:dyDescent="0.3">
      <c r="C64" s="15"/>
      <c r="D64" s="1089">
        <f>(D65-$I$60)*$C$65</f>
        <v>2374176.3281604634</v>
      </c>
      <c r="E64" s="1089">
        <f t="shared" ref="E64:M64" si="30">(E65-$I$60)*$C$65</f>
        <v>2607732.8216947606</v>
      </c>
      <c r="F64" s="1089">
        <f t="shared" si="30"/>
        <v>2247115.5264350241</v>
      </c>
      <c r="G64" s="1089">
        <f t="shared" si="30"/>
        <v>3775863.4239265076</v>
      </c>
      <c r="H64" s="1089">
        <f t="shared" si="30"/>
        <v>2631599.4845923521</v>
      </c>
      <c r="I64" s="1089">
        <f t="shared" si="30"/>
        <v>2097635.7648372417</v>
      </c>
      <c r="J64" s="1089">
        <f t="shared" si="30"/>
        <v>2874570.3152324138</v>
      </c>
      <c r="K64" s="1089">
        <f t="shared" si="30"/>
        <v>2319695.6412339984</v>
      </c>
      <c r="L64" s="1089">
        <f t="shared" si="30"/>
        <v>2811591.7289358</v>
      </c>
      <c r="M64" s="1089">
        <f t="shared" si="30"/>
        <v>2897972.4181845929</v>
      </c>
      <c r="O64" s="16"/>
    </row>
    <row r="65" spans="3:15" ht="18" x14ac:dyDescent="0.3">
      <c r="C65" s="1083">
        <f>'C-Dados RT1 Simplif.'!C105</f>
        <v>34388.276541382686</v>
      </c>
      <c r="D65" s="1084">
        <v>245.71403253068721</v>
      </c>
      <c r="E65" s="1084">
        <v>252.50578009771741</v>
      </c>
      <c r="F65" s="1084">
        <v>242.01914536259855</v>
      </c>
      <c r="G65" s="1084">
        <v>286.47464157369234</v>
      </c>
      <c r="H65" s="1084">
        <v>253.19981496360754</v>
      </c>
      <c r="I65" s="1084">
        <v>237.6723220660632</v>
      </c>
      <c r="J65" s="1084">
        <v>260.26532841984812</v>
      </c>
      <c r="K65" s="1084">
        <v>244.12975171158587</v>
      </c>
      <c r="L65" s="1084">
        <v>258.43393142556067</v>
      </c>
      <c r="M65" s="1084">
        <v>260.94585403223283</v>
      </c>
      <c r="O65" s="16"/>
    </row>
    <row r="66" spans="3:15" ht="18" x14ac:dyDescent="0.3">
      <c r="C66" s="15"/>
      <c r="D66" s="17"/>
      <c r="O66" s="16"/>
    </row>
    <row r="67" spans="3:15" ht="18" x14ac:dyDescent="0.3">
      <c r="C67" s="15"/>
      <c r="D67" s="17"/>
      <c r="O67" s="16"/>
    </row>
    <row r="68" spans="3:15" ht="18" x14ac:dyDescent="0.3">
      <c r="C68" s="15"/>
      <c r="D68" s="17"/>
      <c r="O68" s="16"/>
    </row>
    <row r="69" spans="3:15" ht="18" x14ac:dyDescent="0.3">
      <c r="C69" s="15"/>
      <c r="D69" s="17"/>
      <c r="O69" s="16"/>
    </row>
    <row r="70" spans="3:15" ht="18" x14ac:dyDescent="0.3">
      <c r="C70" s="15"/>
      <c r="D70" s="17"/>
      <c r="O70" s="16"/>
    </row>
    <row r="71" spans="3:15" ht="18" x14ac:dyDescent="0.3">
      <c r="C71" s="15"/>
      <c r="D71" s="17"/>
      <c r="O71" s="16"/>
    </row>
    <row r="72" spans="3:15" ht="18" x14ac:dyDescent="0.3">
      <c r="C72" s="15"/>
      <c r="D72" s="17"/>
      <c r="O72" s="16"/>
    </row>
    <row r="73" spans="3:15" ht="18" x14ac:dyDescent="0.3">
      <c r="C73" s="15"/>
      <c r="D73" s="17"/>
      <c r="O73" s="16"/>
    </row>
    <row r="74" spans="3:15" ht="18" x14ac:dyDescent="0.3">
      <c r="C74" s="15"/>
      <c r="D74" s="17"/>
      <c r="O74" s="16"/>
    </row>
    <row r="75" spans="3:15" ht="18" x14ac:dyDescent="0.3">
      <c r="C75" s="15"/>
      <c r="D75" s="17"/>
      <c r="O75" s="16"/>
    </row>
    <row r="76" spans="3:15" ht="18" x14ac:dyDescent="0.3">
      <c r="C76" s="15"/>
      <c r="D76" s="17"/>
      <c r="O76" s="16"/>
    </row>
    <row r="77" spans="3:15" ht="18" x14ac:dyDescent="0.3">
      <c r="C77" s="15"/>
      <c r="D77" s="17"/>
      <c r="O77" s="16"/>
    </row>
    <row r="78" spans="3:15" ht="18" x14ac:dyDescent="0.3">
      <c r="C78" s="15"/>
      <c r="D78" s="17"/>
      <c r="O78" s="16"/>
    </row>
    <row r="79" spans="3:15" ht="18" x14ac:dyDescent="0.3">
      <c r="C79" s="15"/>
      <c r="D79" s="17"/>
      <c r="O79" s="16"/>
    </row>
    <row r="80" spans="3:15" ht="18" x14ac:dyDescent="0.3">
      <c r="C80" s="15"/>
      <c r="D80" s="17"/>
      <c r="O80" s="16"/>
    </row>
    <row r="81" spans="3:15" ht="18" x14ac:dyDescent="0.3">
      <c r="C81" s="15"/>
      <c r="D81" s="17"/>
      <c r="O81" s="16"/>
    </row>
  </sheetData>
  <sheetProtection formatRows="0" sort="0" autoFilter="0"/>
  <mergeCells count="20"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  <mergeCell ref="C50:G50"/>
    <mergeCell ref="C51:G51"/>
    <mergeCell ref="Q4:Q6"/>
    <mergeCell ref="C4:C6"/>
    <mergeCell ref="U4:U6"/>
    <mergeCell ref="C2:U2"/>
    <mergeCell ref="C40:G40"/>
    <mergeCell ref="C42:G42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09"/>
  <sheetViews>
    <sheetView topLeftCell="A64" zoomScale="80" zoomScaleNormal="80" workbookViewId="0">
      <selection activeCell="E103" sqref="E103"/>
    </sheetView>
  </sheetViews>
  <sheetFormatPr defaultRowHeight="14.4" outlineLevelRow="2" x14ac:dyDescent="0.3"/>
  <cols>
    <col min="1" max="1" width="3.109375" customWidth="1"/>
    <col min="2" max="2" width="43" style="22" customWidth="1"/>
    <col min="3" max="3" width="11.5546875" bestFit="1" customWidth="1"/>
    <col min="4" max="4" width="13.33203125" customWidth="1"/>
    <col min="5" max="6" width="10.6640625" customWidth="1"/>
    <col min="7" max="7" width="9.44140625" bestFit="1" customWidth="1"/>
    <col min="8" max="8" width="35.6640625" customWidth="1"/>
    <col min="9" max="9" width="13.33203125" customWidth="1"/>
    <col min="12" max="12" width="13.33203125" customWidth="1"/>
    <col min="13" max="13" width="18.33203125" customWidth="1"/>
    <col min="16" max="16" width="13.33203125" style="19" customWidth="1"/>
    <col min="17" max="17" width="18.33203125" customWidth="1"/>
    <col min="18" max="18" width="13.33203125" customWidth="1"/>
  </cols>
  <sheetData>
    <row r="1" spans="2:36" ht="15" customHeight="1" x14ac:dyDescent="0.3"/>
    <row r="2" spans="2:36" ht="15" customHeight="1" x14ac:dyDescent="0.3">
      <c r="G2" s="1195" t="s">
        <v>247</v>
      </c>
      <c r="H2" s="1195"/>
      <c r="I2" s="1195"/>
      <c r="J2" s="1195"/>
      <c r="K2" s="1195"/>
      <c r="L2" s="1195"/>
      <c r="M2" s="1195"/>
      <c r="N2" s="1195"/>
      <c r="O2" s="1195"/>
      <c r="P2" s="1195"/>
      <c r="Q2" s="1195"/>
      <c r="R2" s="1195"/>
    </row>
    <row r="3" spans="2:36" ht="15" customHeight="1" x14ac:dyDescent="0.3">
      <c r="G3" s="1195"/>
      <c r="H3" s="1195"/>
      <c r="I3" s="1195"/>
      <c r="J3" s="1195"/>
      <c r="K3" s="1195"/>
      <c r="L3" s="1195"/>
      <c r="M3" s="1195"/>
      <c r="N3" s="1195"/>
      <c r="O3" s="1195"/>
      <c r="P3" s="1195"/>
      <c r="Q3" s="1195"/>
      <c r="R3" s="1195"/>
    </row>
    <row r="4" spans="2:36" ht="15" customHeight="1" x14ac:dyDescent="0.3">
      <c r="B4" s="391"/>
      <c r="C4" s="392"/>
      <c r="D4" s="392"/>
      <c r="E4" s="392"/>
      <c r="F4" s="392"/>
      <c r="G4" s="1195"/>
      <c r="H4" s="1195"/>
      <c r="I4" s="1195"/>
      <c r="J4" s="1195"/>
      <c r="K4" s="1195"/>
      <c r="L4" s="1195"/>
      <c r="M4" s="1195"/>
      <c r="N4" s="1195"/>
      <c r="O4" s="1195"/>
      <c r="P4" s="1195"/>
      <c r="Q4" s="1195"/>
      <c r="R4" s="1195"/>
    </row>
    <row r="5" spans="2:36" ht="15" customHeight="1" x14ac:dyDescent="0.3">
      <c r="B5" s="392"/>
      <c r="C5" s="392"/>
      <c r="D5" s="392"/>
      <c r="E5" s="392"/>
      <c r="F5" s="392"/>
      <c r="G5" s="1195"/>
      <c r="H5" s="1195"/>
      <c r="I5" s="1195"/>
      <c r="J5" s="1195"/>
      <c r="K5" s="1195"/>
      <c r="L5" s="1195"/>
      <c r="M5" s="1195"/>
      <c r="N5" s="1195"/>
      <c r="O5" s="1195"/>
      <c r="P5" s="1195"/>
      <c r="Q5" s="1195"/>
      <c r="R5" s="1195"/>
    </row>
    <row r="6" spans="2:36" ht="15" customHeight="1" x14ac:dyDescent="0.3">
      <c r="B6" s="392"/>
      <c r="C6" s="392"/>
      <c r="D6" s="392"/>
      <c r="E6" s="392"/>
      <c r="F6" s="392"/>
      <c r="G6" s="1195"/>
      <c r="H6" s="1195"/>
      <c r="I6" s="1195"/>
      <c r="J6" s="1195"/>
      <c r="K6" s="1195"/>
      <c r="L6" s="1195"/>
      <c r="M6" s="1195"/>
      <c r="N6" s="1195"/>
      <c r="O6" s="1195"/>
      <c r="P6" s="1195"/>
      <c r="Q6" s="1195"/>
      <c r="R6" s="1195"/>
    </row>
    <row r="7" spans="2:36" ht="15" customHeight="1" x14ac:dyDescent="0.3">
      <c r="B7" s="392"/>
      <c r="C7" s="392"/>
      <c r="D7" s="392"/>
      <c r="E7" s="392"/>
      <c r="F7" s="392"/>
      <c r="G7" s="1195"/>
      <c r="H7" s="1195"/>
      <c r="I7" s="1195"/>
      <c r="J7" s="1195"/>
      <c r="K7" s="1195"/>
      <c r="L7" s="1195"/>
      <c r="M7" s="1195"/>
      <c r="N7" s="1195"/>
      <c r="O7" s="1195"/>
      <c r="P7" s="1195"/>
      <c r="Q7" s="1195"/>
      <c r="R7" s="1195"/>
    </row>
    <row r="8" spans="2:36" ht="15" customHeight="1" x14ac:dyDescent="0.3"/>
    <row r="9" spans="2:36" s="1" customFormat="1" ht="4.95" customHeight="1" thickBot="1" x14ac:dyDescent="0.35">
      <c r="P9" s="258"/>
      <c r="S9" s="661"/>
    </row>
    <row r="10" spans="2:36" s="1" customFormat="1" ht="19.95" customHeight="1" thickTop="1" thickBot="1" x14ac:dyDescent="0.35">
      <c r="B10" s="657" t="s">
        <v>338</v>
      </c>
      <c r="D10" s="934">
        <v>1</v>
      </c>
      <c r="E10" s="1091" t="s">
        <v>1</v>
      </c>
      <c r="F10" s="646"/>
      <c r="G10" s="646"/>
      <c r="H10" s="646"/>
      <c r="I10" s="646"/>
      <c r="J10" s="646"/>
      <c r="K10" s="646"/>
      <c r="L10" s="646"/>
      <c r="P10" s="258"/>
      <c r="S10" s="661"/>
    </row>
    <row r="11" spans="2:36" s="1" customFormat="1" ht="19.95" customHeight="1" thickTop="1" thickBot="1" x14ac:dyDescent="0.35">
      <c r="B11" s="657" t="s">
        <v>598</v>
      </c>
      <c r="D11" s="1090">
        <v>165</v>
      </c>
      <c r="E11" s="1091" t="s">
        <v>597</v>
      </c>
      <c r="F11" s="646"/>
      <c r="G11" s="646"/>
      <c r="H11" s="646"/>
      <c r="I11" s="646"/>
      <c r="J11" s="646"/>
      <c r="K11" s="646"/>
      <c r="L11" s="646"/>
      <c r="P11" s="258"/>
      <c r="S11" s="661"/>
    </row>
    <row r="12" spans="2:36" s="1" customFormat="1" ht="15.6" thickTop="1" thickBot="1" x14ac:dyDescent="0.35">
      <c r="D12" s="646"/>
      <c r="E12" s="646"/>
      <c r="F12" s="646"/>
      <c r="G12" s="646"/>
      <c r="H12" s="646"/>
      <c r="I12" s="646"/>
      <c r="J12" s="646"/>
      <c r="K12" s="646"/>
      <c r="L12" s="646"/>
      <c r="P12" s="258"/>
      <c r="S12" s="661"/>
    </row>
    <row r="13" spans="2:36" s="329" customFormat="1" ht="19.95" customHeight="1" thickTop="1" thickBot="1" x14ac:dyDescent="0.4">
      <c r="B13" s="715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1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5" customHeight="1" outlineLevel="1" thickTop="1" thickBot="1" x14ac:dyDescent="0.35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2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5.6" outlineLevel="1" thickTop="1" thickBot="1" x14ac:dyDescent="0.35">
      <c r="B15" s="474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3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5" customHeight="1" outlineLevel="2" thickTop="1" thickBot="1" x14ac:dyDescent="0.35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3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" outlineLevel="2" thickBot="1" x14ac:dyDescent="0.35">
      <c r="B17" s="381" t="s">
        <v>320</v>
      </c>
      <c r="C17" s="920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54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" outlineLevel="2" thickBot="1" x14ac:dyDescent="0.35">
      <c r="B18" s="381" t="s">
        <v>321</v>
      </c>
      <c r="C18" s="920">
        <v>549.4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54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5" customHeight="1" outlineLevel="2" thickBot="1" x14ac:dyDescent="0.35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2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2" outlineLevel="2" x14ac:dyDescent="0.3">
      <c r="B20" s="382" t="s">
        <v>240</v>
      </c>
      <c r="C20" s="1202" t="s">
        <v>237</v>
      </c>
      <c r="D20" s="1203"/>
      <c r="E20" s="463" t="s">
        <v>237</v>
      </c>
      <c r="F20" s="463" t="s">
        <v>238</v>
      </c>
      <c r="G20" s="464"/>
      <c r="H20" s="373" t="s">
        <v>237</v>
      </c>
      <c r="I20" s="671">
        <v>4</v>
      </c>
      <c r="J20" s="465" t="s">
        <v>314</v>
      </c>
      <c r="K20" s="464"/>
      <c r="L20" s="464"/>
      <c r="M20" s="465"/>
      <c r="N20" s="465" t="s">
        <v>241</v>
      </c>
      <c r="O20" s="464"/>
      <c r="P20" s="374">
        <v>3.5</v>
      </c>
      <c r="Q20" s="466" t="s">
        <v>131</v>
      </c>
      <c r="R20" s="467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5" customHeight="1" outlineLevel="2" x14ac:dyDescent="0.3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2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6.2" outlineLevel="2" x14ac:dyDescent="0.3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55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6.2" outlineLevel="2" x14ac:dyDescent="0.3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55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6.2" outlineLevel="2" x14ac:dyDescent="0.3">
      <c r="B24" s="384" t="s">
        <v>7</v>
      </c>
      <c r="C24" s="338">
        <f>IF(C20="Nm3 Biometano",I20,P20*C22)</f>
        <v>4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56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6.2" outlineLevel="2" x14ac:dyDescent="0.3">
      <c r="B25" s="384" t="s">
        <v>239</v>
      </c>
      <c r="C25" s="338">
        <f>C24/C22</f>
        <v>4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56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2" outlineLevel="2" thickBot="1" x14ac:dyDescent="0.35">
      <c r="B26" s="385" t="s">
        <v>7</v>
      </c>
      <c r="C26" s="346">
        <f>C24*C23</f>
        <v>3.6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57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6" outlineLevel="2" x14ac:dyDescent="0.3">
      <c r="B27" s="384" t="s">
        <v>25</v>
      </c>
      <c r="C27" s="921">
        <v>150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56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" outlineLevel="2" thickBot="1" x14ac:dyDescent="0.35">
      <c r="B28" s="386" t="s">
        <v>11</v>
      </c>
      <c r="C28" s="922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57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outlineLevel="2" x14ac:dyDescent="0.3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58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outlineLevel="2" x14ac:dyDescent="0.3">
      <c r="B30" s="383" t="s">
        <v>220</v>
      </c>
      <c r="C30" s="921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56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outlineLevel="2" x14ac:dyDescent="0.3">
      <c r="B31" s="383" t="s">
        <v>218</v>
      </c>
      <c r="C31" s="923">
        <v>2.5000000000000001E-3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56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outlineLevel="2" x14ac:dyDescent="0.3">
      <c r="B32" s="383" t="s">
        <v>221</v>
      </c>
      <c r="C32" s="923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56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outlineLevel="2" x14ac:dyDescent="0.3">
      <c r="B33" s="383" t="s">
        <v>222</v>
      </c>
      <c r="C33" s="921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56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outlineLevel="2" x14ac:dyDescent="0.3">
      <c r="B34" s="383" t="s">
        <v>223</v>
      </c>
      <c r="C34" s="921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56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outlineLevel="2" x14ac:dyDescent="0.3">
      <c r="B35" s="383" t="s">
        <v>224</v>
      </c>
      <c r="C35" s="921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56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outlineLevel="2" x14ac:dyDescent="0.3">
      <c r="B36" s="383" t="s">
        <v>225</v>
      </c>
      <c r="C36" s="921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56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outlineLevel="2" x14ac:dyDescent="0.3">
      <c r="B37" s="383" t="s">
        <v>226</v>
      </c>
      <c r="C37" s="921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56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" outlineLevel="2" thickBot="1" x14ac:dyDescent="0.35">
      <c r="B38" s="386" t="s">
        <v>227</v>
      </c>
      <c r="C38" s="922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57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5" customHeight="1" outlineLevel="1" thickBot="1" x14ac:dyDescent="0.35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2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5.6" outlineLevel="1" thickTop="1" thickBot="1" x14ac:dyDescent="0.35">
      <c r="B40" s="716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3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5" customHeight="1" outlineLevel="2" thickTop="1" thickBot="1" x14ac:dyDescent="0.35">
      <c r="B41" s="108"/>
      <c r="C41" s="318">
        <v>500</v>
      </c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3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5.6" outlineLevel="2" thickTop="1" thickBot="1" x14ac:dyDescent="0.35">
      <c r="B42" s="621" t="s">
        <v>4</v>
      </c>
      <c r="C42" s="924">
        <v>500</v>
      </c>
      <c r="D42" s="622" t="s">
        <v>0</v>
      </c>
      <c r="E42" s="623"/>
      <c r="F42" s="623"/>
      <c r="G42" s="622"/>
      <c r="H42" s="622"/>
      <c r="I42" s="622"/>
      <c r="J42" s="622"/>
      <c r="K42" s="622"/>
      <c r="L42" s="622"/>
      <c r="M42" s="622"/>
      <c r="N42" s="624"/>
      <c r="O42" s="624"/>
      <c r="P42" s="625"/>
      <c r="Q42" s="624"/>
      <c r="R42" s="626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2" customFormat="1" ht="4.95" customHeight="1" outlineLevel="1" thickTop="1" thickBot="1" x14ac:dyDescent="0.35">
      <c r="B43" s="475"/>
      <c r="C43" s="444"/>
      <c r="D43" s="445"/>
      <c r="E43" s="445"/>
      <c r="F43" s="445"/>
      <c r="G43" s="445"/>
      <c r="H43" s="445"/>
      <c r="I43" s="445"/>
      <c r="J43" s="445"/>
      <c r="K43" s="445"/>
      <c r="L43" s="445"/>
      <c r="M43" s="445"/>
      <c r="N43" s="445"/>
      <c r="O43" s="445"/>
      <c r="P43" s="375"/>
      <c r="Q43" s="445"/>
      <c r="R43" s="445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6.8" outlineLevel="1" thickTop="1" thickBot="1" x14ac:dyDescent="0.35">
      <c r="B44" s="716" t="s">
        <v>264</v>
      </c>
      <c r="C44" s="440" t="s">
        <v>363</v>
      </c>
      <c r="D44" s="479"/>
      <c r="E44" s="482"/>
      <c r="F44" s="482"/>
      <c r="G44" s="482"/>
      <c r="H44" s="480" t="s">
        <v>272</v>
      </c>
      <c r="I44" s="481" t="s">
        <v>276</v>
      </c>
      <c r="J44" s="482"/>
      <c r="K44" s="482"/>
      <c r="L44" s="482"/>
      <c r="M44" s="482"/>
      <c r="N44" s="480" t="s">
        <v>273</v>
      </c>
      <c r="O44" s="481" t="s">
        <v>279</v>
      </c>
      <c r="P44" s="483"/>
      <c r="Q44" s="484"/>
      <c r="R44" s="479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5" customHeight="1" outlineLevel="2" thickTop="1" thickBot="1" x14ac:dyDescent="0.35">
      <c r="B45" s="108"/>
      <c r="C45" s="318">
        <v>5.21</v>
      </c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3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6.8" outlineLevel="2" thickTop="1" x14ac:dyDescent="0.3">
      <c r="B46" s="605" t="s">
        <v>307</v>
      </c>
      <c r="C46" s="925">
        <v>5.21</v>
      </c>
      <c r="D46" s="607" t="s">
        <v>296</v>
      </c>
      <c r="E46" s="606">
        <f>C46*E47</f>
        <v>4.6890000000000001</v>
      </c>
      <c r="F46" s="607" t="s">
        <v>297</v>
      </c>
      <c r="G46" s="482"/>
      <c r="H46" s="1196" t="s">
        <v>295</v>
      </c>
      <c r="I46" s="1197"/>
      <c r="J46" s="1197"/>
      <c r="K46" s="608">
        <f>'RT1B) Descarb AutoCons'!C15</f>
        <v>0.54204862495017958</v>
      </c>
      <c r="L46" s="609" t="s">
        <v>298</v>
      </c>
      <c r="M46" s="610"/>
      <c r="N46" s="441"/>
      <c r="O46" s="611"/>
      <c r="P46" s="612"/>
      <c r="Q46" s="613"/>
      <c r="R46" s="442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6.8" outlineLevel="2" thickBot="1" x14ac:dyDescent="0.35">
      <c r="B47" s="1204" t="s">
        <v>245</v>
      </c>
      <c r="C47" s="1205"/>
      <c r="D47" s="674" t="s">
        <v>340</v>
      </c>
      <c r="E47" s="675">
        <v>0.9</v>
      </c>
      <c r="F47" s="677"/>
      <c r="G47" s="472"/>
      <c r="H47" s="1198"/>
      <c r="I47" s="1199"/>
      <c r="J47" s="1199"/>
      <c r="K47" s="603">
        <f>'RT1B) Descarb AutoCons'!C14</f>
        <v>0.6022762499446439</v>
      </c>
      <c r="L47" s="604" t="s">
        <v>131</v>
      </c>
      <c r="M47" s="614"/>
      <c r="N47" s="336"/>
      <c r="O47" s="589"/>
      <c r="P47" s="590"/>
      <c r="Q47" s="339"/>
      <c r="R47" s="47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6.8" outlineLevel="2" thickBot="1" x14ac:dyDescent="0.35">
      <c r="B48" s="635" t="s">
        <v>312</v>
      </c>
      <c r="C48" s="926">
        <v>5.21</v>
      </c>
      <c r="D48" s="475" t="s">
        <v>296</v>
      </c>
      <c r="E48" s="628">
        <f>C48*E47</f>
        <v>4.6890000000000001</v>
      </c>
      <c r="F48" s="475" t="s">
        <v>297</v>
      </c>
      <c r="G48" s="615"/>
      <c r="H48" s="615"/>
      <c r="I48" s="615"/>
      <c r="J48" s="615"/>
      <c r="K48" s="615"/>
      <c r="L48" s="615"/>
      <c r="M48" s="616"/>
      <c r="N48" s="617"/>
      <c r="O48" s="618"/>
      <c r="P48" s="619"/>
      <c r="Q48" s="496"/>
      <c r="R48" s="620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5" customHeight="1" outlineLevel="1" thickTop="1" thickBot="1" x14ac:dyDescent="0.35">
      <c r="B49" s="108"/>
      <c r="C49" s="108"/>
      <c r="D49" s="108"/>
      <c r="E49" s="591"/>
      <c r="F49" s="591"/>
      <c r="G49" s="108"/>
      <c r="H49" s="108"/>
      <c r="I49" s="108"/>
      <c r="J49" s="108"/>
      <c r="K49" s="108"/>
      <c r="L49" s="108"/>
      <c r="M49" s="108"/>
      <c r="N49" s="98"/>
      <c r="O49" s="98"/>
      <c r="P49" s="453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5.6" outlineLevel="1" thickTop="1" thickBot="1" x14ac:dyDescent="0.35">
      <c r="B50" s="717" t="s">
        <v>265</v>
      </c>
      <c r="C50" s="108"/>
      <c r="D50" s="108"/>
      <c r="E50" s="591"/>
      <c r="F50" s="591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5" customHeight="1" outlineLevel="2" thickTop="1" thickBot="1" x14ac:dyDescent="0.35">
      <c r="B51" s="108"/>
      <c r="C51" s="318">
        <v>520</v>
      </c>
      <c r="D51" s="98"/>
      <c r="E51" s="98"/>
      <c r="F51" s="98"/>
      <c r="G51" s="98"/>
      <c r="H51" s="98"/>
      <c r="I51" s="98"/>
      <c r="J51" s="98">
        <v>520</v>
      </c>
      <c r="K51" s="98"/>
      <c r="L51" s="98"/>
      <c r="M51" s="98"/>
      <c r="N51" s="98"/>
      <c r="O51" s="98"/>
      <c r="P51" s="453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5.6" outlineLevel="2" thickTop="1" thickBot="1" x14ac:dyDescent="0.35">
      <c r="B52" s="621" t="s">
        <v>316</v>
      </c>
      <c r="C52" s="924">
        <v>520</v>
      </c>
      <c r="D52" s="624" t="s">
        <v>0</v>
      </c>
      <c r="E52" s="627"/>
      <c r="F52" s="627"/>
      <c r="G52" s="624"/>
      <c r="H52" s="624"/>
      <c r="I52" s="669" t="s">
        <v>317</v>
      </c>
      <c r="J52" s="927">
        <v>520</v>
      </c>
      <c r="K52" s="624" t="s">
        <v>0</v>
      </c>
      <c r="L52" s="624"/>
      <c r="M52" s="624"/>
      <c r="N52" s="624"/>
      <c r="O52" s="668" t="s">
        <v>295</v>
      </c>
      <c r="P52" s="670">
        <f>'RT1A) Custos Valoriz E.Elétrica'!C15</f>
        <v>180.26533052439785</v>
      </c>
      <c r="Q52" s="624" t="s">
        <v>0</v>
      </c>
      <c r="R52" s="626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2" customFormat="1" ht="4.95" customHeight="1" outlineLevel="1" thickTop="1" thickBot="1" x14ac:dyDescent="0.35">
      <c r="B53" s="475"/>
      <c r="C53" s="444"/>
      <c r="D53" s="445"/>
      <c r="E53" s="445"/>
      <c r="F53" s="445"/>
      <c r="G53" s="445"/>
      <c r="H53" s="445"/>
      <c r="I53" s="445"/>
      <c r="J53" s="445"/>
      <c r="K53" s="445"/>
      <c r="L53" s="445"/>
      <c r="M53" s="445"/>
      <c r="N53" s="445"/>
      <c r="O53" s="445"/>
      <c r="P53" s="375"/>
      <c r="Q53" s="445"/>
      <c r="R53" s="445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6.8" outlineLevel="1" thickTop="1" thickBot="1" x14ac:dyDescent="0.35">
      <c r="B54" s="717" t="s">
        <v>266</v>
      </c>
      <c r="C54" s="440" t="s">
        <v>363</v>
      </c>
      <c r="D54" s="479"/>
      <c r="E54" s="482"/>
      <c r="F54" s="482"/>
      <c r="G54" s="482"/>
      <c r="H54" s="480" t="s">
        <v>272</v>
      </c>
      <c r="I54" s="481" t="s">
        <v>277</v>
      </c>
      <c r="J54" s="482"/>
      <c r="K54" s="482"/>
      <c r="L54" s="482"/>
      <c r="N54" s="480" t="s">
        <v>273</v>
      </c>
      <c r="O54" s="481" t="s">
        <v>278</v>
      </c>
      <c r="P54" s="483"/>
      <c r="Q54" s="484"/>
      <c r="R54" s="479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5" customHeight="1" outlineLevel="2" thickTop="1" thickBot="1" x14ac:dyDescent="0.35">
      <c r="B55" s="108"/>
      <c r="C55" s="318">
        <v>5.21</v>
      </c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3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6.8" outlineLevel="2" thickTop="1" x14ac:dyDescent="0.3">
      <c r="B56" s="605" t="s">
        <v>307</v>
      </c>
      <c r="C56" s="928">
        <v>5.21</v>
      </c>
      <c r="D56" s="607" t="s">
        <v>296</v>
      </c>
      <c r="E56" s="606">
        <f>C56*E57</f>
        <v>4.6890000000000001</v>
      </c>
      <c r="F56" s="613" t="s">
        <v>135</v>
      </c>
      <c r="G56" s="441"/>
      <c r="H56" s="1196" t="s">
        <v>295</v>
      </c>
      <c r="I56" s="1197"/>
      <c r="J56" s="1197"/>
      <c r="K56" s="608">
        <f>'RT1B) Descarb AutoCons'!C15</f>
        <v>0.54204862495017958</v>
      </c>
      <c r="L56" s="609" t="s">
        <v>298</v>
      </c>
      <c r="M56" s="610"/>
      <c r="N56" s="441"/>
      <c r="O56" s="441"/>
      <c r="P56" s="459"/>
      <c r="Q56" s="441"/>
      <c r="R56" s="442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6.8" outlineLevel="2" thickBot="1" x14ac:dyDescent="0.35">
      <c r="B57" s="1204" t="s">
        <v>245</v>
      </c>
      <c r="C57" s="1205"/>
      <c r="D57" s="674" t="s">
        <v>340</v>
      </c>
      <c r="E57" s="675">
        <v>0.9</v>
      </c>
      <c r="F57" s="676"/>
      <c r="G57" s="307"/>
      <c r="H57" s="1198"/>
      <c r="I57" s="1199"/>
      <c r="J57" s="1199"/>
      <c r="K57" s="603">
        <f>'RT1B) Descarb AutoCons'!C14</f>
        <v>0.6022762499446439</v>
      </c>
      <c r="L57" s="604" t="s">
        <v>131</v>
      </c>
      <c r="M57" s="614"/>
      <c r="N57" s="307"/>
      <c r="O57" s="307"/>
      <c r="P57" s="456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6.8" outlineLevel="2" thickBot="1" x14ac:dyDescent="0.35">
      <c r="B58" s="635" t="s">
        <v>312</v>
      </c>
      <c r="C58" s="926">
        <v>5.21</v>
      </c>
      <c r="D58" s="475" t="s">
        <v>296</v>
      </c>
      <c r="E58" s="628">
        <f>C58*E57</f>
        <v>4.6890000000000001</v>
      </c>
      <c r="F58" s="475" t="s">
        <v>297</v>
      </c>
      <c r="G58" s="445"/>
      <c r="H58" s="445"/>
      <c r="I58" s="445"/>
      <c r="J58" s="445"/>
      <c r="K58" s="445"/>
      <c r="L58" s="445"/>
      <c r="M58" s="629"/>
      <c r="N58" s="445"/>
      <c r="O58" s="445"/>
      <c r="P58" s="375"/>
      <c r="Q58" s="445"/>
      <c r="R58" s="446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6.8" thickTop="1" thickBot="1" x14ac:dyDescent="0.35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2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95" customHeight="1" thickTop="1" thickBot="1" x14ac:dyDescent="0.4">
      <c r="B60" s="715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1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5" customHeight="1" outlineLevel="1" thickTop="1" thickBot="1" x14ac:dyDescent="0.35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2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5.6" outlineLevel="1" thickTop="1" thickBot="1" x14ac:dyDescent="0.35">
      <c r="B62" s="716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3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5" customHeight="1" outlineLevel="2" thickTop="1" thickBot="1" x14ac:dyDescent="0.35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3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2" outlineLevel="2" thickBot="1" x14ac:dyDescent="0.35">
      <c r="B64" s="381"/>
      <c r="C64" s="1206" t="s">
        <v>230</v>
      </c>
      <c r="D64" s="1207"/>
      <c r="E64" s="1208" t="s">
        <v>231</v>
      </c>
      <c r="F64" s="1209"/>
      <c r="G64" s="1210" t="s">
        <v>232</v>
      </c>
      <c r="H64" s="1211"/>
      <c r="I64" s="1210" t="s">
        <v>215</v>
      </c>
      <c r="J64" s="1211"/>
      <c r="K64" s="1210" t="s">
        <v>216</v>
      </c>
      <c r="L64" s="1211"/>
      <c r="M64" s="1210" t="s">
        <v>217</v>
      </c>
      <c r="N64" s="1211"/>
      <c r="O64" s="330"/>
      <c r="P64" s="454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" outlineLevel="2" thickBot="1" x14ac:dyDescent="0.35">
      <c r="B65" s="381" t="s">
        <v>4</v>
      </c>
      <c r="C65" s="672">
        <f>'C-Dados RT1 Simplif.'!C108</f>
        <v>1127.7427429811567</v>
      </c>
      <c r="D65" s="330" t="s">
        <v>33</v>
      </c>
      <c r="E65" s="718">
        <f>'C-Dados RT1 Simplif.'!C108</f>
        <v>1127.7427429811567</v>
      </c>
      <c r="F65" s="719" t="s">
        <v>33</v>
      </c>
      <c r="G65" s="718">
        <f>'C-Dados RT1 Simplif.'!C108</f>
        <v>1127.7427429811567</v>
      </c>
      <c r="H65" s="720" t="s">
        <v>33</v>
      </c>
      <c r="I65" s="718">
        <f>'C-Dados RT2 Simplif.'!C108</f>
        <v>1138.1692238576566</v>
      </c>
      <c r="J65" s="719" t="s">
        <v>33</v>
      </c>
      <c r="K65" s="718">
        <f>'C-Dados RT3 Simplif.'!C108</f>
        <v>1068.6593513476564</v>
      </c>
      <c r="L65" s="719" t="s">
        <v>33</v>
      </c>
      <c r="M65" s="718">
        <f>'C-Dados RT4 Simplif.'!C108</f>
        <v>1068.6593513476564</v>
      </c>
      <c r="N65" s="719" t="s">
        <v>33</v>
      </c>
      <c r="O65" s="330"/>
      <c r="P65" s="454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2" customFormat="1" ht="4.95" customHeight="1" outlineLevel="1" thickBot="1" x14ac:dyDescent="0.35">
      <c r="B66" s="475"/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375"/>
      <c r="Q66" s="445"/>
      <c r="R66" s="445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6.8" outlineLevel="1" thickTop="1" thickBot="1" x14ac:dyDescent="0.35">
      <c r="B67" s="716" t="s">
        <v>264</v>
      </c>
      <c r="C67" s="440" t="s">
        <v>363</v>
      </c>
      <c r="D67" s="479"/>
      <c r="E67" s="482"/>
      <c r="F67" s="482"/>
      <c r="G67" s="482"/>
      <c r="H67" s="480" t="s">
        <v>272</v>
      </c>
      <c r="I67" s="481" t="s">
        <v>276</v>
      </c>
      <c r="J67" s="482"/>
      <c r="K67" s="482"/>
      <c r="L67" s="482"/>
      <c r="M67" s="482"/>
      <c r="N67" s="480" t="s">
        <v>273</v>
      </c>
      <c r="O67" s="481" t="s">
        <v>279</v>
      </c>
      <c r="P67" s="483"/>
      <c r="Q67" s="484"/>
      <c r="R67" s="479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5" customHeight="1" outlineLevel="2" thickTop="1" thickBot="1" x14ac:dyDescent="0.35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3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5" customHeight="1" outlineLevel="2" thickTop="1" thickBot="1" x14ac:dyDescent="0.35">
      <c r="B69" s="447"/>
      <c r="C69" s="441"/>
      <c r="D69" s="441"/>
      <c r="E69" s="441"/>
      <c r="F69" s="441"/>
      <c r="G69" s="441"/>
      <c r="H69" s="441"/>
      <c r="I69" s="441"/>
      <c r="J69" s="441"/>
      <c r="K69" s="441"/>
      <c r="L69" s="441"/>
      <c r="M69" s="441"/>
      <c r="N69" s="441"/>
      <c r="O69" s="441"/>
      <c r="P69" s="459"/>
      <c r="Q69" s="441"/>
      <c r="R69" s="442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6.2" outlineLevel="2" x14ac:dyDescent="0.3">
      <c r="B70" s="469" t="s">
        <v>245</v>
      </c>
      <c r="C70" s="379">
        <v>1</v>
      </c>
      <c r="D70" s="307"/>
      <c r="E70" s="335"/>
      <c r="F70" s="461"/>
      <c r="G70" s="527"/>
      <c r="H70" s="1141" t="s">
        <v>282</v>
      </c>
      <c r="I70" s="929">
        <v>25</v>
      </c>
      <c r="J70" s="528" t="s">
        <v>263</v>
      </c>
      <c r="K70" s="529"/>
      <c r="L70" s="529"/>
      <c r="M70" s="529"/>
      <c r="N70" s="529"/>
      <c r="O70" s="553" t="s">
        <v>285</v>
      </c>
      <c r="P70" s="554">
        <f>IF(I73="New Holland",25,25)</f>
        <v>25</v>
      </c>
      <c r="Q70" s="555" t="s">
        <v>286</v>
      </c>
      <c r="R70" s="645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6" outlineLevel="2" x14ac:dyDescent="0.3">
      <c r="B71" s="471" t="s">
        <v>7</v>
      </c>
      <c r="C71" s="348">
        <f>C72*1000/C70</f>
        <v>150000</v>
      </c>
      <c r="D71" s="336" t="s">
        <v>196</v>
      </c>
      <c r="E71" s="472"/>
      <c r="F71" s="462"/>
      <c r="G71" s="530"/>
      <c r="H71" s="1142" t="s">
        <v>283</v>
      </c>
      <c r="I71" s="930">
        <v>2000</v>
      </c>
      <c r="J71" s="531" t="s">
        <v>143</v>
      </c>
      <c r="K71" s="532"/>
      <c r="L71" s="533"/>
      <c r="M71" s="533"/>
      <c r="N71" s="533"/>
      <c r="O71" s="550" t="s">
        <v>284</v>
      </c>
      <c r="P71" s="551">
        <f>IF(I73="New Holland",10%,10%)</f>
        <v>0.1</v>
      </c>
      <c r="Q71" s="552" t="s">
        <v>1</v>
      </c>
      <c r="R71" s="473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6" outlineLevel="2" x14ac:dyDescent="0.3">
      <c r="B72" s="471" t="s">
        <v>7</v>
      </c>
      <c r="C72" s="348">
        <f>I70*I71*12/'RT1B) Descarb AutoCons'!C29/1000</f>
        <v>150</v>
      </c>
      <c r="D72" s="339" t="s">
        <v>197</v>
      </c>
      <c r="E72" s="472"/>
      <c r="F72" s="525"/>
      <c r="G72" s="535"/>
      <c r="H72" s="1143" t="s">
        <v>141</v>
      </c>
      <c r="I72" s="931">
        <v>10</v>
      </c>
      <c r="J72" s="537" t="s">
        <v>260</v>
      </c>
      <c r="K72" s="535"/>
      <c r="L72" s="535"/>
      <c r="M72" s="538"/>
      <c r="N72" s="538"/>
      <c r="O72" s="539" t="s">
        <v>261</v>
      </c>
      <c r="P72" s="540">
        <f>IF(I73="New Holland",10%,10%)</f>
        <v>0.1</v>
      </c>
      <c r="Q72" s="541" t="s">
        <v>1</v>
      </c>
      <c r="R72" s="473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6" outlineLevel="2" x14ac:dyDescent="0.3">
      <c r="B73" s="471"/>
      <c r="C73" s="443"/>
      <c r="D73" s="339"/>
      <c r="E73" s="472"/>
      <c r="F73" s="462"/>
      <c r="G73" s="530"/>
      <c r="H73" s="1142" t="s">
        <v>287</v>
      </c>
      <c r="I73" s="932" t="s">
        <v>207</v>
      </c>
      <c r="J73" s="549" t="s">
        <v>207</v>
      </c>
      <c r="K73" s="470" t="s">
        <v>262</v>
      </c>
      <c r="L73" s="530"/>
      <c r="M73" s="533"/>
      <c r="N73" s="533"/>
      <c r="O73" s="534" t="s">
        <v>147</v>
      </c>
      <c r="P73" s="543">
        <f>IF($I$73="New Holland",350,350)</f>
        <v>350</v>
      </c>
      <c r="Q73" s="556" t="s">
        <v>148</v>
      </c>
      <c r="R73" s="473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6" outlineLevel="2" x14ac:dyDescent="0.3">
      <c r="B74" s="471"/>
      <c r="C74" s="443"/>
      <c r="D74" s="339"/>
      <c r="E74" s="472"/>
      <c r="F74" s="462"/>
      <c r="G74" s="530"/>
      <c r="H74" s="1142" t="s">
        <v>345</v>
      </c>
      <c r="I74" s="931">
        <v>25</v>
      </c>
      <c r="J74" s="532" t="s">
        <v>341</v>
      </c>
      <c r="K74" s="530"/>
      <c r="L74" s="530"/>
      <c r="M74" s="533"/>
      <c r="N74" s="533"/>
      <c r="O74" s="534" t="s">
        <v>150</v>
      </c>
      <c r="P74" s="540">
        <f>IF(I73="New Holland",20%,20%)</f>
        <v>0.2</v>
      </c>
      <c r="Q74" s="556" t="s">
        <v>1</v>
      </c>
      <c r="R74" s="473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6" outlineLevel="2" x14ac:dyDescent="0.3">
      <c r="B75" s="471"/>
      <c r="C75" s="443"/>
      <c r="D75" s="339"/>
      <c r="E75" s="472"/>
      <c r="F75" s="730"/>
      <c r="G75" s="731"/>
      <c r="H75" s="542"/>
      <c r="I75" s="542"/>
      <c r="J75" s="732"/>
      <c r="K75" s="731"/>
      <c r="L75" s="731"/>
      <c r="M75" s="733"/>
      <c r="N75" s="733"/>
      <c r="O75" s="550" t="s">
        <v>365</v>
      </c>
      <c r="P75" s="736">
        <f>IF(I73="New Holland",3.5%,3.5%)</f>
        <v>3.5000000000000003E-2</v>
      </c>
      <c r="Q75" s="734" t="s">
        <v>1</v>
      </c>
      <c r="R75" s="473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2" outlineLevel="2" thickBot="1" x14ac:dyDescent="0.35">
      <c r="B76" s="471"/>
      <c r="C76" s="443"/>
      <c r="D76" s="339"/>
      <c r="E76" s="472"/>
      <c r="F76" s="526"/>
      <c r="G76" s="544"/>
      <c r="H76" s="729"/>
      <c r="I76" s="729"/>
      <c r="J76" s="545"/>
      <c r="K76" s="544"/>
      <c r="L76" s="544"/>
      <c r="M76" s="546"/>
      <c r="N76" s="546"/>
      <c r="O76" s="547" t="s">
        <v>366</v>
      </c>
      <c r="P76" s="737">
        <f>IF(I73="New Holland",35%,35%)</f>
        <v>0.35</v>
      </c>
      <c r="Q76" s="548" t="s">
        <v>1</v>
      </c>
      <c r="R76" s="473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5" customHeight="1" outlineLevel="2" thickBot="1" x14ac:dyDescent="0.35">
      <c r="B77" s="448"/>
      <c r="C77" s="444"/>
      <c r="D77" s="445"/>
      <c r="E77" s="445"/>
      <c r="F77" s="445"/>
      <c r="G77" s="445"/>
      <c r="H77" s="445"/>
      <c r="I77" s="445"/>
      <c r="J77" s="445"/>
      <c r="K77" s="445"/>
      <c r="L77" s="445"/>
      <c r="M77" s="445"/>
      <c r="N77" s="445"/>
      <c r="O77" s="445"/>
      <c r="P77" s="375"/>
      <c r="Q77" s="445"/>
      <c r="R77" s="446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2" customFormat="1" ht="4.95" customHeight="1" outlineLevel="1" thickTop="1" thickBot="1" x14ac:dyDescent="0.35">
      <c r="B78" s="475"/>
      <c r="C78" s="444"/>
      <c r="D78" s="445"/>
      <c r="E78" s="445"/>
      <c r="F78" s="445"/>
      <c r="G78" s="445"/>
      <c r="H78" s="445"/>
      <c r="I78" s="445"/>
      <c r="J78" s="445"/>
      <c r="K78" s="445"/>
      <c r="L78" s="445"/>
      <c r="M78" s="445"/>
      <c r="N78" s="445"/>
      <c r="O78" s="445"/>
      <c r="P78" s="375"/>
      <c r="Q78" s="445"/>
      <c r="R78" s="445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5.6" outlineLevel="1" thickTop="1" thickBot="1" x14ac:dyDescent="0.35">
      <c r="B79" s="717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3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5" customHeight="1" outlineLevel="2" thickTop="1" thickBot="1" x14ac:dyDescent="0.35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3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" outlineLevel="2" thickBot="1" x14ac:dyDescent="0.35">
      <c r="B81" s="381" t="s">
        <v>4</v>
      </c>
      <c r="C81" s="933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54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2" customFormat="1" ht="4.95" customHeight="1" outlineLevel="1" thickBot="1" x14ac:dyDescent="0.35">
      <c r="B82" s="475"/>
      <c r="C82" s="444"/>
      <c r="D82" s="445"/>
      <c r="E82" s="445"/>
      <c r="F82" s="445"/>
      <c r="G82" s="445"/>
      <c r="H82" s="445"/>
      <c r="I82" s="445"/>
      <c r="J82" s="445"/>
      <c r="K82" s="445"/>
      <c r="L82" s="445"/>
      <c r="M82" s="445"/>
      <c r="N82" s="445"/>
      <c r="O82" s="445"/>
      <c r="P82" s="375"/>
      <c r="Q82" s="445"/>
      <c r="R82" s="445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6.8" outlineLevel="1" thickTop="1" thickBot="1" x14ac:dyDescent="0.35">
      <c r="B83" s="717" t="s">
        <v>266</v>
      </c>
      <c r="C83" s="440" t="s">
        <v>363</v>
      </c>
      <c r="D83" s="479"/>
      <c r="E83" s="482"/>
      <c r="F83" s="482"/>
      <c r="G83" s="482"/>
      <c r="H83" s="480" t="s">
        <v>272</v>
      </c>
      <c r="I83" s="481" t="s">
        <v>277</v>
      </c>
      <c r="J83" s="482"/>
      <c r="K83" s="482"/>
      <c r="L83" s="482"/>
      <c r="N83" s="480" t="s">
        <v>273</v>
      </c>
      <c r="O83" s="481" t="s">
        <v>278</v>
      </c>
      <c r="P83" s="483"/>
      <c r="Q83" s="484"/>
      <c r="R83" s="479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2" customFormat="1" ht="4.95" customHeight="1" outlineLevel="2" thickTop="1" thickBot="1" x14ac:dyDescent="0.35">
      <c r="B84" s="475"/>
      <c r="C84" s="444"/>
      <c r="D84" s="445"/>
      <c r="E84" s="445"/>
      <c r="F84" s="445"/>
      <c r="G84" s="445"/>
      <c r="H84" s="445"/>
      <c r="I84" s="445"/>
      <c r="J84" s="445"/>
      <c r="K84" s="445"/>
      <c r="L84" s="445"/>
      <c r="M84" s="445"/>
      <c r="N84" s="445"/>
      <c r="O84" s="445"/>
      <c r="P84" s="375"/>
      <c r="Q84" s="445"/>
      <c r="R84" s="445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5" customHeight="1" outlineLevel="2" thickTop="1" thickBot="1" x14ac:dyDescent="0.35">
      <c r="B85" s="447"/>
      <c r="C85" s="441"/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59"/>
      <c r="Q85" s="441"/>
      <c r="R85" s="442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6.2" outlineLevel="2" x14ac:dyDescent="0.3">
      <c r="B86" s="469" t="s">
        <v>245</v>
      </c>
      <c r="C86" s="379">
        <v>1</v>
      </c>
      <c r="D86" s="307"/>
      <c r="E86" s="335"/>
      <c r="F86" s="461"/>
      <c r="G86" s="527"/>
      <c r="H86" s="1141" t="s">
        <v>268</v>
      </c>
      <c r="I86" s="929">
        <v>50</v>
      </c>
      <c r="J86" s="599" t="s">
        <v>253</v>
      </c>
      <c r="K86" s="529"/>
      <c r="L86" s="529"/>
      <c r="M86" s="529"/>
      <c r="N86" s="529"/>
      <c r="O86" s="553" t="s">
        <v>285</v>
      </c>
      <c r="P86" s="554">
        <f>IF(I89="Fabricante 1",10,10)</f>
        <v>10</v>
      </c>
      <c r="Q86" s="555" t="s">
        <v>286</v>
      </c>
      <c r="R86" s="476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6" outlineLevel="2" x14ac:dyDescent="0.3">
      <c r="B87" s="471" t="s">
        <v>7</v>
      </c>
      <c r="C87" s="348">
        <f>C88*1000/C86</f>
        <v>337500</v>
      </c>
      <c r="D87" s="336" t="s">
        <v>196</v>
      </c>
      <c r="E87" s="340"/>
      <c r="F87" s="462"/>
      <c r="G87" s="530"/>
      <c r="H87" s="1142" t="s">
        <v>269</v>
      </c>
      <c r="I87" s="930">
        <v>2250</v>
      </c>
      <c r="J87" s="531" t="s">
        <v>143</v>
      </c>
      <c r="K87" s="532"/>
      <c r="L87" s="533"/>
      <c r="M87" s="533"/>
      <c r="N87" s="533"/>
      <c r="O87" s="550" t="s">
        <v>284</v>
      </c>
      <c r="P87" s="551">
        <f>IF(I89="Fabricante 1",10%,10%)</f>
        <v>0.1</v>
      </c>
      <c r="Q87" s="552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6" outlineLevel="2" x14ac:dyDescent="0.3">
      <c r="B88" s="471" t="s">
        <v>7</v>
      </c>
      <c r="C88" s="348">
        <f>(I86*I87*12/'RT1B) Descarb AutoCons'!C29)/1000</f>
        <v>337.5</v>
      </c>
      <c r="D88" s="339" t="s">
        <v>197</v>
      </c>
      <c r="E88" s="341"/>
      <c r="F88" s="525"/>
      <c r="G88" s="535"/>
      <c r="H88" s="536" t="s">
        <v>141</v>
      </c>
      <c r="I88" s="931">
        <v>5</v>
      </c>
      <c r="J88" s="537" t="s">
        <v>260</v>
      </c>
      <c r="K88" s="535"/>
      <c r="L88" s="535"/>
      <c r="M88" s="538"/>
      <c r="N88" s="538"/>
      <c r="O88" s="539" t="s">
        <v>261</v>
      </c>
      <c r="P88" s="540">
        <f>IF(I89="Fabricante 1",10%,10%)</f>
        <v>0.1</v>
      </c>
      <c r="Q88" s="541" t="s">
        <v>1</v>
      </c>
      <c r="R88" s="477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6" outlineLevel="2" x14ac:dyDescent="0.3">
      <c r="B89" s="471"/>
      <c r="C89" s="443"/>
      <c r="D89" s="339"/>
      <c r="E89" s="472"/>
      <c r="F89" s="462"/>
      <c r="G89" s="530"/>
      <c r="H89" s="542" t="s">
        <v>270</v>
      </c>
      <c r="I89" s="932" t="s">
        <v>235</v>
      </c>
      <c r="J89" s="549" t="s">
        <v>235</v>
      </c>
      <c r="K89" s="470" t="s">
        <v>271</v>
      </c>
      <c r="L89" s="530"/>
      <c r="M89" s="533"/>
      <c r="N89" s="533"/>
      <c r="O89" s="534" t="s">
        <v>205</v>
      </c>
      <c r="P89" s="543">
        <f>IF(I89="Fabricante 1",50,50)</f>
        <v>50</v>
      </c>
      <c r="Q89" s="556" t="s">
        <v>206</v>
      </c>
      <c r="R89" s="473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6" outlineLevel="2" x14ac:dyDescent="0.3">
      <c r="B90" s="471"/>
      <c r="C90" s="443"/>
      <c r="D90" s="339"/>
      <c r="E90" s="472"/>
      <c r="F90" s="462"/>
      <c r="G90" s="530"/>
      <c r="H90" s="542" t="s">
        <v>346</v>
      </c>
      <c r="I90" s="931">
        <v>25</v>
      </c>
      <c r="J90" s="532" t="s">
        <v>341</v>
      </c>
      <c r="K90" s="530"/>
      <c r="L90" s="530"/>
      <c r="M90" s="533"/>
      <c r="N90" s="533"/>
      <c r="O90" s="534" t="s">
        <v>202</v>
      </c>
      <c r="P90" s="736">
        <f>IF(I89="Fabricante 1",25%,25%)</f>
        <v>0.25</v>
      </c>
      <c r="Q90" s="556" t="s">
        <v>1</v>
      </c>
      <c r="R90" s="473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6" outlineLevel="2" x14ac:dyDescent="0.3">
      <c r="B91" s="471"/>
      <c r="C91" s="443"/>
      <c r="D91" s="339"/>
      <c r="E91" s="472"/>
      <c r="F91" s="742"/>
      <c r="G91" s="725"/>
      <c r="H91" s="536"/>
      <c r="I91" s="536"/>
      <c r="J91" s="726"/>
      <c r="K91" s="725"/>
      <c r="L91" s="725"/>
      <c r="M91" s="727"/>
      <c r="N91" s="727"/>
      <c r="O91" s="728" t="s">
        <v>365</v>
      </c>
      <c r="P91" s="748">
        <f>IF(I89="Fabricante 1",2.5%,2.5%)</f>
        <v>2.5000000000000001E-2</v>
      </c>
      <c r="Q91" s="556" t="s">
        <v>1</v>
      </c>
      <c r="R91" s="473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2" outlineLevel="2" thickBot="1" x14ac:dyDescent="0.35">
      <c r="B92" s="471"/>
      <c r="C92" s="443"/>
      <c r="D92" s="339"/>
      <c r="E92" s="472"/>
      <c r="F92" s="743"/>
      <c r="G92" s="744"/>
      <c r="H92" s="681"/>
      <c r="I92" s="681"/>
      <c r="J92" s="745"/>
      <c r="K92" s="744"/>
      <c r="L92" s="744"/>
      <c r="M92" s="746"/>
      <c r="N92" s="746"/>
      <c r="O92" s="747" t="s">
        <v>366</v>
      </c>
      <c r="P92" s="737">
        <f>IF(I89="Fabricante 1",55%,55%)</f>
        <v>0.55000000000000004</v>
      </c>
      <c r="Q92" s="548" t="s">
        <v>1</v>
      </c>
      <c r="R92" s="473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5" customHeight="1" outlineLevel="2" thickBot="1" x14ac:dyDescent="0.35">
      <c r="B93" s="448"/>
      <c r="C93" s="444"/>
      <c r="D93" s="445"/>
      <c r="E93" s="445"/>
      <c r="F93" s="445"/>
      <c r="G93" s="445"/>
      <c r="H93" s="445"/>
      <c r="I93" s="445"/>
      <c r="J93" s="445"/>
      <c r="K93" s="445"/>
      <c r="L93" s="445"/>
      <c r="M93" s="445"/>
      <c r="N93" s="445"/>
      <c r="O93" s="445"/>
      <c r="P93" s="375"/>
      <c r="Q93" s="445"/>
      <c r="R93" s="446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5" customHeight="1" outlineLevel="1" thickTop="1" thickBot="1" x14ac:dyDescent="0.35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5.6" outlineLevel="1" thickTop="1" thickBot="1" x14ac:dyDescent="0.35">
      <c r="B95" s="474" t="s">
        <v>313</v>
      </c>
      <c r="C95" s="488"/>
      <c r="D95" s="479"/>
      <c r="E95" s="479"/>
      <c r="F95" s="479"/>
      <c r="G95" s="479"/>
      <c r="H95" s="479"/>
      <c r="I95" s="479"/>
      <c r="J95" s="479"/>
      <c r="K95" s="479"/>
      <c r="L95" s="479"/>
      <c r="M95" s="479"/>
      <c r="N95" s="479"/>
      <c r="O95" s="479"/>
      <c r="P95" s="489"/>
      <c r="Q95" s="479"/>
      <c r="R95" s="479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5" customHeight="1" outlineLevel="2" thickTop="1" thickBot="1" x14ac:dyDescent="0.35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5" customHeight="1" outlineLevel="2" thickTop="1" thickBot="1" x14ac:dyDescent="0.35">
      <c r="B97" s="440"/>
      <c r="C97" s="488"/>
      <c r="D97" s="479"/>
      <c r="E97" s="479"/>
      <c r="F97" s="479"/>
      <c r="G97" s="479"/>
      <c r="H97" s="479"/>
      <c r="I97" s="479">
        <v>4500000</v>
      </c>
      <c r="J97" s="479"/>
      <c r="K97" s="479"/>
      <c r="L97" s="479"/>
      <c r="M97" s="479"/>
      <c r="N97" s="479"/>
      <c r="O97" s="479"/>
      <c r="P97" s="489"/>
      <c r="Q97" s="479"/>
      <c r="R97" s="490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6.8" outlineLevel="2" thickBot="1" x14ac:dyDescent="0.35">
      <c r="B98" s="498" t="s">
        <v>236</v>
      </c>
      <c r="C98" s="1200" t="s">
        <v>237</v>
      </c>
      <c r="D98" s="1201"/>
      <c r="E98" s="463" t="s">
        <v>237</v>
      </c>
      <c r="F98" s="463" t="s">
        <v>238</v>
      </c>
      <c r="G98" s="464"/>
      <c r="H98" s="485" t="s">
        <v>7</v>
      </c>
      <c r="I98" s="380">
        <v>4500000</v>
      </c>
      <c r="J98" s="465" t="s">
        <v>267</v>
      </c>
      <c r="K98" s="464"/>
      <c r="L98" s="464"/>
      <c r="M98" s="465"/>
      <c r="N98" s="465" t="s">
        <v>239</v>
      </c>
      <c r="O98" s="464"/>
      <c r="P98" s="380">
        <v>2000000</v>
      </c>
      <c r="Q98" s="466" t="s">
        <v>196</v>
      </c>
      <c r="R98" s="46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5" customHeight="1" outlineLevel="2" thickBot="1" x14ac:dyDescent="0.35">
      <c r="B99" s="491"/>
      <c r="C99" s="486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87"/>
      <c r="Q99" s="342"/>
      <c r="R99" s="492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6.2" outlineLevel="2" x14ac:dyDescent="0.3">
      <c r="B100" s="684" t="s">
        <v>246</v>
      </c>
      <c r="C100" s="658">
        <v>1</v>
      </c>
      <c r="D100" s="307"/>
      <c r="E100" s="335"/>
      <c r="F100" s="335"/>
      <c r="G100" s="336"/>
      <c r="H100" s="336"/>
      <c r="I100" s="336">
        <v>25</v>
      </c>
      <c r="J100" s="336"/>
      <c r="K100" s="336"/>
      <c r="L100" s="336"/>
      <c r="M100" s="336"/>
      <c r="N100" s="336"/>
      <c r="O100" s="336"/>
      <c r="P100" s="493"/>
      <c r="Q100" s="336"/>
      <c r="R100" s="478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6.2" outlineLevel="2" x14ac:dyDescent="0.3">
      <c r="B101" s="469" t="s">
        <v>245</v>
      </c>
      <c r="C101" s="379">
        <v>1</v>
      </c>
      <c r="D101" s="307"/>
      <c r="E101" s="335"/>
      <c r="F101" s="335"/>
      <c r="G101" s="336"/>
      <c r="H101" s="536" t="s">
        <v>346</v>
      </c>
      <c r="I101" s="931">
        <v>25</v>
      </c>
      <c r="J101" s="537" t="s">
        <v>341</v>
      </c>
      <c r="K101" s="336"/>
      <c r="L101" s="336"/>
      <c r="M101" s="336"/>
      <c r="N101" s="336"/>
      <c r="O101" s="336"/>
      <c r="P101" s="493"/>
      <c r="Q101" s="336"/>
      <c r="R101" s="478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5" customHeight="1" outlineLevel="2" x14ac:dyDescent="0.3">
      <c r="B102" s="685"/>
      <c r="C102" s="68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87"/>
      <c r="Q102" s="76"/>
      <c r="R102" s="68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7.399999999999999" outlineLevel="2" x14ac:dyDescent="0.3">
      <c r="B103" s="471" t="s">
        <v>7</v>
      </c>
      <c r="C103" s="348">
        <f>IF(C98="Nm3 Biometano",I98,P98*C100)</f>
        <v>4500000</v>
      </c>
      <c r="D103" s="336" t="s">
        <v>244</v>
      </c>
      <c r="E103" s="673">
        <f>('RT1C)BIODIG Gas Natural'!F22-'RT1C)BIODIG Gas Natural'!F10-'RT1C)BIODIG Gas Natural'!F13)*C100-C103</f>
        <v>-3456009.7513078172</v>
      </c>
      <c r="F103" s="336" t="s">
        <v>196</v>
      </c>
      <c r="G103" s="654" t="s">
        <v>336</v>
      </c>
      <c r="H103" s="450"/>
      <c r="I103" s="450"/>
      <c r="J103" s="307"/>
      <c r="K103" s="307"/>
      <c r="L103" s="307"/>
      <c r="M103" s="308"/>
      <c r="N103" s="307"/>
      <c r="O103" s="307"/>
      <c r="P103" s="493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6.2" outlineLevel="2" x14ac:dyDescent="0.3">
      <c r="B104" s="471" t="s">
        <v>239</v>
      </c>
      <c r="C104" s="348">
        <f>C103/C100</f>
        <v>4500000</v>
      </c>
      <c r="D104" s="339" t="s">
        <v>243</v>
      </c>
      <c r="E104" s="472"/>
      <c r="F104" s="472"/>
      <c r="G104" s="614"/>
      <c r="H104" s="614"/>
      <c r="I104" s="614"/>
      <c r="J104" s="307"/>
      <c r="K104" s="307"/>
      <c r="L104" s="307"/>
      <c r="M104" s="307"/>
      <c r="N104" s="307"/>
      <c r="O104" s="307"/>
      <c r="P104" s="493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" outlineLevel="2" thickBot="1" x14ac:dyDescent="0.35">
      <c r="B105" s="494" t="s">
        <v>7</v>
      </c>
      <c r="C105" s="495">
        <f>'RT1B)BIODIG Descarb Biomet'!F16*1000*'Demanda Preço &amp; Quantidade'!C101</f>
        <v>556490.24869218259</v>
      </c>
      <c r="D105" s="617" t="s">
        <v>244</v>
      </c>
      <c r="E105" s="636">
        <f>('RT1B)BIODIG Descarb Biomet'!F22-'RT1B)BIODIG Descarb Biomet'!F10-'RT1B)BIODIG Descarb Biomet'!F13-'RT1B)BIODIG Descarb Biomet'!F16)*1000*C101</f>
        <v>0</v>
      </c>
      <c r="F105" s="617" t="s">
        <v>196</v>
      </c>
      <c r="G105" s="655" t="s">
        <v>337</v>
      </c>
      <c r="H105" s="475"/>
      <c r="I105" s="475"/>
      <c r="J105" s="445"/>
      <c r="K105" s="445"/>
      <c r="L105" s="445"/>
      <c r="M105" s="445"/>
      <c r="N105" s="445"/>
      <c r="O105" s="445"/>
      <c r="P105" s="497"/>
      <c r="Q105" s="445"/>
      <c r="R105" s="446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2" thickTop="1" x14ac:dyDescent="0.3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3">
      <c r="B107" s="389"/>
      <c r="C107" s="270"/>
      <c r="D107" s="638"/>
      <c r="E107" s="637"/>
      <c r="F107" s="638"/>
      <c r="G107" s="270"/>
      <c r="H107" s="270"/>
      <c r="I107" s="270"/>
      <c r="J107" s="270"/>
      <c r="K107" s="270"/>
      <c r="L107" s="322"/>
      <c r="M107" s="322"/>
      <c r="N107" s="270"/>
      <c r="O107" s="322"/>
      <c r="P107" s="460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3">
      <c r="D108" s="639"/>
      <c r="E108" s="640"/>
      <c r="F108" s="638"/>
      <c r="L108" s="322"/>
      <c r="M108" s="322"/>
      <c r="O108" s="322"/>
    </row>
    <row r="109" spans="2:36" x14ac:dyDescent="0.3">
      <c r="L109" s="322"/>
      <c r="M109" s="32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572" priority="71">
      <formula>"se(d57=""Biometano"")"</formula>
    </cfRule>
  </conditionalFormatting>
  <conditionalFormatting sqref="H98">
    <cfRule type="expression" dxfId="571" priority="55">
      <formula>$C98="Nm3 Biometano"</formula>
    </cfRule>
  </conditionalFormatting>
  <conditionalFormatting sqref="H98">
    <cfRule type="expression" dxfId="570" priority="56">
      <formula>$C98="Nm3 Gas Natural"</formula>
    </cfRule>
  </conditionalFormatting>
  <conditionalFormatting sqref="I98">
    <cfRule type="expression" dxfId="569" priority="53">
      <formula>$C98="Nm3 Biometano"</formula>
    </cfRule>
  </conditionalFormatting>
  <conditionalFormatting sqref="I98">
    <cfRule type="expression" dxfId="568" priority="54">
      <formula>$C98="Nm3 Gas Natural"</formula>
    </cfRule>
  </conditionalFormatting>
  <conditionalFormatting sqref="J98">
    <cfRule type="expression" dxfId="567" priority="51">
      <formula>$C98="Nm3 Biometano"</formula>
    </cfRule>
  </conditionalFormatting>
  <conditionalFormatting sqref="J98">
    <cfRule type="expression" dxfId="566" priority="52">
      <formula>$C98="Nm3 Gas Natural"</formula>
    </cfRule>
  </conditionalFormatting>
  <conditionalFormatting sqref="H20">
    <cfRule type="expression" dxfId="565" priority="33">
      <formula>$C20="Nm3 Biometano"</formula>
    </cfRule>
  </conditionalFormatting>
  <conditionalFormatting sqref="H20">
    <cfRule type="expression" dxfId="564" priority="34">
      <formula>$C20="Nm3 Gas Natural"</formula>
    </cfRule>
  </conditionalFormatting>
  <conditionalFormatting sqref="I20">
    <cfRule type="expression" dxfId="563" priority="31">
      <formula>$C20="Nm3 Biometano"</formula>
    </cfRule>
  </conditionalFormatting>
  <conditionalFormatting sqref="I20">
    <cfRule type="expression" dxfId="562" priority="32">
      <formula>$C20="Nm3 Gas Natural"</formula>
    </cfRule>
  </conditionalFormatting>
  <conditionalFormatting sqref="M20">
    <cfRule type="expression" dxfId="561" priority="27">
      <formula>$C20="Nm3 Gas Natural"</formula>
    </cfRule>
  </conditionalFormatting>
  <conditionalFormatting sqref="M20">
    <cfRule type="expression" dxfId="560" priority="28">
      <formula>$C20="Nm3 Biometano"</formula>
    </cfRule>
  </conditionalFormatting>
  <conditionalFormatting sqref="N20">
    <cfRule type="expression" dxfId="559" priority="25">
      <formula>$C20="Nm3 Gas Natural"</formula>
    </cfRule>
  </conditionalFormatting>
  <conditionalFormatting sqref="N20">
    <cfRule type="expression" dxfId="558" priority="26">
      <formula>$C20="Nm3 Biometano"</formula>
    </cfRule>
  </conditionalFormatting>
  <conditionalFormatting sqref="Q20">
    <cfRule type="expression" dxfId="557" priority="23">
      <formula>$C20="Nm3 Gas Natural"</formula>
    </cfRule>
  </conditionalFormatting>
  <conditionalFormatting sqref="Q20">
    <cfRule type="expression" dxfId="556" priority="24">
      <formula>$C20="Nm3 Biometano"</formula>
    </cfRule>
  </conditionalFormatting>
  <conditionalFormatting sqref="P20">
    <cfRule type="expression" dxfId="555" priority="21">
      <formula>$C20="Nm3 Gas Natural"</formula>
    </cfRule>
  </conditionalFormatting>
  <conditionalFormatting sqref="P20">
    <cfRule type="expression" dxfId="554" priority="22">
      <formula>$C20="Nm3 Biometano"</formula>
    </cfRule>
  </conditionalFormatting>
  <conditionalFormatting sqref="M98">
    <cfRule type="expression" dxfId="553" priority="19">
      <formula>$C98="Nm3 Gas Natural"</formula>
    </cfRule>
  </conditionalFormatting>
  <conditionalFormatting sqref="M98">
    <cfRule type="expression" dxfId="552" priority="20">
      <formula>$C98="Nm3 Biometano"</formula>
    </cfRule>
  </conditionalFormatting>
  <conditionalFormatting sqref="N98">
    <cfRule type="expression" dxfId="551" priority="17">
      <formula>$C98="Nm3 Gas Natural"</formula>
    </cfRule>
  </conditionalFormatting>
  <conditionalFormatting sqref="N98">
    <cfRule type="expression" dxfId="550" priority="18">
      <formula>$C98="Nm3 Biometano"</formula>
    </cfRule>
  </conditionalFormatting>
  <conditionalFormatting sqref="Q98">
    <cfRule type="expression" dxfId="549" priority="15">
      <formula>$C98="Nm3 Gas Natural"</formula>
    </cfRule>
  </conditionalFormatting>
  <conditionalFormatting sqref="Q98">
    <cfRule type="expression" dxfId="548" priority="16">
      <formula>$C98="Nm3 Biometano"</formula>
    </cfRule>
  </conditionalFormatting>
  <conditionalFormatting sqref="P98">
    <cfRule type="expression" dxfId="547" priority="13">
      <formula>$C98="Nm3 Gas Natural"</formula>
    </cfRule>
  </conditionalFormatting>
  <conditionalFormatting sqref="P98">
    <cfRule type="expression" dxfId="546" priority="14">
      <formula>$C98="Nm3 Biometano"</formula>
    </cfRule>
  </conditionalFormatting>
  <conditionalFormatting sqref="E103">
    <cfRule type="cellIs" dxfId="545" priority="9" operator="lessThan">
      <formula>0</formula>
    </cfRule>
    <cfRule type="cellIs" dxfId="544" priority="10" operator="greaterThanOrEqual">
      <formula>0</formula>
    </cfRule>
  </conditionalFormatting>
  <conditionalFormatting sqref="E105">
    <cfRule type="cellIs" dxfId="543" priority="5" operator="lessThan">
      <formula>0</formula>
    </cfRule>
    <cfRule type="cellIs" dxfId="542" priority="6" operator="greaterThanOrEqual">
      <formula>0</formula>
    </cfRule>
  </conditionalFormatting>
  <conditionalFormatting sqref="J20">
    <cfRule type="expression" dxfId="541" priority="1">
      <formula>$C20="Nm3 Biometano"</formula>
    </cfRule>
  </conditionalFormatting>
  <conditionalFormatting sqref="J20">
    <cfRule type="expression" dxfId="540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9"/>
  <sheetViews>
    <sheetView tabSelected="1" zoomScale="90" zoomScaleNormal="90" workbookViewId="0">
      <selection activeCell="B8" sqref="B8"/>
    </sheetView>
  </sheetViews>
  <sheetFormatPr defaultColWidth="8.88671875" defaultRowHeight="14.4" outlineLevelRow="2" x14ac:dyDescent="0.3"/>
  <cols>
    <col min="1" max="1" width="0.88671875" style="1" customWidth="1"/>
    <col min="2" max="2" width="83.33203125" style="1" customWidth="1"/>
    <col min="3" max="5" width="15.6640625" style="1" customWidth="1"/>
    <col min="6" max="9" width="8.88671875" style="1"/>
    <col min="10" max="10" width="16.33203125" style="1" customWidth="1"/>
    <col min="11" max="11" width="13.33203125" style="258" customWidth="1"/>
    <col min="12" max="12" width="13.33203125" style="1" customWidth="1"/>
    <col min="13" max="13" width="14.33203125" style="1" customWidth="1"/>
    <col min="14" max="14" width="8.88671875" style="661"/>
    <col min="15" max="16384" width="8.88671875" style="1"/>
  </cols>
  <sheetData>
    <row r="1" spans="2:15" ht="4.95" customHeight="1" thickBot="1" x14ac:dyDescent="0.35">
      <c r="B1" s="260"/>
    </row>
    <row r="2" spans="2:15" s="2" customFormat="1" ht="25.2" customHeight="1" thickTop="1" thickBot="1" x14ac:dyDescent="0.35">
      <c r="B2" s="302"/>
      <c r="C2" s="1214" t="s">
        <v>233</v>
      </c>
      <c r="D2" s="1215"/>
      <c r="E2" s="1215"/>
      <c r="F2" s="1215"/>
      <c r="G2" s="1215"/>
      <c r="H2" s="1215"/>
      <c r="I2" s="1215"/>
      <c r="J2" s="1215"/>
      <c r="K2" s="1215"/>
      <c r="L2" s="1215"/>
      <c r="M2" s="1215"/>
      <c r="N2" s="1215"/>
    </row>
    <row r="3" spans="2:15" s="2" customFormat="1" ht="25.2" customHeight="1" thickTop="1" thickBot="1" x14ac:dyDescent="0.35">
      <c r="B3" s="302"/>
      <c r="C3" s="665" t="s">
        <v>339</v>
      </c>
      <c r="D3" s="664" t="s">
        <v>339</v>
      </c>
      <c r="E3" s="666" t="s">
        <v>339</v>
      </c>
      <c r="F3" s="1212" t="s">
        <v>520</v>
      </c>
      <c r="G3" s="1213"/>
      <c r="H3" s="1213"/>
      <c r="I3" s="1213"/>
      <c r="J3" s="1213"/>
      <c r="K3" s="1213"/>
      <c r="L3" s="1213"/>
      <c r="M3" s="1213"/>
      <c r="N3" s="1213"/>
    </row>
    <row r="4" spans="2:15" s="2" customFormat="1" ht="25.2" customHeight="1" thickTop="1" thickBot="1" x14ac:dyDescent="0.35">
      <c r="B4" s="302"/>
      <c r="C4" s="1224" t="s">
        <v>361</v>
      </c>
      <c r="D4" s="1222" t="s">
        <v>362</v>
      </c>
      <c r="E4" s="1222" t="s">
        <v>364</v>
      </c>
      <c r="F4" s="303"/>
      <c r="G4" s="1228" t="s">
        <v>521</v>
      </c>
      <c r="H4" s="1229"/>
      <c r="I4" s="1229"/>
      <c r="J4" s="1229"/>
      <c r="K4" s="1229"/>
      <c r="L4" s="1229"/>
      <c r="M4" s="1229"/>
      <c r="N4" s="1229"/>
    </row>
    <row r="5" spans="2:15" s="2" customFormat="1" ht="25.2" customHeight="1" thickTop="1" thickBot="1" x14ac:dyDescent="0.35">
      <c r="B5" s="302"/>
      <c r="C5" s="1225"/>
      <c r="D5" s="1223"/>
      <c r="E5" s="1223"/>
      <c r="F5" s="303"/>
      <c r="G5" s="304"/>
      <c r="H5" s="1226" t="s">
        <v>522</v>
      </c>
      <c r="I5" s="1227"/>
      <c r="J5" s="1227"/>
      <c r="K5" s="1227"/>
      <c r="L5" s="1227"/>
      <c r="M5" s="1227"/>
      <c r="N5" s="1227"/>
    </row>
    <row r="6" spans="2:15" s="359" customFormat="1" ht="19.95" customHeight="1" thickTop="1" x14ac:dyDescent="0.3">
      <c r="B6" s="358"/>
      <c r="C6" s="1225"/>
      <c r="D6" s="1223"/>
      <c r="E6" s="1223"/>
      <c r="F6" s="395"/>
      <c r="G6" s="396"/>
      <c r="H6" s="397"/>
      <c r="I6" s="1226" t="s">
        <v>618</v>
      </c>
      <c r="J6" s="1227"/>
      <c r="K6" s="1227"/>
      <c r="L6" s="1227"/>
      <c r="M6" s="1227"/>
      <c r="N6" s="1227"/>
      <c r="O6" s="1227"/>
    </row>
    <row r="7" spans="2:15" s="23" customFormat="1" ht="4.95" customHeight="1" thickBot="1" x14ac:dyDescent="0.35">
      <c r="K7" s="368"/>
      <c r="N7" s="662"/>
    </row>
    <row r="8" spans="2:15" s="438" customFormat="1" ht="19.95" customHeight="1" collapsed="1" thickTop="1" thickBot="1" x14ac:dyDescent="0.35">
      <c r="B8" s="657" t="s">
        <v>214</v>
      </c>
      <c r="C8" s="1119" t="s">
        <v>230</v>
      </c>
      <c r="D8" s="1119" t="s">
        <v>231</v>
      </c>
      <c r="E8" s="1119" t="s">
        <v>232</v>
      </c>
      <c r="F8" s="1120" t="s">
        <v>215</v>
      </c>
      <c r="G8" s="1121" t="s">
        <v>216</v>
      </c>
      <c r="H8" s="1122" t="s">
        <v>217</v>
      </c>
      <c r="I8" s="1122" t="s">
        <v>617</v>
      </c>
      <c r="J8" s="1123"/>
      <c r="K8" s="439"/>
      <c r="N8" s="663"/>
    </row>
    <row r="9" spans="2:15" ht="15" hidden="1" outlineLevel="1" thickTop="1" x14ac:dyDescent="0.3">
      <c r="B9" s="1097" t="s">
        <v>619</v>
      </c>
      <c r="C9" s="1125">
        <f>'C-Dados RT1 Simplif.'!C102</f>
        <v>96866</v>
      </c>
      <c r="D9" s="1125">
        <f>C9</f>
        <v>96866</v>
      </c>
      <c r="E9" s="1125">
        <f t="shared" ref="E9:I9" si="0">D9</f>
        <v>96866</v>
      </c>
      <c r="F9" s="1125">
        <f t="shared" si="0"/>
        <v>96866</v>
      </c>
      <c r="G9" s="1125">
        <f t="shared" si="0"/>
        <v>96866</v>
      </c>
      <c r="H9" s="1125">
        <f t="shared" si="0"/>
        <v>96866</v>
      </c>
      <c r="I9" s="1125">
        <f t="shared" si="0"/>
        <v>96866</v>
      </c>
      <c r="J9" s="1109" t="s">
        <v>622</v>
      </c>
    </row>
    <row r="10" spans="2:15" ht="16.2" hidden="1" outlineLevel="1" x14ac:dyDescent="0.3">
      <c r="B10" s="1097" t="s">
        <v>620</v>
      </c>
      <c r="C10" s="1125">
        <f>'C-Dados RT1 Simplif.'!C110</f>
        <v>0.8970991984690615</v>
      </c>
      <c r="D10" s="1125">
        <f>C10</f>
        <v>0.8970991984690615</v>
      </c>
      <c r="E10" s="1125">
        <f t="shared" ref="E10:I10" si="1">D10</f>
        <v>0.8970991984690615</v>
      </c>
      <c r="F10" s="1125">
        <f t="shared" si="1"/>
        <v>0.8970991984690615</v>
      </c>
      <c r="G10" s="1125">
        <f t="shared" si="1"/>
        <v>0.8970991984690615</v>
      </c>
      <c r="H10" s="1125">
        <f t="shared" si="1"/>
        <v>0.8970991984690615</v>
      </c>
      <c r="I10" s="1125">
        <f t="shared" si="1"/>
        <v>0.8970991984690615</v>
      </c>
      <c r="J10" s="1109" t="s">
        <v>623</v>
      </c>
    </row>
    <row r="11" spans="2:15" hidden="1" outlineLevel="1" x14ac:dyDescent="0.3">
      <c r="B11" s="1097" t="s">
        <v>621</v>
      </c>
      <c r="C11" s="1125">
        <f>'C-Dados RT1 Simplif.'!C45</f>
        <v>160</v>
      </c>
      <c r="D11" s="1125">
        <f>C11</f>
        <v>160</v>
      </c>
      <c r="E11" s="1125">
        <f t="shared" ref="E11:I11" si="2">D11</f>
        <v>160</v>
      </c>
      <c r="F11" s="1125">
        <f t="shared" si="2"/>
        <v>160</v>
      </c>
      <c r="G11" s="1125">
        <f t="shared" si="2"/>
        <v>160</v>
      </c>
      <c r="H11" s="1125">
        <f t="shared" si="2"/>
        <v>160</v>
      </c>
      <c r="I11" s="1125">
        <f t="shared" si="2"/>
        <v>160</v>
      </c>
      <c r="J11" s="1109" t="s">
        <v>597</v>
      </c>
    </row>
    <row r="12" spans="2:15" hidden="1" outlineLevel="1" x14ac:dyDescent="0.3">
      <c r="B12" s="1097" t="str">
        <f>B44</f>
        <v>Nova RT | TARIFA LÍQUIDA pós MODICIDADE TARIFÁRIA</v>
      </c>
      <c r="C12" s="1113">
        <f t="shared" ref="C12:H12" si="3">C44</f>
        <v>571.93026876101192</v>
      </c>
      <c r="D12" s="1113">
        <f t="shared" si="3"/>
        <v>527.67567813118956</v>
      </c>
      <c r="E12" s="1113">
        <f t="shared" si="3"/>
        <v>545.12791523975375</v>
      </c>
      <c r="F12" s="1113">
        <f t="shared" si="3"/>
        <v>592.76108572741816</v>
      </c>
      <c r="G12" s="1113">
        <f t="shared" si="3"/>
        <v>637.45687137256311</v>
      </c>
      <c r="H12" s="1113">
        <f t="shared" si="3"/>
        <v>612.52238611180269</v>
      </c>
      <c r="I12" s="1113">
        <f t="shared" ref="I12" si="4">I44</f>
        <v>1575.3316913880165</v>
      </c>
      <c r="J12" s="1109" t="s">
        <v>597</v>
      </c>
    </row>
    <row r="13" spans="2:15" hidden="1" outlineLevel="1" x14ac:dyDescent="0.3">
      <c r="B13" s="1097" t="str">
        <f>B68</f>
        <v>% EF RT &amp; CM | Eficiência Valorização RT + Custos Movimentação:
 (Esforço s/ Tarifa Munícipe)</v>
      </c>
      <c r="C13" s="1124">
        <f>C68</f>
        <v>0.899177769486037</v>
      </c>
      <c r="D13" s="1124">
        <f t="shared" ref="D13:H13" si="5">D68</f>
        <v>0.97965325642565271</v>
      </c>
      <c r="E13" s="1124">
        <f t="shared" si="5"/>
        <v>0.9317707549100267</v>
      </c>
      <c r="F13" s="1124">
        <f t="shared" si="5"/>
        <v>0.76481187179286325</v>
      </c>
      <c r="G13" s="1124">
        <f t="shared" si="5"/>
        <v>0.65882004182929965</v>
      </c>
      <c r="H13" s="1124">
        <f t="shared" si="5"/>
        <v>1.3105002508493726</v>
      </c>
      <c r="I13" s="1124">
        <f t="shared" ref="I13" si="6">I68</f>
        <v>5.1417478001092289E-2</v>
      </c>
      <c r="J13" s="1109" t="s">
        <v>1</v>
      </c>
    </row>
    <row r="14" spans="2:15" hidden="1" outlineLevel="1" x14ac:dyDescent="0.3">
      <c r="B14" s="1097" t="s">
        <v>608</v>
      </c>
      <c r="C14" s="1125">
        <f>'C-Dados RT1 Simplif.'!C7</f>
        <v>35</v>
      </c>
      <c r="D14" s="1125">
        <f>'C-Dados RT1 Simplif.'!C7</f>
        <v>35</v>
      </c>
      <c r="E14" s="1125">
        <f>'C-Dados RT1 Simplif.'!C7</f>
        <v>35</v>
      </c>
      <c r="F14" s="1125">
        <f>'C-Dados RT2 Simplif.'!C7</f>
        <v>35</v>
      </c>
      <c r="G14" s="1125">
        <f>'C-Dados RT3 Simplif.'!C7</f>
        <v>35</v>
      </c>
      <c r="H14" s="1125">
        <f>'C-Dados RT4 Simplif.'!C7</f>
        <v>35</v>
      </c>
      <c r="I14" s="1125">
        <f>'C-Dados RT5 Simplif.'!C7</f>
        <v>35</v>
      </c>
      <c r="J14" s="1109" t="s">
        <v>3</v>
      </c>
    </row>
    <row r="15" spans="2:15" hidden="1" outlineLevel="1" x14ac:dyDescent="0.3">
      <c r="B15" s="1097" t="s">
        <v>602</v>
      </c>
      <c r="C15" s="1108">
        <f>'C-Dados RT1 Simplif.'!C18</f>
        <v>101.73874367180304</v>
      </c>
      <c r="D15" s="1108">
        <f>'C-Dados RT1 Simplif.'!C18</f>
        <v>101.73874367180304</v>
      </c>
      <c r="E15" s="1108">
        <f>'C-Dados RT1 Simplif.'!C18</f>
        <v>101.73874367180304</v>
      </c>
      <c r="F15" s="1108">
        <f>'C-Dados RT2 Simplif.'!C18</f>
        <v>102.86153302407891</v>
      </c>
      <c r="G15" s="1108">
        <f>'C-Dados RT3 Simplif.'!C18</f>
        <v>95.384274238632713</v>
      </c>
      <c r="H15" s="1108">
        <f>'C-Dados RT4 Simplif.'!C18</f>
        <v>92.660608102209721</v>
      </c>
      <c r="I15" s="1108">
        <f>'C-Dados RT5 Simplif.'!C18</f>
        <v>110.69537303613069</v>
      </c>
      <c r="J15" s="1109" t="s">
        <v>613</v>
      </c>
    </row>
    <row r="16" spans="2:15" hidden="1" outlineLevel="1" x14ac:dyDescent="0.3">
      <c r="B16" s="1097" t="s">
        <v>609</v>
      </c>
      <c r="C16" s="1110">
        <f>'C-Dados RT1 Simplif.'!C21/'C-Dados RT1 Simplif.'!C7</f>
        <v>17.514893740083224</v>
      </c>
      <c r="D16" s="1110">
        <f>'C-Dados RT1 Simplif.'!C21/'C-Dados RT1 Simplif.'!C7</f>
        <v>17.514893740083224</v>
      </c>
      <c r="E16" s="1110">
        <f>'C-Dados RT1 Simplif.'!C21/'C-Dados RT1 Simplif.'!C7</f>
        <v>17.514893740083224</v>
      </c>
      <c r="F16" s="1110">
        <f>'C-Dados RT2 Simplif.'!C21/'C-Dados RT2 Simplif.'!C7</f>
        <v>17.622808465194492</v>
      </c>
      <c r="G16" s="1110">
        <f>'C-Dados RT3 Simplif.'!C21/'C-Dados RT3 Simplif.'!C7</f>
        <v>16.782712143519269</v>
      </c>
      <c r="H16" s="1110">
        <f>'C-Dados RT4 Simplif.'!C21/'C-Dados RT4 Simplif.'!C7</f>
        <v>16.373474022095028</v>
      </c>
      <c r="I16" s="1110">
        <f>'C-Dados RT5 Simplif.'!C21/'C-Dados RT5 Simplif.'!C7</f>
        <v>25.538834820441807</v>
      </c>
      <c r="J16" s="411" t="s">
        <v>613</v>
      </c>
    </row>
    <row r="17" spans="2:14" hidden="1" outlineLevel="1" x14ac:dyDescent="0.3">
      <c r="B17" s="1097" t="s">
        <v>601</v>
      </c>
      <c r="C17" s="1111">
        <f>'C-Dados RT1 Simplif.'!C105/1000</f>
        <v>34.388276541382687</v>
      </c>
      <c r="D17" s="1111">
        <f>'C-Dados RT1 Simplif.'!C105/1000</f>
        <v>34.388276541382687</v>
      </c>
      <c r="E17" s="1111">
        <f>'C-Dados RT1 Simplif.'!C105/1000</f>
        <v>34.388276541382687</v>
      </c>
      <c r="F17" s="1111">
        <f>'C-Dados RT2 Simplif.'!C105/1000</f>
        <v>34.388276541382687</v>
      </c>
      <c r="G17" s="1111">
        <f>'C-Dados RT3 Simplif.'!C105/1000</f>
        <v>34.388276541382687</v>
      </c>
      <c r="H17" s="1111">
        <f>'C-Dados RT4 Simplif.'!C105/1000</f>
        <v>34.388276541382687</v>
      </c>
      <c r="I17" s="1111">
        <f>'C-Dados RT5 Simplif.'!C105/1000</f>
        <v>34.388276541382687</v>
      </c>
      <c r="J17" s="1109" t="s">
        <v>32</v>
      </c>
    </row>
    <row r="18" spans="2:14" hidden="1" outlineLevel="1" x14ac:dyDescent="0.3">
      <c r="B18" s="1097" t="s">
        <v>603</v>
      </c>
      <c r="C18" s="1112">
        <f>'C-Dados RT1 Simplif.'!C113</f>
        <v>6.4097856117927545</v>
      </c>
      <c r="D18" s="1112">
        <f>'C-Dados RT1 Simplif.'!C113</f>
        <v>6.4097856117927545</v>
      </c>
      <c r="E18" s="1112">
        <f>'C-Dados RT1 Simplif.'!C113</f>
        <v>6.4097856117927545</v>
      </c>
      <c r="F18" s="1112">
        <f>'C-Dados RT2 Simplif.'!C113</f>
        <v>4.832240619595094</v>
      </c>
      <c r="G18" s="1112">
        <f>'C-Dados RT3 Simplif.'!C113</f>
        <v>7.7063268022325024</v>
      </c>
      <c r="H18" s="1112">
        <f>'C-Dados RT4 Simplif.'!C113</f>
        <v>25.130944028181275</v>
      </c>
      <c r="I18" s="1112">
        <f>'C-Dados RT5 Simplif.'!C113</f>
        <v>25.130944028181275</v>
      </c>
      <c r="J18" s="1109" t="s">
        <v>32</v>
      </c>
    </row>
    <row r="19" spans="2:14" hidden="1" outlineLevel="1" x14ac:dyDescent="0.3">
      <c r="B19" s="1097" t="s">
        <v>607</v>
      </c>
      <c r="C19" s="1111">
        <f>'C-Dados RT1 Simplif.'!C116</f>
        <v>13.314839779403641</v>
      </c>
      <c r="D19" s="1111">
        <f>'C-Dados RT1 Simplif.'!C116</f>
        <v>13.314839779403641</v>
      </c>
      <c r="E19" s="1111">
        <f>'C-Dados RT1 Simplif.'!C116</f>
        <v>13.314839779403641</v>
      </c>
      <c r="F19" s="1111">
        <f>'C-Dados RT2 Simplif.'!C116</f>
        <v>13.878248705188518</v>
      </c>
      <c r="G19" s="1111">
        <f>'C-Dados RT3 Simplif.'!C116</f>
        <v>12.029706899706493</v>
      </c>
      <c r="H19" s="1111">
        <f>'C-Dados RT4 Simplif.'!C116</f>
        <v>6.3291622974414841</v>
      </c>
      <c r="I19" s="1111">
        <f>'C-Dados RT5 Simplif.'!C116</f>
        <v>6.3291622974414841</v>
      </c>
      <c r="J19" s="1109" t="s">
        <v>32</v>
      </c>
    </row>
    <row r="20" spans="2:14" hidden="1" outlineLevel="1" x14ac:dyDescent="0.3">
      <c r="B20" s="1097" t="s">
        <v>610</v>
      </c>
      <c r="C20" s="1111">
        <f>'C-Dados RT1 Simplif.'!C119</f>
        <v>14.663651150186295</v>
      </c>
      <c r="D20" s="1111">
        <f>'C-Dados RT1 Simplif.'!C119</f>
        <v>14.663651150186295</v>
      </c>
      <c r="E20" s="1111">
        <f>'C-Dados RT1 Simplif.'!C119</f>
        <v>14.663651150186295</v>
      </c>
      <c r="F20" s="1111">
        <f>'C-Dados RT2 Simplif.'!C119</f>
        <v>15.677787216599075</v>
      </c>
      <c r="G20" s="1111">
        <f>'C-Dados RT3 Simplif.'!C119</f>
        <v>14.652242839443693</v>
      </c>
      <c r="H20" s="1111">
        <f>'C-Dados RT4 Simplif.'!C119</f>
        <v>2.9281702157599319</v>
      </c>
      <c r="I20" s="1111">
        <f>'C-Dados RT5 Simplif.'!C119</f>
        <v>2.9281702157599319</v>
      </c>
      <c r="J20" s="1109" t="s">
        <v>32</v>
      </c>
    </row>
    <row r="21" spans="2:14" hidden="1" outlineLevel="1" x14ac:dyDescent="0.3">
      <c r="B21" s="1097" t="s">
        <v>604</v>
      </c>
      <c r="C21" s="1111">
        <f>'C-Dados RT1 Simplif.'!C123</f>
        <v>2.7424650541752689</v>
      </c>
      <c r="D21" s="1111">
        <f>'C-Dados RT1 Simplif.'!C123</f>
        <v>2.7424650541752689</v>
      </c>
      <c r="E21" s="1111">
        <f>'C-Dados RT1 Simplif.'!C123</f>
        <v>2.7424650541752689</v>
      </c>
      <c r="F21" s="1111">
        <f>'C-Dados RT2 Simplif.'!C123</f>
        <v>2.7424650541752689</v>
      </c>
      <c r="G21" s="1111">
        <f>'C-Dados RT3 Simplif.'!C123</f>
        <v>2.7424650541752689</v>
      </c>
      <c r="H21" s="1111">
        <f>'C-Dados RT4 Simplif.'!C123</f>
        <v>2.9281702157599319</v>
      </c>
      <c r="I21" s="1111">
        <f>'C-Dados RT5 Simplif.'!C123</f>
        <v>2.9281702157599319</v>
      </c>
      <c r="J21" s="1109" t="s">
        <v>32</v>
      </c>
    </row>
    <row r="22" spans="2:14" hidden="1" outlineLevel="1" x14ac:dyDescent="0.3">
      <c r="B22" s="1097" t="s">
        <v>605</v>
      </c>
      <c r="C22" s="1112">
        <f>'C-Dados RT1 Simplif.'!C129</f>
        <v>5.7467710430057641</v>
      </c>
      <c r="D22" s="1112">
        <f>'C-Dados RT1 Simplif.'!C129</f>
        <v>5.7467710430057641</v>
      </c>
      <c r="E22" s="1112">
        <f>'C-Dados RT1 Simplif.'!C129</f>
        <v>5.7467710430057641</v>
      </c>
      <c r="F22" s="1112">
        <f>'C-Dados RT2 Simplif.'!C129</f>
        <v>6.7609071094185476</v>
      </c>
      <c r="G22" s="1112">
        <f>'C-Dados RT3 Simplif.'!C129</f>
        <v>0</v>
      </c>
      <c r="H22" s="1112">
        <f>'C-Dados RT4 Simplif.'!C129</f>
        <v>0</v>
      </c>
      <c r="I22" s="1112">
        <f>'C-Dados RT5 Simplif.'!C129</f>
        <v>0</v>
      </c>
      <c r="J22" s="1109" t="s">
        <v>32</v>
      </c>
    </row>
    <row r="23" spans="2:14" hidden="1" outlineLevel="1" x14ac:dyDescent="0.3">
      <c r="B23" s="1097" t="s">
        <v>606</v>
      </c>
      <c r="C23" s="1112">
        <f>'C-Dados RT1 Simplif.'!C126</f>
        <v>6.1744150530052604</v>
      </c>
      <c r="D23" s="1112">
        <f>'C-Dados RT1 Simplif.'!C126</f>
        <v>6.1744150530052604</v>
      </c>
      <c r="E23" s="1112">
        <f>'C-Dados RT1 Simplif.'!C126</f>
        <v>6.1744150530052604</v>
      </c>
      <c r="F23" s="1112">
        <f>'C-Dados RT2 Simplif.'!C126</f>
        <v>6.1744150530052604</v>
      </c>
      <c r="G23" s="1112">
        <f>'C-Dados RT3 Simplif.'!C126</f>
        <v>11.909777785268423</v>
      </c>
      <c r="H23" s="1112">
        <f>'C-Dados RT4 Simplif.'!C126</f>
        <v>0</v>
      </c>
      <c r="I23" s="1112">
        <f>'C-Dados RT5 Simplif.'!C126</f>
        <v>0</v>
      </c>
      <c r="J23" s="1109" t="s">
        <v>32</v>
      </c>
    </row>
    <row r="24" spans="2:14" hidden="1" outlineLevel="1" x14ac:dyDescent="0.3">
      <c r="B24" s="1097" t="s">
        <v>611</v>
      </c>
      <c r="C24" s="1113">
        <v>0</v>
      </c>
      <c r="D24" s="1114">
        <v>0</v>
      </c>
      <c r="E24" s="1114">
        <v>0</v>
      </c>
      <c r="F24" s="1114">
        <v>0</v>
      </c>
      <c r="G24" s="1114">
        <v>0</v>
      </c>
      <c r="H24" s="1113">
        <f>'4)Incineração - E Elétrica'!F21</f>
        <v>21804.537156049621</v>
      </c>
      <c r="I24" s="1113">
        <f>'5)Incineração - E Elétrica'!F21</f>
        <v>21804.537156049621</v>
      </c>
      <c r="J24" s="1109" t="s">
        <v>33</v>
      </c>
    </row>
    <row r="25" spans="2:14" hidden="1" outlineLevel="1" x14ac:dyDescent="0.3">
      <c r="B25" s="1097" t="s">
        <v>612</v>
      </c>
      <c r="C25" s="1113">
        <f>'RT1A)BIODIG Energia Elétrica'!F21</f>
        <v>4175.9609947687304</v>
      </c>
      <c r="D25" s="1114">
        <v>0</v>
      </c>
      <c r="E25" s="1114">
        <v>0</v>
      </c>
      <c r="F25" s="1114">
        <v>0</v>
      </c>
      <c r="G25" s="1114">
        <v>0</v>
      </c>
      <c r="H25" s="1114">
        <v>0</v>
      </c>
      <c r="I25" s="1114">
        <v>0</v>
      </c>
      <c r="J25" s="1109" t="s">
        <v>33</v>
      </c>
    </row>
    <row r="26" spans="2:14" hidden="1" outlineLevel="1" x14ac:dyDescent="0.3">
      <c r="B26" s="1097" t="s">
        <v>614</v>
      </c>
      <c r="C26" s="1113">
        <v>0</v>
      </c>
      <c r="D26" s="1113">
        <f>'RT1B)BIODIG Descarb Biomet'!F22</f>
        <v>1043.9902486921826</v>
      </c>
      <c r="E26" s="1114">
        <v>0</v>
      </c>
      <c r="F26" s="1114">
        <v>0</v>
      </c>
      <c r="G26" s="1114">
        <v>0</v>
      </c>
      <c r="H26" s="1114">
        <v>0</v>
      </c>
      <c r="I26" s="1114">
        <v>0</v>
      </c>
      <c r="J26" s="1109" t="s">
        <v>41</v>
      </c>
    </row>
    <row r="27" spans="2:14" ht="16.8" hidden="1" outlineLevel="1" thickBot="1" x14ac:dyDescent="0.35">
      <c r="B27" s="1115" t="s">
        <v>615</v>
      </c>
      <c r="C27" s="1116">
        <v>0</v>
      </c>
      <c r="D27" s="1116">
        <v>0</v>
      </c>
      <c r="E27" s="1117">
        <f>'RT1C)BIODIG Gas Natural'!F22</f>
        <v>1043990.2486921826</v>
      </c>
      <c r="F27" s="1116">
        <v>0</v>
      </c>
      <c r="G27" s="1116">
        <v>0</v>
      </c>
      <c r="H27" s="1116">
        <v>0</v>
      </c>
      <c r="I27" s="1116">
        <v>0</v>
      </c>
      <c r="J27" s="1118" t="s">
        <v>243</v>
      </c>
    </row>
    <row r="28" spans="2:14" s="362" customFormat="1" ht="16.8" collapsed="1" thickTop="1" thickBot="1" x14ac:dyDescent="0.35">
      <c r="B28" s="1096" t="s">
        <v>497</v>
      </c>
      <c r="C28" s="398">
        <f t="shared" ref="C28:H28" si="7">C32+SUM(C29:C31)</f>
        <v>733.34849807869932</v>
      </c>
      <c r="D28" s="398">
        <f t="shared" si="7"/>
        <v>733.34849807869932</v>
      </c>
      <c r="E28" s="398">
        <f t="shared" si="7"/>
        <v>733.34849807869932</v>
      </c>
      <c r="F28" s="398">
        <f t="shared" si="7"/>
        <v>700.73890097890899</v>
      </c>
      <c r="G28" s="398">
        <f t="shared" si="7"/>
        <v>764.19986027933828</v>
      </c>
      <c r="H28" s="398">
        <f t="shared" si="7"/>
        <v>1050.6553331946125</v>
      </c>
      <c r="I28" s="398">
        <f t="shared" ref="I28" si="8">I32+SUM(I29:I31)</f>
        <v>1950.2492597123251</v>
      </c>
      <c r="J28" s="410" t="s">
        <v>2</v>
      </c>
      <c r="K28" s="369"/>
      <c r="N28" s="659"/>
    </row>
    <row r="29" spans="2:14" ht="19.5" hidden="1" customHeight="1" outlineLevel="1" x14ac:dyDescent="0.3">
      <c r="B29" s="1097" t="s">
        <v>496</v>
      </c>
      <c r="C29" s="679">
        <v>0</v>
      </c>
      <c r="D29" s="679">
        <f>$C$29</f>
        <v>0</v>
      </c>
      <c r="E29" s="679">
        <f t="shared" ref="E29:I29" si="9">$C$29</f>
        <v>0</v>
      </c>
      <c r="F29" s="679">
        <f t="shared" si="9"/>
        <v>0</v>
      </c>
      <c r="G29" s="679">
        <f t="shared" si="9"/>
        <v>0</v>
      </c>
      <c r="H29" s="679">
        <f t="shared" si="9"/>
        <v>0</v>
      </c>
      <c r="I29" s="679">
        <f t="shared" si="9"/>
        <v>0</v>
      </c>
      <c r="J29" s="700" t="s">
        <v>2</v>
      </c>
      <c r="L29" s="258"/>
      <c r="M29" s="258"/>
      <c r="N29" s="660"/>
    </row>
    <row r="30" spans="2:14" ht="21" hidden="1" customHeight="1" outlineLevel="1" x14ac:dyDescent="0.3">
      <c r="B30" s="1097" t="s">
        <v>498</v>
      </c>
      <c r="C30" s="679">
        <v>432.58</v>
      </c>
      <c r="D30" s="679">
        <f>$C$30</f>
        <v>432.58</v>
      </c>
      <c r="E30" s="679">
        <f t="shared" ref="E30:I30" si="10">$C$30</f>
        <v>432.58</v>
      </c>
      <c r="F30" s="679">
        <f t="shared" si="10"/>
        <v>432.58</v>
      </c>
      <c r="G30" s="679">
        <f t="shared" si="10"/>
        <v>432.58</v>
      </c>
      <c r="H30" s="679">
        <f t="shared" si="10"/>
        <v>432.58</v>
      </c>
      <c r="I30" s="679">
        <f t="shared" si="10"/>
        <v>432.58</v>
      </c>
      <c r="J30" s="700" t="s">
        <v>2</v>
      </c>
      <c r="L30" s="258"/>
      <c r="M30" s="258"/>
      <c r="N30" s="660"/>
    </row>
    <row r="31" spans="2:14" ht="16.5" hidden="1" customHeight="1" outlineLevel="1" thickBot="1" x14ac:dyDescent="0.35">
      <c r="B31" s="1097" t="s">
        <v>495</v>
      </c>
      <c r="C31" s="679">
        <v>0.71</v>
      </c>
      <c r="D31" s="679">
        <f>$C$31</f>
        <v>0.71</v>
      </c>
      <c r="E31" s="679">
        <f t="shared" ref="E31:I31" si="11">$C$31</f>
        <v>0.71</v>
      </c>
      <c r="F31" s="679">
        <f t="shared" si="11"/>
        <v>0.71</v>
      </c>
      <c r="G31" s="679">
        <f t="shared" si="11"/>
        <v>0.71</v>
      </c>
      <c r="H31" s="679">
        <f t="shared" si="11"/>
        <v>0.71</v>
      </c>
      <c r="I31" s="679">
        <f t="shared" si="11"/>
        <v>0.71</v>
      </c>
      <c r="J31" s="700" t="s">
        <v>2</v>
      </c>
      <c r="L31" s="258"/>
      <c r="M31" s="258"/>
      <c r="N31" s="660"/>
    </row>
    <row r="32" spans="2:14" s="362" customFormat="1" ht="16.2" thickTop="1" x14ac:dyDescent="0.3">
      <c r="B32" s="1098" t="s">
        <v>213</v>
      </c>
      <c r="C32" s="398">
        <f>'RT1A)BIODIG Energia Elétrica'!M7</f>
        <v>300.05849807869942</v>
      </c>
      <c r="D32" s="394">
        <f>'RT1B)BIODIG Descarb Biomet'!M7</f>
        <v>300.05849807869942</v>
      </c>
      <c r="E32" s="399">
        <f>'RT1C)BIODIG Gas Natural'!M7</f>
        <v>300.05849807869942</v>
      </c>
      <c r="F32" s="406">
        <f>'2)Compostagem CDR Comp Org'!M7</f>
        <v>267.44890097890908</v>
      </c>
      <c r="G32" s="406">
        <f>'3)Biosecagem Prod BioCDR'!M7</f>
        <v>330.90986027933826</v>
      </c>
      <c r="H32" s="406">
        <f>'4)Incineração - E Elétrica'!M7</f>
        <v>617.3653331946125</v>
      </c>
      <c r="I32" s="406">
        <f>'5)Incineração - E Elétrica'!M7</f>
        <v>1516.9592597123251</v>
      </c>
      <c r="J32" s="410" t="s">
        <v>2</v>
      </c>
      <c r="K32" s="369"/>
      <c r="L32" s="1062"/>
      <c r="N32" s="659"/>
    </row>
    <row r="33" spans="2:15" s="438" customFormat="1" ht="19.95" customHeight="1" collapsed="1" x14ac:dyDescent="0.3">
      <c r="B33" s="1099" t="s">
        <v>194</v>
      </c>
      <c r="C33" s="760">
        <f>C28-C44</f>
        <v>161.41822931768741</v>
      </c>
      <c r="D33" s="760">
        <f t="shared" ref="D33:I33" si="12">D28-D44</f>
        <v>205.67281994750977</v>
      </c>
      <c r="E33" s="760">
        <f t="shared" si="12"/>
        <v>188.22058283894557</v>
      </c>
      <c r="F33" s="760">
        <f t="shared" si="12"/>
        <v>107.97781525149082</v>
      </c>
      <c r="G33" s="760">
        <f t="shared" si="12"/>
        <v>126.74298890677517</v>
      </c>
      <c r="H33" s="760">
        <f t="shared" si="12"/>
        <v>438.13294708280978</v>
      </c>
      <c r="I33" s="760">
        <f t="shared" si="12"/>
        <v>374.9175683243086</v>
      </c>
      <c r="J33" s="705" t="s">
        <v>2</v>
      </c>
      <c r="K33" s="439"/>
      <c r="N33" s="706"/>
    </row>
    <row r="34" spans="2:15" hidden="1" outlineLevel="1" x14ac:dyDescent="0.3">
      <c r="B34" s="1097" t="s">
        <v>292</v>
      </c>
      <c r="C34" s="761">
        <f>-'RT1A)BIODIG Energia Elétrica'!M11</f>
        <v>10.485505219974332</v>
      </c>
      <c r="D34" s="360">
        <f>-'RT1B)BIODIG Descarb Biomet'!M11</f>
        <v>-11.785321926716216</v>
      </c>
      <c r="E34" s="361">
        <f>-'RT1C)BIODIG Gas Natural'!M11</f>
        <v>-11.785321926716216</v>
      </c>
      <c r="F34" s="360">
        <f>-'2)Compostagem CDR Comp Org'!M11</f>
        <v>-12.840418548508994</v>
      </c>
      <c r="G34" s="360">
        <f>-'3)Biosecagem Prod BioCDR'!M11</f>
        <v>-12.056233000724824</v>
      </c>
      <c r="H34" s="361">
        <f>-'4)Incineração - E Elétrica'!M11</f>
        <v>10.116334425957875</v>
      </c>
      <c r="I34" s="361">
        <f>-'5)Incineração - E Elétrica'!M11</f>
        <v>25.283853935597026</v>
      </c>
      <c r="J34" s="411" t="s">
        <v>2</v>
      </c>
      <c r="L34" s="258"/>
      <c r="M34" s="258"/>
      <c r="N34" s="660"/>
    </row>
    <row r="35" spans="2:15" hidden="1" outlineLevel="1" x14ac:dyDescent="0.3">
      <c r="B35" s="1097" t="s">
        <v>291</v>
      </c>
      <c r="C35" s="761">
        <f>-'RT1A)BIODIG Energia Elétrica'!M12</f>
        <v>0</v>
      </c>
      <c r="D35" s="360">
        <f>-'RT1B)BIODIG Descarb Biomet'!M12</f>
        <v>19.423098183257213</v>
      </c>
      <c r="E35" s="361">
        <f>-'RT1C)BIODIG Gas Natural'!M12</f>
        <v>0</v>
      </c>
      <c r="F35" s="360">
        <v>0</v>
      </c>
      <c r="G35" s="360">
        <v>0</v>
      </c>
      <c r="H35" s="361">
        <f>-'4)Incineração - E Elétrica'!M12</f>
        <v>0</v>
      </c>
      <c r="I35" s="361">
        <f>-'5)Incineração - E Elétrica'!M12</f>
        <v>0</v>
      </c>
      <c r="J35" s="411" t="s">
        <v>2</v>
      </c>
      <c r="L35" s="258"/>
      <c r="M35" s="258"/>
      <c r="N35" s="660"/>
    </row>
    <row r="36" spans="2:15" hidden="1" outlineLevel="1" x14ac:dyDescent="0.3">
      <c r="B36" s="1097" t="s">
        <v>293</v>
      </c>
      <c r="C36" s="761">
        <f>-'RT1A)BIODIG Energia Elétrica'!M15</f>
        <v>0</v>
      </c>
      <c r="D36" s="360">
        <f>-'RT1B)BIODIG Descarb Biomet'!M15</f>
        <v>39.85612845677246</v>
      </c>
      <c r="E36" s="361">
        <f>-'RT1C)BIODIG Gas Natural'!M14</f>
        <v>0</v>
      </c>
      <c r="F36" s="360">
        <v>0</v>
      </c>
      <c r="G36" s="360">
        <v>0</v>
      </c>
      <c r="H36" s="361">
        <f>-'4)Incineração - E Elétrica'!M15</f>
        <v>0</v>
      </c>
      <c r="I36" s="361">
        <f>-'5)Incineração - E Elétrica'!M15</f>
        <v>0</v>
      </c>
      <c r="J36" s="411" t="s">
        <v>2</v>
      </c>
      <c r="L36" s="258"/>
      <c r="M36" s="258"/>
      <c r="N36" s="660"/>
    </row>
    <row r="37" spans="2:15" hidden="1" outlineLevel="1" x14ac:dyDescent="0.3">
      <c r="B37" s="1097" t="s">
        <v>294</v>
      </c>
      <c r="C37" s="761">
        <f>-'RT1A)BIODIG Energia Elétrica'!M14</f>
        <v>30.11449029771325</v>
      </c>
      <c r="D37" s="360">
        <f>-'RT1B)BIODIG Descarb Biomet'!M14</f>
        <v>0</v>
      </c>
      <c r="E37" s="361">
        <f>-'RT1C)BIODIG Gas Natural'!M15</f>
        <v>0</v>
      </c>
      <c r="F37" s="360">
        <v>0</v>
      </c>
      <c r="G37" s="360">
        <v>0</v>
      </c>
      <c r="H37" s="361">
        <f>-'4)Incineração - E Elétrica'!M14</f>
        <v>305.01625442740948</v>
      </c>
      <c r="I37" s="361">
        <f>-'5)Incineração - E Elétrica'!M14</f>
        <v>226.63335615926886</v>
      </c>
      <c r="J37" s="411" t="s">
        <v>2</v>
      </c>
      <c r="L37" s="258"/>
      <c r="M37" s="258"/>
      <c r="N37" s="660"/>
    </row>
    <row r="38" spans="2:15" hidden="1" outlineLevel="1" x14ac:dyDescent="0.3">
      <c r="B38" s="1097" t="s">
        <v>255</v>
      </c>
      <c r="C38" s="761">
        <f>-'RT1A)BIODIG Energia Elétrica'!M21</f>
        <v>101.46076874999997</v>
      </c>
      <c r="D38" s="360">
        <f>-'RT1B)BIODIG Descarb Biomet'!M21</f>
        <v>101.46076874999997</v>
      </c>
      <c r="E38" s="361">
        <f>-'RT1C)BIODIG Gas Natural'!M21</f>
        <v>101.46076874999997</v>
      </c>
      <c r="F38" s="762">
        <f>-'2)Compostagem CDR Comp Org'!M21</f>
        <v>101.46076874999997</v>
      </c>
      <c r="G38" s="762">
        <f>-'3)Biosecagem Prod BioCDR'!M21</f>
        <v>101.46076874999997</v>
      </c>
      <c r="H38" s="762">
        <f>-'4)Incineração - E Elétrica'!M21</f>
        <v>123.00035822944253</v>
      </c>
      <c r="I38" s="762">
        <f>-'5)Incineração - E Elétrica'!M21</f>
        <v>123.00035822944253</v>
      </c>
      <c r="J38" s="411" t="s">
        <v>2</v>
      </c>
      <c r="L38" s="258"/>
      <c r="M38" s="258"/>
      <c r="N38" s="660"/>
    </row>
    <row r="39" spans="2:15" hidden="1" outlineLevel="1" x14ac:dyDescent="0.3">
      <c r="B39" s="1097" t="s">
        <v>256</v>
      </c>
      <c r="C39" s="761">
        <f>-'RT1A)BIODIG Energia Elétrica'!M17</f>
        <v>0</v>
      </c>
      <c r="D39" s="360">
        <f>-'RT1B)BIODIG Descarb Biomet'!M17</f>
        <v>0</v>
      </c>
      <c r="E39" s="361">
        <f>-'RT1C)BIODIG Gas Natural'!M17</f>
        <v>0</v>
      </c>
      <c r="F39" s="762">
        <v>0</v>
      </c>
      <c r="G39" s="762">
        <v>0</v>
      </c>
      <c r="H39" s="762">
        <f>-'4)Incineração - E Elétrica'!M17</f>
        <v>0</v>
      </c>
      <c r="I39" s="762">
        <f>-'5)Incineração - E Elétrica'!M17</f>
        <v>0</v>
      </c>
      <c r="J39" s="411" t="s">
        <v>2</v>
      </c>
      <c r="L39" s="258"/>
      <c r="M39" s="258"/>
      <c r="N39" s="660"/>
    </row>
    <row r="40" spans="2:15" hidden="1" outlineLevel="1" x14ac:dyDescent="0.3">
      <c r="B40" s="1097" t="s">
        <v>257</v>
      </c>
      <c r="C40" s="761">
        <f>-'RT1A)BIODIG Energia Elétrica'!M18</f>
        <v>0</v>
      </c>
      <c r="D40" s="360">
        <f>-'RT1B)BIODIG Descarb Biomet'!M18</f>
        <v>37.360681434196444</v>
      </c>
      <c r="E40" s="361">
        <f>-'RT1C)BIODIG Gas Natural'!M18</f>
        <v>79.187670965661937</v>
      </c>
      <c r="F40" s="762">
        <v>0</v>
      </c>
      <c r="G40" s="762">
        <v>0</v>
      </c>
      <c r="H40" s="762">
        <f>-'4)Incineração - E Elétrica'!M18</f>
        <v>0</v>
      </c>
      <c r="I40" s="762">
        <f>-'5)Incineração - E Elétrica'!M18</f>
        <v>0</v>
      </c>
      <c r="J40" s="411" t="s">
        <v>2</v>
      </c>
      <c r="L40" s="258"/>
      <c r="M40" s="258"/>
      <c r="N40" s="660"/>
    </row>
    <row r="41" spans="2:15" hidden="1" outlineLevel="1" x14ac:dyDescent="0.3">
      <c r="B41" s="1097" t="s">
        <v>258</v>
      </c>
      <c r="C41" s="761">
        <f>-'RT1A)BIODIG Energia Elétrica'!M20</f>
        <v>0</v>
      </c>
      <c r="D41" s="360">
        <f>-'RT1B)BIODIG Descarb Biomet'!M20</f>
        <v>0</v>
      </c>
      <c r="E41" s="361">
        <f>-'RT1C)BIODIG Gas Natural'!M20</f>
        <v>0</v>
      </c>
      <c r="F41" s="762">
        <f>-'2)Compostagem CDR Comp Org'!M20</f>
        <v>0</v>
      </c>
      <c r="G41" s="762">
        <v>0</v>
      </c>
      <c r="H41" s="762">
        <f>-'4)Incineração - E Elétrica'!M20</f>
        <v>0</v>
      </c>
      <c r="I41" s="762">
        <f>-'5)Incineração - E Elétrica'!M20</f>
        <v>0</v>
      </c>
      <c r="J41" s="411" t="s">
        <v>2</v>
      </c>
      <c r="L41" s="258"/>
      <c r="M41" s="258"/>
      <c r="N41" s="660"/>
    </row>
    <row r="42" spans="2:15" hidden="1" outlineLevel="1" x14ac:dyDescent="0.3">
      <c r="B42" s="1097" t="s">
        <v>259</v>
      </c>
      <c r="C42" s="761">
        <f>-'RT1A)BIODIG Energia Elétrica'!M19</f>
        <v>19.357465049999998</v>
      </c>
      <c r="D42" s="360">
        <f>-'RT1B)BIODIG Descarb Biomet'!M19</f>
        <v>19.357465049999998</v>
      </c>
      <c r="E42" s="361">
        <f>-'RT1C)BIODIG Gas Natural'!M19</f>
        <v>19.357465049999998</v>
      </c>
      <c r="F42" s="762">
        <f>-'2)Compostagem CDR Comp Org'!M19</f>
        <v>19.357465049999998</v>
      </c>
      <c r="G42" s="762">
        <f>-'3)Biosecagem Prod BioCDR'!M19</f>
        <v>37.338453157500012</v>
      </c>
      <c r="H42" s="762">
        <f>-'4)Incineração - E Elétrica'!M19</f>
        <v>0</v>
      </c>
      <c r="I42" s="762">
        <f>-'5)Incineração - E Elétrica'!M19</f>
        <v>0</v>
      </c>
      <c r="J42" s="411" t="s">
        <v>2</v>
      </c>
      <c r="L42" s="258"/>
      <c r="M42" s="258"/>
      <c r="N42" s="660"/>
    </row>
    <row r="43" spans="2:15" s="707" customFormat="1" ht="15" customHeight="1" thickBot="1" x14ac:dyDescent="0.35">
      <c r="B43" s="1100" t="s">
        <v>195</v>
      </c>
      <c r="C43" s="708">
        <f t="shared" ref="C43:H43" si="13">C33/C32</f>
        <v>0.53795586644358462</v>
      </c>
      <c r="D43" s="709">
        <f t="shared" si="13"/>
        <v>0.68544240961162795</v>
      </c>
      <c r="E43" s="710">
        <f t="shared" si="13"/>
        <v>0.62727962728647346</v>
      </c>
      <c r="F43" s="711">
        <f t="shared" si="13"/>
        <v>0.40373250686868933</v>
      </c>
      <c r="G43" s="711">
        <f t="shared" si="13"/>
        <v>0.3830136364017222</v>
      </c>
      <c r="H43" s="711">
        <f t="shared" si="13"/>
        <v>0.70968180998380881</v>
      </c>
      <c r="I43" s="711">
        <f t="shared" ref="I43" si="14">I33/I32</f>
        <v>0.24715071675386172</v>
      </c>
      <c r="J43" s="712" t="s">
        <v>2</v>
      </c>
      <c r="K43" s="713"/>
      <c r="N43" s="714"/>
    </row>
    <row r="44" spans="2:15" s="362" customFormat="1" ht="19.95" customHeight="1" thickTop="1" thickBot="1" x14ac:dyDescent="0.35">
      <c r="B44" s="1101" t="s">
        <v>254</v>
      </c>
      <c r="C44" s="763">
        <f>'RT1A)BIODIG Energia Elétrica'!M22</f>
        <v>571.93026876101192</v>
      </c>
      <c r="D44" s="764">
        <f>'RT1B)BIODIG Descarb Biomet'!M22</f>
        <v>527.67567813118956</v>
      </c>
      <c r="E44" s="765">
        <f>'RT1C)BIODIG Gas Natural'!M22</f>
        <v>545.12791523975375</v>
      </c>
      <c r="F44" s="766">
        <f>'2)Compostagem CDR Comp Org'!M22</f>
        <v>592.76108572741816</v>
      </c>
      <c r="G44" s="766">
        <f>'3)Biosecagem Prod BioCDR'!M22</f>
        <v>637.45687137256311</v>
      </c>
      <c r="H44" s="766">
        <f>'4)Incineração - E Elétrica'!M22</f>
        <v>612.52238611180269</v>
      </c>
      <c r="I44" s="766">
        <f>'5)Incineração - E Elétrica'!M22</f>
        <v>1575.3316913880165</v>
      </c>
      <c r="J44" s="767" t="s">
        <v>2</v>
      </c>
      <c r="K44" s="1221" t="s">
        <v>212</v>
      </c>
      <c r="L44" s="1221"/>
      <c r="M44" s="1221"/>
      <c r="N44" s="1221"/>
      <c r="O44" s="1062"/>
    </row>
    <row r="45" spans="2:15" s="362" customFormat="1" ht="16.8" collapsed="1" thickTop="1" thickBot="1" x14ac:dyDescent="0.35">
      <c r="B45" s="1102" t="s">
        <v>208</v>
      </c>
      <c r="C45" s="400">
        <f t="shared" ref="C45:H45" si="15">C46+C47+C48+C49</f>
        <v>40.599995517687582</v>
      </c>
      <c r="D45" s="371">
        <f t="shared" si="15"/>
        <v>0</v>
      </c>
      <c r="E45" s="371">
        <f t="shared" si="15"/>
        <v>0</v>
      </c>
      <c r="F45" s="407">
        <f t="shared" si="15"/>
        <v>0</v>
      </c>
      <c r="G45" s="407">
        <f t="shared" si="15"/>
        <v>0</v>
      </c>
      <c r="H45" s="407">
        <f t="shared" si="15"/>
        <v>315.13258885336734</v>
      </c>
      <c r="I45" s="407">
        <f t="shared" ref="I45" si="16">I46+I47+I48+I49</f>
        <v>251.91721009486588</v>
      </c>
      <c r="J45" s="412" t="s">
        <v>2</v>
      </c>
      <c r="K45" s="1220" t="s">
        <v>210</v>
      </c>
      <c r="L45" s="1220"/>
      <c r="M45" s="1220"/>
      <c r="N45" s="1220"/>
    </row>
    <row r="46" spans="2:15" ht="15" hidden="1" outlineLevel="1" thickTop="1" x14ac:dyDescent="0.3">
      <c r="B46" s="1097" t="s">
        <v>302</v>
      </c>
      <c r="C46" s="642">
        <f>'RT1A) Custos Valoriz E.Elétrica'!C20</f>
        <v>10.485505219974332</v>
      </c>
      <c r="D46" s="377">
        <v>0</v>
      </c>
      <c r="E46" s="363">
        <v>0</v>
      </c>
      <c r="F46" s="360">
        <v>0</v>
      </c>
      <c r="G46" s="360">
        <v>0</v>
      </c>
      <c r="H46" s="361">
        <f>-'4)Incineração - E Elétrica'!M11</f>
        <v>10.116334425957875</v>
      </c>
      <c r="I46" s="361">
        <f>-'5)Incineração - E Elétrica'!M11</f>
        <v>25.283853935597026</v>
      </c>
      <c r="J46" s="258" t="s">
        <v>2</v>
      </c>
      <c r="K46" s="368"/>
      <c r="L46" s="368"/>
      <c r="M46" s="368"/>
      <c r="N46" s="1065"/>
    </row>
    <row r="47" spans="2:15" hidden="1" outlineLevel="1" x14ac:dyDescent="0.3">
      <c r="B47" s="1097" t="s">
        <v>299</v>
      </c>
      <c r="C47" s="363">
        <v>0</v>
      </c>
      <c r="D47" s="641">
        <f>('Demanda Preço &amp; Quantidade'!C46-'Demanda Preço &amp; Quantidade'!C48)*'Demanda Preço &amp; Quantidade'!C72*1000/'RT1B) Descarb AutoCons'!C4</f>
        <v>0</v>
      </c>
      <c r="E47" s="363">
        <v>0</v>
      </c>
      <c r="F47" s="360">
        <v>0</v>
      </c>
      <c r="G47" s="360">
        <v>0</v>
      </c>
      <c r="H47" s="361">
        <v>0</v>
      </c>
      <c r="I47" s="361">
        <v>0</v>
      </c>
      <c r="J47" s="258" t="s">
        <v>2</v>
      </c>
      <c r="K47" s="368"/>
      <c r="L47" s="368"/>
      <c r="M47" s="368"/>
      <c r="N47" s="1065"/>
    </row>
    <row r="48" spans="2:15" hidden="1" outlineLevel="1" x14ac:dyDescent="0.3">
      <c r="B48" s="1097" t="s">
        <v>300</v>
      </c>
      <c r="C48" s="363">
        <v>0</v>
      </c>
      <c r="D48" s="641">
        <f>('Demanda Preço &amp; Quantidade'!C56-'Demanda Preço &amp; Quantidade'!C58)*'Demanda Preço &amp; Quantidade'!C88*1000/'RT1B) Descarb AutoCons'!C4</f>
        <v>0</v>
      </c>
      <c r="E48" s="363">
        <v>0</v>
      </c>
      <c r="F48" s="360">
        <v>0</v>
      </c>
      <c r="G48" s="360">
        <v>0</v>
      </c>
      <c r="H48" s="361">
        <v>0</v>
      </c>
      <c r="I48" s="361">
        <v>0</v>
      </c>
      <c r="J48" s="258" t="s">
        <v>2</v>
      </c>
      <c r="K48" s="368"/>
      <c r="L48" s="368"/>
      <c r="M48" s="368"/>
      <c r="N48" s="1065"/>
    </row>
    <row r="49" spans="2:14" ht="15" hidden="1" outlineLevel="1" thickBot="1" x14ac:dyDescent="0.35">
      <c r="B49" s="1097" t="s">
        <v>301</v>
      </c>
      <c r="C49" s="642">
        <f xml:space="preserve"> 'RT1A) Custos Valoriz E.Elétrica'!C25+('Demanda Preço &amp; Quantidade'!C52-'Demanda Preço &amp; Quantidade'!J52)*'Demanda Preço &amp; Quantidade'!C81/'RT1A) Custos Valoriz E.Elétrica'!C5</f>
        <v>30.11449029771325</v>
      </c>
      <c r="D49" s="377">
        <v>0</v>
      </c>
      <c r="E49" s="3">
        <v>0</v>
      </c>
      <c r="F49" s="360">
        <v>0</v>
      </c>
      <c r="G49" s="360">
        <v>0</v>
      </c>
      <c r="H49" s="644">
        <f>'RT4)Custos Valoriz E.Elétrica'!C25+('Demanda Preço &amp; Quantidade'!C52-'Demanda Preço &amp; Quantidade'!J52)*'Demanda Preço &amp; Quantidade'!C81/'C-Dados RT4 Simplif.'!C105</f>
        <v>305.01625442740948</v>
      </c>
      <c r="I49" s="644">
        <f>'RT5)Custos Valoriz E.Elétrica'!C25+('Demanda Preço &amp; Quantidade'!C52-'Demanda Preço &amp; Quantidade'!J52)*'Demanda Preço &amp; Quantidade'!C81/'C-Dados RT5 Simplif.'!C105</f>
        <v>226.63335615926886</v>
      </c>
      <c r="J49" s="258" t="s">
        <v>2</v>
      </c>
      <c r="K49" s="368"/>
      <c r="L49" s="368"/>
      <c r="M49" s="368"/>
      <c r="N49" s="1065"/>
    </row>
    <row r="50" spans="2:14" s="362" customFormat="1" ht="16.8" collapsed="1" thickTop="1" thickBot="1" x14ac:dyDescent="0.35">
      <c r="B50" s="1103" t="s">
        <v>209</v>
      </c>
      <c r="C50" s="401">
        <f t="shared" ref="C50:H50" si="17">C51+C55+C60</f>
        <v>447.30725660940072</v>
      </c>
      <c r="D50" s="372">
        <f t="shared" si="17"/>
        <v>446.32487454902406</v>
      </c>
      <c r="E50" s="402">
        <f t="shared" si="17"/>
        <v>454.7721643452283</v>
      </c>
      <c r="F50" s="408">
        <f t="shared" si="17"/>
        <v>447.82180122857483</v>
      </c>
      <c r="G50" s="408">
        <f t="shared" si="17"/>
        <v>459.13623403460957</v>
      </c>
      <c r="H50" s="408">
        <f t="shared" si="17"/>
        <v>501.81053790880924</v>
      </c>
      <c r="I50" s="408">
        <f t="shared" ref="I50" si="18">I51+I55+I60</f>
        <v>806.12406387951739</v>
      </c>
      <c r="J50" s="413" t="s">
        <v>2</v>
      </c>
      <c r="K50" s="1219" t="s">
        <v>210</v>
      </c>
      <c r="L50" s="1219"/>
      <c r="M50" s="1219"/>
      <c r="N50" s="1219"/>
    </row>
    <row r="51" spans="2:14" s="2" customFormat="1" ht="15" hidden="1" outlineLevel="1" collapsed="1" thickTop="1" x14ac:dyDescent="0.3">
      <c r="B51" s="1104" t="s">
        <v>185</v>
      </c>
      <c r="C51" s="692">
        <f t="shared" ref="C51:H51" si="19">C52+C54</f>
        <v>100.11218185342608</v>
      </c>
      <c r="D51" s="364">
        <f t="shared" si="19"/>
        <v>100.11218185342608</v>
      </c>
      <c r="E51" s="693">
        <f t="shared" si="19"/>
        <v>100.11218185342608</v>
      </c>
      <c r="F51" s="364">
        <f t="shared" si="19"/>
        <v>96.644778295140455</v>
      </c>
      <c r="G51" s="364">
        <f t="shared" si="19"/>
        <v>108.30876620887024</v>
      </c>
      <c r="H51" s="364">
        <f t="shared" si="19"/>
        <v>151.0391659491757</v>
      </c>
      <c r="I51" s="364">
        <f t="shared" ref="I51" si="20">I52+I54</f>
        <v>151.0391659491757</v>
      </c>
      <c r="J51" s="699" t="s">
        <v>2</v>
      </c>
      <c r="K51" s="944"/>
      <c r="L51" s="944"/>
      <c r="M51" s="944"/>
      <c r="N51" s="1066"/>
    </row>
    <row r="52" spans="2:14" hidden="1" outlineLevel="2" x14ac:dyDescent="0.3">
      <c r="B52" s="1097" t="s">
        <v>181</v>
      </c>
      <c r="C52" s="679">
        <f>'C-Dados RT1 Simplif.'!$F57</f>
        <v>100.11218185342608</v>
      </c>
      <c r="D52" s="360">
        <f>'C-Dados RT1 Simplif.'!$F57</f>
        <v>100.11218185342608</v>
      </c>
      <c r="E52" s="694">
        <f>'C-Dados RT1 Simplif.'!$F57</f>
        <v>100.11218185342608</v>
      </c>
      <c r="F52" s="360">
        <f>'C-Dados RT2 Simplif.'!$F57</f>
        <v>96.644778295140455</v>
      </c>
      <c r="G52" s="360">
        <f>'C-Dados RT3 Simplif.'!$F57</f>
        <v>108.30876620887024</v>
      </c>
      <c r="H52" s="360">
        <f>'C-Dados RT4 Simplif.'!$F57</f>
        <v>151.0391659491757</v>
      </c>
      <c r="I52" s="360">
        <f>'C-Dados RT5 Simplif.'!$F57</f>
        <v>151.0391659491757</v>
      </c>
      <c r="J52" s="700" t="s">
        <v>2</v>
      </c>
      <c r="K52" s="368"/>
      <c r="L52" s="368"/>
      <c r="M52" s="368"/>
      <c r="N52" s="1065"/>
    </row>
    <row r="53" spans="2:14" s="682" customFormat="1" hidden="1" outlineLevel="2" x14ac:dyDescent="0.3">
      <c r="B53" s="1105" t="s">
        <v>344</v>
      </c>
      <c r="C53" s="695">
        <f>'C-Dados RT1 Simplif.'!$F58</f>
        <v>0</v>
      </c>
      <c r="D53" s="683">
        <f>'C-Dados RT1 Simplif.'!$F58</f>
        <v>0</v>
      </c>
      <c r="E53" s="696">
        <f>'C-Dados RT1 Simplif.'!$F58</f>
        <v>0</v>
      </c>
      <c r="F53" s="683">
        <f>'C-Dados RT2 Simplif.'!$F58</f>
        <v>0</v>
      </c>
      <c r="G53" s="683">
        <f>'C-Dados RT3 Simplif.'!$F58</f>
        <v>0</v>
      </c>
      <c r="H53" s="683">
        <f>'C-Dados RT4 Simplif.'!$F58</f>
        <v>0</v>
      </c>
      <c r="I53" s="683">
        <f>'C-Dados RT4 Simplif.'!$F58</f>
        <v>0</v>
      </c>
      <c r="J53" s="701" t="s">
        <v>2</v>
      </c>
      <c r="K53" s="1063"/>
      <c r="L53" s="1063"/>
      <c r="M53" s="1063"/>
      <c r="N53" s="1067"/>
    </row>
    <row r="54" spans="2:14" hidden="1" outlineLevel="2" x14ac:dyDescent="0.3">
      <c r="B54" s="1097" t="s">
        <v>186</v>
      </c>
      <c r="C54" s="679">
        <f>'C-Dados RT1 Simplif.'!$F58</f>
        <v>0</v>
      </c>
      <c r="D54" s="360">
        <f>'C-Dados RT1 Simplif.'!$F58</f>
        <v>0</v>
      </c>
      <c r="E54" s="694">
        <f>'C-Dados RT1 Simplif.'!$F58</f>
        <v>0</v>
      </c>
      <c r="F54" s="360">
        <f>'C-Dados RT2 Simplif.'!$F58</f>
        <v>0</v>
      </c>
      <c r="G54" s="360">
        <f>'C-Dados RT3 Simplif.'!$F58</f>
        <v>0</v>
      </c>
      <c r="H54" s="360">
        <f>'C-Dados RT4 Simplif.'!$F58</f>
        <v>0</v>
      </c>
      <c r="I54" s="360">
        <f>'C-Dados RT5 Simplif.'!$F58</f>
        <v>0</v>
      </c>
      <c r="J54" s="700" t="s">
        <v>2</v>
      </c>
      <c r="K54" s="368"/>
      <c r="L54" s="368"/>
      <c r="M54" s="368"/>
      <c r="N54" s="1065"/>
    </row>
    <row r="55" spans="2:14" s="2" customFormat="1" hidden="1" outlineLevel="1" collapsed="1" x14ac:dyDescent="0.3">
      <c r="B55" s="1104" t="s">
        <v>187</v>
      </c>
      <c r="C55" s="692">
        <f t="shared" ref="C55:H55" si="21">C56+C57+C58+C59</f>
        <v>236.23150880860379</v>
      </c>
      <c r="D55" s="364">
        <f t="shared" si="21"/>
        <v>236.23150880860379</v>
      </c>
      <c r="E55" s="693">
        <f t="shared" si="21"/>
        <v>236.23150880860379</v>
      </c>
      <c r="F55" s="364">
        <f t="shared" si="21"/>
        <v>237.33287694768146</v>
      </c>
      <c r="G55" s="364">
        <f t="shared" si="21"/>
        <v>227.75105459221021</v>
      </c>
      <c r="H55" s="364">
        <f t="shared" si="21"/>
        <v>232.16052361139015</v>
      </c>
      <c r="I55" s="364">
        <f t="shared" ref="I55" si="22">I56+I57+I58+I59</f>
        <v>399.27372358023774</v>
      </c>
      <c r="J55" s="699" t="s">
        <v>2</v>
      </c>
      <c r="K55" s="944"/>
      <c r="L55" s="944"/>
      <c r="M55" s="944"/>
      <c r="N55" s="1066"/>
    </row>
    <row r="56" spans="2:14" hidden="1" outlineLevel="2" x14ac:dyDescent="0.3">
      <c r="B56" s="1097" t="s">
        <v>182</v>
      </c>
      <c r="C56" s="679">
        <f>'C-Dados RT1 Simplif.'!$F61</f>
        <v>77.861174682099431</v>
      </c>
      <c r="D56" s="360">
        <f>'C-Dados RT1 Simplif.'!$F61</f>
        <v>77.861174682099431</v>
      </c>
      <c r="E56" s="694">
        <f>'C-Dados RT1 Simplif.'!$F61</f>
        <v>77.861174682099431</v>
      </c>
      <c r="F56" s="360">
        <f>'C-Dados RT2 Simplif.'!$F61</f>
        <v>77.861174682099431</v>
      </c>
      <c r="G56" s="360">
        <f>'C-Dados RT3 Simplif.'!$F61</f>
        <v>77.861174682099431</v>
      </c>
      <c r="H56" s="360">
        <f>'C-Dados RT4 Simplif.'!$F61</f>
        <v>83.718984207234897</v>
      </c>
      <c r="I56" s="360">
        <f>'C-Dados RT5 Simplif.'!$F61</f>
        <v>83.718984207234897</v>
      </c>
      <c r="J56" s="700" t="s">
        <v>2</v>
      </c>
      <c r="K56" s="368"/>
      <c r="L56" s="368"/>
      <c r="M56" s="368"/>
      <c r="N56" s="1065"/>
    </row>
    <row r="57" spans="2:14" hidden="1" outlineLevel="2" x14ac:dyDescent="0.3">
      <c r="B57" s="1097" t="s">
        <v>183</v>
      </c>
      <c r="C57" s="679">
        <f>'C-Dados RT1 Simplif.'!$F78</f>
        <v>65.987639219376817</v>
      </c>
      <c r="D57" s="360">
        <f>'C-Dados RT1 Simplif.'!$F78</f>
        <v>65.987639219376817</v>
      </c>
      <c r="E57" s="694">
        <f>'C-Dados RT1 Simplif.'!$F78</f>
        <v>65.987639219376817</v>
      </c>
      <c r="F57" s="360">
        <f>'C-Dados RT2 Simplif.'!$F78</f>
        <v>66.446542610659179</v>
      </c>
      <c r="G57" s="360">
        <f>'C-Dados RT3 Simplif.'!$F78</f>
        <v>62.454116629212827</v>
      </c>
      <c r="H57" s="360">
        <f>'C-Dados RT4 Simplif.'!$F78</f>
        <v>61.85064141839802</v>
      </c>
      <c r="I57" s="360">
        <f>'C-Dados RT5 Simplif.'!$F78</f>
        <v>131.48114140541787</v>
      </c>
      <c r="J57" s="700" t="s">
        <v>2</v>
      </c>
      <c r="K57" s="368"/>
      <c r="L57" s="368"/>
      <c r="M57" s="368"/>
      <c r="N57" s="1065"/>
    </row>
    <row r="58" spans="2:14" hidden="1" outlineLevel="2" x14ac:dyDescent="0.3">
      <c r="B58" s="1097" t="s">
        <v>184</v>
      </c>
      <c r="C58" s="679">
        <f>'C-Dados RT1 Simplif.'!$F79</f>
        <v>92.382694907127529</v>
      </c>
      <c r="D58" s="360">
        <f>'C-Dados RT1 Simplif.'!$F79</f>
        <v>92.382694907127529</v>
      </c>
      <c r="E58" s="694">
        <f>'C-Dados RT1 Simplif.'!$F79</f>
        <v>92.382694907127529</v>
      </c>
      <c r="F58" s="360">
        <f>'C-Dados RT2 Simplif.'!$F79</f>
        <v>93.025159654922845</v>
      </c>
      <c r="G58" s="360">
        <f>'C-Dados RT3 Simplif.'!$F79</f>
        <v>87.435763280897959</v>
      </c>
      <c r="H58" s="360">
        <f>'C-Dados RT4 Simplif.'!$F79</f>
        <v>86.590897985757223</v>
      </c>
      <c r="I58" s="360">
        <f>'C-Dados RT5 Simplif.'!$F79</f>
        <v>184.07359796758499</v>
      </c>
      <c r="J58" s="700" t="s">
        <v>2</v>
      </c>
      <c r="K58" s="368"/>
      <c r="L58" s="368"/>
      <c r="M58" s="368"/>
      <c r="N58" s="1065"/>
    </row>
    <row r="59" spans="2:14" s="367" customFormat="1" hidden="1" outlineLevel="2" x14ac:dyDescent="0.3">
      <c r="B59" s="1106" t="s">
        <v>188</v>
      </c>
      <c r="C59" s="697">
        <f>'C-Dados RT1 Simplif.'!$F63</f>
        <v>0</v>
      </c>
      <c r="D59" s="366">
        <f>'C-Dados RT1 Simplif.'!$F63</f>
        <v>0</v>
      </c>
      <c r="E59" s="698">
        <f>'C-Dados RT1 Simplif.'!$F63</f>
        <v>0</v>
      </c>
      <c r="F59" s="366">
        <f>'C-Dados RT2 Simplif.'!$F63</f>
        <v>0</v>
      </c>
      <c r="G59" s="366">
        <f>'C-Dados RT3 Simplif.'!$F63</f>
        <v>0</v>
      </c>
      <c r="H59" s="366">
        <f>'C-Dados RT4 Simplif.'!$F63</f>
        <v>0</v>
      </c>
      <c r="I59" s="366">
        <f>'C-Dados RT5 Simplif.'!$F63</f>
        <v>0</v>
      </c>
      <c r="J59" s="702" t="s">
        <v>2</v>
      </c>
      <c r="K59" s="1064"/>
      <c r="L59" s="1064"/>
      <c r="M59" s="1064"/>
      <c r="N59" s="1065"/>
    </row>
    <row r="60" spans="2:14" s="2" customFormat="1" ht="15" hidden="1" outlineLevel="1" collapsed="1" thickBot="1" x14ac:dyDescent="0.35">
      <c r="B60" s="1104" t="s">
        <v>189</v>
      </c>
      <c r="C60" s="692">
        <f t="shared" ref="C60:H60" si="23">C61+C62+C63+C64</f>
        <v>110.96356594737087</v>
      </c>
      <c r="D60" s="364">
        <f t="shared" si="23"/>
        <v>109.98118388699419</v>
      </c>
      <c r="E60" s="693">
        <f t="shared" si="23"/>
        <v>118.42847368319842</v>
      </c>
      <c r="F60" s="364">
        <f t="shared" si="23"/>
        <v>113.84414598575293</v>
      </c>
      <c r="G60" s="364">
        <f t="shared" si="23"/>
        <v>123.07641323352914</v>
      </c>
      <c r="H60" s="364">
        <f t="shared" si="23"/>
        <v>118.61084834824341</v>
      </c>
      <c r="I60" s="364">
        <f t="shared" ref="I60" si="24">I61+I62+I63+I64</f>
        <v>255.8111743501039</v>
      </c>
      <c r="J60" s="699" t="s">
        <v>2</v>
      </c>
      <c r="K60" s="944"/>
      <c r="L60" s="944"/>
      <c r="M60" s="944"/>
      <c r="N60" s="1066"/>
    </row>
    <row r="61" spans="2:14" hidden="1" outlineLevel="2" x14ac:dyDescent="0.3">
      <c r="B61" s="1097" t="s">
        <v>190</v>
      </c>
      <c r="C61" s="3">
        <f>('C-Dados RT1 Simplif.'!$C84*'C-Dados RT1 Simplif.'!$C85/'C-Dados RT1 Simplif.'!$C103+C44+(SUM(C38:C42)))*'C-Dados RT1 Simplif.'!$C86</f>
        <v>38.411719271841037</v>
      </c>
      <c r="D61" s="3">
        <f>('C-Dados RT1 Simplif.'!$C84*'C-Dados RT1 Simplif.'!$C85/'C-Dados RT1 Simplif.'!$C103+D44+(SUM(D38:D42)))*'C-Dados RT1 Simplif.'!$C86</f>
        <v>38.067023812059745</v>
      </c>
      <c r="E61" s="3">
        <f>('C-Dados RT1 Simplif.'!$C84*'C-Dados RT1 Simplif.'!$C85/'C-Dados RT1 Simplif.'!$C103+E44+(SUM(E38:E42)))*'C-Dados RT1 Simplif.'!$C86</f>
        <v>41.030985144061233</v>
      </c>
      <c r="F61" s="3">
        <f>('C-Dados RT2 Simplif.'!$C84*'C-Dados RT2 Simplif.'!$C85/'C-Dados RT2 Simplif.'!$C103+F44+(SUM(F38:F42)))*'C-Dados RT2 Simplif.'!$C86</f>
        <v>39.422449109869831</v>
      </c>
      <c r="G61" s="3">
        <f>('C-Dados RT3 Simplif.'!$C84*'C-Dados RT3 Simplif.'!$C85/'C-Dados RT3 Simplif.'!$C103+G44+(SUM(G38:G42)))*'C-Dados RT3 Simplif.'!$C86</f>
        <v>42.661841126633412</v>
      </c>
      <c r="H61" s="3">
        <f>('C-Dados RT4 Simplif.'!$C84*'C-Dados RT4 Simplif.'!$C85/'C-Dados RT4 Simplif.'!$C103+H44+(SUM(H38:H42)))*'C-Dados RT4 Simplif.'!$C86</f>
        <v>41.055638995977397</v>
      </c>
      <c r="I61" s="3">
        <f>('C-Dados RT5 Simplif.'!$C84*'C-Dados RT5 Simplif.'!$C85/'C-Dados RT5 Simplif.'!$C103+I44+(SUM(I38:I42)))*'C-Dados RT5 Simplif.'!$C86</f>
        <v>89.196104259788086</v>
      </c>
      <c r="J61" s="700" t="s">
        <v>2</v>
      </c>
      <c r="K61" s="368"/>
      <c r="L61" s="368"/>
      <c r="M61" s="368"/>
      <c r="N61" s="1065"/>
    </row>
    <row r="62" spans="2:14" hidden="1" outlineLevel="2" x14ac:dyDescent="0.3">
      <c r="B62" s="1097" t="s">
        <v>191</v>
      </c>
      <c r="C62" s="3">
        <f>'C-Dados RT1 Simplif.'!$F88</f>
        <v>1.4901660226239126</v>
      </c>
      <c r="D62" s="360">
        <f>'C-Dados RT1 Simplif.'!$F88</f>
        <v>1.4901660226239126</v>
      </c>
      <c r="E62" s="3">
        <f>'C-Dados RT1 Simplif.'!$F88</f>
        <v>1.4901660226239126</v>
      </c>
      <c r="F62" s="360">
        <f>'C-Dados RT2 Simplif.'!$F88</f>
        <v>1.4901660226239126</v>
      </c>
      <c r="G62" s="360">
        <f>'C-Dados RT3 Simplif.'!$F88</f>
        <v>1.4901660226239126</v>
      </c>
      <c r="H62" s="1092">
        <f>'C-Dados RT4 Simplif.'!$F88</f>
        <v>1.602277209707845</v>
      </c>
      <c r="I62" s="1092">
        <f>'C-Dados RT5 Simplif.'!$F88</f>
        <v>1.602277209707845</v>
      </c>
      <c r="J62" s="700" t="s">
        <v>2</v>
      </c>
      <c r="K62" s="368"/>
      <c r="L62" s="368"/>
      <c r="M62" s="368"/>
      <c r="N62" s="1065"/>
    </row>
    <row r="63" spans="2:14" hidden="1" outlineLevel="2" x14ac:dyDescent="0.3">
      <c r="B63" s="1097" t="s">
        <v>192</v>
      </c>
      <c r="C63" s="3">
        <f>('C-Dados RT1 Simplif.'!$C96*'C-Dados RT1 Simplif.'!$C97/'C-Dados RT1 Simplif.'!$C103+C44+(SUM(C38:C42)))*'C-Dados RT1 Simplif.'!$C93</f>
        <v>71.06168065290592</v>
      </c>
      <c r="D63" s="360">
        <f>('C-Dados RT1 Simplif.'!$C96*'C-Dados RT1 Simplif.'!$C97/'C-Dados RT1 Simplif.'!$C103+D44+(SUM(D38:D42)))*'C-Dados RT1 Simplif.'!$C93</f>
        <v>70.423994052310533</v>
      </c>
      <c r="E63" s="360">
        <f>('C-Dados RT1 Simplif.'!$C96*'C-Dados RT1 Simplif.'!$C97/'C-Dados RT1 Simplif.'!$C103+E44+(SUM(E38:E42)))*'C-Dados RT1 Simplif.'!$C93</f>
        <v>75.907322516513275</v>
      </c>
      <c r="F63" s="360">
        <f>('C-Dados RT2 Simplif.'!$C96*'C-Dados RT2 Simplif.'!$C97/'C-Dados RT2 Simplif.'!$C103+F44+(SUM(F38:F42)))*'C-Dados RT2 Simplif.'!$C93</f>
        <v>72.93153085325919</v>
      </c>
      <c r="G63" s="360">
        <f>('C-Dados RT3 Simplif.'!$C96*'C-Dados RT3 Simplif.'!$C97/'C-Dados RT3 Simplif.'!$C103+G44+(SUM(G38:G42)))*'C-Dados RT3 Simplif.'!$C93</f>
        <v>78.924406084271808</v>
      </c>
      <c r="H63" s="360">
        <f>('C-Dados RT4 Simplif.'!$C96*'C-Dados RT4 Simplif.'!$C97/'C-Dados RT4 Simplif.'!$C103+H44+(SUM(H38:H42)))*'C-Dados RT4 Simplif.'!$C93</f>
        <v>75.952932142558168</v>
      </c>
      <c r="I63" s="1092">
        <f>('C-Dados RT4 Simplif.'!$C96*'C-Dados RT4 Simplif.'!$C97/'C-Dados RT4 Simplif.'!$C103+I44+(SUM(I38:I42)))*'C-Dados RT4 Simplif.'!$C93</f>
        <v>165.01279288060795</v>
      </c>
      <c r="J63" s="700" t="s">
        <v>2</v>
      </c>
      <c r="K63" s="368"/>
      <c r="L63" s="368"/>
      <c r="M63" s="368"/>
      <c r="N63" s="1065"/>
    </row>
    <row r="64" spans="2:14" s="367" customFormat="1" ht="15" hidden="1" outlineLevel="2" thickBot="1" x14ac:dyDescent="0.35">
      <c r="B64" s="1106" t="s">
        <v>193</v>
      </c>
      <c r="C64" s="3">
        <f>'C-Dados RT1 Simplif.'!$F68</f>
        <v>0</v>
      </c>
      <c r="D64" s="366">
        <f>'C-Dados RT1 Simplif.'!$F68</f>
        <v>0</v>
      </c>
      <c r="E64" s="365">
        <f>'C-Dados RT1 Simplif.'!$F68</f>
        <v>0</v>
      </c>
      <c r="F64" s="366">
        <f>'C-Dados RT2 Simplif.'!$F68</f>
        <v>0</v>
      </c>
      <c r="G64" s="366">
        <f>'C-Dados RT3 Simplif.'!$F68</f>
        <v>0</v>
      </c>
      <c r="H64" s="1093">
        <f>'C-Dados RT4 Simplif.'!$F68</f>
        <v>0</v>
      </c>
      <c r="I64" s="1093">
        <f>'C-Dados RT5 Simplif.'!$F68</f>
        <v>0</v>
      </c>
      <c r="J64" s="1095" t="s">
        <v>2</v>
      </c>
      <c r="K64" s="1064"/>
      <c r="L64" s="1064"/>
      <c r="M64" s="1064"/>
      <c r="N64" s="1065"/>
    </row>
    <row r="65" spans="2:15" s="431" customFormat="1" ht="19.95" customHeight="1" thickTop="1" thickBot="1" x14ac:dyDescent="0.35">
      <c r="B65" s="430" t="s">
        <v>229</v>
      </c>
      <c r="C65" s="432">
        <f t="shared" ref="C65:H65" si="25">C45+C50</f>
        <v>487.90725212708833</v>
      </c>
      <c r="D65" s="433">
        <f t="shared" si="25"/>
        <v>446.32487454902406</v>
      </c>
      <c r="E65" s="434">
        <f t="shared" si="25"/>
        <v>454.7721643452283</v>
      </c>
      <c r="F65" s="435">
        <f t="shared" si="25"/>
        <v>447.82180122857483</v>
      </c>
      <c r="G65" s="435">
        <f t="shared" si="25"/>
        <v>459.13623403460957</v>
      </c>
      <c r="H65" s="435">
        <f t="shared" si="25"/>
        <v>816.94312676217658</v>
      </c>
      <c r="I65" s="435">
        <f t="shared" ref="I65" si="26">I45+I50</f>
        <v>1058.0412739743833</v>
      </c>
      <c r="J65" s="1094" t="s">
        <v>2</v>
      </c>
      <c r="K65" s="1218" t="s">
        <v>211</v>
      </c>
      <c r="L65" s="1218"/>
      <c r="M65" s="1218"/>
      <c r="N65" s="1218"/>
    </row>
    <row r="66" spans="2:15" s="436" customFormat="1" ht="19.95" customHeight="1" thickBot="1" x14ac:dyDescent="0.35">
      <c r="B66" s="1107" t="s">
        <v>228</v>
      </c>
      <c r="C66" s="437">
        <f>C65+C33</f>
        <v>649.32548144477573</v>
      </c>
      <c r="D66" s="437">
        <f t="shared" ref="D66:I66" si="27">D65+D33</f>
        <v>651.99769449653377</v>
      </c>
      <c r="E66" s="437">
        <f t="shared" si="27"/>
        <v>642.99274718417382</v>
      </c>
      <c r="F66" s="437">
        <f t="shared" si="27"/>
        <v>555.79961648006565</v>
      </c>
      <c r="G66" s="437">
        <f t="shared" si="27"/>
        <v>585.8792229413848</v>
      </c>
      <c r="H66" s="437">
        <f t="shared" si="27"/>
        <v>1255.0760738449862</v>
      </c>
      <c r="I66" s="437">
        <f t="shared" si="27"/>
        <v>1432.9588422986919</v>
      </c>
      <c r="J66" s="428" t="s">
        <v>2</v>
      </c>
      <c r="K66" s="1218" t="s">
        <v>357</v>
      </c>
      <c r="L66" s="1218"/>
      <c r="M66" s="1218"/>
      <c r="N66" s="1218"/>
    </row>
    <row r="67" spans="2:15" s="438" customFormat="1" ht="42.45" customHeight="1" thickBot="1" x14ac:dyDescent="0.35">
      <c r="B67" s="704" t="s">
        <v>554</v>
      </c>
      <c r="C67" s="404">
        <f>(C66+'Demanda Preço &amp; Quantidade'!$D$11-C32)/C32</f>
        <v>1.7138890804925455</v>
      </c>
      <c r="D67" s="390">
        <f>(D66+'Demanda Preço &amp; Quantidade'!$D$11-D32)/D32</f>
        <v>1.7227947207889158</v>
      </c>
      <c r="E67" s="405">
        <f>(E66+'Demanda Preço &amp; Quantidade'!$D$11-E32)/E32</f>
        <v>1.6927840816301536</v>
      </c>
      <c r="F67" s="409">
        <f>(F66+'Demanda Preço &amp; Quantidade'!$D$11-F32)/F32</f>
        <v>1.6950928339649736</v>
      </c>
      <c r="G67" s="409">
        <f>(G66+'Demanda Preço &amp; Quantidade'!$D$11-G32)/G32</f>
        <v>1.26913523310405</v>
      </c>
      <c r="H67" s="409">
        <f>(H66+'Demanda Preço &amp; Quantidade'!$D$11-H32)/H32</f>
        <v>1.3002199791437505</v>
      </c>
      <c r="I67" s="409">
        <f>(I66+'Demanda Preço &amp; Quantidade'!$D$11-I32)/I32</f>
        <v>5.3396017109732755E-2</v>
      </c>
      <c r="J67" s="415" t="s">
        <v>1</v>
      </c>
      <c r="K67" s="1217" t="s">
        <v>600</v>
      </c>
      <c r="L67" s="1217"/>
      <c r="M67" s="1217"/>
      <c r="N67" s="1217"/>
    </row>
    <row r="68" spans="2:15" s="429" customFormat="1" ht="42.45" customHeight="1" thickTop="1" thickBot="1" x14ac:dyDescent="0.35">
      <c r="B68" s="704" t="s">
        <v>555</v>
      </c>
      <c r="C68" s="403">
        <f>(C66+'Demanda Preço &amp; Quantidade'!$D$11-C32)/C44</f>
        <v>0.899177769486037</v>
      </c>
      <c r="D68" s="403">
        <f>(D66+'Demanda Preço &amp; Quantidade'!$D$11-D32)/D44</f>
        <v>0.97965325642565271</v>
      </c>
      <c r="E68" s="403">
        <f>(E66+'Demanda Preço &amp; Quantidade'!$D$11-E32)/E44</f>
        <v>0.9317707549100267</v>
      </c>
      <c r="F68" s="403">
        <f>(F66+'Demanda Preço &amp; Quantidade'!$D$11-F32)/F44</f>
        <v>0.76481187179286325</v>
      </c>
      <c r="G68" s="403">
        <f>(G66+'Demanda Preço &amp; Quantidade'!$D$11-G32)/G44</f>
        <v>0.65882004182929965</v>
      </c>
      <c r="H68" s="403">
        <f>(H66+'Demanda Preço &amp; Quantidade'!$D$11-H32)/H44</f>
        <v>1.3105002508493726</v>
      </c>
      <c r="I68" s="403">
        <f>(I66+'Demanda Preço &amp; Quantidade'!$D$11-I32)/I44</f>
        <v>5.1417478001092289E-2</v>
      </c>
      <c r="J68" s="414" t="s">
        <v>1</v>
      </c>
      <c r="K68" s="1216" t="s">
        <v>599</v>
      </c>
      <c r="L68" s="1216"/>
      <c r="M68" s="1216"/>
      <c r="N68" s="1216"/>
      <c r="O68" s="438"/>
    </row>
    <row r="69" spans="2:15" ht="15" thickTop="1" x14ac:dyDescent="0.3">
      <c r="B69" s="4"/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7" type="noConversion"/>
  <conditionalFormatting sqref="C34:I42">
    <cfRule type="cellIs" dxfId="3" priority="3" operator="lessThan">
      <formula>0</formula>
    </cfRule>
  </conditionalFormatting>
  <conditionalFormatting sqref="C33:I33">
    <cfRule type="cellIs" dxfId="5" priority="2" operator="lessThan">
      <formula>0</formula>
    </cfRule>
  </conditionalFormatting>
  <conditionalFormatting sqref="C43:I43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topLeftCell="A79" zoomScale="75" zoomScaleNormal="75" workbookViewId="0">
      <selection activeCell="C85" sqref="C85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'[1]R&amp;C-Painel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'[1]R&amp;C-Painel de Controle'!D33</f>
        <v>268.77733415910234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'[1]R&amp;C-Painel de Controle'!H33</f>
        <v>288.27317615198319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'[1]R&amp;C-Painel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'[1]C-FCL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119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customHeight="1" outlineLevel="1" thickTop="1" x14ac:dyDescent="0.3">
      <c r="B14" s="156" t="str">
        <f>'[1]C-FCL Real'!B32</f>
        <v>Ano do Contrato</v>
      </c>
      <c r="C14" s="157"/>
      <c r="D14" s="158">
        <f>'[1]C-FCL Real'!C32</f>
        <v>0</v>
      </c>
      <c r="E14" s="156">
        <f>'[1]C-FCL Real'!D32</f>
        <v>1</v>
      </c>
      <c r="F14" s="156">
        <f>'[1]C-FCL Real'!E32</f>
        <v>2</v>
      </c>
      <c r="G14" s="156">
        <f>'[1]C-FCL Real'!F32</f>
        <v>3</v>
      </c>
      <c r="H14" s="156">
        <f>'[1]C-FCL Real'!G32</f>
        <v>4</v>
      </c>
      <c r="I14" s="156">
        <f>'[1]C-FCL Real'!H32</f>
        <v>5</v>
      </c>
      <c r="J14" s="156">
        <f>'[1]C-FCL Real'!I32</f>
        <v>6</v>
      </c>
      <c r="K14" s="156">
        <f>'[1]C-FCL Real'!J32</f>
        <v>7</v>
      </c>
      <c r="L14" s="156">
        <f>'[1]C-FCL Real'!K32</f>
        <v>8</v>
      </c>
      <c r="M14" s="156">
        <f>'[1]C-FCL Real'!L32</f>
        <v>9</v>
      </c>
      <c r="N14" s="156">
        <f>'[1]C-FCL Real'!M32</f>
        <v>10</v>
      </c>
      <c r="O14" s="156">
        <f>'[1]C-FCL Real'!N32</f>
        <v>11</v>
      </c>
      <c r="P14" s="156">
        <f>'[1]C-FCL Real'!O32</f>
        <v>12</v>
      </c>
      <c r="Q14" s="156">
        <f>'[1]C-FCL Real'!P32</f>
        <v>13</v>
      </c>
      <c r="R14" s="156">
        <f>'[1]C-FCL Real'!Q32</f>
        <v>14</v>
      </c>
      <c r="S14" s="156">
        <f>'[1]C-FCL Real'!R32</f>
        <v>15</v>
      </c>
      <c r="T14" s="156">
        <f>'[1]C-FCL Real'!S32</f>
        <v>16</v>
      </c>
      <c r="U14" s="156">
        <f>'[1]C-FCL Real'!T32</f>
        <v>17</v>
      </c>
      <c r="V14" s="156">
        <f>'[1]C-FCL Real'!U32</f>
        <v>18</v>
      </c>
      <c r="W14" s="156">
        <f>'[1]C-FCL Real'!V32</f>
        <v>19</v>
      </c>
      <c r="X14" s="156">
        <f>'[1]C-FCL Real'!W32</f>
        <v>20</v>
      </c>
      <c r="Y14" s="156">
        <f>'[1]C-FCL Real'!X32</f>
        <v>21</v>
      </c>
      <c r="Z14" s="156">
        <f>'[1]C-FCL Real'!Y32</f>
        <v>22</v>
      </c>
      <c r="AA14" s="156">
        <f>'[1]C-FCL Real'!Z32</f>
        <v>23</v>
      </c>
      <c r="AB14" s="156">
        <f>'[1]C-FCL Real'!AA32</f>
        <v>24</v>
      </c>
      <c r="AC14" s="156">
        <f>'[1]C-FCL Real'!AB32</f>
        <v>25</v>
      </c>
      <c r="AD14" s="156">
        <f>'[1]C-FCL Real'!AC32</f>
        <v>26</v>
      </c>
      <c r="AE14" s="156">
        <f>'[1]C-FCL Real'!AD32</f>
        <v>27</v>
      </c>
      <c r="AF14" s="156">
        <f>'[1]C-FCL Real'!AE32</f>
        <v>28</v>
      </c>
      <c r="AG14" s="156">
        <f>'[1]C-FCL Real'!AF32</f>
        <v>29</v>
      </c>
      <c r="AH14" s="156">
        <f>'[1]C-FCL Real'!AG32</f>
        <v>30</v>
      </c>
      <c r="AI14" s="156">
        <f>'[1]C-FCL Real'!AH32</f>
        <v>31</v>
      </c>
      <c r="AJ14" s="156">
        <f>'[1]C-FCL Real'!AI32</f>
        <v>32</v>
      </c>
      <c r="AK14" s="156">
        <f>'[1]C-FCL Real'!AJ32</f>
        <v>33</v>
      </c>
      <c r="AL14" s="156">
        <f>'[1]C-FCL Real'!AK32</f>
        <v>34</v>
      </c>
      <c r="AM14" s="156">
        <f>'[1]C-FCL Real'!AL32</f>
        <v>35</v>
      </c>
      <c r="AN14" s="156">
        <f>'[1]C-FCL Real'!AM32</f>
        <v>36</v>
      </c>
      <c r="AO14" s="156">
        <f>'[1]C-FCL Real'!AN32</f>
        <v>37</v>
      </c>
      <c r="AP14" s="156">
        <f>'[1]C-FCL Real'!AO32</f>
        <v>38</v>
      </c>
      <c r="AQ14" s="156">
        <f>'[1]C-FCL Real'!AP32</f>
        <v>39</v>
      </c>
      <c r="AR14" s="156">
        <f>'[1]C-FCL Real'!AQ32</f>
        <v>40</v>
      </c>
      <c r="AS14" s="156">
        <f>'[1]C-FCL Real'!AR32</f>
        <v>41</v>
      </c>
      <c r="AT14" s="156">
        <f>'[1]C-FCL Real'!AS32</f>
        <v>42</v>
      </c>
      <c r="AU14" s="156">
        <f>'[1]C-FCL Real'!AT32</f>
        <v>43</v>
      </c>
      <c r="AV14" s="156">
        <f>'[1]C-FCL Real'!AU32</f>
        <v>44</v>
      </c>
      <c r="AW14" s="156">
        <f>'[1]C-FCL Real'!AV32</f>
        <v>45</v>
      </c>
      <c r="AX14" s="156">
        <f>'[1]C-FCL Real'!AW32</f>
        <v>46</v>
      </c>
      <c r="AY14" s="156">
        <f>'[1]C-FCL Real'!AX32</f>
        <v>47</v>
      </c>
      <c r="AZ14" s="156">
        <f>'[1]C-FCL Real'!AY32</f>
        <v>48</v>
      </c>
      <c r="BA14" s="156">
        <f>'[1]C-FCL Real'!AZ32</f>
        <v>49</v>
      </c>
      <c r="BB14" s="156">
        <f>'[1]C-FCL Real'!BA32</f>
        <v>50</v>
      </c>
      <c r="BC14" s="156">
        <f>'[1]C-FCL Real'!BB32</f>
        <v>51</v>
      </c>
      <c r="BD14" s="156">
        <f>'[1]C-FCL Real'!BC32</f>
        <v>52</v>
      </c>
      <c r="BE14" s="156">
        <f>'[1]C-FCL Real'!BD32</f>
        <v>0</v>
      </c>
      <c r="BF14" s="156">
        <f>'[1]C-FCL Real'!BE32</f>
        <v>0</v>
      </c>
      <c r="BG14" s="156">
        <f>'[1]C-FCL Real'!BF32</f>
        <v>0</v>
      </c>
      <c r="BH14" s="156">
        <f>'[1]C-FCL Real'!BD32</f>
        <v>0</v>
      </c>
    </row>
    <row r="15" spans="1:60" s="164" customFormat="1" ht="15" customHeight="1" outlineLevel="1" x14ac:dyDescent="0.3">
      <c r="A15" s="1230" t="s">
        <v>50</v>
      </c>
      <c r="B15" s="159" t="s">
        <v>51</v>
      </c>
      <c r="C15" s="160"/>
      <c r="D15" s="161">
        <f>'[1]C-FCL Real'!C33</f>
        <v>1</v>
      </c>
      <c r="E15" s="162">
        <f>'[1]C-FCL Real'!D33</f>
        <v>1</v>
      </c>
      <c r="F15" s="162">
        <f>'[1]C-FCL Real'!E33</f>
        <v>1</v>
      </c>
      <c r="G15" s="162">
        <f>'[1]C-FCL Real'!F33</f>
        <v>1</v>
      </c>
      <c r="H15" s="162">
        <f>'[1]C-FCL Real'!G33</f>
        <v>1</v>
      </c>
      <c r="I15" s="162">
        <f>'[1]C-FCL Real'!H33</f>
        <v>1</v>
      </c>
      <c r="J15" s="162">
        <f>'[1]C-FCL Real'!I33</f>
        <v>1</v>
      </c>
      <c r="K15" s="162">
        <f>'[1]C-FCL Real'!J33</f>
        <v>1</v>
      </c>
      <c r="L15" s="162">
        <f>'[1]C-FCL Real'!K33</f>
        <v>1</v>
      </c>
      <c r="M15" s="162">
        <f>'[1]C-FCL Real'!L33</f>
        <v>1</v>
      </c>
      <c r="N15" s="162">
        <f>'[1]C-FCL Real'!M33</f>
        <v>1</v>
      </c>
      <c r="O15" s="162">
        <f>'[1]C-FCL Real'!N33</f>
        <v>1</v>
      </c>
      <c r="P15" s="162">
        <f>'[1]C-FCL Real'!O33</f>
        <v>1</v>
      </c>
      <c r="Q15" s="162">
        <f>'[1]C-FCL Real'!P33</f>
        <v>1</v>
      </c>
      <c r="R15" s="162">
        <f>'[1]C-FCL Real'!Q33</f>
        <v>1</v>
      </c>
      <c r="S15" s="162">
        <f>'[1]C-FCL Real'!R33</f>
        <v>1</v>
      </c>
      <c r="T15" s="162">
        <f>'[1]C-FCL Real'!S33</f>
        <v>1</v>
      </c>
      <c r="U15" s="162">
        <f>'[1]C-FCL Real'!T33</f>
        <v>1</v>
      </c>
      <c r="V15" s="162">
        <f>'[1]C-FCL Real'!U33</f>
        <v>1</v>
      </c>
      <c r="W15" s="162">
        <f>'[1]C-FCL Real'!V33</f>
        <v>1</v>
      </c>
      <c r="X15" s="162">
        <f>'[1]C-FCL Real'!W33</f>
        <v>1</v>
      </c>
      <c r="Y15" s="162">
        <f>'[1]C-FCL Real'!X33</f>
        <v>1</v>
      </c>
      <c r="Z15" s="162">
        <f>'[1]C-FCL Real'!Y33</f>
        <v>1</v>
      </c>
      <c r="AA15" s="162">
        <f>'[1]C-FCL Real'!Z33</f>
        <v>1</v>
      </c>
      <c r="AB15" s="162">
        <f>'[1]C-FCL Real'!AA33</f>
        <v>1</v>
      </c>
      <c r="AC15" s="162">
        <f>'[1]C-FCL Real'!AB33</f>
        <v>1</v>
      </c>
      <c r="AD15" s="162">
        <f>'[1]C-FCL Real'!AC33</f>
        <v>1</v>
      </c>
      <c r="AE15" s="162">
        <f>'[1]C-FCL Real'!AD33</f>
        <v>1</v>
      </c>
      <c r="AF15" s="162">
        <f>'[1]C-FCL Real'!AE33</f>
        <v>1</v>
      </c>
      <c r="AG15" s="162">
        <f>'[1]C-FCL Real'!AF33</f>
        <v>1</v>
      </c>
      <c r="AH15" s="162">
        <f>'[1]C-FCL Real'!AG33</f>
        <v>1</v>
      </c>
      <c r="AI15" s="162">
        <f>'[1]C-FCL Real'!AH33</f>
        <v>1</v>
      </c>
      <c r="AJ15" s="162">
        <f>'[1]C-FCL Real'!AI33</f>
        <v>1</v>
      </c>
      <c r="AK15" s="162">
        <f>'[1]C-FCL Real'!AJ33</f>
        <v>1</v>
      </c>
      <c r="AL15" s="162">
        <f>'[1]C-FCL Real'!AK33</f>
        <v>1</v>
      </c>
      <c r="AM15" s="162">
        <f>'[1]C-FCL Real'!AL33</f>
        <v>0</v>
      </c>
      <c r="AN15" s="162">
        <f>'[1]C-FCL Real'!AM33</f>
        <v>0</v>
      </c>
      <c r="AO15" s="162">
        <f>'[1]C-FCL Real'!AN33</f>
        <v>0</v>
      </c>
      <c r="AP15" s="162">
        <f>'[1]C-FCL Real'!AO33</f>
        <v>0</v>
      </c>
      <c r="AQ15" s="162">
        <f>'[1]C-FCL Real'!AP33</f>
        <v>0</v>
      </c>
      <c r="AR15" s="162">
        <f>'[1]C-FCL Real'!AQ33</f>
        <v>0</v>
      </c>
      <c r="AS15" s="162">
        <f>'[1]C-FCL Real'!AR33</f>
        <v>0</v>
      </c>
      <c r="AT15" s="162">
        <f>'[1]C-FCL Real'!AS33</f>
        <v>0</v>
      </c>
      <c r="AU15" s="162">
        <f>'[1]C-FCL Real'!AT33</f>
        <v>0</v>
      </c>
      <c r="AV15" s="162">
        <f>'[1]C-FCL Real'!AU33</f>
        <v>0</v>
      </c>
      <c r="AW15" s="162">
        <f>'[1]C-FCL Real'!AV33</f>
        <v>0</v>
      </c>
      <c r="AX15" s="162">
        <f>'[1]C-FCL Real'!AW33</f>
        <v>0</v>
      </c>
      <c r="AY15" s="162">
        <f>'[1]C-FCL Real'!AX33</f>
        <v>0</v>
      </c>
      <c r="AZ15" s="162">
        <f>'[1]C-FCL Real'!AY33</f>
        <v>0</v>
      </c>
      <c r="BA15" s="162">
        <f>'[1]C-FCL Real'!AZ33</f>
        <v>0</v>
      </c>
      <c r="BB15" s="162">
        <f>'[1]C-FCL Real'!BA33</f>
        <v>0</v>
      </c>
      <c r="BC15" s="162">
        <f>'[1]C-FCL Real'!BB33</f>
        <v>0</v>
      </c>
      <c r="BD15" s="162">
        <f>'[1]C-FCL Real'!BC33</f>
        <v>0</v>
      </c>
      <c r="BE15" s="162">
        <f>'[1]C-FCL Real'!BD33</f>
        <v>0</v>
      </c>
      <c r="BF15" s="162">
        <f>'[1]C-FCL Real'!BE33</f>
        <v>0</v>
      </c>
      <c r="BG15" s="162">
        <f>'[1]C-FCL Real'!BF33</f>
        <v>0</v>
      </c>
      <c r="BH15" s="163">
        <f>'[1]C-FCL Real'!BG33</f>
        <v>0</v>
      </c>
    </row>
    <row r="16" spans="1:60" s="168" customFormat="1" ht="15" customHeight="1" outlineLevel="1" x14ac:dyDescent="0.3">
      <c r="A16" s="1230"/>
      <c r="B16" s="141" t="str">
        <f>'[1]C-FCL Real'!B35</f>
        <v>Dados Quantitativos RSU</v>
      </c>
      <c r="C16" s="165">
        <f>SUMIF($D$15:$BG$15,1,D16:BG16)</f>
        <v>1193646.2820174235</v>
      </c>
      <c r="D16" s="166">
        <f>'[1]C-FCL Real'!C35</f>
        <v>31717.919999999998</v>
      </c>
      <c r="E16" s="167">
        <f>'[1]C-FCL Real'!D35</f>
        <v>31866.994223999995</v>
      </c>
      <c r="F16" s="167">
        <f>'[1]C-FCL Real'!E35</f>
        <v>32016.769096852793</v>
      </c>
      <c r="G16" s="167">
        <f>'[1]C-FCL Real'!F35</f>
        <v>32167.247911607999</v>
      </c>
      <c r="H16" s="167">
        <f>'[1]C-FCL Real'!G35</f>
        <v>32318.433976792556</v>
      </c>
      <c r="I16" s="167">
        <f>'[1]C-FCL Real'!H35</f>
        <v>32470.330616483479</v>
      </c>
      <c r="J16" s="167">
        <f>'[1]C-FCL Real'!I35</f>
        <v>32622.941170380949</v>
      </c>
      <c r="K16" s="167">
        <f>'[1]C-FCL Real'!J35</f>
        <v>32776.268993881735</v>
      </c>
      <c r="L16" s="167">
        <f>'[1]C-FCL Real'!K35</f>
        <v>32930.317458152975</v>
      </c>
      <c r="M16" s="167">
        <f>'[1]C-FCL Real'!L35</f>
        <v>33085.089950206289</v>
      </c>
      <c r="N16" s="167">
        <f>'[1]C-FCL Real'!M35</f>
        <v>33240.589872972254</v>
      </c>
      <c r="O16" s="167">
        <f>'[1]C-FCL Real'!N35</f>
        <v>33396.820645375221</v>
      </c>
      <c r="P16" s="167">
        <f>'[1]C-FCL Real'!O35</f>
        <v>33553.785702408481</v>
      </c>
      <c r="Q16" s="167">
        <f>'[1]C-FCL Real'!P35</f>
        <v>33711.4884952098</v>
      </c>
      <c r="R16" s="167">
        <f>'[1]C-FCL Real'!Q35</f>
        <v>33869.932491137282</v>
      </c>
      <c r="S16" s="167">
        <f>'[1]C-FCL Real'!O35</f>
        <v>33553.785702408481</v>
      </c>
      <c r="T16" s="167">
        <f>'[1]C-FCL Real'!P35</f>
        <v>33711.4884952098</v>
      </c>
      <c r="U16" s="167">
        <f>'[1]C-FCL Real'!Q35</f>
        <v>33869.932491137282</v>
      </c>
      <c r="V16" s="167">
        <f>'[1]C-FCL Real'!R35</f>
        <v>34029.121173845626</v>
      </c>
      <c r="W16" s="167">
        <f>'[1]C-FCL Real'!S35</f>
        <v>34189.058043362696</v>
      </c>
      <c r="X16" s="167">
        <f>'[1]C-FCL Real'!T35</f>
        <v>34349.7466161665</v>
      </c>
      <c r="Y16" s="167">
        <f>'[1]C-FCL Real'!U35</f>
        <v>34511.190425262481</v>
      </c>
      <c r="Z16" s="167">
        <f>'[1]C-FCL Real'!V35</f>
        <v>34673.39302026121</v>
      </c>
      <c r="AA16" s="167">
        <f>'[1]C-FCL Real'!W35</f>
        <v>34836.357967456432</v>
      </c>
      <c r="AB16" s="167">
        <f>'[1]C-FCL Real'!X35</f>
        <v>35000.088849903477</v>
      </c>
      <c r="AC16" s="167">
        <f>'[1]C-FCL Real'!Y35</f>
        <v>35164.58926749802</v>
      </c>
      <c r="AD16" s="167">
        <f>'[1]C-FCL Real'!Z35</f>
        <v>35329.862837055261</v>
      </c>
      <c r="AE16" s="167">
        <f>'[1]C-FCL Real'!AA35</f>
        <v>35495.913192389417</v>
      </c>
      <c r="AF16" s="167">
        <f>'[1]C-FCL Real'!AB35</f>
        <v>35662.743984393644</v>
      </c>
      <c r="AG16" s="167">
        <f>'[1]C-FCL Real'!AC35</f>
        <v>35830.358881120294</v>
      </c>
      <c r="AH16" s="167">
        <f>'[1]C-FCL Real'!AD35</f>
        <v>35998.761567861555</v>
      </c>
      <c r="AI16" s="167">
        <f>'[1]C-FCL Real'!AE35</f>
        <v>36167.955747230502</v>
      </c>
      <c r="AJ16" s="167">
        <f>'[1]C-FCL Real'!AF35</f>
        <v>36337.945139242482</v>
      </c>
      <c r="AK16" s="167">
        <f>'[1]C-FCL Real'!AG35</f>
        <v>36508.733481396921</v>
      </c>
      <c r="AL16" s="167">
        <f>'[1]C-FCL Real'!AH35</f>
        <v>36680.324528759484</v>
      </c>
      <c r="AM16" s="167">
        <f>'[1]C-FCL Real'!AI35</f>
        <v>36852.722054044651</v>
      </c>
      <c r="AN16" s="167">
        <f>'[1]C-FCL Real'!AJ35</f>
        <v>37025.929847698659</v>
      </c>
      <c r="AO16" s="167">
        <f>'[1]C-FCL Real'!AK35</f>
        <v>37199.95171798284</v>
      </c>
      <c r="AP16" s="167">
        <f>'[1]C-FCL Real'!AL35</f>
        <v>37374.79149105736</v>
      </c>
      <c r="AQ16" s="167">
        <f>'[1]C-FCL Real'!AM35</f>
        <v>37550.453011065329</v>
      </c>
      <c r="AR16" s="167">
        <f>'[1]C-FCL Real'!AN35</f>
        <v>37726.940140217332</v>
      </c>
      <c r="AS16" s="167">
        <f>'[1]C-FCL Real'!AO35</f>
        <v>37904.256758876349</v>
      </c>
      <c r="AT16" s="167">
        <f>'[1]C-FCL Real'!AP35</f>
        <v>38082.406765643063</v>
      </c>
      <c r="AU16" s="167">
        <f>'[1]C-FCL Real'!AQ35</f>
        <v>38261.394077441582</v>
      </c>
      <c r="AV16" s="167">
        <f>'[1]C-FCL Real'!AR35</f>
        <v>38441.222629605552</v>
      </c>
      <c r="AW16" s="167">
        <f>'[1]C-FCL Real'!AS35</f>
        <v>38621.896375964694</v>
      </c>
      <c r="AX16" s="167">
        <f>'[1]C-FCL Real'!AT35</f>
        <v>38803.419288931727</v>
      </c>
      <c r="AY16" s="167">
        <f>'[1]C-FCL Real'!AU35</f>
        <v>38985.795359589705</v>
      </c>
      <c r="AZ16" s="167">
        <f>'[1]C-FCL Real'!AV35</f>
        <v>39169.028597779776</v>
      </c>
      <c r="BA16" s="167">
        <f>'[1]C-FCL Real'!AW35</f>
        <v>39353.123032189338</v>
      </c>
      <c r="BB16" s="167">
        <f>'[1]C-FCL Real'!AX35</f>
        <v>39538.082710440627</v>
      </c>
      <c r="BC16" s="167">
        <f>'[1]C-FCL Real'!AY35</f>
        <v>39723.911699179698</v>
      </c>
      <c r="BD16" s="167">
        <f>'[1]C-FCL Real'!AZ35</f>
        <v>39910.614084165842</v>
      </c>
      <c r="BE16" s="167">
        <f>'[1]C-FCL Real'!BA35</f>
        <v>40098.193970361419</v>
      </c>
      <c r="BF16" s="167">
        <f>'[1]C-FCL Real'!BB35</f>
        <v>40286.655482022114</v>
      </c>
      <c r="BG16" s="167">
        <f>'[1]C-FCL Real'!BC35</f>
        <v>40476.002762787612</v>
      </c>
      <c r="BH16" s="167">
        <f>'[1]C-FCL Real'!BD35</f>
        <v>0</v>
      </c>
    </row>
    <row r="17" spans="1:60" ht="15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customHeight="1" outlineLevel="1" x14ac:dyDescent="0.3">
      <c r="A18" s="172">
        <f>C18*1000000/$C$16</f>
        <v>85.233578158389449</v>
      </c>
      <c r="B18" s="173" t="str">
        <f>'[1]C-FCL Real'!B63</f>
        <v>Dados de Capex</v>
      </c>
      <c r="C18" s="174">
        <f>SUMIF($D$15:$BG$15,1,D18:BG18)</f>
        <v>101.73874367180304</v>
      </c>
      <c r="D18" s="175">
        <f>'[1]C-FCL Real'!C63</f>
        <v>30.402483024985166</v>
      </c>
      <c r="E18" s="20">
        <f>'[1]C-FCL Real'!D63</f>
        <v>30.712026053230918</v>
      </c>
      <c r="F18" s="20">
        <f>'[1]C-FCL Real'!E63</f>
        <v>40.624234593586955</v>
      </c>
      <c r="G18" s="20">
        <f>'[1]C-FCL Real'!F63</f>
        <v>0</v>
      </c>
      <c r="H18" s="20">
        <f>'[1]C-FCL Real'!G63</f>
        <v>0</v>
      </c>
      <c r="I18" s="20">
        <f>'[1]C-FCL Real'!H63</f>
        <v>0</v>
      </c>
      <c r="J18" s="20">
        <f>'[1]C-FCL Real'!I63</f>
        <v>0</v>
      </c>
      <c r="K18" s="20">
        <f>'[1]C-FCL Real'!J63</f>
        <v>0</v>
      </c>
      <c r="L18" s="20">
        <f>'[1]C-FCL Real'!K63</f>
        <v>0</v>
      </c>
      <c r="M18" s="20">
        <f>'[1]C-FCL Real'!L63</f>
        <v>0</v>
      </c>
      <c r="N18" s="20">
        <f>'[1]C-FCL Real'!M63</f>
        <v>0</v>
      </c>
      <c r="O18" s="20">
        <f>'[1]C-FCL Real'!N63</f>
        <v>0</v>
      </c>
      <c r="P18" s="20">
        <f>'[1]C-FCL Real'!O63</f>
        <v>0</v>
      </c>
      <c r="Q18" s="20">
        <f>'[1]C-FCL Real'!P63</f>
        <v>0</v>
      </c>
      <c r="R18" s="20">
        <f>'[1]C-FCL Real'!Q63</f>
        <v>0</v>
      </c>
      <c r="S18" s="20">
        <f>'[1]C-FCL Real'!O63</f>
        <v>0</v>
      </c>
      <c r="T18" s="20">
        <f>'[1]C-FCL Real'!P63</f>
        <v>0</v>
      </c>
      <c r="U18" s="20">
        <f>'[1]C-FCL Real'!Q63</f>
        <v>0</v>
      </c>
      <c r="V18" s="20">
        <f>'[1]C-FCL Real'!R63</f>
        <v>0</v>
      </c>
      <c r="W18" s="20">
        <f>'[1]C-FCL Real'!S63</f>
        <v>0</v>
      </c>
      <c r="X18" s="20">
        <f>'[1]C-FCL Real'!T63</f>
        <v>0</v>
      </c>
      <c r="Y18" s="20">
        <f>'[1]C-FCL Real'!U63</f>
        <v>0</v>
      </c>
      <c r="Z18" s="20">
        <f>'[1]C-FCL Real'!V63</f>
        <v>0</v>
      </c>
      <c r="AA18" s="20">
        <f>'[1]C-FCL Real'!W63</f>
        <v>0</v>
      </c>
      <c r="AB18" s="20">
        <f>'[1]C-FCL Real'!X63</f>
        <v>0</v>
      </c>
      <c r="AC18" s="20">
        <f>'[1]C-FCL Real'!Y63</f>
        <v>0</v>
      </c>
      <c r="AD18" s="20">
        <f>'[1]C-FCL Real'!Z63</f>
        <v>0</v>
      </c>
      <c r="AE18" s="20">
        <f>'[1]C-FCL Real'!AA63</f>
        <v>0</v>
      </c>
      <c r="AF18" s="20">
        <f>'[1]C-FCL Real'!AB63</f>
        <v>0</v>
      </c>
      <c r="AG18" s="20">
        <f>'[1]C-FCL Real'!AC63</f>
        <v>0</v>
      </c>
      <c r="AH18" s="20">
        <f>'[1]C-FCL Real'!AD63</f>
        <v>0</v>
      </c>
      <c r="AI18" s="20">
        <f>'[1]C-FCL Real'!AE63</f>
        <v>0</v>
      </c>
      <c r="AJ18" s="20">
        <f>'[1]C-FCL Real'!AF63</f>
        <v>0</v>
      </c>
      <c r="AK18" s="20">
        <f>'[1]C-FCL Real'!AG63</f>
        <v>0</v>
      </c>
      <c r="AL18" s="20">
        <f>'[1]C-FCL Real'!AH63</f>
        <v>0</v>
      </c>
      <c r="AM18" s="20">
        <f>'[1]C-FCL Real'!AI63</f>
        <v>0</v>
      </c>
      <c r="AN18" s="20">
        <f>'[1]C-FCL Real'!AJ63</f>
        <v>0</v>
      </c>
      <c r="AO18" s="20">
        <f>'[1]C-FCL Real'!AK63</f>
        <v>0</v>
      </c>
      <c r="AP18" s="20">
        <f>'[1]C-FCL Real'!AL63</f>
        <v>0</v>
      </c>
      <c r="AQ18" s="20">
        <f>'[1]C-FCL Real'!AM63</f>
        <v>0</v>
      </c>
      <c r="AR18" s="20">
        <f>'[1]C-FCL Real'!AN63</f>
        <v>0</v>
      </c>
      <c r="AS18" s="20">
        <f>'[1]C-FCL Real'!AO63</f>
        <v>0</v>
      </c>
      <c r="AT18" s="20">
        <f>'[1]C-FCL Real'!AP63</f>
        <v>0</v>
      </c>
      <c r="AU18" s="20">
        <f>'[1]C-FCL Real'!AQ63</f>
        <v>0</v>
      </c>
      <c r="AV18" s="20">
        <f>'[1]C-FCL Real'!AR63</f>
        <v>0</v>
      </c>
      <c r="AW18" s="20">
        <f>'[1]C-FCL Real'!AS63</f>
        <v>0</v>
      </c>
      <c r="AX18" s="20">
        <f>'[1]C-FCL Real'!AT63</f>
        <v>0</v>
      </c>
      <c r="AY18" s="20">
        <f>'[1]C-FCL Real'!AU63</f>
        <v>0</v>
      </c>
      <c r="AZ18" s="20">
        <f>'[1]C-FCL Real'!AV63</f>
        <v>0</v>
      </c>
      <c r="BA18" s="20">
        <f>'[1]C-FCL Real'!AW63</f>
        <v>0</v>
      </c>
      <c r="BB18" s="20">
        <f>'[1]C-FCL Real'!AX63</f>
        <v>0</v>
      </c>
      <c r="BC18" s="20">
        <f>'[1]C-FCL Real'!AY63</f>
        <v>0</v>
      </c>
      <c r="BD18" s="20">
        <f>'[1]C-FCL Real'!AZ63</f>
        <v>0</v>
      </c>
      <c r="BE18" s="20">
        <f>'[1]C-FCL Real'!BA63</f>
        <v>0</v>
      </c>
      <c r="BF18" s="20">
        <f>'[1]C-FCL Real'!BB63</f>
        <v>0</v>
      </c>
      <c r="BG18" s="20">
        <f>'[1]C-FCL Real'!BC63</f>
        <v>0</v>
      </c>
      <c r="BH18" s="20">
        <f>'[1]C-FCL Real'!BD63</f>
        <v>0</v>
      </c>
    </row>
    <row r="19" spans="1:60" ht="15" customHeight="1" outlineLevel="1" x14ac:dyDescent="0.3">
      <c r="A19" s="172">
        <f>C19*1000000/$C$16</f>
        <v>77.759846072794915</v>
      </c>
      <c r="B19" s="176" t="s">
        <v>52</v>
      </c>
      <c r="C19" s="169">
        <f>SUMIF($D$15:$BG$15,1,D19:BG19)</f>
        <v>92.817751155038806</v>
      </c>
      <c r="D19" s="175">
        <f t="shared" ref="D19:AJ19" si="0">NPV($C$8,D18:D18)</f>
        <v>27.736632103610823</v>
      </c>
      <c r="E19" s="20">
        <f t="shared" si="0"/>
        <v>28.019032757782199</v>
      </c>
      <c r="F19" s="20">
        <f t="shared" si="0"/>
        <v>37.062086293645784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customHeight="1" outlineLevel="1" x14ac:dyDescent="0.3">
      <c r="A20" s="172"/>
      <c r="B20" s="1"/>
      <c r="C20" s="177">
        <f>C18*1000000/(C16/C43)</f>
        <v>2983.1752355436306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customHeight="1" outlineLevel="1" x14ac:dyDescent="0.3">
      <c r="A21" s="172">
        <f>C21*1000000/$C$16</f>
        <v>513.57030146889417</v>
      </c>
      <c r="B21" s="173" t="str">
        <f>'[1]C-FCL Real'!B119</f>
        <v>Dados de Opex + Gestão do Contrato</v>
      </c>
      <c r="C21" s="174">
        <f>SUMIF($D$15:$BG$15,1,D21:BG21)</f>
        <v>613.02128090291285</v>
      </c>
      <c r="D21" s="175">
        <f>'[1]C-FCL Real'!C119</f>
        <v>5.0087194397754624</v>
      </c>
      <c r="E21" s="20">
        <f>'[1]C-FCL Real'!D119</f>
        <v>5.0087194397754624</v>
      </c>
      <c r="F21" s="20">
        <f>'[1]C-FCL Real'!E119</f>
        <v>5.0087194397754624</v>
      </c>
      <c r="G21" s="20">
        <f>'[1]C-FCL Real'!F119</f>
        <v>18.687347580737072</v>
      </c>
      <c r="H21" s="20">
        <f>'[1]C-FCL Real'!G119</f>
        <v>18.687347580737072</v>
      </c>
      <c r="I21" s="20">
        <f>'[1]C-FCL Real'!H119</f>
        <v>18.687347580737072</v>
      </c>
      <c r="J21" s="20">
        <f>'[1]C-FCL Real'!I119</f>
        <v>18.687347580737072</v>
      </c>
      <c r="K21" s="20">
        <f>'[1]C-FCL Real'!J119</f>
        <v>18.687347580737072</v>
      </c>
      <c r="L21" s="20">
        <f>'[1]C-FCL Real'!K119</f>
        <v>18.687347580737072</v>
      </c>
      <c r="M21" s="20">
        <f>'[1]C-FCL Real'!L119</f>
        <v>18.687347580737072</v>
      </c>
      <c r="N21" s="20">
        <f>'[1]C-FCL Real'!M119</f>
        <v>18.687347580737072</v>
      </c>
      <c r="O21" s="20">
        <f>'[1]C-FCL Real'!N119</f>
        <v>18.687347580737072</v>
      </c>
      <c r="P21" s="20">
        <f>'[1]C-FCL Real'!O119</f>
        <v>18.687347580737072</v>
      </c>
      <c r="Q21" s="20">
        <f>'[1]C-FCL Real'!P119</f>
        <v>18.687347580737072</v>
      </c>
      <c r="R21" s="20">
        <f>'[1]C-FCL Real'!Q119</f>
        <v>18.687347580737072</v>
      </c>
      <c r="S21" s="20">
        <f>'[1]C-FCL Real'!O119</f>
        <v>18.687347580737072</v>
      </c>
      <c r="T21" s="20">
        <f>'[1]C-FCL Real'!P119</f>
        <v>18.687347580737072</v>
      </c>
      <c r="U21" s="20">
        <f>'[1]C-FCL Real'!Q119</f>
        <v>18.687347580737072</v>
      </c>
      <c r="V21" s="20">
        <f>'[1]C-FCL Real'!R119</f>
        <v>18.687347580737072</v>
      </c>
      <c r="W21" s="20">
        <f>'[1]C-FCL Real'!S119</f>
        <v>18.687347580737072</v>
      </c>
      <c r="X21" s="20">
        <f>'[1]C-FCL Real'!T119</f>
        <v>18.687347580737072</v>
      </c>
      <c r="Y21" s="20">
        <f>'[1]C-FCL Real'!U119</f>
        <v>18.687347580737072</v>
      </c>
      <c r="Z21" s="20">
        <f>'[1]C-FCL Real'!V119</f>
        <v>18.687347580737072</v>
      </c>
      <c r="AA21" s="20">
        <f>'[1]C-FCL Real'!W119</f>
        <v>18.687347580737072</v>
      </c>
      <c r="AB21" s="20">
        <f>'[1]C-FCL Real'!X119</f>
        <v>18.687347580737072</v>
      </c>
      <c r="AC21" s="20">
        <f>'[1]C-FCL Real'!Y119</f>
        <v>18.687347580737072</v>
      </c>
      <c r="AD21" s="20">
        <f>'[1]C-FCL Real'!Z119</f>
        <v>18.687347580737072</v>
      </c>
      <c r="AE21" s="20">
        <f>'[1]C-FCL Real'!AA119</f>
        <v>18.687347580737072</v>
      </c>
      <c r="AF21" s="20">
        <f>'[1]C-FCL Real'!AB119</f>
        <v>18.687347580737072</v>
      </c>
      <c r="AG21" s="20">
        <f>'[1]C-FCL Real'!AC119</f>
        <v>18.687347580737072</v>
      </c>
      <c r="AH21" s="20">
        <f>'[1]C-FCL Real'!AD119</f>
        <v>18.687347580737072</v>
      </c>
      <c r="AI21" s="20">
        <f>'[1]C-FCL Real'!AE119</f>
        <v>18.687347580737072</v>
      </c>
      <c r="AJ21" s="20">
        <f>'[1]C-FCL Real'!AF119</f>
        <v>18.687347580737072</v>
      </c>
      <c r="AK21" s="20">
        <f>'[1]C-FCL Real'!AG119</f>
        <v>18.687347580737072</v>
      </c>
      <c r="AL21" s="20">
        <f>'[1]C-FCL Real'!AH119</f>
        <v>18.687347580737072</v>
      </c>
      <c r="AM21" s="20">
        <f>'[1]C-FCL Real'!AI119</f>
        <v>18.687347580737072</v>
      </c>
      <c r="AN21" s="20">
        <f>'[1]C-FCL Real'!AJ119</f>
        <v>18.687347580737072</v>
      </c>
      <c r="AO21" s="20">
        <f>'[1]C-FCL Real'!AK119</f>
        <v>18.687347580737072</v>
      </c>
      <c r="AP21" s="20">
        <f>'[1]C-FCL Real'!AL119</f>
        <v>18.687347580737072</v>
      </c>
      <c r="AQ21" s="20">
        <f>'[1]C-FCL Real'!AM119</f>
        <v>18.687347580737072</v>
      </c>
      <c r="AR21" s="20">
        <f>'[1]C-FCL Real'!AN119</f>
        <v>18.687347580737072</v>
      </c>
      <c r="AS21" s="20">
        <f>'[1]C-FCL Real'!AO119</f>
        <v>18.687347580737072</v>
      </c>
      <c r="AT21" s="20">
        <f>'[1]C-FCL Real'!AP119</f>
        <v>18.687347580737072</v>
      </c>
      <c r="AU21" s="20">
        <f>'[1]C-FCL Real'!AQ119</f>
        <v>18.687347580737072</v>
      </c>
      <c r="AV21" s="20">
        <f>'[1]C-FCL Real'!AR119</f>
        <v>18.687347580737072</v>
      </c>
      <c r="AW21" s="20">
        <f>'[1]C-FCL Real'!AS119</f>
        <v>18.687347580737072</v>
      </c>
      <c r="AX21" s="20">
        <f>'[1]C-FCL Real'!AT119</f>
        <v>18.687347580737072</v>
      </c>
      <c r="AY21" s="20">
        <f>'[1]C-FCL Real'!AU119</f>
        <v>18.687347580737072</v>
      </c>
      <c r="AZ21" s="20">
        <f>'[1]C-FCL Real'!AV119</f>
        <v>18.687347580737072</v>
      </c>
      <c r="BA21" s="20">
        <f>'[1]C-FCL Real'!AW119</f>
        <v>18.687347580737072</v>
      </c>
      <c r="BB21" s="20">
        <f>'[1]C-FCL Real'!AX119</f>
        <v>18.687347580737072</v>
      </c>
      <c r="BC21" s="20">
        <f>'[1]C-FCL Real'!AY119</f>
        <v>18.687347580737072</v>
      </c>
      <c r="BD21" s="20">
        <f>'[1]C-FCL Real'!AZ119</f>
        <v>18.687347580737072</v>
      </c>
      <c r="BE21" s="20">
        <f>'[1]C-FCL Real'!BA119</f>
        <v>18.687347580737072</v>
      </c>
      <c r="BF21" s="20">
        <f>'[1]C-FCL Real'!BB119</f>
        <v>18.687347580737072</v>
      </c>
      <c r="BG21" s="20">
        <f>'[1]C-FCL Real'!BC119</f>
        <v>18.687347580737072</v>
      </c>
      <c r="BH21" s="20">
        <f>'[1]C-FCL Real'!BD119</f>
        <v>0</v>
      </c>
    </row>
    <row r="22" spans="1:60" ht="15" customHeight="1" outlineLevel="1" x14ac:dyDescent="0.3">
      <c r="A22" s="172">
        <f>C22*1000000/$C$16</f>
        <v>439.97191516323096</v>
      </c>
      <c r="B22" s="176" t="s">
        <v>53</v>
      </c>
      <c r="C22" s="169">
        <f>SUMIF($D$15:$BG$15,1,D22:BG22)</f>
        <v>525.17084072667592</v>
      </c>
      <c r="D22" s="175">
        <f t="shared" ref="D22:AJ22" si="1">NPV($C$8,D21:D21)</f>
        <v>4.5695283604659949</v>
      </c>
      <c r="E22" s="20">
        <f t="shared" si="1"/>
        <v>4.5695283604659949</v>
      </c>
      <c r="F22" s="20">
        <f t="shared" si="1"/>
        <v>4.5695283604659949</v>
      </c>
      <c r="G22" s="20">
        <f t="shared" si="1"/>
        <v>17.048741854842589</v>
      </c>
      <c r="H22" s="20">
        <f t="shared" si="1"/>
        <v>17.048741854842589</v>
      </c>
      <c r="I22" s="20">
        <f t="shared" si="1"/>
        <v>17.048741854842589</v>
      </c>
      <c r="J22" s="20">
        <f t="shared" si="1"/>
        <v>17.048741854842589</v>
      </c>
      <c r="K22" s="20">
        <f t="shared" si="1"/>
        <v>17.048741854842589</v>
      </c>
      <c r="L22" s="20">
        <f t="shared" si="1"/>
        <v>17.048741854842589</v>
      </c>
      <c r="M22" s="20">
        <f t="shared" si="1"/>
        <v>17.048741854842589</v>
      </c>
      <c r="N22" s="20">
        <f t="shared" si="1"/>
        <v>17.048741854842589</v>
      </c>
      <c r="O22" s="20">
        <f t="shared" si="1"/>
        <v>17.048741854842589</v>
      </c>
      <c r="P22" s="20">
        <f t="shared" si="1"/>
        <v>17.048741854842589</v>
      </c>
      <c r="Q22" s="20">
        <f t="shared" si="1"/>
        <v>17.048741854842589</v>
      </c>
      <c r="R22" s="20">
        <f t="shared" si="1"/>
        <v>17.048741854842589</v>
      </c>
      <c r="S22" s="20">
        <f t="shared" si="1"/>
        <v>17.048741854842589</v>
      </c>
      <c r="T22" s="20">
        <f t="shared" si="1"/>
        <v>17.048741854842589</v>
      </c>
      <c r="U22" s="20">
        <f t="shared" si="1"/>
        <v>17.048741854842589</v>
      </c>
      <c r="V22" s="20">
        <f t="shared" si="1"/>
        <v>17.048741854842589</v>
      </c>
      <c r="W22" s="20">
        <f t="shared" si="1"/>
        <v>17.048741854842589</v>
      </c>
      <c r="X22" s="20">
        <f t="shared" si="1"/>
        <v>17.048741854842589</v>
      </c>
      <c r="Y22" s="20">
        <f t="shared" si="1"/>
        <v>17.048741854842589</v>
      </c>
      <c r="Z22" s="20">
        <f t="shared" si="1"/>
        <v>17.048741854842589</v>
      </c>
      <c r="AA22" s="20">
        <f t="shared" si="1"/>
        <v>17.048741854842589</v>
      </c>
      <c r="AB22" s="20">
        <f t="shared" si="1"/>
        <v>17.048741854842589</v>
      </c>
      <c r="AC22" s="20">
        <f t="shared" si="1"/>
        <v>17.048741854842589</v>
      </c>
      <c r="AD22" s="20">
        <f t="shared" si="1"/>
        <v>17.048741854842589</v>
      </c>
      <c r="AE22" s="20">
        <f t="shared" si="1"/>
        <v>17.048741854842589</v>
      </c>
      <c r="AF22" s="20">
        <f t="shared" si="1"/>
        <v>17.048741854842589</v>
      </c>
      <c r="AG22" s="20">
        <f t="shared" si="1"/>
        <v>17.048741854842589</v>
      </c>
      <c r="AH22" s="20">
        <f t="shared" si="1"/>
        <v>17.048741854842589</v>
      </c>
      <c r="AI22" s="20">
        <f t="shared" si="1"/>
        <v>17.048741854842589</v>
      </c>
      <c r="AJ22" s="20">
        <f t="shared" si="1"/>
        <v>17.048741854842589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customHeight="1" outlineLevel="1" x14ac:dyDescent="0.3">
      <c r="A23" s="172"/>
      <c r="C23" s="229">
        <f>C21*1000000/C16</f>
        <v>513.57030146889417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'[1]C-FCL Real'!C121</f>
        <v>0</v>
      </c>
      <c r="E24" s="20">
        <f>'[1]C-FCL Real'!D121</f>
        <v>0</v>
      </c>
      <c r="F24" s="20">
        <f>'[1]C-FCL Real'!E121</f>
        <v>0</v>
      </c>
      <c r="G24" s="20">
        <f>'[1]C-FCL Real'!F121</f>
        <v>0</v>
      </c>
      <c r="H24" s="20">
        <f>'[1]C-FCL Real'!G121</f>
        <v>0</v>
      </c>
      <c r="I24" s="20">
        <f>'[1]C-FCL Real'!H121</f>
        <v>0</v>
      </c>
      <c r="J24" s="20">
        <f>'[1]C-FCL Real'!I121</f>
        <v>0</v>
      </c>
      <c r="K24" s="20">
        <f>'[1]C-FCL Real'!J121</f>
        <v>0</v>
      </c>
      <c r="L24" s="20">
        <f>'[1]C-FCL Real'!K121</f>
        <v>0</v>
      </c>
      <c r="M24" s="20">
        <f>'[1]C-FCL Real'!L121</f>
        <v>0</v>
      </c>
      <c r="N24" s="20">
        <f>'[1]C-FCL Real'!M121</f>
        <v>0</v>
      </c>
      <c r="O24" s="20">
        <f>'[1]C-FCL Real'!N121</f>
        <v>0</v>
      </c>
      <c r="P24" s="20">
        <f>'[1]C-FCL Real'!O121</f>
        <v>0</v>
      </c>
      <c r="Q24" s="20">
        <f>'[1]C-FCL Real'!P121</f>
        <v>0</v>
      </c>
      <c r="R24" s="20">
        <f>'[1]C-FCL Real'!Q121</f>
        <v>0</v>
      </c>
      <c r="S24" s="20">
        <f>'[1]C-FCL Real'!O121</f>
        <v>0</v>
      </c>
      <c r="T24" s="20">
        <f>'[1]C-FCL Real'!P121</f>
        <v>0</v>
      </c>
      <c r="U24" s="20">
        <f>'[1]C-FCL Real'!Q121</f>
        <v>0</v>
      </c>
      <c r="V24" s="20">
        <f>'[1]C-FCL Real'!R121</f>
        <v>0</v>
      </c>
      <c r="W24" s="20">
        <f>'[1]C-FCL Real'!S121</f>
        <v>0</v>
      </c>
      <c r="X24" s="20">
        <f>'[1]C-FCL Real'!T121</f>
        <v>0</v>
      </c>
      <c r="Y24" s="20">
        <f>'[1]C-FCL Real'!U121</f>
        <v>0</v>
      </c>
      <c r="Z24" s="20">
        <f>'[1]C-FCL Real'!V121</f>
        <v>0</v>
      </c>
      <c r="AA24" s="20">
        <f>'[1]C-FCL Real'!W121</f>
        <v>0</v>
      </c>
      <c r="AB24" s="20">
        <f>'[1]C-FCL Real'!X121</f>
        <v>0</v>
      </c>
      <c r="AC24" s="20">
        <f>'[1]C-FCL Real'!Y121</f>
        <v>0</v>
      </c>
      <c r="AD24" s="20">
        <f>'[1]C-FCL Real'!Z121</f>
        <v>0</v>
      </c>
      <c r="AE24" s="20">
        <f>'[1]C-FCL Real'!AA121</f>
        <v>0</v>
      </c>
      <c r="AF24" s="20">
        <f>'[1]C-FCL Real'!AB121</f>
        <v>0</v>
      </c>
      <c r="AG24" s="20">
        <f>'[1]C-FCL Real'!AC121</f>
        <v>0</v>
      </c>
      <c r="AH24" s="20">
        <f>'[1]C-FCL Real'!AD121</f>
        <v>0</v>
      </c>
      <c r="AI24" s="20">
        <f>'[1]C-FCL Real'!AE121</f>
        <v>0</v>
      </c>
      <c r="AJ24" s="20">
        <f>'[1]C-FCL Real'!AF121</f>
        <v>0</v>
      </c>
      <c r="AK24" s="20">
        <f>'[1]C-FCL Real'!AG121</f>
        <v>0</v>
      </c>
      <c r="AL24" s="20">
        <f>'[1]C-FCL Real'!AH121</f>
        <v>0</v>
      </c>
      <c r="AM24" s="20">
        <f>'[1]C-FCL Real'!AI121</f>
        <v>0</v>
      </c>
      <c r="AN24" s="20">
        <f>'[1]C-FCL Real'!AJ121</f>
        <v>0</v>
      </c>
      <c r="AO24" s="20">
        <f>'[1]C-FCL Real'!AK121</f>
        <v>0</v>
      </c>
      <c r="AP24" s="20">
        <f>'[1]C-FCL Real'!AL121</f>
        <v>0</v>
      </c>
      <c r="AQ24" s="20">
        <f>'[1]C-FCL Real'!AM121</f>
        <v>0</v>
      </c>
      <c r="AR24" s="20">
        <f>'[1]C-FCL Real'!AN121</f>
        <v>0</v>
      </c>
      <c r="AS24" s="20">
        <f>'[1]C-FCL Real'!AO121</f>
        <v>0</v>
      </c>
      <c r="AT24" s="20">
        <f>'[1]C-FCL Real'!AP121</f>
        <v>0</v>
      </c>
      <c r="AU24" s="20">
        <f>'[1]C-FCL Real'!AQ121</f>
        <v>0</v>
      </c>
      <c r="AV24" s="20">
        <f>'[1]C-FCL Real'!AR121</f>
        <v>0</v>
      </c>
      <c r="AW24" s="20">
        <f>'[1]C-FCL Real'!AS121</f>
        <v>0</v>
      </c>
      <c r="AX24" s="20">
        <f>'[1]C-FCL Real'!AT121</f>
        <v>0</v>
      </c>
      <c r="AY24" s="20">
        <f>'[1]C-FCL Real'!AU121</f>
        <v>0</v>
      </c>
      <c r="AZ24" s="20">
        <f>'[1]C-FCL Real'!AV121</f>
        <v>0</v>
      </c>
      <c r="BA24" s="20">
        <f>'[1]C-FCL Real'!AW121</f>
        <v>0</v>
      </c>
      <c r="BB24" s="20">
        <f>'[1]C-FCL Real'!AX121</f>
        <v>0</v>
      </c>
      <c r="BC24" s="20">
        <f>'[1]C-FCL Real'!AY121</f>
        <v>0</v>
      </c>
      <c r="BD24" s="20">
        <f>'[1]C-FCL Real'!AZ121</f>
        <v>0</v>
      </c>
      <c r="BE24" s="20">
        <f>'[1]C-FCL Real'!BA121</f>
        <v>0</v>
      </c>
      <c r="BF24" s="20">
        <f>'[1]C-FCL Real'!BB121</f>
        <v>0</v>
      </c>
      <c r="BG24" s="20">
        <f>'[1]C-FCL Real'!BC121</f>
        <v>0</v>
      </c>
      <c r="BH24" s="20">
        <f>'[1]C-FCL Real'!BD121</f>
        <v>0</v>
      </c>
    </row>
    <row r="25" spans="1:60" ht="15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customHeight="1" outlineLevel="1" x14ac:dyDescent="0.3">
      <c r="A27" s="172">
        <f>C27*1000000/$C$16</f>
        <v>230.47656404143015</v>
      </c>
      <c r="B27" s="173" t="str">
        <f>'[1]C-FCL Real'!B148</f>
        <v>Dados de Receitas Diretas</v>
      </c>
      <c r="C27" s="174">
        <f>SUMIF($D$15:$BG$15,1,D27:BG27)</f>
        <v>275.10749376020374</v>
      </c>
      <c r="D27" s="175">
        <f>'[1]C-FCL Real'!C148-D30</f>
        <v>7.3102372201409604</v>
      </c>
      <c r="E27" s="20">
        <f>'[1]C-FCL Real'!D148-E30</f>
        <v>7.3445953350756215</v>
      </c>
      <c r="F27" s="20">
        <f>'[1]C-FCL Real'!E148-F30</f>
        <v>7.3791149331504773</v>
      </c>
      <c r="G27" s="20">
        <f>'[1]C-FCL Real'!F148-G30</f>
        <v>7.4137967733362853</v>
      </c>
      <c r="H27" s="20">
        <f>'[1]C-FCL Real'!G148-H30</f>
        <v>7.4486416181709654</v>
      </c>
      <c r="I27" s="20">
        <f>'[1]C-FCL Real'!H148-I30</f>
        <v>7.483650233776368</v>
      </c>
      <c r="J27" s="20">
        <f>'[1]C-FCL Real'!I148-J30</f>
        <v>7.5188233898751156</v>
      </c>
      <c r="K27" s="20">
        <f>'[1]C-FCL Real'!J148-K30</f>
        <v>7.5541618598075289</v>
      </c>
      <c r="L27" s="20">
        <f>'[1]C-FCL Real'!K148-L30</f>
        <v>7.5896664205486228</v>
      </c>
      <c r="M27" s="20">
        <f>'[1]C-FCL Real'!L148-M30</f>
        <v>7.6253378527252007</v>
      </c>
      <c r="N27" s="20">
        <f>'[1]C-FCL Real'!M148-N30</f>
        <v>7.6611769406330055</v>
      </c>
      <c r="O27" s="20">
        <f>'[1]C-FCL Real'!N148-O30</f>
        <v>7.6971844722539817</v>
      </c>
      <c r="P27" s="20">
        <f>'[1]C-FCL Real'!O148-P30</f>
        <v>7.7333612392735755</v>
      </c>
      <c r="Q27" s="20">
        <f>'[1]C-FCL Real'!P148-Q30</f>
        <v>7.7697080370981588</v>
      </c>
      <c r="R27" s="20">
        <f>'[1]C-FCL Real'!Q148-R30</f>
        <v>7.806225664872521</v>
      </c>
      <c r="S27" s="20">
        <f>'[1]C-FCL Real'!O148-S30</f>
        <v>7.7333612392735755</v>
      </c>
      <c r="T27" s="20">
        <f>'[1]C-FCL Real'!P148-T30</f>
        <v>7.7697080370981588</v>
      </c>
      <c r="U27" s="20">
        <f>'[1]C-FCL Real'!Q148-U30</f>
        <v>7.806225664872521</v>
      </c>
      <c r="V27" s="20">
        <f>'[1]C-FCL Real'!R148-V30</f>
        <v>7.8429149254974195</v>
      </c>
      <c r="W27" s="20">
        <f>'[1]C-FCL Real'!S148-W30</f>
        <v>7.8797766256472581</v>
      </c>
      <c r="X27" s="20">
        <f>'[1]C-FCL Real'!T148-X30</f>
        <v>7.9168115757878006</v>
      </c>
      <c r="Y27" s="20">
        <f>'[1]C-FCL Real'!U148-Y30</f>
        <v>7.9540205901940038</v>
      </c>
      <c r="Z27" s="20">
        <f>'[1]C-FCL Real'!V148-Z30</f>
        <v>7.9914044869679106</v>
      </c>
      <c r="AA27" s="20">
        <f>'[1]C-FCL Real'!W148-AA30</f>
        <v>8.0289640880566608</v>
      </c>
      <c r="AB27" s="20">
        <f>'[1]C-FCL Real'!X148-AB30</f>
        <v>8.0667002192705262</v>
      </c>
      <c r="AC27" s="20">
        <f>'[1]C-FCL Real'!Y148-AC30</f>
        <v>8.1046137103010967</v>
      </c>
      <c r="AD27" s="20">
        <f>'[1]C-FCL Real'!Z148-AD30</f>
        <v>8.1427053947395116</v>
      </c>
      <c r="AE27" s="20">
        <f>'[1]C-FCL Real'!AA148-AE30</f>
        <v>8.1809761100947895</v>
      </c>
      <c r="AF27" s="20">
        <f>'[1]C-FCL Real'!AB148-AF30</f>
        <v>8.2194266978122332</v>
      </c>
      <c r="AG27" s="20">
        <f>'[1]C-FCL Real'!AC148-AG30</f>
        <v>8.2580580032919499</v>
      </c>
      <c r="AH27" s="20">
        <f>'[1]C-FCL Real'!AD148-AH30</f>
        <v>8.2968708759074214</v>
      </c>
      <c r="AI27" s="20">
        <f>'[1]C-FCL Real'!AE148-AI30</f>
        <v>8.335866169024186</v>
      </c>
      <c r="AJ27" s="20">
        <f>'[1]C-FCL Real'!AF148-AJ30</f>
        <v>8.3750447400185983</v>
      </c>
      <c r="AK27" s="20">
        <f>'[1]C-FCL Real'!AG148-AK30</f>
        <v>8.4144074502966859</v>
      </c>
      <c r="AL27" s="20">
        <f>'[1]C-FCL Real'!AH148-AL30</f>
        <v>8.4539551653130793</v>
      </c>
      <c r="AM27" s="20">
        <f>'[1]C-FCL Real'!AI148-AM30</f>
        <v>8.4936887545900497</v>
      </c>
      <c r="AN27" s="20">
        <f>'[1]C-FCL Real'!AJ148-AN30</f>
        <v>8.5336090917366221</v>
      </c>
      <c r="AO27" s="20">
        <f>'[1]C-FCL Real'!AK148-AO30</f>
        <v>8.573717054467787</v>
      </c>
      <c r="AP27" s="20">
        <f>'[1]C-FCL Real'!AL148-AP30</f>
        <v>8.6140135246237826</v>
      </c>
      <c r="AQ27" s="20">
        <f>'[1]C-FCL Real'!AM148-AQ30</f>
        <v>8.6544993881895156</v>
      </c>
      <c r="AR27" s="20">
        <f>'[1]C-FCL Real'!AN148-AR30</f>
        <v>8.6951755353140054</v>
      </c>
      <c r="AS27" s="20">
        <f>'[1]C-FCL Real'!AO148-AS30</f>
        <v>8.7360428603299809</v>
      </c>
      <c r="AT27" s="20">
        <f>'[1]C-FCL Real'!AP148-AT30</f>
        <v>8.7771022617735301</v>
      </c>
      <c r="AU27" s="20">
        <f>'[1]C-FCL Real'!AQ148-AU30</f>
        <v>8.8183546424038646</v>
      </c>
      <c r="AV27" s="20">
        <f>'[1]C-FCL Real'!AR148-AV30</f>
        <v>8.8598009092231642</v>
      </c>
      <c r="AW27" s="20">
        <f>'[1]C-FCL Real'!AS148-AW30</f>
        <v>8.9014419734965102</v>
      </c>
      <c r="AX27" s="20">
        <f>'[1]C-FCL Real'!AT148-AX30</f>
        <v>8.9432787507719418</v>
      </c>
      <c r="AY27" s="20">
        <f>'[1]C-FCL Real'!AU148-AY30</f>
        <v>8.9853121609005697</v>
      </c>
      <c r="AZ27" s="20">
        <f>'[1]C-FCL Real'!AV148-AZ30</f>
        <v>9.0275431280568057</v>
      </c>
      <c r="BA27" s="20">
        <f>'[1]C-FCL Real'!AW148-BA30</f>
        <v>9.0699725807586677</v>
      </c>
      <c r="BB27" s="20">
        <f>'[1]C-FCL Real'!AX148-BB30</f>
        <v>9.1126014518882315</v>
      </c>
      <c r="BC27" s="20">
        <f>'[1]C-FCL Real'!AY148-BC30</f>
        <v>9.1554306787121096</v>
      </c>
      <c r="BD27" s="20">
        <f>'[1]C-FCL Real'!AZ148-BD30</f>
        <v>9.198461202902056</v>
      </c>
      <c r="BE27" s="20">
        <f>'[1]C-FCL Real'!BA148-BE30</f>
        <v>9.2416939705556942</v>
      </c>
      <c r="BF27" s="20">
        <f>'[1]C-FCL Real'!BB148-BF30</f>
        <v>9.2851299322173055</v>
      </c>
      <c r="BG27" s="20">
        <f>'[1]C-FCL Real'!BC148-BG30</f>
        <v>9.328770042898725</v>
      </c>
      <c r="BH27" s="20">
        <f>'[1]C-FCL Real'!BD148-BH30</f>
        <v>0</v>
      </c>
    </row>
    <row r="28" spans="1:60" ht="15" customHeight="1" outlineLevel="1" x14ac:dyDescent="0.3">
      <c r="A28" s="172">
        <f>C28*1000000/$C$16</f>
        <v>197.37451400573264</v>
      </c>
      <c r="B28" s="176" t="s">
        <v>56</v>
      </c>
      <c r="C28" s="169">
        <f>SUMIF($D$15:$BG$15,1,D28:BG28)</f>
        <v>235.59535480793863</v>
      </c>
      <c r="D28" s="175">
        <f t="shared" ref="D28:AJ28" si="3">NPV($C$8,D27:D27)</f>
        <v>6.6692368580073049</v>
      </c>
      <c r="E28" s="20">
        <f t="shared" si="3"/>
        <v>6.7005822712399379</v>
      </c>
      <c r="F28" s="20">
        <f t="shared" si="3"/>
        <v>6.7320750079147658</v>
      </c>
      <c r="G28" s="20">
        <f t="shared" si="3"/>
        <v>6.7637157604519658</v>
      </c>
      <c r="H28" s="20">
        <f t="shared" si="3"/>
        <v>6.7955052245260896</v>
      </c>
      <c r="I28" s="20">
        <f t="shared" si="3"/>
        <v>6.8274440990813616</v>
      </c>
      <c r="J28" s="20">
        <f t="shared" si="3"/>
        <v>6.8595330863470432</v>
      </c>
      <c r="K28" s="20">
        <f t="shared" si="3"/>
        <v>6.8917728918528747</v>
      </c>
      <c r="L28" s="20">
        <f t="shared" si="3"/>
        <v>6.9241642244445814</v>
      </c>
      <c r="M28" s="20">
        <f t="shared" si="3"/>
        <v>6.9567077962994706</v>
      </c>
      <c r="N28" s="20">
        <f t="shared" si="3"/>
        <v>6.9894043229420744</v>
      </c>
      <c r="O28" s="20">
        <f t="shared" si="3"/>
        <v>7.0222545232599032</v>
      </c>
      <c r="P28" s="20">
        <f t="shared" si="3"/>
        <v>7.0552591195192251</v>
      </c>
      <c r="Q28" s="20">
        <f t="shared" si="3"/>
        <v>7.0884188373809627</v>
      </c>
      <c r="R28" s="20">
        <f t="shared" si="3"/>
        <v>7.1217344059166541</v>
      </c>
      <c r="S28" s="20">
        <f t="shared" si="3"/>
        <v>7.0552591195192251</v>
      </c>
      <c r="T28" s="20">
        <f t="shared" si="3"/>
        <v>7.0884188373809627</v>
      </c>
      <c r="U28" s="20">
        <f t="shared" si="3"/>
        <v>7.1217344059166541</v>
      </c>
      <c r="V28" s="20">
        <f t="shared" si="3"/>
        <v>7.1552065576244601</v>
      </c>
      <c r="W28" s="20">
        <f t="shared" si="3"/>
        <v>7.1888360284452961</v>
      </c>
      <c r="X28" s="20">
        <f t="shared" si="3"/>
        <v>7.2226235577789897</v>
      </c>
      <c r="Y28" s="20">
        <f t="shared" si="3"/>
        <v>7.2565698885005512</v>
      </c>
      <c r="Z28" s="20">
        <f t="shared" si="3"/>
        <v>7.2906757669764994</v>
      </c>
      <c r="AA28" s="20">
        <f t="shared" si="3"/>
        <v>7.3249419430812894</v>
      </c>
      <c r="AB28" s="20">
        <f t="shared" si="3"/>
        <v>7.3593691702137711</v>
      </c>
      <c r="AC28" s="20">
        <f t="shared" si="3"/>
        <v>7.3939582053137745</v>
      </c>
      <c r="AD28" s="20">
        <f t="shared" si="3"/>
        <v>7.4287098088787493</v>
      </c>
      <c r="AE28" s="20">
        <f t="shared" si="3"/>
        <v>7.4636247449804811</v>
      </c>
      <c r="AF28" s="20">
        <f t="shared" si="3"/>
        <v>7.498703781281888</v>
      </c>
      <c r="AG28" s="20">
        <f t="shared" si="3"/>
        <v>7.5339476890539121</v>
      </c>
      <c r="AH28" s="20">
        <f t="shared" si="3"/>
        <v>7.5693572431924645</v>
      </c>
      <c r="AI28" s="20">
        <f t="shared" si="3"/>
        <v>7.6049332222354691</v>
      </c>
      <c r="AJ28" s="20">
        <f t="shared" si="3"/>
        <v>7.6406764083799743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customHeight="1" outlineLevel="1" x14ac:dyDescent="0.3">
      <c r="A30" s="172">
        <f>C30*1000000/$C$16</f>
        <v>64.72914456600617</v>
      </c>
      <c r="B30" s="173" t="str">
        <f>'[1]C-FCL Real'!B149</f>
        <v>Receita do Ente Público pela disposição do RPU</v>
      </c>
      <c r="C30" s="174">
        <f>SUMIF($D$15:$BG$15,1,D30:BG30)</f>
        <v>77.263702749381579</v>
      </c>
      <c r="D30" s="175">
        <f>'[1]C-FCL Real'!C149</f>
        <v>2.0530738290130173</v>
      </c>
      <c r="E30" s="20">
        <f>'[1]C-FCL Real'!D149</f>
        <v>2.0627232760093781</v>
      </c>
      <c r="F30" s="20">
        <f>'[1]C-FCL Real'!E149</f>
        <v>2.0724180754066222</v>
      </c>
      <c r="G30" s="20">
        <f>'[1]C-FCL Real'!F149</f>
        <v>2.0821584403610331</v>
      </c>
      <c r="H30" s="20">
        <f>'[1]C-FCL Real'!G149</f>
        <v>2.0919445850307299</v>
      </c>
      <c r="I30" s="20">
        <f>'[1]C-FCL Real'!H149</f>
        <v>2.101776724580374</v>
      </c>
      <c r="J30" s="20">
        <f>'[1]C-FCL Real'!I149</f>
        <v>2.1116550751859018</v>
      </c>
      <c r="K30" s="20">
        <f>'[1]C-FCL Real'!J149</f>
        <v>2.1215798540392754</v>
      </c>
      <c r="L30" s="20">
        <f>'[1]C-FCL Real'!K149</f>
        <v>2.1315512793532601</v>
      </c>
      <c r="M30" s="20">
        <f>'[1]C-FCL Real'!L149</f>
        <v>2.1415695703662201</v>
      </c>
      <c r="N30" s="20">
        <f>'[1]C-FCL Real'!M149</f>
        <v>2.1516349473469414</v>
      </c>
      <c r="O30" s="20">
        <f>'[1]C-FCL Real'!N149</f>
        <v>2.1617476315994719</v>
      </c>
      <c r="P30" s="20">
        <f>'[1]C-FCL Real'!O149</f>
        <v>2.1719078454679894</v>
      </c>
      <c r="Q30" s="20">
        <f>'[1]C-FCL Real'!P149</f>
        <v>2.1821158123416886</v>
      </c>
      <c r="R30" s="20">
        <f>'[1]C-FCL Real'!Q149</f>
        <v>2.1923717566596945</v>
      </c>
      <c r="S30" s="20">
        <f>'[1]C-FCL Real'!O149</f>
        <v>2.1719078454679894</v>
      </c>
      <c r="T30" s="20">
        <f>'[1]C-FCL Real'!P149</f>
        <v>2.1821158123416886</v>
      </c>
      <c r="U30" s="20">
        <f>'[1]C-FCL Real'!Q149</f>
        <v>2.1923717566596945</v>
      </c>
      <c r="V30" s="20">
        <f>'[1]C-FCL Real'!R149</f>
        <v>2.2026759039159951</v>
      </c>
      <c r="W30" s="20">
        <f>'[1]C-FCL Real'!S149</f>
        <v>2.2130284806644003</v>
      </c>
      <c r="X30" s="20">
        <f>'[1]C-FCL Real'!T149</f>
        <v>2.2234297145235229</v>
      </c>
      <c r="Y30" s="20">
        <f>'[1]C-FCL Real'!U149</f>
        <v>2.2338798341817832</v>
      </c>
      <c r="Z30" s="20">
        <f>'[1]C-FCL Real'!V149</f>
        <v>2.2443790694024375</v>
      </c>
      <c r="AA30" s="20">
        <f>'[1]C-FCL Real'!W149</f>
        <v>2.2549276510286287</v>
      </c>
      <c r="AB30" s="20">
        <f>'[1]C-FCL Real'!X149</f>
        <v>2.2655258109884633</v>
      </c>
      <c r="AC30" s="20">
        <f>'[1]C-FCL Real'!Y149</f>
        <v>2.2761737823001087</v>
      </c>
      <c r="AD30" s="20">
        <f>'[1]C-FCL Real'!Z149</f>
        <v>2.286871799076919</v>
      </c>
      <c r="AE30" s="20">
        <f>'[1]C-FCL Real'!AA149</f>
        <v>2.2976200965325804</v>
      </c>
      <c r="AF30" s="20">
        <f>'[1]C-FCL Real'!AB149</f>
        <v>2.3084189109862834</v>
      </c>
      <c r="AG30" s="20">
        <f>'[1]C-FCL Real'!AC149</f>
        <v>2.3192684798679188</v>
      </c>
      <c r="AH30" s="20">
        <f>'[1]C-FCL Real'!AD149</f>
        <v>2.3301690417232979</v>
      </c>
      <c r="AI30" s="20">
        <f>'[1]C-FCL Real'!AE149</f>
        <v>2.3411208362193974</v>
      </c>
      <c r="AJ30" s="20">
        <f>'[1]C-FCL Real'!AF149</f>
        <v>2.3521241041496284</v>
      </c>
      <c r="AK30" s="20">
        <f>'[1]C-FCL Real'!AG149</f>
        <v>2.3631790874391316</v>
      </c>
      <c r="AL30" s="20">
        <f>'[1]C-FCL Real'!AH149</f>
        <v>2.3742860291500953</v>
      </c>
      <c r="AM30" s="20">
        <f>'[1]C-FCL Real'!AI149</f>
        <v>2.3854451734871005</v>
      </c>
      <c r="AN30" s="20">
        <f>'[1]C-FCL Real'!AJ149</f>
        <v>2.3966567658024895</v>
      </c>
      <c r="AO30" s="20">
        <f>'[1]C-FCL Real'!AK149</f>
        <v>2.4079210526017611</v>
      </c>
      <c r="AP30" s="20">
        <f>'[1]C-FCL Real'!AL149</f>
        <v>2.4192382815489895</v>
      </c>
      <c r="AQ30" s="20">
        <f>'[1]C-FCL Real'!AM149</f>
        <v>2.4306087014722695</v>
      </c>
      <c r="AR30" s="20">
        <f>'[1]C-FCL Real'!AN149</f>
        <v>2.4420325623691888</v>
      </c>
      <c r="AS30" s="20">
        <f>'[1]C-FCL Real'!AO149</f>
        <v>2.4535101154123238</v>
      </c>
      <c r="AT30" s="20">
        <f>'[1]C-FCL Real'!AP149</f>
        <v>2.4650416129547614</v>
      </c>
      <c r="AU30" s="20">
        <f>'[1]C-FCL Real'!AQ149</f>
        <v>2.4766273085356487</v>
      </c>
      <c r="AV30" s="20">
        <f>'[1]C-FCL Real'!AR149</f>
        <v>2.4882674568857661</v>
      </c>
      <c r="AW30" s="20">
        <f>'[1]C-FCL Real'!AS149</f>
        <v>2.4999623139331288</v>
      </c>
      <c r="AX30" s="20">
        <f>'[1]C-FCL Real'!AT149</f>
        <v>2.5117121368086144</v>
      </c>
      <c r="AY30" s="20">
        <f>'[1]C-FCL Real'!AU149</f>
        <v>2.5235171838516148</v>
      </c>
      <c r="AZ30" s="20">
        <f>'[1]C-FCL Real'!AV149</f>
        <v>2.5353777146157173</v>
      </c>
      <c r="BA30" s="20">
        <f>'[1]C-FCL Real'!AW149</f>
        <v>2.5472939898744111</v>
      </c>
      <c r="BB30" s="20">
        <f>'[1]C-FCL Real'!AX149</f>
        <v>2.5592662716268206</v>
      </c>
      <c r="BC30" s="20">
        <f>'[1]C-FCL Real'!AY149</f>
        <v>2.5712948231034667</v>
      </c>
      <c r="BD30" s="20">
        <f>'[1]C-FCL Real'!AZ149</f>
        <v>2.5833799087720526</v>
      </c>
      <c r="BE30" s="20">
        <f>'[1]C-FCL Real'!BA149</f>
        <v>2.5955217943432811</v>
      </c>
      <c r="BF30" s="20">
        <f>'[1]C-FCL Real'!BB149</f>
        <v>2.6077207467766943</v>
      </c>
      <c r="BG30" s="20">
        <f>'[1]C-FCL Real'!BC149</f>
        <v>2.6199770342865447</v>
      </c>
      <c r="BH30" s="20">
        <f>'[1]C-FCL Real'!BD149</f>
        <v>0</v>
      </c>
    </row>
    <row r="31" spans="1:60" ht="15" customHeight="1" outlineLevel="1" x14ac:dyDescent="0.3">
      <c r="A31" s="172">
        <f>C31*1000000/$C$16</f>
        <v>55.432462315021723</v>
      </c>
      <c r="B31" s="176" t="s">
        <v>57</v>
      </c>
      <c r="C31" s="169">
        <f>SUMIF($D$15:$BG$15,1,D31:BG31)</f>
        <v>66.166752545396619</v>
      </c>
      <c r="D31" s="175">
        <f t="shared" ref="D31:AJ31" si="4">NPV($C$8,D30:D30)</f>
        <v>1.8730494292221855</v>
      </c>
      <c r="E31" s="20">
        <f t="shared" si="4"/>
        <v>1.8818527615395295</v>
      </c>
      <c r="F31" s="20">
        <f t="shared" si="4"/>
        <v>1.8906974695187653</v>
      </c>
      <c r="G31" s="20">
        <f t="shared" si="4"/>
        <v>1.8995837476255033</v>
      </c>
      <c r="H31" s="20">
        <f t="shared" si="4"/>
        <v>1.908511791239343</v>
      </c>
      <c r="I31" s="20">
        <f t="shared" si="4"/>
        <v>1.9174817966581676</v>
      </c>
      <c r="J31" s="20">
        <f t="shared" si="4"/>
        <v>1.9264939611024612</v>
      </c>
      <c r="K31" s="20">
        <f t="shared" si="4"/>
        <v>1.9355484827196425</v>
      </c>
      <c r="L31" s="20">
        <f t="shared" si="4"/>
        <v>1.944645560588425</v>
      </c>
      <c r="M31" s="20">
        <f t="shared" si="4"/>
        <v>1.9537853947231902</v>
      </c>
      <c r="N31" s="20">
        <f t="shared" si="4"/>
        <v>1.9629681860783894</v>
      </c>
      <c r="O31" s="20">
        <f t="shared" si="4"/>
        <v>1.9721941365529576</v>
      </c>
      <c r="P31" s="20">
        <f t="shared" si="4"/>
        <v>1.9814634489947567</v>
      </c>
      <c r="Q31" s="20">
        <f t="shared" si="4"/>
        <v>1.9907763272050316</v>
      </c>
      <c r="R31" s="20">
        <f t="shared" si="4"/>
        <v>2.0001329759428952</v>
      </c>
      <c r="S31" s="20">
        <f t="shared" si="4"/>
        <v>1.9814634489947567</v>
      </c>
      <c r="T31" s="20">
        <f t="shared" si="4"/>
        <v>1.9907763272050316</v>
      </c>
      <c r="U31" s="20">
        <f t="shared" si="4"/>
        <v>2.0001329759428952</v>
      </c>
      <c r="V31" s="20">
        <f t="shared" si="4"/>
        <v>2.009533600929827</v>
      </c>
      <c r="W31" s="20">
        <f t="shared" si="4"/>
        <v>2.0189784088541969</v>
      </c>
      <c r="X31" s="20">
        <f t="shared" si="4"/>
        <v>2.0284676073758119</v>
      </c>
      <c r="Y31" s="20">
        <f t="shared" si="4"/>
        <v>2.0380014051304776</v>
      </c>
      <c r="Z31" s="20">
        <f t="shared" si="4"/>
        <v>2.047580011734591</v>
      </c>
      <c r="AA31" s="20">
        <f t="shared" si="4"/>
        <v>2.0572036377897431</v>
      </c>
      <c r="AB31" s="20">
        <f t="shared" si="4"/>
        <v>2.0668724948873551</v>
      </c>
      <c r="AC31" s="20">
        <f t="shared" si="4"/>
        <v>2.0765867956133253</v>
      </c>
      <c r="AD31" s="20">
        <f t="shared" si="4"/>
        <v>2.0863467535527076</v>
      </c>
      <c r="AE31" s="20">
        <f t="shared" si="4"/>
        <v>2.0961525832944052</v>
      </c>
      <c r="AF31" s="20">
        <f t="shared" si="4"/>
        <v>2.1060045004358892</v>
      </c>
      <c r="AG31" s="20">
        <f t="shared" si="4"/>
        <v>2.1159027215879376</v>
      </c>
      <c r="AH31" s="20">
        <f t="shared" si="4"/>
        <v>2.1258474643794005</v>
      </c>
      <c r="AI31" s="20">
        <f t="shared" si="4"/>
        <v>2.1358389474619841</v>
      </c>
      <c r="AJ31" s="20">
        <f t="shared" si="4"/>
        <v>2.145877390515055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customHeight="1" outlineLevel="1" x14ac:dyDescent="0.3">
      <c r="A33" s="172">
        <f>C33*1000000/$C$16</f>
        <v>-303.59817101984714</v>
      </c>
      <c r="B33" s="173" t="s">
        <v>58</v>
      </c>
      <c r="C33" s="174">
        <f>SUMIF($D$15:$BG$15,1,D33:BG33)</f>
        <v>-362.38882806513044</v>
      </c>
      <c r="D33" s="175">
        <f>'[1]C-FCL Real'!C153</f>
        <v>-26.047891415606649</v>
      </c>
      <c r="E33" s="20">
        <f>'[1]C-FCL Real'!D153</f>
        <v>-26.31342688192138</v>
      </c>
      <c r="F33" s="20">
        <f>'[1]C-FCL Real'!E153</f>
        <v>-36.181421024805317</v>
      </c>
      <c r="G33" s="20">
        <f>'[1]C-FCL Real'!F153</f>
        <v>-9.1913923670397537</v>
      </c>
      <c r="H33" s="20">
        <f>'[1]C-FCL Real'!G153</f>
        <v>-9.1467613775353769</v>
      </c>
      <c r="I33" s="20">
        <f>'[1]C-FCL Real'!H153</f>
        <v>-9.1019206223803302</v>
      </c>
      <c r="J33" s="20">
        <f>'[1]C-FCL Real'!I153</f>
        <v>-9.0568691156760543</v>
      </c>
      <c r="K33" s="20">
        <f>'[1]C-FCL Real'!J153</f>
        <v>-9.0116058668902674</v>
      </c>
      <c r="L33" s="20">
        <f>'[1]C-FCL Real'!K153</f>
        <v>-8.9661298808351884</v>
      </c>
      <c r="M33" s="20">
        <f>'[1]C-FCL Real'!L153</f>
        <v>-8.9204401576456505</v>
      </c>
      <c r="N33" s="20">
        <f>'[1]C-FCL Real'!M153</f>
        <v>-8.8745356927571244</v>
      </c>
      <c r="O33" s="20">
        <f>'[1]C-FCL Real'!N153</f>
        <v>-8.8284154768836185</v>
      </c>
      <c r="P33" s="20">
        <f>'[1]C-FCL Real'!O153</f>
        <v>-8.7820784959955063</v>
      </c>
      <c r="Q33" s="20">
        <f>'[1]C-FCL Real'!P153</f>
        <v>-8.7355237312972243</v>
      </c>
      <c r="R33" s="20">
        <f>'[1]C-FCL Real'!Q153</f>
        <v>-8.6887501592048562</v>
      </c>
      <c r="S33" s="20">
        <f>'[1]C-FCL Real'!O153</f>
        <v>-8.7820784959955063</v>
      </c>
      <c r="T33" s="20">
        <f>'[1]C-FCL Real'!P153</f>
        <v>-8.7355237312972243</v>
      </c>
      <c r="U33" s="20">
        <f>'[1]C-FCL Real'!Q153</f>
        <v>-8.6887501592048562</v>
      </c>
      <c r="V33" s="20">
        <f>'[1]C-FCL Real'!R153</f>
        <v>-8.6417567513236566</v>
      </c>
      <c r="W33" s="20">
        <f>'[1]C-FCL Real'!S153</f>
        <v>-8.5945424744254133</v>
      </c>
      <c r="X33" s="20">
        <f>'[1]C-FCL Real'!T153</f>
        <v>-8.5471062904257487</v>
      </c>
      <c r="Y33" s="20">
        <f>'[1]C-FCL Real'!U153</f>
        <v>-8.4994471563612848</v>
      </c>
      <c r="Z33" s="20">
        <f>'[1]C-FCL Real'!V153</f>
        <v>-8.4515640243667232</v>
      </c>
      <c r="AA33" s="20">
        <f>'[1]C-FCL Real'!W153</f>
        <v>-8.4034558416517822</v>
      </c>
      <c r="AB33" s="20">
        <f>'[1]C-FCL Real'!X153</f>
        <v>-8.3551215504780814</v>
      </c>
      <c r="AC33" s="20">
        <f>'[1]C-FCL Real'!Y153</f>
        <v>-8.3065600881358659</v>
      </c>
      <c r="AD33" s="20">
        <f>'[1]C-FCL Real'!Z153</f>
        <v>-8.2577703869206402</v>
      </c>
      <c r="AE33" s="20">
        <f>'[1]C-FCL Real'!AA153</f>
        <v>-8.2087513741097027</v>
      </c>
      <c r="AF33" s="20">
        <f>'[1]C-FCL Real'!AB153</f>
        <v>-8.1595019719385551</v>
      </c>
      <c r="AG33" s="20">
        <f>'[1]C-FCL Real'!AC153</f>
        <v>-8.1100210975772029</v>
      </c>
      <c r="AH33" s="20">
        <f>'[1]C-FCL Real'!AD153</f>
        <v>-8.0603076631063519</v>
      </c>
      <c r="AI33" s="20">
        <f>'[1]C-FCL Real'!AE153</f>
        <v>-8.0103605754934879</v>
      </c>
      <c r="AJ33" s="20">
        <f>'[1]C-FCL Real'!AF153</f>
        <v>-7.9601787365688459</v>
      </c>
      <c r="AK33" s="20">
        <f>'[1]C-FCL Real'!AG153</f>
        <v>-7.9097610430012537</v>
      </c>
      <c r="AL33" s="20">
        <f>'[1]C-FCL Real'!AH153</f>
        <v>-7.859106386273897</v>
      </c>
      <c r="AM33" s="20">
        <f>'[1]C-FCL Real'!AI153</f>
        <v>-7.8082136526599211</v>
      </c>
      <c r="AN33" s="20">
        <f>'[1]C-FCL Real'!AJ153</f>
        <v>-7.7570817231979596</v>
      </c>
      <c r="AO33" s="20">
        <f>'[1]C-FCL Real'!AK153</f>
        <v>-7.7057094736675236</v>
      </c>
      <c r="AP33" s="20">
        <f>'[1]C-FCL Real'!AL153</f>
        <v>-7.6540957745643006</v>
      </c>
      <c r="AQ33" s="20">
        <f>'[1]C-FCL Real'!AM153</f>
        <v>-7.6022394910752862</v>
      </c>
      <c r="AR33" s="20">
        <f>'[1]C-FCL Real'!AN153</f>
        <v>-7.5501394830538775</v>
      </c>
      <c r="AS33" s="20">
        <f>'[1]C-FCL Real'!AO153</f>
        <v>-7.4977946049947661</v>
      </c>
      <c r="AT33" s="20">
        <f>'[1]C-FCL Real'!AP153</f>
        <v>-7.4452037060087797</v>
      </c>
      <c r="AU33" s="20">
        <f>'[1]C-FCL Real'!AQ153</f>
        <v>-7.392365629797558</v>
      </c>
      <c r="AV33" s="20">
        <f>'[1]C-FCL Real'!AR153</f>
        <v>-7.3392792146281423</v>
      </c>
      <c r="AW33" s="20">
        <f>'[1]C-FCL Real'!AS153</f>
        <v>-7.2859432933074331</v>
      </c>
      <c r="AX33" s="20">
        <f>'[1]C-FCL Real'!AT153</f>
        <v>-7.2323566931565146</v>
      </c>
      <c r="AY33" s="20">
        <f>'[1]C-FCL Real'!AU153</f>
        <v>-7.1785182359848871</v>
      </c>
      <c r="AZ33" s="20">
        <f>'[1]C-FCL Real'!AV153</f>
        <v>-7.1244267380645496</v>
      </c>
      <c r="BA33" s="20">
        <f>'[1]C-FCL Real'!AW153</f>
        <v>-7.0700810101039924</v>
      </c>
      <c r="BB33" s="20">
        <f>'[1]C-FCL Real'!AX153</f>
        <v>-7.0154798572220187</v>
      </c>
      <c r="BC33" s="20">
        <f>'[1]C-FCL Real'!AY153</f>
        <v>-6.9606220789214959</v>
      </c>
      <c r="BD33" s="20">
        <f>'[1]C-FCL Real'!AZ153</f>
        <v>-6.9055064690629635</v>
      </c>
      <c r="BE33" s="20">
        <f>'[1]C-FCL Real'!BA153</f>
        <v>-6.8501318158380968</v>
      </c>
      <c r="BF33" s="20">
        <f>'[1]C-FCL Real'!BB153</f>
        <v>-6.7944969017430719</v>
      </c>
      <c r="BG33" s="20">
        <f>'[1]C-FCL Real'!BC153</f>
        <v>-6.7386005035518011</v>
      </c>
      <c r="BH33" s="20">
        <f>'[1]C-FCL Real'!BD153</f>
        <v>0</v>
      </c>
    </row>
    <row r="34" spans="1:60" ht="15" customHeight="1" outlineLevel="1" x14ac:dyDescent="0.3">
      <c r="A34" s="172">
        <f>C34*1000000/$C$16</f>
        <v>-264.92478491527118</v>
      </c>
      <c r="B34" s="176" t="s">
        <v>59</v>
      </c>
      <c r="C34" s="169">
        <f>SUMIF($D$15:$BG$15,1,D34:BG34)</f>
        <v>-316.2264845283791</v>
      </c>
      <c r="D34" s="175">
        <f t="shared" ref="D34:AJ34" si="5">NPV($C$8,D33:D33)</f>
        <v>-23.763874176847324</v>
      </c>
      <c r="E34" s="20">
        <f t="shared" si="5"/>
        <v>-24.006126085468726</v>
      </c>
      <c r="F34" s="20">
        <f t="shared" si="5"/>
        <v>-33.008842176678243</v>
      </c>
      <c r="G34" s="20">
        <f t="shared" si="5"/>
        <v>-8.3854423467651191</v>
      </c>
      <c r="H34" s="20">
        <f t="shared" si="5"/>
        <v>-8.3447248390771556</v>
      </c>
      <c r="I34" s="20">
        <f t="shared" si="5"/>
        <v>-8.3038159591030585</v>
      </c>
      <c r="J34" s="20">
        <f t="shared" si="5"/>
        <v>-8.2627148073930829</v>
      </c>
      <c r="K34" s="20">
        <f t="shared" si="5"/>
        <v>-8.221420480270071</v>
      </c>
      <c r="L34" s="20">
        <f t="shared" si="5"/>
        <v>-8.1799320698095812</v>
      </c>
      <c r="M34" s="20">
        <f t="shared" si="5"/>
        <v>-8.1382486638199261</v>
      </c>
      <c r="N34" s="20">
        <f t="shared" si="5"/>
        <v>-8.096369345822124</v>
      </c>
      <c r="O34" s="20">
        <f t="shared" si="5"/>
        <v>-8.054293195029727</v>
      </c>
      <c r="P34" s="20">
        <f t="shared" si="5"/>
        <v>-8.0120192863286057</v>
      </c>
      <c r="Q34" s="20">
        <f t="shared" si="5"/>
        <v>-7.9695466902565935</v>
      </c>
      <c r="R34" s="20">
        <f t="shared" si="5"/>
        <v>-7.9268744729830383</v>
      </c>
      <c r="S34" s="20">
        <f t="shared" si="5"/>
        <v>-8.0120192863286057</v>
      </c>
      <c r="T34" s="20">
        <f t="shared" si="5"/>
        <v>-7.9695466902565935</v>
      </c>
      <c r="U34" s="20">
        <f t="shared" si="5"/>
        <v>-7.9268744729830383</v>
      </c>
      <c r="V34" s="20">
        <f t="shared" si="5"/>
        <v>-7.8840016962883004</v>
      </c>
      <c r="W34" s="20">
        <f t="shared" si="5"/>
        <v>-7.840927417543095</v>
      </c>
      <c r="X34" s="20">
        <f t="shared" si="5"/>
        <v>-7.7976506896877869</v>
      </c>
      <c r="Y34" s="20">
        <f t="shared" si="5"/>
        <v>-7.7541705612115592</v>
      </c>
      <c r="Z34" s="20">
        <f t="shared" si="5"/>
        <v>-7.7104860761314971</v>
      </c>
      <c r="AA34" s="20">
        <f t="shared" si="5"/>
        <v>-7.666596273971555</v>
      </c>
      <c r="AB34" s="20">
        <f t="shared" si="5"/>
        <v>-7.6225001897414613</v>
      </c>
      <c r="AC34" s="20">
        <f t="shared" si="5"/>
        <v>-7.5781968539154878</v>
      </c>
      <c r="AD34" s="20">
        <f t="shared" si="5"/>
        <v>-7.5336852924111302</v>
      </c>
      <c r="AE34" s="20">
        <f t="shared" si="5"/>
        <v>-7.4889645265677016</v>
      </c>
      <c r="AF34" s="20">
        <f t="shared" si="5"/>
        <v>-7.4440335731248108</v>
      </c>
      <c r="AG34" s="20">
        <f t="shared" si="5"/>
        <v>-7.3988914442007383</v>
      </c>
      <c r="AH34" s="20">
        <f t="shared" si="5"/>
        <v>-7.3535371472707221</v>
      </c>
      <c r="AI34" s="20">
        <f t="shared" si="5"/>
        <v>-7.3079696851451343</v>
      </c>
      <c r="AJ34" s="20">
        <f t="shared" si="5"/>
        <v>-7.2621880559475587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customHeight="1" outlineLevel="1" x14ac:dyDescent="0.3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customHeight="1" outlineLevel="1" x14ac:dyDescent="0.3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customHeight="1" outlineLevel="1" x14ac:dyDescent="0.3">
      <c r="A39" s="172">
        <f>C39*1000000/$C$16</f>
        <v>-303.59817101984714</v>
      </c>
      <c r="B39" s="173" t="s">
        <v>62</v>
      </c>
      <c r="C39" s="174">
        <f>SUMIF($D$15:$BG$15,1,D39:BG39)</f>
        <v>-362.38882806513044</v>
      </c>
      <c r="D39" s="175">
        <f>'[1]C-FCL Real'!C156</f>
        <v>-26.047891415606649</v>
      </c>
      <c r="E39" s="20">
        <f>'[1]C-FCL Real'!D156</f>
        <v>-26.31342688192138</v>
      </c>
      <c r="F39" s="20">
        <f>'[1]C-FCL Real'!E156</f>
        <v>-36.181421024805317</v>
      </c>
      <c r="G39" s="20">
        <f>'[1]C-FCL Real'!F156</f>
        <v>-9.1913923670397537</v>
      </c>
      <c r="H39" s="20">
        <f>'[1]C-FCL Real'!G156</f>
        <v>-9.1467613775353769</v>
      </c>
      <c r="I39" s="20">
        <f>'[1]C-FCL Real'!H156</f>
        <v>-9.1019206223803302</v>
      </c>
      <c r="J39" s="20">
        <f>'[1]C-FCL Real'!I156</f>
        <v>-9.0568691156760543</v>
      </c>
      <c r="K39" s="20">
        <f>'[1]C-FCL Real'!J156</f>
        <v>-9.0116058668902674</v>
      </c>
      <c r="L39" s="20">
        <f>'[1]C-FCL Real'!K156</f>
        <v>-8.9661298808351884</v>
      </c>
      <c r="M39" s="20">
        <f>'[1]C-FCL Real'!L156</f>
        <v>-8.9204401576456505</v>
      </c>
      <c r="N39" s="20">
        <f>'[1]C-FCL Real'!M156</f>
        <v>-8.8745356927571244</v>
      </c>
      <c r="O39" s="20">
        <f>'[1]C-FCL Real'!N156</f>
        <v>-8.8284154768836185</v>
      </c>
      <c r="P39" s="20">
        <f>'[1]C-FCL Real'!O156</f>
        <v>-8.7820784959955063</v>
      </c>
      <c r="Q39" s="20">
        <f>'[1]C-FCL Real'!P156</f>
        <v>-8.7355237312972243</v>
      </c>
      <c r="R39" s="20">
        <f>'[1]C-FCL Real'!Q156</f>
        <v>-8.6887501592048562</v>
      </c>
      <c r="S39" s="20">
        <f>'[1]C-FCL Real'!O156</f>
        <v>-8.7820784959955063</v>
      </c>
      <c r="T39" s="20">
        <f>'[1]C-FCL Real'!P156</f>
        <v>-8.7355237312972243</v>
      </c>
      <c r="U39" s="20">
        <f>'[1]C-FCL Real'!Q156</f>
        <v>-8.6887501592048562</v>
      </c>
      <c r="V39" s="20">
        <f>'[1]C-FCL Real'!R156</f>
        <v>-8.6417567513236566</v>
      </c>
      <c r="W39" s="20">
        <f>'[1]C-FCL Real'!S156</f>
        <v>-8.5945424744254133</v>
      </c>
      <c r="X39" s="20">
        <f>'[1]C-FCL Real'!T156</f>
        <v>-8.5471062904257487</v>
      </c>
      <c r="Y39" s="20">
        <f>'[1]C-FCL Real'!U156</f>
        <v>-8.4994471563612848</v>
      </c>
      <c r="Z39" s="20">
        <f>'[1]C-FCL Real'!V156</f>
        <v>-8.4515640243667232</v>
      </c>
      <c r="AA39" s="20">
        <f>'[1]C-FCL Real'!W156</f>
        <v>-8.4034558416517822</v>
      </c>
      <c r="AB39" s="20">
        <f>'[1]C-FCL Real'!X156</f>
        <v>-8.3551215504780814</v>
      </c>
      <c r="AC39" s="20">
        <f>'[1]C-FCL Real'!Y156</f>
        <v>-8.3065600881358659</v>
      </c>
      <c r="AD39" s="20">
        <f>'[1]C-FCL Real'!Z156</f>
        <v>-8.2577703869206402</v>
      </c>
      <c r="AE39" s="20">
        <f>'[1]C-FCL Real'!AA156</f>
        <v>-8.2087513741097027</v>
      </c>
      <c r="AF39" s="20">
        <f>'[1]C-FCL Real'!AB156</f>
        <v>-8.1595019719385551</v>
      </c>
      <c r="AG39" s="20">
        <f>'[1]C-FCL Real'!AC156</f>
        <v>-8.1100210975772029</v>
      </c>
      <c r="AH39" s="20">
        <f>'[1]C-FCL Real'!AD156</f>
        <v>-8.0603076631063519</v>
      </c>
      <c r="AI39" s="20">
        <f>'[1]C-FCL Real'!AE156</f>
        <v>-8.0103605754934879</v>
      </c>
      <c r="AJ39" s="20">
        <f>'[1]C-FCL Real'!AF156</f>
        <v>-7.9601787365688459</v>
      </c>
      <c r="AK39" s="20">
        <f>'[1]C-FCL Real'!AG156</f>
        <v>-7.9097610430012537</v>
      </c>
      <c r="AL39" s="20">
        <f>'[1]C-FCL Real'!AH156</f>
        <v>-7.859106386273897</v>
      </c>
      <c r="AM39" s="20">
        <f>'[1]C-FCL Real'!AI156</f>
        <v>-7.8082136526599211</v>
      </c>
      <c r="AN39" s="20">
        <f>'[1]C-FCL Real'!AJ156</f>
        <v>-7.7570817231979596</v>
      </c>
      <c r="AO39" s="20">
        <f>'[1]C-FCL Real'!AK156</f>
        <v>-7.7057094736675236</v>
      </c>
      <c r="AP39" s="20">
        <f>'[1]C-FCL Real'!AL156</f>
        <v>-7.6540957745643006</v>
      </c>
      <c r="AQ39" s="20">
        <f>'[1]C-FCL Real'!AM156</f>
        <v>-7.6022394910752862</v>
      </c>
      <c r="AR39" s="20">
        <f>'[1]C-FCL Real'!AN156</f>
        <v>-7.5501394830538775</v>
      </c>
      <c r="AS39" s="20">
        <f>'[1]C-FCL Real'!AO156</f>
        <v>-7.4977946049947661</v>
      </c>
      <c r="AT39" s="20">
        <f>'[1]C-FCL Real'!AP156</f>
        <v>-7.4452037060087797</v>
      </c>
      <c r="AU39" s="20">
        <f>'[1]C-FCL Real'!AQ156</f>
        <v>-7.392365629797558</v>
      </c>
      <c r="AV39" s="20">
        <f>'[1]C-FCL Real'!AR156</f>
        <v>-7.3392792146281423</v>
      </c>
      <c r="AW39" s="20">
        <f>'[1]C-FCL Real'!AS156</f>
        <v>-7.2859432933074331</v>
      </c>
      <c r="AX39" s="20">
        <f>'[1]C-FCL Real'!AT156</f>
        <v>-7.2323566931565146</v>
      </c>
      <c r="AY39" s="20">
        <f>'[1]C-FCL Real'!AU156</f>
        <v>-7.1785182359848871</v>
      </c>
      <c r="AZ39" s="20">
        <f>'[1]C-FCL Real'!AV156</f>
        <v>-7.1244267380645496</v>
      </c>
      <c r="BA39" s="20">
        <f>'[1]C-FCL Real'!AW156</f>
        <v>-7.0700810101039924</v>
      </c>
      <c r="BB39" s="20">
        <f>'[1]C-FCL Real'!AX156</f>
        <v>-7.0154798572220187</v>
      </c>
      <c r="BC39" s="20">
        <f>'[1]C-FCL Real'!AY156</f>
        <v>-6.9606220789214959</v>
      </c>
      <c r="BD39" s="20">
        <f>'[1]C-FCL Real'!AZ156</f>
        <v>-6.9055064690629635</v>
      </c>
      <c r="BE39" s="20">
        <f>'[1]C-FCL Real'!BA156</f>
        <v>-6.8501318158380968</v>
      </c>
      <c r="BF39" s="20">
        <f>'[1]C-FCL Real'!BB156</f>
        <v>-6.7944969017430719</v>
      </c>
      <c r="BG39" s="20">
        <f>'[1]C-FCL Real'!BC156</f>
        <v>-6.7386005035518011</v>
      </c>
      <c r="BH39" s="20">
        <f>'[1]C-FCL Real'!BD156</f>
        <v>0</v>
      </c>
    </row>
    <row r="40" spans="1:60" ht="15" customHeight="1" outlineLevel="1" x14ac:dyDescent="0.3">
      <c r="A40" s="172">
        <f>C40*1000000/$C$16</f>
        <v>-270.97028713967927</v>
      </c>
      <c r="B40" s="176" t="s">
        <v>63</v>
      </c>
      <c r="C40" s="169">
        <f>SUMIF($D$15:$BG$15,1,D40:BG40)</f>
        <v>-323.44267578147185</v>
      </c>
      <c r="D40" s="175">
        <f t="shared" ref="D40:AK40" si="8">NPV($C$8,D39:D39)</f>
        <v>-23.763874176847324</v>
      </c>
      <c r="E40" s="20">
        <f t="shared" si="8"/>
        <v>-24.006126085468726</v>
      </c>
      <c r="F40" s="20">
        <f t="shared" si="8"/>
        <v>-33.008842176678243</v>
      </c>
      <c r="G40" s="20">
        <f t="shared" si="8"/>
        <v>-8.3854423467651191</v>
      </c>
      <c r="H40" s="20">
        <f t="shared" si="8"/>
        <v>-8.3447248390771556</v>
      </c>
      <c r="I40" s="20">
        <f t="shared" si="8"/>
        <v>-8.3038159591030585</v>
      </c>
      <c r="J40" s="20">
        <f t="shared" si="8"/>
        <v>-8.2627148073930829</v>
      </c>
      <c r="K40" s="20">
        <f t="shared" si="8"/>
        <v>-8.221420480270071</v>
      </c>
      <c r="L40" s="20">
        <f t="shared" si="8"/>
        <v>-8.1799320698095812</v>
      </c>
      <c r="M40" s="20">
        <f t="shared" si="8"/>
        <v>-8.1382486638199261</v>
      </c>
      <c r="N40" s="20">
        <f t="shared" si="8"/>
        <v>-8.096369345822124</v>
      </c>
      <c r="O40" s="20">
        <f t="shared" si="8"/>
        <v>-8.054293195029727</v>
      </c>
      <c r="P40" s="20">
        <f t="shared" si="8"/>
        <v>-8.0120192863286057</v>
      </c>
      <c r="Q40" s="20">
        <f t="shared" si="8"/>
        <v>-7.9695466902565935</v>
      </c>
      <c r="R40" s="20">
        <f t="shared" si="8"/>
        <v>-7.9268744729830383</v>
      </c>
      <c r="S40" s="20">
        <f t="shared" si="8"/>
        <v>-8.0120192863286057</v>
      </c>
      <c r="T40" s="20">
        <f t="shared" si="8"/>
        <v>-7.9695466902565935</v>
      </c>
      <c r="U40" s="20">
        <f t="shared" si="8"/>
        <v>-7.9268744729830383</v>
      </c>
      <c r="V40" s="20">
        <f t="shared" si="8"/>
        <v>-7.8840016962883004</v>
      </c>
      <c r="W40" s="20">
        <f t="shared" si="8"/>
        <v>-7.840927417543095</v>
      </c>
      <c r="X40" s="20">
        <f t="shared" si="8"/>
        <v>-7.7976506896877869</v>
      </c>
      <c r="Y40" s="20">
        <f t="shared" si="8"/>
        <v>-7.7541705612115592</v>
      </c>
      <c r="Z40" s="20">
        <f t="shared" si="8"/>
        <v>-7.7104860761314971</v>
      </c>
      <c r="AA40" s="20">
        <f t="shared" si="8"/>
        <v>-7.666596273971555</v>
      </c>
      <c r="AB40" s="20">
        <f t="shared" si="8"/>
        <v>-7.6225001897414613</v>
      </c>
      <c r="AC40" s="20">
        <f t="shared" si="8"/>
        <v>-7.5781968539154878</v>
      </c>
      <c r="AD40" s="20">
        <f t="shared" si="8"/>
        <v>-7.5336852924111302</v>
      </c>
      <c r="AE40" s="20">
        <f t="shared" si="8"/>
        <v>-7.4889645265677016</v>
      </c>
      <c r="AF40" s="20">
        <f t="shared" si="8"/>
        <v>-7.4440335731248108</v>
      </c>
      <c r="AG40" s="20">
        <f t="shared" si="8"/>
        <v>-7.3988914442007383</v>
      </c>
      <c r="AH40" s="20">
        <f t="shared" si="8"/>
        <v>-7.3535371472707221</v>
      </c>
      <c r="AI40" s="20">
        <f t="shared" si="8"/>
        <v>-7.3079696851451343</v>
      </c>
      <c r="AJ40" s="20">
        <f t="shared" si="8"/>
        <v>-7.2621880559475587</v>
      </c>
      <c r="AK40" s="20">
        <f t="shared" si="8"/>
        <v>-7.2161912530927506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customHeight="1" outlineLevel="1" x14ac:dyDescent="0.3">
      <c r="A42" s="172">
        <f>A24+A27+A30</f>
        <v>295.20570860743635</v>
      </c>
      <c r="B42" s="141" t="s">
        <v>64</v>
      </c>
      <c r="C42" s="169"/>
      <c r="D42" s="175">
        <f>'[1]C-FCL Real'!C157</f>
        <v>-26.047891415606649</v>
      </c>
      <c r="E42" s="20">
        <f>'[1]C-FCL Real'!D157</f>
        <v>-52.36131829752803</v>
      </c>
      <c r="F42" s="20">
        <f>'[1]C-FCL Real'!E157</f>
        <v>-88.542739322333347</v>
      </c>
      <c r="G42" s="20">
        <f>'[1]C-FCL Real'!F157</f>
        <v>-97.7341316893731</v>
      </c>
      <c r="H42" s="20">
        <f>'[1]C-FCL Real'!G157</f>
        <v>-106.88089306690847</v>
      </c>
      <c r="I42" s="20">
        <f>'[1]C-FCL Real'!H157</f>
        <v>-115.9828136892888</v>
      </c>
      <c r="J42" s="20">
        <f>'[1]C-FCL Real'!I157</f>
        <v>-125.03968280496485</v>
      </c>
      <c r="K42" s="20">
        <f>'[1]C-FCL Real'!J157</f>
        <v>-134.05128867185513</v>
      </c>
      <c r="L42" s="20">
        <f>'[1]C-FCL Real'!K157</f>
        <v>-143.01741855269032</v>
      </c>
      <c r="M42" s="20">
        <f>'[1]C-FCL Real'!L157</f>
        <v>-151.93785871033597</v>
      </c>
      <c r="N42" s="20">
        <f>'[1]C-FCL Real'!M157</f>
        <v>-160.81239440309309</v>
      </c>
      <c r="O42" s="20">
        <f>'[1]C-FCL Real'!N157</f>
        <v>-169.6408098799767</v>
      </c>
      <c r="P42" s="20">
        <f>'[1]C-FCL Real'!O157</f>
        <v>-178.42288837597221</v>
      </c>
      <c r="Q42" s="20">
        <f>'[1]C-FCL Real'!P157</f>
        <v>-187.15841210726944</v>
      </c>
      <c r="R42" s="20">
        <f>'[1]C-FCL Real'!Q157</f>
        <v>-195.8471622664743</v>
      </c>
      <c r="S42" s="20">
        <f>'[1]C-FCL Real'!O157</f>
        <v>-178.42288837597221</v>
      </c>
      <c r="T42" s="20">
        <f>'[1]C-FCL Real'!P157</f>
        <v>-187.15841210726944</v>
      </c>
      <c r="U42" s="20">
        <f>'[1]C-FCL Real'!Q157</f>
        <v>-195.8471622664743</v>
      </c>
      <c r="V42" s="20">
        <f>'[1]C-FCL Real'!R157</f>
        <v>-204.48891901779797</v>
      </c>
      <c r="W42" s="20">
        <f>'[1]C-FCL Real'!S157</f>
        <v>-213.08346149222339</v>
      </c>
      <c r="X42" s="20">
        <f>'[1]C-FCL Real'!T157</f>
        <v>-221.63056778264914</v>
      </c>
      <c r="Y42" s="20">
        <f>'[1]C-FCL Real'!U157</f>
        <v>-230.13001493901044</v>
      </c>
      <c r="Z42" s="20">
        <f>'[1]C-FCL Real'!V157</f>
        <v>-238.58157896337715</v>
      </c>
      <c r="AA42" s="20">
        <f>'[1]C-FCL Real'!W157</f>
        <v>-246.98503480502893</v>
      </c>
      <c r="AB42" s="20">
        <f>'[1]C-FCL Real'!X157</f>
        <v>-255.34015635550702</v>
      </c>
      <c r="AC42" s="20">
        <f>'[1]C-FCL Real'!Y157</f>
        <v>-263.6467164436429</v>
      </c>
      <c r="AD42" s="20">
        <f>'[1]C-FCL Real'!Z157</f>
        <v>-271.90448683056354</v>
      </c>
      <c r="AE42" s="20">
        <f>'[1]C-FCL Real'!AA157</f>
        <v>-280.11323820467322</v>
      </c>
      <c r="AF42" s="20">
        <f>'[1]C-FCL Real'!AB157</f>
        <v>-288.27274017661176</v>
      </c>
      <c r="AG42" s="20">
        <f>'[1]C-FCL Real'!AC157</f>
        <v>-296.38276127418897</v>
      </c>
      <c r="AH42" s="20">
        <f>'[1]C-FCL Real'!AD157</f>
        <v>-304.44306893729532</v>
      </c>
      <c r="AI42" s="20">
        <f>'[1]C-FCL Real'!AE157</f>
        <v>-312.45342951278883</v>
      </c>
      <c r="AJ42" s="20">
        <f>'[1]C-FCL Real'!AF157</f>
        <v>-320.41360824935765</v>
      </c>
      <c r="AK42" s="20">
        <f>'[1]C-FCL Real'!AG157</f>
        <v>-328.3233692923589</v>
      </c>
      <c r="AL42" s="20">
        <f>'[1]C-FCL Real'!AH157</f>
        <v>-336.18247567863278</v>
      </c>
      <c r="AM42" s="20">
        <f>'[1]C-FCL Real'!AI157</f>
        <v>-343.99068933129269</v>
      </c>
      <c r="AN42" s="20">
        <f>'[1]C-FCL Real'!AJ157</f>
        <v>-351.74777105449067</v>
      </c>
      <c r="AO42" s="20">
        <f>'[1]C-FCL Real'!AK157</f>
        <v>-359.4534805281582</v>
      </c>
      <c r="AP42" s="20">
        <f>'[1]C-FCL Real'!AL157</f>
        <v>-367.10757630272252</v>
      </c>
      <c r="AQ42" s="20">
        <f>'[1]C-FCL Real'!AM157</f>
        <v>-374.70981579379782</v>
      </c>
      <c r="AR42" s="20">
        <f>'[1]C-FCL Real'!AN157</f>
        <v>-382.25995527685171</v>
      </c>
      <c r="AS42" s="20">
        <f>'[1]C-FCL Real'!AO157</f>
        <v>-389.75774988184651</v>
      </c>
      <c r="AT42" s="20">
        <f>'[1]C-FCL Real'!AP157</f>
        <v>-397.20295358785529</v>
      </c>
      <c r="AU42" s="20">
        <f>'[1]C-FCL Real'!AQ157</f>
        <v>-404.59531921765284</v>
      </c>
      <c r="AV42" s="20">
        <f>'[1]C-FCL Real'!AR157</f>
        <v>-411.93459843228101</v>
      </c>
      <c r="AW42" s="20">
        <f>'[1]C-FCL Real'!AS157</f>
        <v>-419.22054172558842</v>
      </c>
      <c r="AX42" s="20">
        <f>'[1]C-FCL Real'!AT157</f>
        <v>-426.45289841874495</v>
      </c>
      <c r="AY42" s="20">
        <f>'[1]C-FCL Real'!AU157</f>
        <v>-433.63141665472983</v>
      </c>
      <c r="AZ42" s="20">
        <f>'[1]C-FCL Real'!AV157</f>
        <v>-440.75584339279436</v>
      </c>
      <c r="BA42" s="20">
        <f>'[1]C-FCL Real'!AW157</f>
        <v>-447.82592440289835</v>
      </c>
      <c r="BB42" s="20">
        <f>'[1]C-FCL Real'!AX157</f>
        <v>-454.84140426012038</v>
      </c>
      <c r="BC42" s="20">
        <f>'[1]C-FCL Real'!AY157</f>
        <v>-461.8020263390419</v>
      </c>
      <c r="BD42" s="20">
        <f>'[1]C-FCL Real'!AZ157</f>
        <v>-468.70753280810487</v>
      </c>
      <c r="BE42" s="20">
        <f>'[1]C-FCL Real'!BA157</f>
        <v>-475.55766462394297</v>
      </c>
      <c r="BF42" s="20">
        <f>'[1]C-FCL Real'!BB157</f>
        <v>-482.35216152568603</v>
      </c>
      <c r="BG42" s="20">
        <f>'[1]C-FCL Real'!BC157</f>
        <v>-489.09076202923785</v>
      </c>
      <c r="BH42" s="20">
        <f>'[1]C-FCL Real'!BD157</f>
        <v>0</v>
      </c>
    </row>
    <row r="43" spans="1:60" ht="15" customHeight="1" outlineLevel="1" x14ac:dyDescent="0.3">
      <c r="A43" s="172">
        <f>A18+A21+A36</f>
        <v>598.80387962728366</v>
      </c>
      <c r="B43" s="141" t="s">
        <v>65</v>
      </c>
      <c r="C43" s="177">
        <f>'[1]R&amp;C-Painel de Controle'!D32</f>
        <v>35</v>
      </c>
      <c r="D43" s="164" t="s">
        <v>3</v>
      </c>
    </row>
    <row r="44" spans="1:60" ht="15" customHeight="1" outlineLevel="1" x14ac:dyDescent="0.3">
      <c r="A44" s="172">
        <f>A42-A43</f>
        <v>-303.59817101984731</v>
      </c>
      <c r="B44" s="141" t="s">
        <v>45</v>
      </c>
      <c r="C44" s="1"/>
      <c r="F44" s="179"/>
      <c r="G44" s="179"/>
    </row>
    <row r="45" spans="1:60" ht="15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customHeight="1" outlineLevel="1" x14ac:dyDescent="0.3">
      <c r="B46" s="180" t="s">
        <v>66</v>
      </c>
      <c r="C46" s="174">
        <f>F46*$C$16/1000000</f>
        <v>275.10749376020374</v>
      </c>
      <c r="D46" s="181" t="s">
        <v>67</v>
      </c>
      <c r="E46" s="181"/>
      <c r="F46" s="182">
        <f>A27</f>
        <v>230.47656404143015</v>
      </c>
      <c r="G46" s="181" t="s">
        <v>8</v>
      </c>
      <c r="H46" s="181"/>
    </row>
    <row r="47" spans="1:60" ht="15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customHeight="1" outlineLevel="1" thickBot="1" x14ac:dyDescent="0.35">
      <c r="B48" s="180" t="s">
        <v>69</v>
      </c>
      <c r="C48" s="174">
        <f>F48*$C$16/1000000</f>
        <v>77.263702749381565</v>
      </c>
      <c r="D48" s="181" t="s">
        <v>67</v>
      </c>
      <c r="E48" s="181"/>
      <c r="F48" s="182">
        <f>A30</f>
        <v>64.72914456600617</v>
      </c>
      <c r="G48" s="181" t="s">
        <v>8</v>
      </c>
      <c r="H48" s="181"/>
    </row>
    <row r="49" spans="1:8" s="155" customFormat="1" ht="15" customHeight="1" outlineLevel="1" thickTop="1" x14ac:dyDescent="0.3">
      <c r="B49" s="187" t="s">
        <v>70</v>
      </c>
      <c r="C49" s="188">
        <f>C46+C47+C48</f>
        <v>352.37119650958527</v>
      </c>
      <c r="D49" s="189" t="s">
        <v>67</v>
      </c>
      <c r="E49" s="189"/>
      <c r="F49" s="190">
        <f>F46+F47+F48</f>
        <v>295.20570860743635</v>
      </c>
      <c r="G49" s="189" t="s">
        <v>8</v>
      </c>
      <c r="H49" s="189"/>
    </row>
    <row r="50" spans="1:8" ht="15" customHeight="1" outlineLevel="1" x14ac:dyDescent="0.3">
      <c r="B50" s="183" t="s">
        <v>71</v>
      </c>
      <c r="C50" s="184">
        <f>F50*$C$16/1000000</f>
        <v>714.760024574716</v>
      </c>
      <c r="D50" s="185" t="s">
        <v>67</v>
      </c>
      <c r="E50" s="185"/>
      <c r="F50" s="186">
        <f>A18+A21</f>
        <v>598.80387962728366</v>
      </c>
      <c r="G50" s="185" t="s">
        <v>8</v>
      </c>
      <c r="H50" s="185"/>
    </row>
    <row r="51" spans="1:8" ht="15" customHeight="1" outlineLevel="1" x14ac:dyDescent="0.3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customHeight="1" outlineLevel="1" thickTop="1" x14ac:dyDescent="0.3">
      <c r="B53" s="196" t="s">
        <v>73</v>
      </c>
      <c r="C53" s="197">
        <f>C49-C50-C51</f>
        <v>-362.38882806513072</v>
      </c>
      <c r="D53" s="198" t="s">
        <v>67</v>
      </c>
      <c r="E53" s="198"/>
      <c r="F53" s="199">
        <f>F49-F50-F51</f>
        <v>-303.59817101984731</v>
      </c>
      <c r="G53" s="198" t="s">
        <v>8</v>
      </c>
      <c r="H53" s="198"/>
    </row>
    <row r="54" spans="1:8" ht="15" customHeight="1" thickBot="1" x14ac:dyDescent="0.35">
      <c r="A54" s="172"/>
      <c r="C54" s="54"/>
      <c r="F54" s="179"/>
      <c r="G54" s="179"/>
    </row>
    <row r="55" spans="1:8" s="200" customFormat="1" ht="25.2" customHeight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customHeight="1" outlineLevel="1" x14ac:dyDescent="0.3">
      <c r="B57" s="205" t="s">
        <v>75</v>
      </c>
      <c r="C57" s="206">
        <f>C58*C59</f>
        <v>3175350.1750524198</v>
      </c>
      <c r="D57" s="207" t="s">
        <v>9</v>
      </c>
      <c r="E57" s="207"/>
      <c r="F57" s="208">
        <f>C57/'[1]R&amp;C-Painel de Controle'!$D$8</f>
        <v>100.11218185342608</v>
      </c>
      <c r="G57" s="207" t="s">
        <v>8</v>
      </c>
      <c r="H57" s="56">
        <f>F57/$F$99</f>
        <v>0.26351627017367485</v>
      </c>
    </row>
    <row r="58" spans="1:8" s="164" customFormat="1" ht="15" customHeight="1" outlineLevel="1" x14ac:dyDescent="0.3">
      <c r="B58" s="209" t="s">
        <v>76</v>
      </c>
      <c r="C58" s="210">
        <f>('[1]R&amp;C-Painel de Controle'!D8-'[1]R&amp;C-Painel de Controle'!D9)</f>
        <v>19437.018907799997</v>
      </c>
      <c r="D58" s="203" t="s">
        <v>5</v>
      </c>
      <c r="E58" s="203"/>
      <c r="F58" s="204"/>
      <c r="G58" s="203"/>
      <c r="H58" s="55"/>
    </row>
    <row r="59" spans="1:8" s="164" customFormat="1" ht="15" customHeight="1" outlineLevel="1" x14ac:dyDescent="0.3">
      <c r="B59" s="211" t="s">
        <v>77</v>
      </c>
      <c r="C59" s="212">
        <f>IF('[1]R-Definição'!E121="Novo",(('[1]R&amp;C-Painel de Controle'!L73*'[1]C-Dados RT Simplif.'!C105+'[1]R&amp;C-Painel de Controle'!P73*'[1]C-Dados RT Simplif.'!C105*'[1]C-Dados RT Simplif.'!C7)/('[1]C-Dados RT Simplif.'!C7*'[1]C-Dados RT Simplif.'!C105)),('[1]R&amp;C-Painel de Controle'!D88+'[1]R&amp;C-Painel de Controle'!D89))</f>
        <v>163.36611031325202</v>
      </c>
      <c r="D59" s="213" t="s">
        <v>8</v>
      </c>
      <c r="E59" s="213"/>
      <c r="F59" s="214"/>
      <c r="G59" s="213"/>
      <c r="H59" s="57"/>
    </row>
    <row r="60" spans="1:8" s="164" customFormat="1" ht="15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customHeight="1" outlineLevel="1" x14ac:dyDescent="0.3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C61/'[1]R&amp;C-Painel de Controle'!$D$8</f>
        <v>77.861174682099431</v>
      </c>
      <c r="G61" s="220" t="s">
        <v>8</v>
      </c>
      <c r="H61" s="59">
        <f>F61/$F$99</f>
        <v>0.20494695014846132</v>
      </c>
    </row>
    <row r="62" spans="1:8" s="164" customFormat="1" ht="15" customHeight="1" outlineLevel="1" x14ac:dyDescent="0.3">
      <c r="B62" s="222" t="str">
        <f>'[1]R&amp;C-Painel de Controle'!J36</f>
        <v>Mat. Recicl.: Papel/Papelão — Triagem Mecanizada</v>
      </c>
      <c r="C62" s="223">
        <f>'[1]R&amp;C-Painel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customHeight="1" outlineLevel="1" x14ac:dyDescent="0.3">
      <c r="B63" s="209" t="str">
        <f>'[1]R&amp;C-Painel de Controle'!J37</f>
        <v>Mat. Recicl.: Plástico Filme — Triagem Mecanizada</v>
      </c>
      <c r="C63" s="210">
        <f>'[1]R&amp;C-Painel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customHeight="1" outlineLevel="1" x14ac:dyDescent="0.3">
      <c r="B64" s="209" t="str">
        <f>'[1]R&amp;C-Painel de Controle'!J38</f>
        <v>Mat. Recicl.: Plástico Rígido — Triagem Mecanizada</v>
      </c>
      <c r="C64" s="210">
        <f>'[1]R&amp;C-Painel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customHeight="1" outlineLevel="1" x14ac:dyDescent="0.3">
      <c r="B65" s="209" t="str">
        <f>'[1]R&amp;C-Painel de Controle'!J39</f>
        <v>Mat. Recicl.: Vidros — Triagem Mecânica</v>
      </c>
      <c r="C65" s="210">
        <f>'[1]R&amp;C-Painel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customHeight="1" outlineLevel="1" x14ac:dyDescent="0.3">
      <c r="B66" s="209" t="str">
        <f>'[1]R&amp;C-Painel de Controle'!J40</f>
        <v>Mat. Recicl.: Metais Não Ferrosos — Triagem Mecanizada</v>
      </c>
      <c r="C66" s="210">
        <f>'[1]R&amp;C-Painel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customHeight="1" outlineLevel="1" x14ac:dyDescent="0.3">
      <c r="B67" s="209" t="str">
        <f>'[1]R&amp;C-Painel de Controle'!J41</f>
        <v>Mat. Recicl.: Metais Ferrosos — Triagem Mecanizada</v>
      </c>
      <c r="C67" s="210">
        <f>'[1]R&amp;C-Painel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customHeight="1" outlineLevel="1" x14ac:dyDescent="0.3">
      <c r="B68" s="209" t="str">
        <f>'[1]R&amp;C-Painel de Controle'!B98</f>
        <v>Doação Receitas Venda Materiais Recicláveis</v>
      </c>
      <c r="C68" s="210" t="str">
        <f>'[1]R&amp;C-Painel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customHeight="1" outlineLevel="1" x14ac:dyDescent="0.3">
      <c r="B69" s="209" t="str">
        <f>'[1]R&amp;C-Painel de Controle'!B99</f>
        <v>% Doação das Receitas aos Catadores</v>
      </c>
      <c r="C69" s="60">
        <f>'[1]R&amp;C-Painel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customHeight="1" outlineLevel="1" x14ac:dyDescent="0.3">
      <c r="B70" s="209" t="str">
        <f>'[1]R&amp;C-Painel de Controle'!B100</f>
        <v>% Venda Matetriais Reciclávevis fora do Estado</v>
      </c>
      <c r="C70" s="60">
        <f>'[1]R&amp;C-Painel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customHeight="1" outlineLevel="1" x14ac:dyDescent="0.3">
      <c r="B71" s="209" t="str">
        <f>'[1]R&amp;C-Painel de Controle'!B101</f>
        <v>Preço Médio Bruto — Venda (FOB): Papel/Papelão</v>
      </c>
      <c r="C71" s="210">
        <f>'[1]R&amp;C-Painel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customHeight="1" outlineLevel="1" x14ac:dyDescent="0.3">
      <c r="B72" s="209" t="str">
        <f>'[1]R&amp;C-Painel de Controle'!B102</f>
        <v>Preço Médio Bruto — Venda (FOB): Plástico Filme</v>
      </c>
      <c r="C72" s="210">
        <f>'[1]R&amp;C-Painel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customHeight="1" outlineLevel="1" x14ac:dyDescent="0.3">
      <c r="B73" s="209" t="str">
        <f>'[1]R&amp;C-Painel de Controle'!B103</f>
        <v>Preço Médio Bruto — Venda (FOB): Plástico Rígido</v>
      </c>
      <c r="C73" s="210">
        <f>'[1]R&amp;C-Painel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customHeight="1" outlineLevel="1" x14ac:dyDescent="0.3">
      <c r="B74" s="209" t="str">
        <f>'[1]R&amp;C-Painel de Controle'!B104</f>
        <v>Preço Médio Bruto — Venda(FOB): Vidros</v>
      </c>
      <c r="C74" s="210">
        <f>'[1]R&amp;C-Painel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customHeight="1" outlineLevel="1" x14ac:dyDescent="0.3">
      <c r="B75" s="209" t="str">
        <f>'[1]R&amp;C-Painel de Controle'!B105</f>
        <v>Preço Médio Bruto — Venda (FOB): Metais Ferrosos</v>
      </c>
      <c r="C75" s="210">
        <f>'[1]R&amp;C-Painel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customHeight="1" outlineLevel="1" x14ac:dyDescent="0.3">
      <c r="B76" s="209" t="str">
        <f>'[1]R&amp;C-Painel de Controle'!B106</f>
        <v>Preço Médio Bruto — Venda (FOB): Metais Não Ferrosos</v>
      </c>
      <c r="C76" s="210">
        <f>'[1]R&amp;C-Painel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customHeight="1" outlineLevel="1" x14ac:dyDescent="0.3">
      <c r="B78" s="180" t="s">
        <v>80</v>
      </c>
      <c r="C78" s="219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</f>
        <v>2092990.6617490561</v>
      </c>
      <c r="D78" s="181" t="s">
        <v>9</v>
      </c>
      <c r="E78" s="181"/>
      <c r="F78" s="192">
        <f>C78/'[1]R&amp;C-Painel de Controle'!$D$8</f>
        <v>65.987639219376817</v>
      </c>
      <c r="G78" s="181" t="s">
        <v>8</v>
      </c>
      <c r="H78" s="61">
        <f>F78/$F$99</f>
        <v>0.17369331326846113</v>
      </c>
    </row>
    <row r="79" spans="2:8" ht="15" customHeight="1" outlineLevel="1" x14ac:dyDescent="0.3">
      <c r="B79" s="180" t="s">
        <v>81</v>
      </c>
      <c r="C79" s="219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Sanitário'!$U$26*1000000,0))))))/2.4*1.4</f>
        <v>2930186.9264486781</v>
      </c>
      <c r="D79" s="181" t="s">
        <v>9</v>
      </c>
      <c r="E79" s="181"/>
      <c r="F79" s="192">
        <f>C79/'[1]R&amp;C-Painel de Controle'!$D$8</f>
        <v>92.382694907127529</v>
      </c>
      <c r="G79" s="181" t="s">
        <v>8</v>
      </c>
      <c r="H79" s="61">
        <f>F79/$F$99</f>
        <v>0.24317063857584553</v>
      </c>
    </row>
    <row r="80" spans="2:8" s="164" customFormat="1" ht="15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customHeight="1" outlineLevel="1" x14ac:dyDescent="0.3">
      <c r="B81" s="224" t="s">
        <v>82</v>
      </c>
      <c r="C81" s="225">
        <f>(C82*C83+C84*C85)*C86</f>
        <v>545965.65884279762</v>
      </c>
      <c r="D81" s="226" t="s">
        <v>9</v>
      </c>
      <c r="E81" s="226"/>
      <c r="F81" s="227">
        <f>C81/'[1]R&amp;C-Painel de Controle'!$D$8</f>
        <v>17.213160851745563</v>
      </c>
      <c r="G81" s="226" t="s">
        <v>8</v>
      </c>
      <c r="H81" s="62">
        <f>F81/$F$99</f>
        <v>4.5308651370645124E-2</v>
      </c>
    </row>
    <row r="82" spans="2:8" ht="15" customHeight="1" outlineLevel="1" x14ac:dyDescent="0.3">
      <c r="B82" s="228" t="s">
        <v>83</v>
      </c>
      <c r="C82" s="229">
        <f>'[1]R&amp;C-Painel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customHeight="1" outlineLevel="1" x14ac:dyDescent="0.3">
      <c r="B83" s="228" t="s">
        <v>84</v>
      </c>
      <c r="C83" s="229">
        <f>'[1]R&amp;C-Painel de Controle'!D33</f>
        <v>268.77733415910234</v>
      </c>
      <c r="D83" s="164" t="s">
        <v>8</v>
      </c>
      <c r="E83" s="164"/>
      <c r="F83" s="230"/>
      <c r="G83" s="164"/>
      <c r="H83" s="63"/>
    </row>
    <row r="84" spans="2:8" ht="15" customHeight="1" outlineLevel="1" x14ac:dyDescent="0.3">
      <c r="B84" s="228" t="s">
        <v>85</v>
      </c>
      <c r="C84" s="229">
        <f>'[1]R&amp;C-Painel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customHeight="1" outlineLevel="1" x14ac:dyDescent="0.3">
      <c r="B85" s="228" t="s">
        <v>86</v>
      </c>
      <c r="C85" s="229">
        <f>'[1]R&amp;C-Painel de Controle'!H31</f>
        <v>151.95831392385614</v>
      </c>
      <c r="D85" s="164" t="s">
        <v>8</v>
      </c>
      <c r="E85" s="164"/>
      <c r="F85" s="230"/>
      <c r="G85" s="164"/>
      <c r="H85" s="63"/>
    </row>
    <row r="86" spans="2:8" ht="15" customHeight="1" outlineLevel="1" x14ac:dyDescent="0.3">
      <c r="B86" s="231" t="s">
        <v>87</v>
      </c>
      <c r="C86" s="64">
        <f>'[1]C-FCL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customHeight="1" outlineLevel="1" x14ac:dyDescent="0.3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C88/'[1]R&amp;C-Painel de Controle'!$D$8</f>
        <v>1.4901660226239126</v>
      </c>
      <c r="G88" s="226" t="s">
        <v>8</v>
      </c>
      <c r="H88" s="62">
        <f>F88/$F$99</f>
        <v>3.9224296679131352E-3</v>
      </c>
    </row>
    <row r="89" spans="2:8" ht="15" customHeight="1" outlineLevel="1" x14ac:dyDescent="0.3">
      <c r="B89" s="231" t="s">
        <v>89</v>
      </c>
      <c r="C89" s="64">
        <f>'[1]C-FCL Real'!C11</f>
        <v>0.12</v>
      </c>
      <c r="D89" s="232" t="s">
        <v>1</v>
      </c>
      <c r="E89" s="232"/>
      <c r="F89" s="233"/>
      <c r="G89" s="232"/>
      <c r="H89" s="65"/>
    </row>
    <row r="90" spans="2:8" ht="15" customHeight="1" outlineLevel="1" x14ac:dyDescent="0.3">
      <c r="B90" s="231" t="str">
        <f>'[1]R&amp;C-Painel de Controle'!B100</f>
        <v>% Venda Matetriais Reciclávevis fora do Estado</v>
      </c>
      <c r="C90" s="64">
        <f>'[1]R&amp;C-Painel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customHeight="1" outlineLevel="1" x14ac:dyDescent="0.3">
      <c r="B92" s="224" t="s">
        <v>90</v>
      </c>
      <c r="C92" s="225">
        <f>'[1]R&amp;C-Painel de Controle'!D33*'[1]R&amp;C-Painel de Controle'!D8*(C93)+C36*1000000/'[1]R&amp;C-Painel de Controle'!D32</f>
        <v>788567.86339712981</v>
      </c>
      <c r="D92" s="226" t="s">
        <v>9</v>
      </c>
      <c r="E92" s="234"/>
      <c r="F92" s="235">
        <f>C92/'[1]R&amp;C-Painel de Controle'!$D$8</f>
        <v>24.861903409716962</v>
      </c>
      <c r="G92" s="234" t="s">
        <v>8</v>
      </c>
      <c r="H92" s="66">
        <f>F92/$F$99</f>
        <v>6.5441746794998812E-2</v>
      </c>
    </row>
    <row r="93" spans="2:8" ht="15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customHeight="1" outlineLevel="1" x14ac:dyDescent="0.3">
      <c r="B95" s="228" t="s">
        <v>84</v>
      </c>
      <c r="C95" s="229">
        <f>C83</f>
        <v>268.77733415910234</v>
      </c>
      <c r="D95" s="164" t="s">
        <v>8</v>
      </c>
      <c r="E95" s="164"/>
      <c r="F95" s="230"/>
      <c r="G95" s="164"/>
      <c r="H95" s="63"/>
    </row>
    <row r="96" spans="2:8" ht="15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customHeight="1" outlineLevel="1" x14ac:dyDescent="0.3">
      <c r="B97" s="228" t="s">
        <v>86</v>
      </c>
      <c r="C97" s="229">
        <f>C85</f>
        <v>151.95831392385614</v>
      </c>
      <c r="D97" s="164" t="s">
        <v>8</v>
      </c>
      <c r="E97" s="164"/>
      <c r="F97" s="230"/>
      <c r="G97" s="164"/>
      <c r="H97" s="63"/>
    </row>
    <row r="98" spans="2:8" s="164" customFormat="1" ht="15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customHeight="1" outlineLevel="1" thickTop="1" x14ac:dyDescent="0.3">
      <c r="B99" s="236" t="s">
        <v>92</v>
      </c>
      <c r="C99" s="237">
        <f>C57+C61+C78+C79+C81+C88+C92</f>
        <v>12049920.761855241</v>
      </c>
      <c r="D99" s="238" t="s">
        <v>9</v>
      </c>
      <c r="E99" s="239"/>
      <c r="F99" s="240">
        <f>C99/'[1]R&amp;C-Painel de Controle'!$D$8</f>
        <v>379.90892094611633</v>
      </c>
      <c r="G99" s="239" t="s">
        <v>8</v>
      </c>
      <c r="H99" s="68">
        <f>F99/$F$99</f>
        <v>1</v>
      </c>
    </row>
    <row r="100" spans="2:8" ht="15" customHeight="1" thickBot="1" x14ac:dyDescent="0.35">
      <c r="D100" s="164"/>
      <c r="E100" s="164"/>
      <c r="F100" s="164"/>
      <c r="G100" s="164"/>
      <c r="H100" s="164"/>
    </row>
    <row r="101" spans="2:8" ht="25.2" customHeight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customHeight="1" outlineLevel="1" thickTop="1" x14ac:dyDescent="0.3">
      <c r="B102" s="159" t="s">
        <v>367</v>
      </c>
      <c r="C102" s="70">
        <f>'[1]R&amp;C-Painel de Controle'!D6</f>
        <v>96866</v>
      </c>
      <c r="D102" s="164" t="s">
        <v>368</v>
      </c>
      <c r="F102" s="17"/>
      <c r="G102" s="241"/>
    </row>
    <row r="103" spans="2:8" ht="15" customHeight="1" outlineLevel="1" x14ac:dyDescent="0.3">
      <c r="B103" s="69" t="s">
        <v>94</v>
      </c>
      <c r="C103" s="70">
        <f>'[1]R&amp;C-Painel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customHeight="1" outlineLevel="1" x14ac:dyDescent="0.3">
      <c r="B105" s="72" t="s">
        <v>95</v>
      </c>
      <c r="C105" s="70">
        <f>'[1]R&amp;C-Painel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customHeight="1" outlineLevel="1" x14ac:dyDescent="0.3">
      <c r="B107" s="72" t="s">
        <v>152</v>
      </c>
      <c r="C107" s="757">
        <f>'[1]R-Entrada'!E26/100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customHeight="1" outlineLevel="1" x14ac:dyDescent="0.3">
      <c r="B108" s="73" t="s">
        <v>97</v>
      </c>
      <c r="C108" s="243">
        <f>((IF('[1]C-Triagem Mec'!$E$7="SIM",'[1]C-Triagem Mec'!$E$33*'[1]C-Triagem Mec'!$H$2,IF('[1]C-Triagem Mec'!$I$7="SIM",'[1]C-Triagem Mec'!$I$33*'[1]C-Triagem Mec'!$H$2,IF('[1]C-Triagem Mec'!$M$7="SIM",'[1]C-Triagem Mec'!$M$33*'[1]C-Triagem Mec'!$H$2,IF('[1]C-Triagem Mec'!$Q$7="SIM",'[1]C-Triagem Mec'!$Q$33*'[1]C-Triagem Mec'!$H$2,IF('[1]C-Triagem Mec'!$U$7="SIM",'[1]C-Triagem Mec'!$U$33*'[1]C-Triagem Mec'!$H$2,0)))))+IF('[1]C-Produção CDR-TM'!$E$7="SIM",'[1]C-Produção CDR-TM'!$E$33*'[1]C-Produção CDR-TM'!$H$2,IF('[1]C-Produção CDR-TM'!$I$7="SIM",'[1]C-Produção CDR-TM'!$I$33*'[1]C-Produção CDR-TM'!$H$2,IF('[1]C-Produção CDR-TM'!$M$7="SIM",'[1]C-Produção CDR-TM'!$M$33*'[1]C-Produção CDR-TM'!$H$2,IF('[1]C-Produção CDR-TM'!$Q$7="SIM",'[1]C-Produção CDR-TM'!$Q$33*'[1]C-Produção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CDR-TMB'!$Q$33*'[1]C-Produção CDR-TMB'!$H$2,IF('[1]C-Produção CDR-TMB'!$U$7="SIM",'[1]C-Produção CDR-TMB'!$U$33*'[1]C-Produção CDR-TMB'!$H$2,0)))))+IF('[1]C-Biodigestão'!$E$7="SIM",'[1]C-Biodigestão'!$E$36*'[1]C-Biodigestão'!$H$2,IF('[1]C-Biodigestão'!$I$7="SIM",'[1]C-Biodigestão'!$I$36*'[1]C-Biodigestão'!$H$2,IF('[1]C-Biodigestão'!$M$7="SIM",'[1]C-Biodigestão'!$M$36*'[1]C-Biodigestão'!$H$2,IF('[1]C-Biodigestão'!$Q$7="SIM",'[1]C-Biodigestão'!$Q$36*'[1]C-Biodigestão'!$H$2,IF('[1]C-Biodigestão'!$U$7="SIM",'[1]C-Biodigestão'!$U$36*'[1]C-Biodigestão'!$H$2,0)))))+IF('[1]C-Compostagem'!$E$7="SIM",'[1]C-Compostagem'!$E$33*'[1]C-Compostagem'!$H$2,IF('[1]C-Compostagem'!$I$7="SIM",'[1]C-Compostagem'!$I$33*'[1]C-Compostagem'!$H$2,IF('[1]C-Compostagem'!$M$7="SIM",'[1]C-Compostagem'!$M$33*'[1]C-Compostagem'!$H$2,IF('[1]C-Compostagem'!$Q$7="SIM",'[1]C-Compostagem'!$Q$33*'[1]C-Compostagem'!$H$2,IF('[1]C-Compostagem'!$U$7="SIM",'[1]C-Compostagem'!$U$33*'[1]C-Compostagem'!$H$2,0)))))+IF('[1]C-Incineração'!$E$7="SIM",'[1]C-Incineração'!$E$35*'[1]C-Incineração'!$H$2,IF('[1]C-Incineração'!$I$7="SIM",'[1]C-Incineração'!$I$35*'[1]C-Incineração'!$H$2,IF('[1]C-Incineração'!$M$7="SIM",'[1]C-Incineração'!$M$35*'[1]C-Incineração'!$H$2,IF('[1]C-Incineração'!$Q$7="SIM",'[1]C-Incineração'!$Q$35*'[1]C-Incineração'!$H$2,IF('[1]C-Incineração'!$U$7="SIM",'[1]C-Incineração'!$U$35*'[1]C-Incineração'!$H$2,0)))))))/1000</f>
        <v>1127.7427429811567</v>
      </c>
      <c r="D108" s="74" t="s">
        <v>33</v>
      </c>
      <c r="E108" s="242"/>
      <c r="F108" s="242"/>
      <c r="G108" s="242"/>
      <c r="H108" s="242"/>
    </row>
    <row r="109" spans="2:8" ht="15" customHeight="1" outlineLevel="1" x14ac:dyDescent="0.3">
      <c r="B109" s="73" t="s">
        <v>98</v>
      </c>
      <c r="C109" s="75">
        <f>'[1]R&amp;C-Painel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customHeight="1" outlineLevel="1" x14ac:dyDescent="0.3">
      <c r="B112" s="245"/>
      <c r="C112" s="246">
        <f>'[1]R-Resumo Bal. Massa'!G51</f>
        <v>18.948864869999998</v>
      </c>
      <c r="D112" s="74" t="s">
        <v>35</v>
      </c>
      <c r="E112" s="247"/>
      <c r="F112" s="247"/>
      <c r="G112" s="247"/>
      <c r="H112" s="247"/>
    </row>
    <row r="113" spans="2:8" ht="15" customHeight="1" outlineLevel="1" x14ac:dyDescent="0.3">
      <c r="C113" s="174">
        <f>C112*312*$C$106/$C$104/1000</f>
        <v>6.4097856117927545</v>
      </c>
      <c r="D113" s="78" t="s">
        <v>32</v>
      </c>
    </row>
    <row r="114" spans="2:8" ht="15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customHeight="1" outlineLevel="1" x14ac:dyDescent="0.3">
      <c r="B115" s="245"/>
      <c r="C115" s="246">
        <f>'[1]R-Resumo Bal. Massa'!G49</f>
        <v>39.361862475000009</v>
      </c>
      <c r="D115" s="74" t="s">
        <v>35</v>
      </c>
      <c r="E115" s="247"/>
      <c r="F115" s="247"/>
      <c r="G115" s="247"/>
      <c r="H115" s="247"/>
    </row>
    <row r="116" spans="2:8" ht="15" customHeight="1" outlineLevel="1" x14ac:dyDescent="0.3">
      <c r="B116" s="250"/>
      <c r="C116" s="174">
        <f>C115*312*$C$106/$C$104/1000</f>
        <v>13.314839779403641</v>
      </c>
      <c r="D116" s="80" t="s">
        <v>32</v>
      </c>
      <c r="E116" s="252"/>
      <c r="F116" s="252"/>
      <c r="G116" s="252"/>
      <c r="H116" s="252"/>
    </row>
    <row r="117" spans="2:8" ht="15" customHeight="1" outlineLevel="1" x14ac:dyDescent="0.3">
      <c r="B117" s="81" t="s">
        <v>101</v>
      </c>
      <c r="C117" s="229"/>
    </row>
    <row r="118" spans="2:8" s="164" customFormat="1" ht="15" customHeight="1" outlineLevel="1" x14ac:dyDescent="0.3">
      <c r="B118" s="245"/>
      <c r="C118" s="246">
        <f>'[1]R-Resumo Bal. Massa'!G50</f>
        <v>43.349272655000007</v>
      </c>
      <c r="D118" s="74" t="s">
        <v>35</v>
      </c>
      <c r="E118" s="247"/>
      <c r="F118" s="247"/>
      <c r="G118" s="247"/>
      <c r="H118" s="247"/>
    </row>
    <row r="119" spans="2:8" ht="15" customHeight="1" outlineLevel="1" thickBot="1" x14ac:dyDescent="0.35">
      <c r="B119" s="253"/>
      <c r="C119" s="758">
        <f>C118*312*$C$106/$C$104/1000</f>
        <v>14.663651150186295</v>
      </c>
      <c r="D119" s="82" t="s">
        <v>32</v>
      </c>
      <c r="E119" s="255"/>
      <c r="F119" s="255"/>
      <c r="G119" s="255"/>
      <c r="H119" s="255"/>
    </row>
    <row r="120" spans="2:8" ht="15" customHeight="1" outlineLevel="1" thickTop="1" thickBot="1" x14ac:dyDescent="0.35">
      <c r="C120" s="167"/>
    </row>
    <row r="121" spans="2:8" ht="15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customHeight="1" outlineLevel="1" x14ac:dyDescent="0.3">
      <c r="B122" s="1235"/>
      <c r="C122" s="257">
        <f>'[1]R-Resumo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customHeight="1" outlineLevel="1" x14ac:dyDescent="0.3">
      <c r="B123" s="1253"/>
      <c r="C123" s="174">
        <f>C122*312*$C$106/$C$104/1000</f>
        <v>2.7424650541752689</v>
      </c>
      <c r="D123" s="78" t="s">
        <v>32</v>
      </c>
    </row>
    <row r="124" spans="2:8" ht="15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customHeight="1" outlineLevel="1" x14ac:dyDescent="0.3">
      <c r="B125" s="1235"/>
      <c r="C125" s="257">
        <f>'[1]R-Resumo Bal. Massa'!D73</f>
        <v>18.253052999999998</v>
      </c>
      <c r="D125" s="74" t="s">
        <v>35</v>
      </c>
      <c r="E125" s="242"/>
      <c r="F125" s="242"/>
      <c r="G125" s="242"/>
      <c r="H125" s="242"/>
    </row>
    <row r="126" spans="2:8" ht="15" customHeight="1" outlineLevel="1" x14ac:dyDescent="0.3">
      <c r="B126" s="1253"/>
      <c r="C126" s="174">
        <f>C125*312*$C$106/$C$104/1000</f>
        <v>6.1744150530052604</v>
      </c>
      <c r="D126" s="78" t="s">
        <v>32</v>
      </c>
    </row>
    <row r="127" spans="2:8" ht="15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customHeight="1" outlineLevel="1" x14ac:dyDescent="0.3">
      <c r="B128" s="1235"/>
      <c r="C128" s="257">
        <f>'[1]R-Resumo Bal. Massa'!D69</f>
        <v>16.988834655000009</v>
      </c>
      <c r="D128" s="74" t="s">
        <v>35</v>
      </c>
      <c r="E128" s="242"/>
      <c r="F128" s="242"/>
      <c r="G128" s="242"/>
      <c r="H128" s="242"/>
    </row>
    <row r="129" spans="2:8" ht="15" customHeight="1" outlineLevel="1" x14ac:dyDescent="0.3">
      <c r="B129" s="1253"/>
      <c r="C129" s="174">
        <f>C128*312*$C$106/$C$104/1000</f>
        <v>5.7467710430057641</v>
      </c>
      <c r="D129" s="80" t="s">
        <v>32</v>
      </c>
      <c r="E129" s="252"/>
      <c r="F129" s="252"/>
      <c r="G129" s="252"/>
      <c r="H129" s="252"/>
    </row>
    <row r="130" spans="2:8" ht="15" customHeight="1" outlineLevel="1" x14ac:dyDescent="0.3">
      <c r="B130" s="1234" t="s">
        <v>533</v>
      </c>
      <c r="C130" s="1126">
        <f>IF('[1]R-Definição'!E112&gt;0,'[1]R-Definição'!O111/'[1]R-Definição'!E112,0)</f>
        <v>0</v>
      </c>
      <c r="D130" s="164" t="s">
        <v>532</v>
      </c>
    </row>
    <row r="131" spans="2:8" ht="15" customHeight="1" outlineLevel="1" x14ac:dyDescent="0.3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customHeight="1" outlineLevel="1" x14ac:dyDescent="0.3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customHeight="1" outlineLevel="1" x14ac:dyDescent="0.3">
      <c r="B133" s="1234" t="s">
        <v>534</v>
      </c>
      <c r="C133" s="229">
        <f>IF(AND('[1]R-Definição'!O62&gt;0,'[1]R-Definição'!J65&gt;0),('[1]R-Definição'!O69/('[1]R-Definição'!O62*'[1]R-Definição'!J65/100)),0)</f>
        <v>250.89999999999998</v>
      </c>
      <c r="D133" s="164" t="s">
        <v>155</v>
      </c>
    </row>
    <row r="134" spans="2:8" ht="15" customHeight="1" outlineLevel="1" x14ac:dyDescent="0.3">
      <c r="B134" s="1235"/>
      <c r="C134" s="759">
        <f>C133*C106*C107</f>
        <v>13384.490367848497</v>
      </c>
      <c r="D134" s="74" t="s">
        <v>36</v>
      </c>
      <c r="E134" s="242"/>
      <c r="F134" s="242"/>
      <c r="G134" s="242"/>
      <c r="H134" s="242"/>
    </row>
    <row r="135" spans="2:8" ht="15" customHeight="1" outlineLevel="1" x14ac:dyDescent="0.3">
      <c r="B135" s="1253"/>
      <c r="C135" s="251">
        <f>C133*C105*C107/1000</f>
        <v>4175.9609947687304</v>
      </c>
      <c r="D135" s="80" t="s">
        <v>33</v>
      </c>
      <c r="E135" s="252"/>
      <c r="F135" s="252"/>
      <c r="G135" s="252"/>
      <c r="H135" s="252"/>
    </row>
    <row r="136" spans="2:8" ht="15" customHeight="1" outlineLevel="1" x14ac:dyDescent="0.3">
      <c r="B136" s="1234" t="s">
        <v>7</v>
      </c>
      <c r="C136" s="229">
        <f>IF(AND('[1]R-Definição'!O62&gt;0,'[1]R-Definição'!J64&gt;0),('[1]R-Definição'!O70/('[1]R-Definição'!O62*'[1]R-Definição'!J64/100)),0)</f>
        <v>62.724999999999994</v>
      </c>
      <c r="D136" s="74" t="s">
        <v>628</v>
      </c>
    </row>
    <row r="137" spans="2:8" ht="15" customHeight="1" outlineLevel="1" x14ac:dyDescent="0.3">
      <c r="B137" s="1235"/>
      <c r="C137" s="759">
        <f>C136*C106*C107</f>
        <v>3346.1225919621243</v>
      </c>
      <c r="D137" s="74" t="s">
        <v>629</v>
      </c>
      <c r="E137" s="242"/>
      <c r="F137" s="242"/>
      <c r="G137" s="242"/>
      <c r="H137" s="242"/>
    </row>
    <row r="138" spans="2:8" ht="15" customHeight="1" outlineLevel="1" x14ac:dyDescent="0.3">
      <c r="B138" s="1235"/>
      <c r="C138" s="251">
        <f>C136*C105*C107</f>
        <v>1043990.2486921827</v>
      </c>
      <c r="D138" s="74" t="s">
        <v>196</v>
      </c>
      <c r="E138" s="242"/>
      <c r="F138" s="242"/>
      <c r="G138" s="242"/>
      <c r="H138" s="242"/>
    </row>
    <row r="139" spans="2:8" ht="15" customHeight="1" outlineLevel="1" thickBot="1" x14ac:dyDescent="0.35">
      <c r="B139" s="83" t="s">
        <v>104</v>
      </c>
      <c r="C139" s="254">
        <f>(C138*90%)/1000</f>
        <v>939.59122382296448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12.6640625" style="98" bestFit="1" customWidth="1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61" t="s">
        <v>26</v>
      </c>
      <c r="C3" s="1261"/>
      <c r="D3" s="1261"/>
      <c r="E3" s="1261"/>
      <c r="F3" s="1261"/>
      <c r="G3" s="1261"/>
      <c r="H3" s="1261"/>
      <c r="L3" s="1262" t="s">
        <v>159</v>
      </c>
      <c r="M3" s="1263"/>
      <c r="N3" s="301"/>
      <c r="O3" s="1264" t="s">
        <v>169</v>
      </c>
      <c r="P3" s="1264"/>
      <c r="Q3" s="1264"/>
      <c r="R3" s="1264"/>
      <c r="S3" s="1264"/>
      <c r="T3" s="1264"/>
      <c r="U3" s="1264"/>
      <c r="V3" s="1264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65" t="s">
        <v>106</v>
      </c>
      <c r="C5" s="1265"/>
      <c r="D5" s="86"/>
      <c r="E5" s="86"/>
      <c r="F5" s="356"/>
      <c r="G5" s="86"/>
      <c r="H5" s="356"/>
      <c r="L5" s="1266" t="s">
        <v>171</v>
      </c>
      <c r="M5" s="1267"/>
      <c r="N5"/>
      <c r="O5" s="1270" t="s">
        <v>158</v>
      </c>
      <c r="P5" s="1271"/>
      <c r="Q5" s="1271"/>
      <c r="R5" s="1271"/>
      <c r="S5" s="1271"/>
      <c r="T5" s="1271"/>
      <c r="U5" s="1271"/>
      <c r="V5" s="1272"/>
    </row>
    <row r="6" spans="2:22" s="90" customFormat="1" ht="15" customHeight="1" outlineLevel="1" thickTop="1" thickBot="1" x14ac:dyDescent="0.35">
      <c r="B6" s="1265"/>
      <c r="C6" s="1265"/>
      <c r="D6" s="87"/>
      <c r="E6" s="89"/>
      <c r="F6" s="88" t="s">
        <v>10</v>
      </c>
      <c r="G6" s="89"/>
      <c r="H6" s="88" t="s">
        <v>10</v>
      </c>
      <c r="L6" s="1268"/>
      <c r="M6" s="1269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3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RT´s'!C29+'RESUMO GERAL Valoriz. RT´s'!C30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73" t="s">
        <v>107</v>
      </c>
      <c r="C9" s="84" t="s">
        <v>4</v>
      </c>
      <c r="D9" s="78" t="s">
        <v>33</v>
      </c>
      <c r="E9" s="97"/>
      <c r="F9" s="95">
        <f>'C-Dados RT1 Simplif.'!C108</f>
        <v>1127.7427429811567</v>
      </c>
      <c r="G9" s="313"/>
      <c r="H9" s="94">
        <f>'Demanda Preço &amp; Quantidade'!C42</f>
        <v>500</v>
      </c>
      <c r="L9" s="1025" t="s">
        <v>495</v>
      </c>
      <c r="M9" s="294">
        <f>'RESUMO GERAL Valoriz. RT´s'!C31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73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733.34849807869944</v>
      </c>
      <c r="N10" s="272"/>
      <c r="O10" s="283">
        <f>M10</f>
        <v>733.34849807869944</v>
      </c>
      <c r="P10" s="284"/>
      <c r="Q10" s="281">
        <f>Q9</f>
        <v>733.34849807869944</v>
      </c>
      <c r="R10" s="285">
        <f>M9</f>
        <v>0.71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733.34849807869944</v>
      </c>
    </row>
    <row r="11" spans="2:22" s="84" customFormat="1" ht="15" customHeight="1" outlineLevel="1" x14ac:dyDescent="0.3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-10.485505219974332</v>
      </c>
      <c r="N11" s="274"/>
      <c r="O11" s="279"/>
      <c r="P11" s="280"/>
      <c r="Q11" s="281">
        <f>Q10+M11</f>
        <v>722.86299285872508</v>
      </c>
      <c r="R11" s="281">
        <f>M10</f>
        <v>733.34849807869944</v>
      </c>
      <c r="S11" s="281">
        <f>IF(R11&gt;=0,IF(M11&gt;=0,Q10,Q11),IF(M11&gt;=0,S10,Q11))</f>
        <v>722.86299285872508</v>
      </c>
      <c r="T11" s="281">
        <f>IF(M11&gt;=0,M11,0)</f>
        <v>0</v>
      </c>
      <c r="U11" s="281">
        <f t="shared" si="0"/>
        <v>10.485505219974332</v>
      </c>
      <c r="V11" s="282">
        <f>SUM(T11:U11)</f>
        <v>10.485505219974332</v>
      </c>
    </row>
    <row r="12" spans="2:22" s="84" customFormat="1" ht="15" customHeight="1" outlineLevel="1" x14ac:dyDescent="0.3">
      <c r="B12" s="1273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3048.2182517875735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722.86299285872508</v>
      </c>
      <c r="R12" s="281">
        <f>M11</f>
        <v>-10.485505219974332</v>
      </c>
      <c r="S12" s="281">
        <f>IF(R12&gt;=0,IF(M12&gt;=0,Q11,Q12),IF(M12&gt;=0,S11,Q12))</f>
        <v>722.86299285872508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3">
      <c r="B13" s="1273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722.86299285872508</v>
      </c>
      <c r="N13" s="272"/>
      <c r="O13" s="283">
        <f>M13</f>
        <v>722.86299285872508</v>
      </c>
      <c r="P13" s="284"/>
      <c r="Q13" s="281">
        <f>Q12</f>
        <v>722.86299285872508</v>
      </c>
      <c r="R13" s="285">
        <f>M9</f>
        <v>0.71</v>
      </c>
      <c r="S13" s="285">
        <v>0</v>
      </c>
      <c r="T13" s="285">
        <v>0</v>
      </c>
      <c r="U13" s="285">
        <f t="shared" si="0"/>
        <v>0</v>
      </c>
      <c r="V13" s="286">
        <f>Q13</f>
        <v>722.86299285872508</v>
      </c>
    </row>
    <row r="14" spans="2:22" s="84" customFormat="1" ht="15" customHeight="1" outlineLevel="1" x14ac:dyDescent="0.3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-30.11449029771325</v>
      </c>
      <c r="N14" s="274"/>
      <c r="O14" s="279"/>
      <c r="P14" s="280"/>
      <c r="Q14" s="281">
        <f>Q13+M14</f>
        <v>692.74850256101183</v>
      </c>
      <c r="R14" s="281">
        <f t="shared" ref="R14:R22" si="1">M13</f>
        <v>722.86299285872508</v>
      </c>
      <c r="S14" s="281">
        <f>IF(R14&gt;=0,IF(M14&gt;=0,Q13,Q14),IF(M14&gt;=0,S13,Q14))</f>
        <v>692.74850256101183</v>
      </c>
      <c r="T14" s="281">
        <f>IF(M14&gt;=0,M14,0)</f>
        <v>0</v>
      </c>
      <c r="U14" s="281">
        <f t="shared" si="0"/>
        <v>30.11449029771325</v>
      </c>
      <c r="V14" s="282">
        <f>SUM(T14:U14)</f>
        <v>30.11449029771325</v>
      </c>
    </row>
    <row r="15" spans="2:22" s="84" customFormat="1" ht="15" customHeight="1" outlineLevel="1" x14ac:dyDescent="0.3">
      <c r="B15" s="1273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692.74850256101183</v>
      </c>
      <c r="R15" s="281">
        <f t="shared" si="1"/>
        <v>-30.11449029771325</v>
      </c>
      <c r="S15" s="281">
        <f>IF(R15&gt;=0,IF(M15&gt;=0,Q14,Q15),IF(M15&gt;=0,S14,Q15))</f>
        <v>692.74850256101183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3">
      <c r="B16" s="1273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3.6</v>
      </c>
      <c r="L16" s="288" t="s">
        <v>167</v>
      </c>
      <c r="M16" s="296">
        <f>SUM(M13:M15)</f>
        <v>692.74850256101183</v>
      </c>
      <c r="N16" s="272"/>
      <c r="O16" s="283">
        <f>M16</f>
        <v>692.74850256101183</v>
      </c>
      <c r="P16" s="284"/>
      <c r="Q16" s="285">
        <f>Q15+M16-O16</f>
        <v>692.74850256101183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692.74850256101183</v>
      </c>
    </row>
    <row r="17" spans="2:22" s="84" customFormat="1" ht="15" customHeight="1" outlineLevel="1" x14ac:dyDescent="0.3">
      <c r="B17" s="1273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692.74850256101183</v>
      </c>
      <c r="R17" s="281">
        <f t="shared" si="1"/>
        <v>692.74850256101183</v>
      </c>
      <c r="S17" s="281">
        <f>IF(R17&gt;=0,IF(M17&gt;=0,Q16,Q17),IF(M17&gt;=0,S16,Q17))</f>
        <v>692.74850256101183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3">
      <c r="B18" s="1273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692.74850256101183</v>
      </c>
      <c r="R18" s="281">
        <f t="shared" si="1"/>
        <v>0</v>
      </c>
      <c r="S18" s="281">
        <f>IF(R18&gt;=0,IF(M18&gt;=0,Q17,Q18),IF(M18&gt;=0,S17,Q18))</f>
        <v>692.74850256101183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3">
      <c r="B19" s="349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673.39103751101186</v>
      </c>
      <c r="R19" s="281">
        <f t="shared" si="1"/>
        <v>0</v>
      </c>
      <c r="S19" s="281">
        <f>IF(R19&gt;=0,IF(M19&gt;=0,Q18,Q19),IF(M19&gt;=0,S18,Q19))</f>
        <v>673.39103751101186</v>
      </c>
      <c r="T19" s="281">
        <f>IF(M19&gt;=0,M19,0)</f>
        <v>0</v>
      </c>
      <c r="U19" s="281">
        <f t="shared" si="0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673.39103751101186</v>
      </c>
      <c r="R20" s="281">
        <f t="shared" si="1"/>
        <v>-19.357465049999998</v>
      </c>
      <c r="S20" s="281">
        <f>IF(R20&gt;=0,IF(M20&gt;=0,Q19,Q20),IF(M20&gt;=0,S19,Q20))</f>
        <v>673.39103751101186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3">
      <c r="B21" s="1273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4175.9609947687304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571.93026876101192</v>
      </c>
      <c r="R21" s="281">
        <f t="shared" si="1"/>
        <v>0</v>
      </c>
      <c r="S21" s="281">
        <f>IF(R21&gt;=0,IF(M21&gt;=0,Q20,Q21),IF(M21&gt;=0,S20,Q21))</f>
        <v>571.93026876101192</v>
      </c>
      <c r="T21" s="281">
        <f>IF(M21&gt;=0,M21,0)</f>
        <v>0</v>
      </c>
      <c r="U21" s="281">
        <f t="shared" si="0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73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571.93026876101192</v>
      </c>
      <c r="N22" s="272"/>
      <c r="O22" s="289">
        <f>M22</f>
        <v>571.93026876101192</v>
      </c>
      <c r="P22" s="290"/>
      <c r="Q22" s="291">
        <f>Q21+M22-O22</f>
        <v>571.93026876101192</v>
      </c>
      <c r="R22" s="291">
        <f t="shared" si="1"/>
        <v>-101.46076874999997</v>
      </c>
      <c r="S22" s="291">
        <v>0</v>
      </c>
      <c r="T22" s="291">
        <v>0</v>
      </c>
      <c r="U22" s="291">
        <f t="shared" si="0"/>
        <v>0</v>
      </c>
      <c r="V22" s="292">
        <f>Q22</f>
        <v>571.93026876101192</v>
      </c>
    </row>
    <row r="23" spans="2:22" ht="15" customHeight="1" outlineLevel="1" thickTop="1" x14ac:dyDescent="0.3">
      <c r="B23" s="1273"/>
      <c r="C23" s="91" t="s">
        <v>250</v>
      </c>
      <c r="D23" s="78" t="s">
        <v>32</v>
      </c>
      <c r="F23" s="317">
        <f>'C-Dados RT1 Simplif.'!C126</f>
        <v>6.1744150530052604</v>
      </c>
      <c r="G23" s="305"/>
      <c r="H23" s="305"/>
    </row>
    <row r="24" spans="2:22" ht="15" customHeight="1" outlineLevel="1" x14ac:dyDescent="0.3">
      <c r="B24" s="1273"/>
      <c r="C24" s="91" t="s">
        <v>251</v>
      </c>
      <c r="D24" s="78" t="s">
        <v>32</v>
      </c>
      <c r="F24" s="317">
        <f>'C-Dados RT1 Simplif.'!C129</f>
        <v>5.7467710430057641</v>
      </c>
      <c r="G24" s="305"/>
      <c r="H24" s="305"/>
    </row>
    <row r="25" spans="2:22" outlineLevel="1" x14ac:dyDescent="0.3">
      <c r="B25" s="1273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L26" s="98"/>
      <c r="M26" s="98"/>
      <c r="N26" s="98"/>
    </row>
    <row r="27" spans="2:22" x14ac:dyDescent="0.3">
      <c r="F27" s="109"/>
    </row>
    <row r="28" spans="2:22" s="84" customFormat="1" ht="40.200000000000003" customHeight="1" collapsed="1" x14ac:dyDescent="0.3">
      <c r="B28" s="1274" t="s">
        <v>112</v>
      </c>
      <c r="C28" s="1274"/>
      <c r="D28" s="1274"/>
      <c r="E28" s="1274"/>
      <c r="F28" s="1274"/>
      <c r="G28" s="1274"/>
      <c r="H28" s="1274"/>
      <c r="I28" s="1274"/>
      <c r="J28" s="1274"/>
      <c r="K28" s="1274"/>
      <c r="L28" s="98"/>
      <c r="M28" s="98"/>
    </row>
    <row r="29" spans="2:22" s="84" customFormat="1" ht="4.95" hidden="1" customHeight="1" outlineLevel="1" x14ac:dyDescent="0.3">
      <c r="D29" s="78"/>
      <c r="L29" s="98"/>
      <c r="M29" s="98"/>
    </row>
    <row r="30" spans="2:22" s="111" customFormat="1" ht="18" hidden="1" outlineLevel="1" x14ac:dyDescent="0.35">
      <c r="B30" s="1260" t="s">
        <v>30</v>
      </c>
      <c r="C30" s="1260"/>
      <c r="D30" s="110"/>
      <c r="F30" s="355"/>
      <c r="H30" s="355"/>
      <c r="J30" s="355"/>
      <c r="L30" s="98"/>
      <c r="M30" s="98"/>
    </row>
    <row r="31" spans="2:22" s="110" customFormat="1" ht="15.6" hidden="1" outlineLevel="1" x14ac:dyDescent="0.3">
      <c r="B31" s="1260"/>
      <c r="C31" s="1260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5" hidden="1" customHeight="1" outlineLevel="1" x14ac:dyDescent="0.3"/>
    <row r="33" spans="2:11" hidden="1" outlineLevel="1" x14ac:dyDescent="0.3">
      <c r="B33" s="1255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500</v>
      </c>
      <c r="I33" s="115"/>
      <c r="J33" s="116">
        <f>-'RT1A) Custos Valoriz E.Elétrica'!C20</f>
        <v>-10.485505219974332</v>
      </c>
      <c r="K33" s="115"/>
    </row>
    <row r="34" spans="2:11" hidden="1" outlineLevel="1" x14ac:dyDescent="0.3">
      <c r="B34" s="1255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55" t="s">
        <v>28</v>
      </c>
      <c r="C36" s="98" t="s">
        <v>4</v>
      </c>
      <c r="D36" s="113" t="s">
        <v>33</v>
      </c>
      <c r="E36" s="103"/>
      <c r="F36" s="105">
        <f t="shared" ref="F36:F43" si="2">F12</f>
        <v>3048.2182517875735</v>
      </c>
      <c r="G36" s="103"/>
      <c r="H36" s="104">
        <f>H12</f>
        <v>520</v>
      </c>
      <c r="I36" s="115"/>
      <c r="J36" s="116">
        <f>-'RT1A) Custos Valoriz E.Elétrica'!C25</f>
        <v>-30.11449029771325</v>
      </c>
      <c r="K36" s="115"/>
    </row>
    <row r="37" spans="2:11" hidden="1" outlineLevel="1" x14ac:dyDescent="0.3">
      <c r="B37" s="1255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55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549.4</v>
      </c>
      <c r="I39" s="115"/>
      <c r="J39" s="116">
        <f>-'RT1A) Custos Valoriz E.Elétrica'!C30</f>
        <v>0</v>
      </c>
      <c r="K39" s="115"/>
    </row>
    <row r="40" spans="2:11" hidden="1" outlineLevel="1" x14ac:dyDescent="0.3">
      <c r="B40" s="1255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3.6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3">
      <c r="B41" s="1255"/>
      <c r="C41" s="98" t="s">
        <v>25</v>
      </c>
      <c r="D41" s="125" t="s">
        <v>32</v>
      </c>
      <c r="E41" s="103"/>
      <c r="F41" s="118">
        <f>F17</f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hidden="1" outlineLevel="1" x14ac:dyDescent="0.3">
      <c r="B42" s="1255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3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x14ac:dyDescent="0.3">
      <c r="B46" s="1256" t="s">
        <v>113</v>
      </c>
      <c r="C46" s="1257"/>
      <c r="D46" s="1257"/>
      <c r="E46" s="1257"/>
      <c r="F46" s="1257"/>
      <c r="G46" s="1257"/>
      <c r="H46" s="1257"/>
      <c r="I46" s="126"/>
      <c r="J46" s="353"/>
      <c r="K46" s="126"/>
    </row>
    <row r="47" spans="2:11" s="110" customFormat="1" ht="15.6" x14ac:dyDescent="0.3">
      <c r="B47" s="1258"/>
      <c r="C47" s="1259"/>
      <c r="D47" s="1259"/>
      <c r="E47" s="1259"/>
      <c r="F47" s="1259"/>
      <c r="G47" s="1259"/>
      <c r="H47" s="1259"/>
      <c r="I47" s="86"/>
      <c r="J47" s="88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2" customHeight="1" x14ac:dyDescent="0.3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-161.41822931768755</v>
      </c>
      <c r="K49" s="128"/>
    </row>
    <row r="50" spans="2:22" ht="4.95" customHeight="1" x14ac:dyDescent="0.3">
      <c r="B50" s="85"/>
      <c r="C50" s="85"/>
      <c r="D50" s="85"/>
      <c r="E50" s="85"/>
      <c r="F50" s="85"/>
      <c r="I50" s="126"/>
      <c r="J50" s="128"/>
      <c r="K50" s="86"/>
    </row>
    <row r="51" spans="2:22" ht="25.2" customHeight="1" x14ac:dyDescent="0.3">
      <c r="B51" s="419" t="s">
        <v>115</v>
      </c>
      <c r="C51" s="420"/>
      <c r="D51" s="420"/>
      <c r="E51" s="420"/>
      <c r="F51" s="85"/>
      <c r="I51" s="129"/>
      <c r="J51" s="351">
        <f>'C-Dados RT1 Simplif.'!C6+($F$33)*$H$33*(1-'C-Dados RT1 Simplif.'!$C$93)*(1-'C-Dados RT1 Simplif.'!$C$89)/'C-Dados RT1 Simplif.'!$C$105*27/30</f>
        <v>300.05849807869942</v>
      </c>
      <c r="K51" s="416"/>
    </row>
    <row r="52" spans="2:22" ht="4.95" customHeight="1" x14ac:dyDescent="0.3">
      <c r="B52" s="85"/>
      <c r="C52" s="85"/>
      <c r="D52" s="85"/>
      <c r="E52" s="85"/>
      <c r="F52" s="85"/>
      <c r="I52" s="126"/>
      <c r="J52" s="131"/>
      <c r="K52" s="132"/>
    </row>
    <row r="53" spans="2:22" ht="25.2" customHeight="1" x14ac:dyDescent="0.3">
      <c r="B53" s="421" t="s">
        <v>116</v>
      </c>
      <c r="C53" s="656">
        <f>'Demanda Preço &amp; Quantidade'!D10</f>
        <v>1</v>
      </c>
      <c r="D53" s="422"/>
      <c r="E53" s="423"/>
      <c r="F53" s="85"/>
      <c r="I53" s="126"/>
      <c r="J53" s="1254"/>
      <c r="K53" s="1254"/>
    </row>
    <row r="54" spans="2:22" ht="4.95" customHeight="1" x14ac:dyDescent="0.3">
      <c r="B54" s="85"/>
      <c r="C54" s="85"/>
      <c r="D54" s="85"/>
      <c r="E54" s="130"/>
      <c r="F54" s="85"/>
      <c r="I54" s="133"/>
      <c r="J54" s="134"/>
      <c r="K54" s="135"/>
    </row>
    <row r="55" spans="2:22" ht="25.2" customHeight="1" x14ac:dyDescent="0.3">
      <c r="B55" s="424" t="s">
        <v>117</v>
      </c>
      <c r="C55" s="425"/>
      <c r="D55" s="425"/>
      <c r="E55" s="425"/>
      <c r="F55" s="85"/>
      <c r="I55" s="86"/>
      <c r="J55" s="136">
        <f>$J$51+J49</f>
        <v>138.64026876101187</v>
      </c>
      <c r="K55" s="137"/>
    </row>
    <row r="56" spans="2:22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" x14ac:dyDescent="0.35">
      <c r="E57" s="140"/>
      <c r="G57" s="140"/>
      <c r="H57" s="140"/>
      <c r="I57" s="140"/>
      <c r="J57" s="140"/>
      <c r="K57" s="140"/>
    </row>
    <row r="58" spans="2:22" customFormat="1" x14ac:dyDescent="0.3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6" x14ac:dyDescent="0.3"/>
    <row r="61" spans="2:22" customFormat="1" x14ac:dyDescent="0.3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6" x14ac:dyDescent="0.3"/>
    <row r="64" spans="2:22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46:H47"/>
  </mergeCells>
  <conditionalFormatting sqref="F23">
    <cfRule type="cellIs" dxfId="539" priority="3" operator="greaterThan">
      <formula>#REF!</formula>
    </cfRule>
    <cfRule type="cellIs" dxfId="538" priority="4" operator="lessThanOrEqual">
      <formula>#REF!</formula>
    </cfRule>
  </conditionalFormatting>
  <conditionalFormatting sqref="F24">
    <cfRule type="cellIs" dxfId="537" priority="1" operator="greaterThan">
      <formula>#REF!</formula>
    </cfRule>
    <cfRule type="cellIs" dxfId="536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772"/>
      <c r="B2" s="1288" t="s">
        <v>472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772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772"/>
      <c r="B4" s="772"/>
      <c r="C4" s="777"/>
      <c r="D4" s="772"/>
      <c r="E4" s="772"/>
      <c r="F4" s="772"/>
      <c r="G4" s="772"/>
      <c r="H4" s="777"/>
      <c r="I4" s="772"/>
      <c r="J4" s="777"/>
      <c r="K4" s="777"/>
      <c r="L4" s="777"/>
      <c r="M4" s="777"/>
      <c r="N4" s="772"/>
      <c r="O4" s="772"/>
      <c r="P4" s="772"/>
      <c r="Q4" s="772"/>
      <c r="R4" s="772"/>
      <c r="S4" s="772"/>
      <c r="T4" s="772"/>
      <c r="U4" s="772"/>
      <c r="V4" s="772"/>
      <c r="W4" s="777"/>
      <c r="X4" s="772"/>
      <c r="Y4" s="777"/>
      <c r="Z4" s="772"/>
      <c r="AA4" s="772"/>
      <c r="AB4" s="773"/>
    </row>
    <row r="5" spans="1:28" s="774" customFormat="1" ht="19.95" customHeight="1" thickTop="1" x14ac:dyDescent="0.3">
      <c r="A5" s="772"/>
      <c r="B5" s="778" t="s">
        <v>370</v>
      </c>
      <c r="C5" s="779" t="s">
        <v>371</v>
      </c>
      <c r="D5" s="780" t="s">
        <v>372</v>
      </c>
      <c r="E5" s="772"/>
      <c r="F5" s="781" t="s">
        <v>373</v>
      </c>
      <c r="G5" s="779" t="s">
        <v>374</v>
      </c>
      <c r="H5" s="780" t="s">
        <v>375</v>
      </c>
      <c r="I5" s="772"/>
      <c r="J5" s="1290" t="s">
        <v>376</v>
      </c>
      <c r="K5" s="1292" t="s">
        <v>377</v>
      </c>
      <c r="L5" s="772"/>
      <c r="M5" s="777"/>
      <c r="N5" s="772"/>
      <c r="O5" s="1294" t="s">
        <v>378</v>
      </c>
      <c r="P5" s="772"/>
      <c r="Q5" s="1294" t="s">
        <v>379</v>
      </c>
      <c r="R5" s="772"/>
      <c r="S5" s="1294" t="s">
        <v>380</v>
      </c>
      <c r="T5" s="772"/>
      <c r="U5" s="1294" t="s">
        <v>381</v>
      </c>
      <c r="V5" s="772"/>
      <c r="W5" s="1294" t="s">
        <v>382</v>
      </c>
      <c r="X5" s="772"/>
      <c r="Y5" s="1294" t="s">
        <v>383</v>
      </c>
      <c r="Z5" s="772"/>
      <c r="AA5" s="772"/>
      <c r="AB5" s="773"/>
    </row>
    <row r="6" spans="1:28" s="774" customFormat="1" ht="19.95" customHeight="1" outlineLevel="1" x14ac:dyDescent="0.3">
      <c r="A6" s="772"/>
      <c r="B6" s="782" t="s">
        <v>384</v>
      </c>
      <c r="C6" s="783" t="s">
        <v>385</v>
      </c>
      <c r="D6" s="784">
        <f>D7*D8/1000000</f>
        <v>19.667696244541002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772"/>
      <c r="J6" s="1291"/>
      <c r="K6" s="1293"/>
      <c r="L6" s="772"/>
      <c r="M6" s="789"/>
      <c r="N6" s="790"/>
      <c r="O6" s="1295"/>
      <c r="P6" s="772"/>
      <c r="Q6" s="1295"/>
      <c r="R6" s="772"/>
      <c r="S6" s="1295"/>
      <c r="T6" s="772"/>
      <c r="U6" s="1295"/>
      <c r="V6" s="772"/>
      <c r="W6" s="1295"/>
      <c r="X6" s="772"/>
      <c r="Y6" s="1295"/>
      <c r="Z6" s="772"/>
      <c r="AA6" s="772"/>
      <c r="AB6" s="773"/>
    </row>
    <row r="7" spans="1:28" s="774" customFormat="1" ht="19.95" customHeight="1" outlineLevel="1" x14ac:dyDescent="0.3">
      <c r="A7" s="772"/>
      <c r="B7" s="786" t="s">
        <v>387</v>
      </c>
      <c r="C7" s="791" t="s">
        <v>8</v>
      </c>
      <c r="D7" s="792">
        <f>'RT1A)BIODIG Energia Elétrica'!M22</f>
        <v>571.93026876101192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772"/>
      <c r="J7" s="1275">
        <f>126090+43698</f>
        <v>169788</v>
      </c>
      <c r="K7" s="1277">
        <v>0.25</v>
      </c>
      <c r="L7" s="772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772"/>
      <c r="AB7" s="773"/>
    </row>
    <row r="8" spans="1:28" s="774" customFormat="1" ht="19.95" customHeight="1" outlineLevel="1" thickBot="1" x14ac:dyDescent="0.35">
      <c r="A8" s="772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772"/>
      <c r="J8" s="1276"/>
      <c r="K8" s="1278"/>
      <c r="L8" s="772"/>
      <c r="M8" s="789"/>
      <c r="N8" s="790"/>
      <c r="O8" s="796">
        <f>(O12-O10)/O10</f>
        <v>0</v>
      </c>
      <c r="P8" s="790"/>
      <c r="Q8" s="796">
        <f>(Q12-Q10)/Q10</f>
        <v>5.9292925928742654E-3</v>
      </c>
      <c r="R8" s="790"/>
      <c r="S8" s="796">
        <f>(S12-S10)/S10</f>
        <v>1.5233061901367379E-2</v>
      </c>
      <c r="T8" s="772"/>
      <c r="U8" s="796">
        <f>(U12-U10)/U10</f>
        <v>1.5233061901367384E-2</v>
      </c>
      <c r="V8" s="772"/>
      <c r="W8" s="796">
        <f>(W12-W10)/W10</f>
        <v>1.5233061901367384E-2</v>
      </c>
      <c r="X8" s="772"/>
      <c r="Y8" s="797" t="s">
        <v>393</v>
      </c>
      <c r="Z8" s="772"/>
      <c r="AA8" s="772"/>
      <c r="AB8" s="773"/>
    </row>
    <row r="9" spans="1:28" s="774" customFormat="1" ht="19.95" customHeight="1" outlineLevel="1" thickTop="1" x14ac:dyDescent="0.3">
      <c r="A9" s="772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772"/>
      <c r="J9" s="772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772"/>
      <c r="W9" s="799" t="s">
        <v>397</v>
      </c>
      <c r="X9" s="772"/>
      <c r="Y9" s="799" t="s">
        <v>397</v>
      </c>
      <c r="Z9" s="772"/>
      <c r="AA9" s="772"/>
      <c r="AB9" s="773"/>
    </row>
    <row r="10" spans="1:28" s="774" customFormat="1" ht="19.95" customHeight="1" outlineLevel="1" x14ac:dyDescent="0.3">
      <c r="A10" s="772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772"/>
      <c r="J10" s="772"/>
      <c r="K10" s="789"/>
      <c r="L10" s="789"/>
      <c r="M10" s="789"/>
      <c r="N10" s="790"/>
      <c r="O10" s="802">
        <f>G11</f>
        <v>171589</v>
      </c>
      <c r="P10" s="790"/>
      <c r="Q10" s="803">
        <f>D25</f>
        <v>21.379031664019124</v>
      </c>
      <c r="R10" s="790"/>
      <c r="S10" s="802">
        <f>D8</f>
        <v>34388.276541382686</v>
      </c>
      <c r="T10" s="772"/>
      <c r="U10" s="802">
        <f>D10*(1+D24)</f>
        <v>6158352.8159999996</v>
      </c>
      <c r="V10" s="772"/>
      <c r="W10" s="802">
        <f>D10*(1+D24)</f>
        <v>6158352.8159999996</v>
      </c>
      <c r="X10" s="772"/>
      <c r="Y10" s="804">
        <f>Y7</f>
        <v>0.05</v>
      </c>
      <c r="Z10" s="772"/>
      <c r="AA10" s="772"/>
      <c r="AB10" s="773"/>
    </row>
    <row r="11" spans="1:28" s="774" customFormat="1" ht="19.95" customHeight="1" outlineLevel="1" thickBot="1" x14ac:dyDescent="0.35">
      <c r="A11" s="772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772"/>
      <c r="J11" s="772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772"/>
      <c r="U11" s="810" t="s">
        <v>405</v>
      </c>
      <c r="V11" s="772"/>
      <c r="W11" s="810" t="s">
        <v>405</v>
      </c>
      <c r="X11" s="772"/>
      <c r="Y11" s="810" t="s">
        <v>405</v>
      </c>
      <c r="Z11" s="772"/>
      <c r="AA11" s="772"/>
      <c r="AB11" s="773"/>
    </row>
    <row r="12" spans="1:28" s="774" customFormat="1" ht="19.95" customHeight="1" outlineLevel="1" thickTop="1" thickBot="1" x14ac:dyDescent="0.35">
      <c r="A12" s="772"/>
      <c r="B12" s="811" t="s">
        <v>406</v>
      </c>
      <c r="C12" s="812" t="s">
        <v>407</v>
      </c>
      <c r="D12" s="813">
        <f>D7/D11</f>
        <v>3.1936618170758928</v>
      </c>
      <c r="E12" s="772"/>
      <c r="F12" s="772"/>
      <c r="G12" s="772"/>
      <c r="H12" s="777"/>
      <c r="I12" s="772"/>
      <c r="J12" s="777"/>
      <c r="K12" s="777"/>
      <c r="L12" s="777"/>
      <c r="M12" s="777"/>
      <c r="N12" s="772"/>
      <c r="O12" s="802">
        <f>O33</f>
        <v>171589</v>
      </c>
      <c r="P12" s="790"/>
      <c r="Q12" s="803">
        <f>Q33</f>
        <v>21.505794198107417</v>
      </c>
      <c r="R12" s="790"/>
      <c r="S12" s="802">
        <f>S33</f>
        <v>34912.115286618908</v>
      </c>
      <c r="T12" s="772"/>
      <c r="U12" s="802">
        <f>U33</f>
        <v>6252163.3856565878</v>
      </c>
      <c r="V12" s="772"/>
      <c r="W12" s="802">
        <f>W33</f>
        <v>6252163.3856565878</v>
      </c>
      <c r="X12" s="772"/>
      <c r="Y12" s="814">
        <f>1-((AA39+AA41+AA42+AA43+AA44+AA45+AA52+AA54+AA55+AA56+AA57+AA58+AA65+AA67+AA68+AA69+AA70+AA71+AA78+AA80+AA81+AA82+AA83+AA84+AA91+AA93+AA94+AA95+AA96)/29)</f>
        <v>0.48275862068965514</v>
      </c>
      <c r="Z12" s="772"/>
      <c r="AA12" s="772"/>
      <c r="AB12" s="773"/>
    </row>
    <row r="13" spans="1:28" s="774" customFormat="1" ht="10.199999999999999" customHeight="1" outlineLevel="1" thickTop="1" thickBot="1" x14ac:dyDescent="0.35">
      <c r="A13" s="772"/>
      <c r="B13" s="772"/>
      <c r="C13" s="777"/>
      <c r="D13" s="772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772"/>
      <c r="AB13" s="773"/>
    </row>
    <row r="14" spans="1:28" s="774" customFormat="1" ht="19.95" customHeight="1" outlineLevel="1" thickTop="1" x14ac:dyDescent="0.3">
      <c r="A14" s="772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772"/>
      <c r="J14" s="772"/>
      <c r="K14" s="789"/>
      <c r="L14" s="789"/>
      <c r="M14" s="789"/>
      <c r="N14" s="790"/>
      <c r="O14" s="816"/>
      <c r="P14" s="790"/>
      <c r="Q14" s="823"/>
      <c r="R14" s="790"/>
      <c r="S14" s="816"/>
      <c r="T14" s="772"/>
      <c r="U14" s="816"/>
      <c r="V14" s="772"/>
      <c r="W14" s="777"/>
      <c r="X14" s="772"/>
      <c r="Y14" s="777"/>
      <c r="Z14" s="772"/>
      <c r="AA14" s="772"/>
      <c r="AB14" s="773"/>
    </row>
    <row r="15" spans="1:28" s="774" customFormat="1" ht="19.95" customHeight="1" outlineLevel="1" x14ac:dyDescent="0.3">
      <c r="A15" s="772"/>
      <c r="B15" s="824" t="s">
        <v>410</v>
      </c>
      <c r="C15" s="783" t="s">
        <v>1</v>
      </c>
      <c r="D15" s="825">
        <v>1</v>
      </c>
      <c r="E15" s="772"/>
      <c r="F15" s="1279" t="s">
        <v>411</v>
      </c>
      <c r="G15" s="1281" t="s">
        <v>1</v>
      </c>
      <c r="H15" s="1283">
        <v>0.5</v>
      </c>
      <c r="I15" s="772"/>
      <c r="J15" s="826"/>
      <c r="K15" s="789"/>
      <c r="L15" s="789"/>
      <c r="M15" s="789"/>
      <c r="N15" s="790"/>
      <c r="O15" s="790"/>
      <c r="P15" s="790"/>
      <c r="R15" s="790"/>
      <c r="S15" s="772"/>
      <c r="T15" s="772"/>
      <c r="U15" s="789"/>
      <c r="V15" s="772"/>
      <c r="W15" s="777"/>
      <c r="X15" s="772"/>
      <c r="Y15" s="777"/>
      <c r="Z15" s="772"/>
      <c r="AA15" s="772"/>
      <c r="AB15" s="773"/>
    </row>
    <row r="16" spans="1:28" s="774" customFormat="1" ht="19.95" customHeight="1" outlineLevel="1" thickBot="1" x14ac:dyDescent="0.35">
      <c r="A16" s="772"/>
      <c r="B16" s="827" t="s">
        <v>412</v>
      </c>
      <c r="C16" s="791" t="s">
        <v>385</v>
      </c>
      <c r="D16" s="828">
        <f>D10*D12*(1-D15)/1000000</f>
        <v>0</v>
      </c>
      <c r="E16" s="772"/>
      <c r="F16" s="1280"/>
      <c r="G16" s="1282"/>
      <c r="H16" s="1284"/>
      <c r="I16" s="772"/>
      <c r="J16" s="829"/>
      <c r="K16" s="777"/>
      <c r="L16" s="777"/>
      <c r="M16" s="777"/>
      <c r="N16" s="772"/>
      <c r="O16" s="772"/>
      <c r="P16" s="772"/>
      <c r="Q16" s="772"/>
      <c r="R16" s="772"/>
      <c r="S16" s="772"/>
      <c r="T16" s="772"/>
      <c r="U16" s="789"/>
      <c r="V16" s="772"/>
      <c r="W16" s="777"/>
      <c r="X16" s="772"/>
      <c r="Y16" s="777"/>
      <c r="Z16" s="772"/>
      <c r="AA16" s="772"/>
      <c r="AB16" s="773"/>
    </row>
    <row r="17" spans="1:28" s="774" customFormat="1" ht="19.95" customHeight="1" outlineLevel="1" thickTop="1" x14ac:dyDescent="0.3">
      <c r="A17" s="772"/>
      <c r="B17" s="782" t="s">
        <v>413</v>
      </c>
      <c r="C17" s="783" t="s">
        <v>1</v>
      </c>
      <c r="D17" s="830">
        <v>0.01</v>
      </c>
      <c r="E17" s="772"/>
      <c r="F17" s="772"/>
      <c r="G17" s="772"/>
      <c r="H17" s="777"/>
      <c r="I17" s="772"/>
      <c r="J17" s="772"/>
      <c r="K17" s="772"/>
      <c r="L17" s="772"/>
      <c r="M17" s="772"/>
      <c r="N17" s="772"/>
      <c r="O17" s="772"/>
      <c r="P17" s="772"/>
      <c r="Q17" s="772"/>
      <c r="R17" s="772"/>
      <c r="S17" s="772"/>
      <c r="T17" s="772"/>
      <c r="U17" s="789"/>
      <c r="V17" s="772"/>
      <c r="W17" s="777"/>
      <c r="X17" s="772"/>
      <c r="Y17" s="777"/>
      <c r="Z17" s="772"/>
      <c r="AA17" s="772"/>
      <c r="AB17" s="773"/>
    </row>
    <row r="18" spans="1:28" s="774" customFormat="1" ht="19.95" customHeight="1" outlineLevel="1" x14ac:dyDescent="0.3">
      <c r="A18" s="772"/>
      <c r="B18" s="782" t="s">
        <v>414</v>
      </c>
      <c r="C18" s="783" t="s">
        <v>1</v>
      </c>
      <c r="D18" s="830">
        <v>0.05</v>
      </c>
      <c r="E18" s="772"/>
      <c r="F18" s="772"/>
      <c r="G18" s="772"/>
      <c r="H18" s="777"/>
      <c r="I18" s="772"/>
      <c r="J18" s="772"/>
      <c r="K18" s="772"/>
      <c r="L18" s="772"/>
      <c r="M18" s="772"/>
      <c r="N18" s="772"/>
      <c r="O18" s="772"/>
      <c r="P18" s="772"/>
      <c r="Q18" s="772"/>
      <c r="R18" s="772"/>
      <c r="S18" s="772"/>
      <c r="T18" s="772"/>
      <c r="U18" s="789"/>
      <c r="V18" s="772"/>
      <c r="W18" s="777"/>
      <c r="X18" s="772"/>
      <c r="Y18" s="777"/>
      <c r="Z18" s="772"/>
      <c r="AA18" s="772"/>
      <c r="AB18" s="773"/>
    </row>
    <row r="19" spans="1:28" s="774" customFormat="1" ht="19.95" customHeight="1" outlineLevel="1" x14ac:dyDescent="0.3">
      <c r="A19" s="772"/>
      <c r="B19" s="782" t="s">
        <v>415</v>
      </c>
      <c r="C19" s="831" t="s">
        <v>1</v>
      </c>
      <c r="D19" s="832">
        <v>2.5000000000000001E-2</v>
      </c>
      <c r="E19" s="772"/>
      <c r="F19" s="772"/>
      <c r="G19" s="772"/>
      <c r="H19" s="777"/>
      <c r="I19" s="772"/>
      <c r="J19" s="772"/>
      <c r="K19" s="772"/>
      <c r="L19" s="772"/>
      <c r="M19" s="772"/>
      <c r="N19" s="772"/>
      <c r="O19" s="772"/>
      <c r="P19" s="772"/>
      <c r="Q19" s="772"/>
      <c r="R19" s="772"/>
      <c r="S19" s="772"/>
      <c r="T19" s="772"/>
      <c r="U19" s="789"/>
      <c r="V19" s="772"/>
      <c r="W19" s="777"/>
      <c r="X19" s="772"/>
      <c r="Y19" s="777"/>
      <c r="Z19" s="772"/>
      <c r="AA19" s="772"/>
      <c r="AB19" s="773"/>
    </row>
    <row r="20" spans="1:28" s="774" customFormat="1" ht="34.950000000000003" customHeight="1" outlineLevel="1" x14ac:dyDescent="0.3">
      <c r="A20" s="772"/>
      <c r="B20" s="833" t="s">
        <v>416</v>
      </c>
      <c r="C20" s="783" t="s">
        <v>385</v>
      </c>
      <c r="D20" s="834">
        <f>D10*D12*(1+D17)*(1+D18)*(1+D19)*D15/1000000</f>
        <v>21.379031664019124</v>
      </c>
      <c r="E20" s="772"/>
      <c r="F20" s="772"/>
      <c r="G20" s="772"/>
      <c r="H20" s="777"/>
      <c r="I20" s="772"/>
      <c r="J20" s="772"/>
      <c r="K20" s="772"/>
      <c r="L20" s="772"/>
      <c r="M20" s="772"/>
      <c r="N20" s="772"/>
      <c r="O20" s="772"/>
      <c r="P20" s="772"/>
      <c r="Q20" s="772"/>
      <c r="R20" s="772"/>
      <c r="S20" s="772"/>
      <c r="T20" s="772"/>
      <c r="U20" s="789"/>
      <c r="V20" s="772"/>
      <c r="W20" s="777"/>
      <c r="X20" s="772"/>
      <c r="Y20" s="777"/>
      <c r="Z20" s="772"/>
      <c r="AA20" s="772"/>
      <c r="AB20" s="773"/>
    </row>
    <row r="21" spans="1:28" s="774" customFormat="1" ht="34.950000000000003" customHeight="1" outlineLevel="1" thickBot="1" x14ac:dyDescent="0.35">
      <c r="A21" s="772"/>
      <c r="B21" s="835" t="s">
        <v>417</v>
      </c>
      <c r="C21" s="812" t="s">
        <v>407</v>
      </c>
      <c r="D21" s="813">
        <f>D20*1000000/D10</f>
        <v>3.4715503159342087</v>
      </c>
      <c r="E21" s="772"/>
      <c r="F21" s="772"/>
      <c r="G21" s="772"/>
      <c r="H21" s="777"/>
      <c r="I21" s="772"/>
      <c r="J21" s="777"/>
      <c r="K21" s="777"/>
      <c r="L21" s="777"/>
      <c r="M21" s="777"/>
      <c r="N21" s="772"/>
      <c r="O21" s="816"/>
      <c r="P21" s="772"/>
      <c r="Q21" s="823"/>
      <c r="R21" s="772"/>
      <c r="S21" s="816"/>
      <c r="T21" s="772"/>
      <c r="U21" s="816"/>
      <c r="V21" s="772"/>
      <c r="W21" s="777"/>
      <c r="X21" s="772"/>
      <c r="Y21" s="777"/>
      <c r="Z21" s="772"/>
      <c r="AA21" s="772"/>
      <c r="AB21" s="773"/>
    </row>
    <row r="22" spans="1:28" s="774" customFormat="1" ht="7.5" customHeight="1" outlineLevel="1" thickTop="1" thickBot="1" x14ac:dyDescent="0.35">
      <c r="A22" s="772"/>
      <c r="B22" s="772"/>
      <c r="C22" s="777"/>
      <c r="D22" s="772"/>
      <c r="E22" s="785"/>
      <c r="F22" s="772"/>
      <c r="G22" s="772"/>
      <c r="H22" s="777"/>
      <c r="I22" s="772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772"/>
      <c r="U22" s="816"/>
      <c r="V22" s="772"/>
      <c r="W22" s="777"/>
      <c r="X22" s="772"/>
      <c r="Y22" s="777"/>
      <c r="Z22" s="772"/>
      <c r="AA22" s="772"/>
      <c r="AB22" s="773"/>
    </row>
    <row r="23" spans="1:28" s="774" customFormat="1" ht="19.95" customHeight="1" outlineLevel="1" thickTop="1" x14ac:dyDescent="0.3">
      <c r="A23" s="772"/>
      <c r="B23" s="818" t="s">
        <v>418</v>
      </c>
      <c r="C23" s="819" t="s">
        <v>371</v>
      </c>
      <c r="D23" s="820" t="s">
        <v>372</v>
      </c>
      <c r="E23" s="772"/>
      <c r="F23" s="1285" t="s">
        <v>419</v>
      </c>
      <c r="G23" s="1286"/>
      <c r="H23" s="1287"/>
      <c r="I23" s="772"/>
      <c r="J23" s="772"/>
      <c r="K23" s="777"/>
      <c r="L23" s="777"/>
      <c r="M23" s="777"/>
      <c r="N23" s="772"/>
      <c r="O23" s="772"/>
      <c r="P23" s="772"/>
      <c r="Q23" s="772"/>
      <c r="R23" s="772"/>
      <c r="S23" s="772"/>
      <c r="T23" s="772"/>
      <c r="U23" s="789"/>
      <c r="V23" s="772"/>
      <c r="W23" s="777"/>
      <c r="X23" s="772"/>
      <c r="Y23" s="777"/>
      <c r="Z23" s="772"/>
      <c r="AA23" s="772"/>
      <c r="AB23" s="773"/>
    </row>
    <row r="24" spans="1:28" s="774" customFormat="1" ht="19.95" customHeight="1" outlineLevel="1" x14ac:dyDescent="0.3">
      <c r="A24" s="772"/>
      <c r="B24" s="833" t="s">
        <v>420</v>
      </c>
      <c r="C24" s="783" t="s">
        <v>1</v>
      </c>
      <c r="D24" s="836">
        <v>0</v>
      </c>
      <c r="E24" s="772"/>
      <c r="F24" s="801" t="s">
        <v>421</v>
      </c>
      <c r="G24" s="791" t="s">
        <v>422</v>
      </c>
      <c r="H24" s="837">
        <f>D26*(D10)/G11</f>
        <v>124.59441843019729</v>
      </c>
      <c r="I24" s="772"/>
      <c r="J24" s="1053"/>
      <c r="K24" s="777"/>
      <c r="L24" s="777"/>
      <c r="M24" s="777"/>
      <c r="N24" s="790"/>
      <c r="O24" s="790"/>
      <c r="P24" s="790"/>
      <c r="Q24" s="790"/>
      <c r="R24" s="790"/>
      <c r="S24" s="772"/>
      <c r="T24" s="772"/>
      <c r="U24" s="789"/>
      <c r="V24" s="772"/>
      <c r="W24" s="777"/>
      <c r="X24" s="772"/>
      <c r="Y24" s="777"/>
      <c r="Z24" s="772"/>
      <c r="AA24" s="772"/>
      <c r="AB24" s="773"/>
    </row>
    <row r="25" spans="1:28" s="774" customFormat="1" ht="34.950000000000003" customHeight="1" outlineLevel="1" thickBot="1" x14ac:dyDescent="0.35">
      <c r="A25" s="772"/>
      <c r="B25" s="801" t="s">
        <v>423</v>
      </c>
      <c r="C25" s="791" t="s">
        <v>385</v>
      </c>
      <c r="D25" s="828">
        <f>D20</f>
        <v>21.379031664019124</v>
      </c>
      <c r="E25" s="772"/>
      <c r="F25" s="835" t="s">
        <v>424</v>
      </c>
      <c r="G25" s="812" t="s">
        <v>425</v>
      </c>
      <c r="H25" s="1070">
        <f>H24/12</f>
        <v>10.382868202516441</v>
      </c>
      <c r="I25" s="772"/>
      <c r="J25" s="772"/>
      <c r="K25" s="789"/>
      <c r="L25" s="789"/>
      <c r="M25" s="789"/>
      <c r="N25" s="790"/>
      <c r="O25" s="790"/>
      <c r="P25" s="790"/>
      <c r="Q25" s="790"/>
      <c r="R25" s="790"/>
      <c r="S25" s="772"/>
      <c r="T25" s="772"/>
      <c r="U25" s="789"/>
      <c r="V25" s="772"/>
      <c r="W25" s="777"/>
      <c r="X25" s="772"/>
      <c r="Y25" s="777"/>
      <c r="Z25" s="772"/>
      <c r="AA25" s="772"/>
      <c r="AB25" s="773"/>
    </row>
    <row r="26" spans="1:28" s="774" customFormat="1" ht="34.950000000000003" customHeight="1" outlineLevel="1" thickTop="1" thickBot="1" x14ac:dyDescent="0.35">
      <c r="A26" s="772"/>
      <c r="B26" s="835" t="s">
        <v>426</v>
      </c>
      <c r="C26" s="812" t="s">
        <v>407</v>
      </c>
      <c r="D26" s="813">
        <f>(D25*1000000/(D8*D11))*(1-D24)</f>
        <v>3.4715503159342087</v>
      </c>
      <c r="E26" s="772"/>
      <c r="F26" s="772"/>
      <c r="G26" s="772"/>
      <c r="H26" s="777"/>
      <c r="I26" s="772"/>
      <c r="J26" s="777"/>
      <c r="K26" s="789"/>
      <c r="L26" s="789"/>
      <c r="M26" s="789"/>
      <c r="N26" s="790"/>
      <c r="O26" s="790"/>
      <c r="P26" s="790"/>
      <c r="Q26" s="790"/>
      <c r="R26" s="790"/>
      <c r="S26" s="772"/>
      <c r="T26" s="772"/>
      <c r="U26" s="789"/>
      <c r="V26" s="772"/>
      <c r="W26" s="777"/>
      <c r="X26" s="772"/>
      <c r="Y26" s="777"/>
      <c r="Z26" s="772"/>
      <c r="AA26" s="772"/>
      <c r="AB26" s="773"/>
    </row>
    <row r="27" spans="1:28" s="774" customFormat="1" ht="7.2" customHeight="1" thickTop="1" x14ac:dyDescent="0.3">
      <c r="A27" s="772"/>
      <c r="B27" s="772"/>
      <c r="C27" s="777"/>
      <c r="D27" s="772"/>
      <c r="E27" s="772"/>
      <c r="F27" s="772"/>
      <c r="G27" s="772"/>
      <c r="H27" s="777"/>
      <c r="I27" s="777"/>
      <c r="J27" s="777"/>
      <c r="K27" s="777"/>
      <c r="L27" s="777"/>
      <c r="M27" s="777"/>
      <c r="N27" s="772"/>
      <c r="O27" s="772"/>
      <c r="P27" s="772"/>
      <c r="Q27" s="772"/>
      <c r="R27" s="772"/>
      <c r="S27" s="772"/>
      <c r="T27" s="772"/>
      <c r="U27" s="789"/>
      <c r="V27" s="772"/>
      <c r="W27" s="777"/>
      <c r="X27" s="772"/>
      <c r="Y27" s="777"/>
      <c r="Z27" s="772"/>
      <c r="AA27" s="772"/>
      <c r="AB27" s="773"/>
    </row>
    <row r="28" spans="1:28" s="774" customFormat="1" ht="7.2" customHeight="1" x14ac:dyDescent="0.3">
      <c r="A28" s="772"/>
      <c r="B28" s="772"/>
      <c r="C28" s="777"/>
      <c r="D28" s="772"/>
      <c r="E28" s="772"/>
      <c r="F28" s="772"/>
      <c r="G28" s="772"/>
      <c r="H28" s="777"/>
      <c r="I28" s="772"/>
      <c r="J28" s="777"/>
      <c r="K28" s="777"/>
      <c r="L28" s="777"/>
      <c r="M28" s="777"/>
      <c r="N28" s="772"/>
      <c r="O28" s="772"/>
      <c r="P28" s="772"/>
      <c r="Q28" s="772"/>
      <c r="R28" s="772"/>
      <c r="S28" s="772"/>
      <c r="T28" s="772"/>
      <c r="U28" s="789"/>
      <c r="V28" s="772"/>
      <c r="W28" s="777"/>
      <c r="X28" s="772"/>
      <c r="Y28" s="777"/>
      <c r="Z28" s="772"/>
      <c r="AA28" s="772"/>
      <c r="AB28" s="773"/>
    </row>
    <row r="29" spans="1:28" s="774" customFormat="1" ht="61.2" customHeight="1" x14ac:dyDescent="0.3">
      <c r="A29" s="772"/>
      <c r="B29" s="1296" t="s">
        <v>427</v>
      </c>
      <c r="C29" s="1297"/>
      <c r="D29" s="1297"/>
      <c r="E29" s="1298"/>
      <c r="F29" s="772"/>
      <c r="G29" s="772"/>
      <c r="H29" s="777"/>
      <c r="I29" s="772"/>
      <c r="J29" s="777"/>
      <c r="K29" s="1299" t="s">
        <v>428</v>
      </c>
      <c r="L29" s="1300"/>
      <c r="M29" s="1301"/>
      <c r="N29" s="772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772"/>
      <c r="AB29" s="773"/>
    </row>
    <row r="30" spans="1:28" s="774" customFormat="1" ht="4.95" customHeight="1" x14ac:dyDescent="0.3">
      <c r="A30" s="772"/>
      <c r="B30" s="772"/>
      <c r="C30" s="777"/>
      <c r="D30" s="772"/>
      <c r="E30" s="772"/>
      <c r="F30" s="772"/>
      <c r="G30" s="772"/>
      <c r="H30" s="777"/>
      <c r="I30" s="772"/>
      <c r="J30" s="777"/>
      <c r="K30" s="777"/>
      <c r="L30" s="777"/>
      <c r="M30" s="777"/>
      <c r="N30" s="772"/>
      <c r="O30" s="772"/>
      <c r="P30" s="772"/>
      <c r="Q30" s="772"/>
      <c r="R30" s="772"/>
      <c r="S30" s="772"/>
      <c r="T30" s="772"/>
      <c r="U30" s="789"/>
      <c r="V30" s="772"/>
      <c r="W30" s="777"/>
      <c r="X30" s="772"/>
      <c r="Y30" s="777"/>
      <c r="Z30" s="772"/>
      <c r="AA30" s="772"/>
      <c r="AB30" s="773"/>
    </row>
    <row r="31" spans="1:28" s="774" customFormat="1" ht="19.95" customHeight="1" x14ac:dyDescent="0.3">
      <c r="A31" s="772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772"/>
      <c r="O31" s="1307" t="s">
        <v>433</v>
      </c>
      <c r="P31" s="772"/>
      <c r="Q31" s="1307" t="s">
        <v>434</v>
      </c>
      <c r="R31" s="772"/>
      <c r="S31" s="1307" t="s">
        <v>435</v>
      </c>
      <c r="T31" s="772"/>
      <c r="U31" s="1307" t="s">
        <v>436</v>
      </c>
      <c r="V31" s="772"/>
      <c r="W31" s="1307" t="s">
        <v>436</v>
      </c>
      <c r="X31" s="772"/>
      <c r="Y31" s="1307" t="s">
        <v>437</v>
      </c>
      <c r="Z31" s="772"/>
      <c r="AA31" s="772"/>
      <c r="AB31" s="773"/>
    </row>
    <row r="32" spans="1:28" s="774" customFormat="1" ht="19.95" customHeight="1" x14ac:dyDescent="0.3">
      <c r="A32" s="772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124.59441843019729</v>
      </c>
      <c r="M32" s="841">
        <f>H25</f>
        <v>10.382868202516441</v>
      </c>
      <c r="N32" s="842"/>
      <c r="O32" s="1308"/>
      <c r="P32" s="842"/>
      <c r="Q32" s="1308"/>
      <c r="R32" s="842"/>
      <c r="S32" s="1308"/>
      <c r="T32" s="772"/>
      <c r="U32" s="1308"/>
      <c r="V32" s="772"/>
      <c r="W32" s="1308"/>
      <c r="X32" s="772"/>
      <c r="Y32" s="1309"/>
      <c r="Z32" s="772"/>
      <c r="AA32" s="772"/>
      <c r="AB32" s="773"/>
    </row>
    <row r="33" spans="1:28" s="774" customFormat="1" ht="15" customHeight="1" x14ac:dyDescent="0.3">
      <c r="A33" s="772"/>
      <c r="B33" s="772"/>
      <c r="C33" s="777"/>
      <c r="D33" s="772"/>
      <c r="E33" s="772"/>
      <c r="F33" s="772"/>
      <c r="G33" s="772"/>
      <c r="H33" s="777"/>
      <c r="I33" s="772"/>
      <c r="J33" s="777"/>
      <c r="K33" s="777"/>
      <c r="L33" s="777"/>
      <c r="M33" s="777"/>
      <c r="N33" s="772"/>
      <c r="O33" s="802">
        <f>O36+O49+O62+O75+O88</f>
        <v>171589</v>
      </c>
      <c r="P33" s="772"/>
      <c r="Q33" s="802">
        <f>(Q36+Q49+Q62+Q75+Q88)*12/1000000</f>
        <v>21.505794198107417</v>
      </c>
      <c r="R33" s="772"/>
      <c r="S33" s="802">
        <f>12*S34</f>
        <v>34912.115286618908</v>
      </c>
      <c r="T33" s="772" t="s">
        <v>438</v>
      </c>
      <c r="U33" s="802">
        <f>12*U34</f>
        <v>6252163.3856565878</v>
      </c>
      <c r="V33" s="772" t="s">
        <v>439</v>
      </c>
      <c r="W33" s="802">
        <f>12*W34</f>
        <v>6252163.3856565878</v>
      </c>
      <c r="X33" s="772" t="s">
        <v>439</v>
      </c>
      <c r="Y33" s="1320">
        <v>0.1</v>
      </c>
      <c r="Z33" s="772"/>
      <c r="AA33" s="772"/>
      <c r="AB33" s="773"/>
    </row>
    <row r="34" spans="1:28" s="774" customFormat="1" ht="34.950000000000003" customHeight="1" outlineLevel="1" x14ac:dyDescent="0.3">
      <c r="A34" s="772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2909.3429405515758</v>
      </c>
      <c r="T34" s="772" t="s">
        <v>441</v>
      </c>
      <c r="U34" s="802">
        <f>U36+U49+U62+U75+U88</f>
        <v>521013.61547138228</v>
      </c>
      <c r="V34" s="772" t="s">
        <v>442</v>
      </c>
      <c r="W34" s="802">
        <f>W36+W49+W62+W75+W88</f>
        <v>521013.61547138228</v>
      </c>
      <c r="X34" s="772" t="s">
        <v>442</v>
      </c>
      <c r="Y34" s="1321"/>
      <c r="Z34" s="772"/>
      <c r="AA34" s="772"/>
      <c r="AB34" s="773"/>
    </row>
    <row r="35" spans="1:28" s="774" customFormat="1" ht="25.2" customHeight="1" outlineLevel="1" x14ac:dyDescent="0.3">
      <c r="A35" s="772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15.489130338050893</v>
      </c>
      <c r="R35" s="842"/>
      <c r="S35" s="843"/>
      <c r="T35" s="772"/>
      <c r="U35" s="845"/>
      <c r="V35" s="772"/>
      <c r="W35" s="845"/>
      <c r="X35" s="772"/>
      <c r="Y35" s="846"/>
      <c r="Z35" s="772"/>
      <c r="AA35" s="772"/>
      <c r="AB35" s="773"/>
    </row>
    <row r="36" spans="1:28" s="774" customFormat="1" ht="36" customHeight="1" outlineLevel="1" x14ac:dyDescent="0.3">
      <c r="A36" s="772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772"/>
      <c r="O36" s="802">
        <f>O39+O41+O42+O43+O44+O45</f>
        <v>40</v>
      </c>
      <c r="P36" s="772"/>
      <c r="Q36" s="849">
        <f>Q39+Q41+Q42+Q43+Q44+Q45</f>
        <v>619.56521352203572</v>
      </c>
      <c r="R36" s="772"/>
      <c r="S36" s="1310">
        <f>IF(AND(Q36&lt;&gt;0,O36&lt;&gt;0),Q36*(1-D17-D18-D19)/(($D$25*1000000/$D$8)),0)</f>
        <v>0.91186490169687462</v>
      </c>
      <c r="T36" s="1335" t="s">
        <v>448</v>
      </c>
      <c r="U36" s="1310">
        <f>U39+U41+U42+U43+U44+U45</f>
        <v>163.29942497754263</v>
      </c>
      <c r="V36" s="772" t="s">
        <v>449</v>
      </c>
      <c r="W36" s="1310">
        <f>W39*O39+W41*O41+W42*O42+W43*O43+W44*O44+W45*O45</f>
        <v>163.29942497754263</v>
      </c>
      <c r="X36" s="772" t="s">
        <v>449</v>
      </c>
      <c r="Y36" s="850" t="s">
        <v>450</v>
      </c>
      <c r="Z36" s="772"/>
      <c r="AA36" s="772"/>
      <c r="AB36" s="773"/>
    </row>
    <row r="37" spans="1:28" s="774" customFormat="1" ht="24" customHeight="1" outlineLevel="1" x14ac:dyDescent="0.3">
      <c r="A37" s="772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772"/>
      <c r="O37" s="855" t="s">
        <v>455</v>
      </c>
      <c r="P37" s="772"/>
      <c r="Q37" s="856">
        <v>0.75</v>
      </c>
      <c r="R37" s="772"/>
      <c r="S37" s="1334"/>
      <c r="T37" s="1336"/>
      <c r="U37" s="1334"/>
      <c r="V37" s="772"/>
      <c r="W37" s="1311"/>
      <c r="X37" s="772"/>
      <c r="Y37" s="857">
        <f>$Y$33</f>
        <v>0.1</v>
      </c>
      <c r="Z37" s="772"/>
      <c r="AA37" s="772"/>
      <c r="AB37" s="773"/>
    </row>
    <row r="38" spans="1:28" s="774" customFormat="1" ht="24" customHeight="1" outlineLevel="1" x14ac:dyDescent="0.3">
      <c r="A38" s="772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772"/>
      <c r="O38" s="864"/>
      <c r="P38" s="772"/>
      <c r="Q38" s="865"/>
      <c r="R38" s="772"/>
      <c r="S38" s="866"/>
      <c r="T38" s="772"/>
      <c r="U38" s="866"/>
      <c r="V38" s="772"/>
      <c r="W38" s="867"/>
      <c r="X38" s="772"/>
      <c r="Y38" s="867"/>
      <c r="Z38" s="772"/>
      <c r="AA38" s="772"/>
      <c r="AB38" s="773"/>
    </row>
    <row r="39" spans="1:28" s="774" customFormat="1" ht="24" customHeight="1" outlineLevel="1" x14ac:dyDescent="0.3">
      <c r="A39" s="772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31.148604607549323</v>
      </c>
      <c r="K39" s="872">
        <f>$M$32*H39*$B$38*$C$38</f>
        <v>2.5957170506291103</v>
      </c>
      <c r="L39" s="871">
        <f>J39*$D$38</f>
        <v>38.935755759436653</v>
      </c>
      <c r="M39" s="872">
        <f>K39*$D$38</f>
        <v>3.2446463132863879</v>
      </c>
      <c r="N39" s="772"/>
      <c r="O39" s="873">
        <v>2</v>
      </c>
      <c r="P39" s="772"/>
      <c r="Q39" s="874">
        <f>O39*$Q$37*M39+O39*(1-$Q$37)*K39</f>
        <v>6.1648279952441367</v>
      </c>
      <c r="R39" s="772"/>
      <c r="S39" s="875">
        <f>IF(AND(Q39&lt;&gt;0,O39&lt;&gt;0),Q39*(1-D17-D18-D19)/O39/30/(($D$25*1000000/$D$8))*1000,0)</f>
        <v>0.15122137673248337</v>
      </c>
      <c r="T39" s="772" t="s">
        <v>459</v>
      </c>
      <c r="U39" s="876">
        <f>S39*O39*30*$D$11*(1+$D$24)/1000</f>
        <v>1.6248699002740559</v>
      </c>
      <c r="V39" s="772" t="s">
        <v>460</v>
      </c>
      <c r="W39" s="876">
        <f>IF(O39&lt;&gt;0,U39/O39,0)</f>
        <v>0.81243495013702793</v>
      </c>
      <c r="X39" s="772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772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772"/>
      <c r="O40" s="864"/>
      <c r="P40" s="772"/>
      <c r="Q40" s="865"/>
      <c r="R40" s="772"/>
      <c r="S40" s="881"/>
      <c r="T40" s="772"/>
      <c r="U40" s="882"/>
      <c r="V40" s="772"/>
      <c r="W40" s="882"/>
      <c r="X40" s="772"/>
      <c r="Y40" s="867"/>
      <c r="Z40" s="772"/>
      <c r="AA40" s="777"/>
      <c r="AB40" s="773"/>
    </row>
    <row r="41" spans="1:28" s="774" customFormat="1" ht="24" customHeight="1" outlineLevel="1" x14ac:dyDescent="0.3">
      <c r="A41" s="772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90.330953361893037</v>
      </c>
      <c r="K41" s="872">
        <f>$M$32*(H39+(G41-F41)*H41)*$B$38*$C$38</f>
        <v>7.5275794468244195</v>
      </c>
      <c r="L41" s="871">
        <f t="shared" ref="L41:M45" si="0">J41*$D$38</f>
        <v>112.91369170236629</v>
      </c>
      <c r="M41" s="872">
        <f t="shared" si="0"/>
        <v>9.409474308530525</v>
      </c>
      <c r="N41" s="772"/>
      <c r="O41" s="873">
        <v>2</v>
      </c>
      <c r="P41" s="772"/>
      <c r="Q41" s="874">
        <f>O41*$Q$37*M41+O41*(1-$Q$37)*K41</f>
        <v>17.878001186207996</v>
      </c>
      <c r="R41" s="772"/>
      <c r="S41" s="875">
        <f>IF(AND(Q41&lt;&gt;0,O41&lt;&gt;0),Q41*(1-D17-D18-D19)/O41/30/(($D$25*1000000/$D$8))*1000,0)</f>
        <v>0.43854199252420173</v>
      </c>
      <c r="T41" s="772" t="s">
        <v>459</v>
      </c>
      <c r="U41" s="876">
        <f>S41*O41*30*$D$11*(1+$D$24)/1000</f>
        <v>4.7121227107947625</v>
      </c>
      <c r="V41" s="772" t="s">
        <v>460</v>
      </c>
      <c r="W41" s="876">
        <f>IF(O41&lt;&gt;0,U41/O41,0)</f>
        <v>2.3560613553973813</v>
      </c>
      <c r="X41" s="772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772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152.62816257699168</v>
      </c>
      <c r="K42" s="872">
        <f>$M$32*(H39+(G41-F41)*H41+(G42-F42)*H42)*$B$38*$C$38</f>
        <v>12.719013548082641</v>
      </c>
      <c r="L42" s="871">
        <f t="shared" si="0"/>
        <v>190.78520322123961</v>
      </c>
      <c r="M42" s="872">
        <f t="shared" si="0"/>
        <v>15.898766935103302</v>
      </c>
      <c r="N42" s="772"/>
      <c r="O42" s="873">
        <v>28</v>
      </c>
      <c r="P42" s="772"/>
      <c r="Q42" s="874">
        <f>O42*$Q$37*M42+O42*(1-$Q$37)*K42</f>
        <v>422.90720047374782</v>
      </c>
      <c r="R42" s="772"/>
      <c r="S42" s="875">
        <f>IF(AND(Q42&lt;&gt;0,O42&lt;&gt;0),Q42*(1-D17-D18-D19)/O42/30/(($D$25*1000000/$D$8))*1000,0)</f>
        <v>0.74098474598916841</v>
      </c>
      <c r="T42" s="772" t="s">
        <v>459</v>
      </c>
      <c r="U42" s="876">
        <f>S42*O42*30*$D$11*(1+$D$24)/1000</f>
        <v>111.46607515880024</v>
      </c>
      <c r="V42" s="772" t="s">
        <v>460</v>
      </c>
      <c r="W42" s="876">
        <f>IF(O42&lt;&gt;0,U42/O42,0)</f>
        <v>3.9809312556714369</v>
      </c>
      <c r="X42" s="772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772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218.04023225284527</v>
      </c>
      <c r="K43" s="872">
        <f>$M$32*(H39+(G41-F41)*H41+(G42-F42)*H42+(G43-F43)*H43)*$B$38*$C$38</f>
        <v>18.17001935440377</v>
      </c>
      <c r="L43" s="871">
        <f t="shared" si="0"/>
        <v>272.55029031605659</v>
      </c>
      <c r="M43" s="872">
        <f t="shared" si="0"/>
        <v>22.712524193004711</v>
      </c>
      <c r="N43" s="772"/>
      <c r="O43" s="873">
        <v>8</v>
      </c>
      <c r="P43" s="772"/>
      <c r="Q43" s="874">
        <f>O43*$Q$37*M43+O43*(1-$Q$37)*K43</f>
        <v>172.61518386683582</v>
      </c>
      <c r="R43" s="772"/>
      <c r="S43" s="875">
        <f>IF(AND(Q43&lt;&gt;0,O43&lt;&gt;0),Q43*(1-D17-D18-D19)/O43/30/(($D$25*1000000/$D$8))*1000,0)</f>
        <v>1.0585496371273835</v>
      </c>
      <c r="T43" s="772" t="s">
        <v>459</v>
      </c>
      <c r="U43" s="876">
        <f>S43*O43*30*$D$11*(1+$D$24)/1000</f>
        <v>45.496357207673569</v>
      </c>
      <c r="V43" s="772" t="s">
        <v>460</v>
      </c>
      <c r="W43" s="876">
        <f>IF(O43&lt;&gt;0,U43/O43,0)</f>
        <v>5.6870446509591961</v>
      </c>
      <c r="X43" s="772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772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320.83062745775806</v>
      </c>
      <c r="K44" s="872">
        <f>$M$32*(H39+(G41-F41)*H41+(G42-F42)*H42+(G43-F43)*H43+(G44-F44)*H44)*$B$38*$C$38</f>
        <v>26.735885621479838</v>
      </c>
      <c r="L44" s="871">
        <f t="shared" si="0"/>
        <v>401.03828432219757</v>
      </c>
      <c r="M44" s="872">
        <f t="shared" si="0"/>
        <v>33.419857026849797</v>
      </c>
      <c r="N44" s="772"/>
      <c r="O44" s="873">
        <v>0</v>
      </c>
      <c r="P44" s="772"/>
      <c r="Q44" s="874">
        <f>O44*$Q$37*M44+O44*(1-$Q$37)*K44</f>
        <v>0</v>
      </c>
      <c r="R44" s="772"/>
      <c r="S44" s="875">
        <f>IF(AND(Q44&lt;&gt;0,O44&lt;&gt;0),Q44*(1-D17-D18-D19)/O44/30/(($D$25*1000000/$D$8))*1000,0)</f>
        <v>0</v>
      </c>
      <c r="T44" s="772" t="s">
        <v>459</v>
      </c>
      <c r="U44" s="876">
        <f>S44*O44*30*$D$11*(1+$D$24)/1000</f>
        <v>0</v>
      </c>
      <c r="V44" s="772" t="s">
        <v>460</v>
      </c>
      <c r="W44" s="876">
        <f>IF(O44&lt;&gt;0,U44/O44,0)</f>
        <v>0</v>
      </c>
      <c r="X44" s="772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772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679.03958044457522</v>
      </c>
      <c r="K45" s="872">
        <f>$M$32*(H39+(G41-F41)*H41+(G42-F42)*H42+(G43-F43)*H43+(G44-F44)*H44+(G45-F45)*H45)*$B$38*$C$38</f>
        <v>56.586631703714609</v>
      </c>
      <c r="L45" s="871">
        <f t="shared" si="0"/>
        <v>848.79947555571903</v>
      </c>
      <c r="M45" s="872">
        <f t="shared" si="0"/>
        <v>70.733289629643266</v>
      </c>
      <c r="N45" s="772"/>
      <c r="O45" s="873">
        <v>0</v>
      </c>
      <c r="P45" s="772"/>
      <c r="Q45" s="874">
        <f>O45*$Q$37*M45+O45*(1-$Q$37)*K45</f>
        <v>0</v>
      </c>
      <c r="R45" s="772"/>
      <c r="S45" s="875">
        <f>IF(AND(Q45&lt;&gt;0,O45&lt;&gt;0),Q45*(1-D17-D18-D19)/O45/30/(($D$25*1000000/$D$8))*1000,0)</f>
        <v>0</v>
      </c>
      <c r="T45" s="772" t="s">
        <v>459</v>
      </c>
      <c r="U45" s="876">
        <f>S45*O45*30*$D$11*(1+$D$24)/1000</f>
        <v>0</v>
      </c>
      <c r="V45" s="772" t="s">
        <v>460</v>
      </c>
      <c r="W45" s="876">
        <f>IF(O45&lt;&gt;0,U45/O45,0)</f>
        <v>0</v>
      </c>
      <c r="X45" s="772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772"/>
      <c r="B46" s="772"/>
      <c r="C46" s="777"/>
      <c r="D46" s="772"/>
      <c r="E46" s="772"/>
      <c r="F46" s="777"/>
      <c r="G46" s="777"/>
      <c r="H46" s="777"/>
      <c r="I46" s="772"/>
      <c r="J46" s="777"/>
      <c r="K46" s="777"/>
      <c r="L46" s="777"/>
      <c r="M46" s="777"/>
      <c r="N46" s="772"/>
      <c r="O46" s="772"/>
      <c r="P46" s="772"/>
      <c r="Q46" s="772"/>
      <c r="R46" s="772"/>
      <c r="S46" s="1061"/>
      <c r="T46" s="772"/>
      <c r="U46" s="772"/>
      <c r="V46" s="772"/>
      <c r="W46" s="777"/>
      <c r="X46" s="772"/>
      <c r="Y46" s="777"/>
      <c r="Z46" s="772"/>
      <c r="AA46" s="772"/>
      <c r="AB46" s="773"/>
    </row>
    <row r="47" spans="1:28" s="774" customFormat="1" ht="34.950000000000003" customHeight="1" outlineLevel="1" x14ac:dyDescent="0.3">
      <c r="A47" s="772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772"/>
      <c r="P47" s="842"/>
      <c r="Q47" s="772"/>
      <c r="R47" s="842"/>
      <c r="S47" s="1061"/>
      <c r="T47" s="772"/>
      <c r="U47" s="772"/>
      <c r="V47" s="772"/>
      <c r="W47" s="777"/>
      <c r="X47" s="772"/>
      <c r="Y47" s="777"/>
      <c r="Z47" s="772"/>
      <c r="AA47" s="772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12.378231406071336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772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772"/>
      <c r="O49" s="802">
        <f>O52+O54+O55+O56+O57+O58</f>
        <v>127341</v>
      </c>
      <c r="P49" s="772"/>
      <c r="Q49" s="890">
        <f>Q52+Q54+Q55+Q56+Q57+Q58</f>
        <v>1576256.3654805301</v>
      </c>
      <c r="R49" s="772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415455.47180887189</v>
      </c>
      <c r="V49" s="772" t="s">
        <v>449</v>
      </c>
      <c r="W49" s="1338">
        <f>W52*O52+W54*O54+W55*O55+W56*O56+W57*O57+W58*O58</f>
        <v>415455.47180887189</v>
      </c>
      <c r="X49" s="772" t="s">
        <v>449</v>
      </c>
      <c r="Y49" s="850" t="s">
        <v>450</v>
      </c>
      <c r="Z49" s="772"/>
      <c r="AA49" s="772"/>
      <c r="AB49" s="773"/>
    </row>
    <row r="50" spans="1:28" s="774" customFormat="1" ht="24" customHeight="1" outlineLevel="1" x14ac:dyDescent="0.3">
      <c r="A50" s="772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772"/>
      <c r="O50" s="891" t="s">
        <v>455</v>
      </c>
      <c r="P50" s="772"/>
      <c r="Q50" s="856">
        <v>0.75</v>
      </c>
      <c r="R50" s="772"/>
      <c r="S50" s="1334"/>
      <c r="T50" s="1336"/>
      <c r="U50" s="1334"/>
      <c r="V50" s="772"/>
      <c r="W50" s="1339"/>
      <c r="X50" s="772"/>
      <c r="Y50" s="857">
        <f>$Y$33</f>
        <v>0.1</v>
      </c>
      <c r="Z50" s="772"/>
      <c r="AA50" s="772"/>
      <c r="AB50" s="773"/>
    </row>
    <row r="51" spans="1:28" s="774" customFormat="1" ht="24" customHeight="1" outlineLevel="1" x14ac:dyDescent="0.3">
      <c r="A51" s="772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772"/>
      <c r="O51" s="864"/>
      <c r="P51" s="772"/>
      <c r="Q51" s="865"/>
      <c r="R51" s="772"/>
      <c r="S51" s="866"/>
      <c r="T51" s="772"/>
      <c r="U51" s="866"/>
      <c r="V51" s="772"/>
      <c r="W51" s="846"/>
      <c r="X51" s="772"/>
      <c r="Y51" s="892"/>
      <c r="Z51" s="772"/>
      <c r="AA51" s="772"/>
      <c r="AB51" s="773"/>
    </row>
    <row r="52" spans="1:28" s="774" customFormat="1" ht="24" customHeight="1" outlineLevel="1" x14ac:dyDescent="0.3">
      <c r="A52" s="772"/>
      <c r="B52" s="1341"/>
      <c r="C52" s="1317"/>
      <c r="D52" s="1319"/>
      <c r="E52" s="854"/>
      <c r="F52" s="868" t="s">
        <v>393</v>
      </c>
      <c r="G52" s="869">
        <v>5</v>
      </c>
      <c r="H52" s="870">
        <f>0.275</f>
        <v>0.27500000000000002</v>
      </c>
      <c r="I52" s="853"/>
      <c r="J52" s="871">
        <f>$L$32*H52*$B$51*$C$51</f>
        <v>43.685917962087927</v>
      </c>
      <c r="K52" s="872">
        <f>$M$32*H52*$B$51*$C$51</f>
        <v>3.6404931635073274</v>
      </c>
      <c r="L52" s="871">
        <f>J52*$D$51</f>
        <v>54.607397452609909</v>
      </c>
      <c r="M52" s="872">
        <f>K52*$D$51</f>
        <v>4.5506164543841594</v>
      </c>
      <c r="N52" s="772"/>
      <c r="O52" s="873">
        <v>62341</v>
      </c>
      <c r="P52" s="772"/>
      <c r="Q52" s="874">
        <f>O52*$Q$50*M52+O52*(1-$Q$50)*K52</f>
        <v>269505.48136362474</v>
      </c>
      <c r="R52" s="772"/>
      <c r="S52" s="875">
        <f>IF(AND(Q52&lt;&gt;0,O52&lt;&gt;0),Q52*(1-D17-D18-D19)/O52/30/(($D$25*1000000/$D$8))*1000,0)</f>
        <v>0.21208798086730793</v>
      </c>
      <c r="T52" s="772" t="s">
        <v>459</v>
      </c>
      <c r="U52" s="876">
        <f>S52*O52*30*$D$11*(1+$D$24)/1000</f>
        <v>71033.830135155673</v>
      </c>
      <c r="V52" s="772" t="s">
        <v>460</v>
      </c>
      <c r="W52" s="876">
        <f>IF(O52&lt;&gt;0,U52/O52,0)</f>
        <v>1.1394400175671817</v>
      </c>
      <c r="X52" s="772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772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772"/>
      <c r="O53" s="864"/>
      <c r="P53" s="772"/>
      <c r="Q53" s="865"/>
      <c r="R53" s="772"/>
      <c r="S53" s="881"/>
      <c r="T53" s="772"/>
      <c r="U53" s="882"/>
      <c r="V53" s="772"/>
      <c r="W53" s="893"/>
      <c r="X53" s="772"/>
      <c r="Y53" s="892"/>
      <c r="Z53" s="772"/>
      <c r="AA53" s="777"/>
      <c r="AB53" s="773"/>
    </row>
    <row r="54" spans="1:28" s="774" customFormat="1" ht="24" customHeight="1" outlineLevel="1" x14ac:dyDescent="0.3">
      <c r="A54" s="772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139.00064806118885</v>
      </c>
      <c r="K54" s="872">
        <f>$M$32*(H52+(G54-F54)*H54)*$B$51*$C$51</f>
        <v>11.583387338432402</v>
      </c>
      <c r="L54" s="871">
        <f t="shared" ref="L54:M58" si="1">J54*$D$51</f>
        <v>173.75081007648606</v>
      </c>
      <c r="M54" s="872">
        <f t="shared" si="1"/>
        <v>14.479234173040503</v>
      </c>
      <c r="N54" s="772"/>
      <c r="O54" s="873">
        <v>42500</v>
      </c>
      <c r="P54" s="772"/>
      <c r="Q54" s="874">
        <f>O54*$Q$50*M54+O54*(1-$Q$50)*K54</f>
        <v>584599.07973651029</v>
      </c>
      <c r="R54" s="772"/>
      <c r="S54" s="875">
        <f>IF(AND(Q54&lt;&gt;0,O54&lt;&gt;0),Q54*(1-D17-D18-D19)/O54/30/(($D$25*1000000/$D$8))*1000,0)</f>
        <v>0.67482539366870675</v>
      </c>
      <c r="T54" s="772" t="s">
        <v>459</v>
      </c>
      <c r="U54" s="876">
        <f>S54*O54*30*$D$11*(1+$D$24)/1000</f>
        <v>154083.36601192562</v>
      </c>
      <c r="V54" s="772" t="s">
        <v>460</v>
      </c>
      <c r="W54" s="894">
        <f>IF(O54&lt;&gt;0,U54/O54,0)</f>
        <v>3.625490964986485</v>
      </c>
      <c r="X54" s="772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772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238.28682524775232</v>
      </c>
      <c r="K55" s="872">
        <f>$M$32*(H52+(G54-F54)*H54+(G55-F55)*H55)*$B$51*$C$51</f>
        <v>19.857235437312692</v>
      </c>
      <c r="L55" s="871">
        <f t="shared" si="1"/>
        <v>297.85853155969039</v>
      </c>
      <c r="M55" s="872">
        <f t="shared" si="1"/>
        <v>24.821544296640866</v>
      </c>
      <c r="N55" s="772"/>
      <c r="O55" s="873">
        <v>10000</v>
      </c>
      <c r="P55" s="772"/>
      <c r="Q55" s="874">
        <f>O55*$Q$50*M55+O55*(1-$Q$50)*K55</f>
        <v>235804.67081808823</v>
      </c>
      <c r="R55" s="772"/>
      <c r="S55" s="875">
        <f>IF(AND(Q55&lt;&gt;0,O55&lt;&gt;0),Q55*(1-D17-D18-D19)/O55/30/(($D$25*1000000/$D$8))*1000,0)</f>
        <v>1.1568435320034975</v>
      </c>
      <c r="T55" s="772" t="s">
        <v>459</v>
      </c>
      <c r="U55" s="876">
        <f>S55*O55*30*$D$11*(1+$D$24)/1000</f>
        <v>62151.273685482636</v>
      </c>
      <c r="V55" s="772" t="s">
        <v>460</v>
      </c>
      <c r="W55" s="895">
        <f>IF(O55&lt;&gt;0,U55/O55,0)</f>
        <v>6.2151273685482638</v>
      </c>
      <c r="X55" s="772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772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393.17326165879132</v>
      </c>
      <c r="K56" s="872">
        <f>$M$32*(H52+(G54-F54)*H54+(G55-F55)*H55+(G56-F56)*H56)*$B$51*$C$51</f>
        <v>32.764438471565946</v>
      </c>
      <c r="L56" s="871">
        <f t="shared" si="1"/>
        <v>491.46657707348913</v>
      </c>
      <c r="M56" s="872">
        <f t="shared" si="1"/>
        <v>40.95554808945743</v>
      </c>
      <c r="N56" s="772"/>
      <c r="O56" s="873">
        <v>12500</v>
      </c>
      <c r="P56" s="772"/>
      <c r="Q56" s="874">
        <f>O56*$Q$50*M56+O56*(1-$Q$50)*K56</f>
        <v>486347.13356230699</v>
      </c>
      <c r="R56" s="772"/>
      <c r="S56" s="875">
        <f>IF(AND(Q56&lt;&gt;0,O56&lt;&gt;0),Q56*(1-D17-D18-D19)/O56/30/(($D$25*1000000/$D$8))*1000,0)</f>
        <v>1.9087918278057714</v>
      </c>
      <c r="T56" s="772" t="s">
        <v>459</v>
      </c>
      <c r="U56" s="876">
        <f>S56*O56*30*$D$11*(1+$D$24)/1000</f>
        <v>128187.00197630795</v>
      </c>
      <c r="V56" s="772" t="s">
        <v>460</v>
      </c>
      <c r="W56" s="895">
        <f>IF(O56&lt;&gt;0,U56/O56,0)</f>
        <v>10.254960158104636</v>
      </c>
      <c r="X56" s="772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772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810.17520584235774</v>
      </c>
      <c r="K57" s="872">
        <f>$M$32*(H52+(G54-F54)*H54+(G55-F55)*H55+(G56-F56)*H56+(G57-F57)*H57)*$B$51*$C$51</f>
        <v>67.514600486863145</v>
      </c>
      <c r="L57" s="871">
        <f t="shared" si="1"/>
        <v>1012.7190073029471</v>
      </c>
      <c r="M57" s="872">
        <f t="shared" si="1"/>
        <v>84.393250608578938</v>
      </c>
      <c r="N57" s="772"/>
      <c r="O57" s="873">
        <v>0</v>
      </c>
      <c r="P57" s="772"/>
      <c r="Q57" s="874">
        <f>O57*$Q$50*M57+O57*(1-$Q$50)*K57</f>
        <v>0</v>
      </c>
      <c r="R57" s="772"/>
      <c r="S57" s="875">
        <f>IF(AND(Q57&lt;&gt;0,O57&lt;&gt;0),Q57*(1-D17-D18-D19)/O57/30/(($D$25*1000000/$D$8))*1000,0)</f>
        <v>0</v>
      </c>
      <c r="T57" s="772" t="s">
        <v>459</v>
      </c>
      <c r="U57" s="876">
        <f>S57*O57*30*$D$11*(1+$D$24)/1000</f>
        <v>0</v>
      </c>
      <c r="V57" s="772" t="s">
        <v>460</v>
      </c>
      <c r="W57" s="895">
        <f>IF(O57&lt;&gt;0,U57/O57,0)</f>
        <v>0</v>
      </c>
      <c r="X57" s="772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772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1703.750800521429</v>
      </c>
      <c r="K58" s="872">
        <f>$M$32*(H52+(G54-F54)*H54+(G55-F55)*H55+(G56-F56)*H56+(G57-F57)*H57+(G58-F58)*H58)*$B$51*$C$51</f>
        <v>141.97923337678574</v>
      </c>
      <c r="L58" s="871">
        <f t="shared" si="1"/>
        <v>2129.6885006517864</v>
      </c>
      <c r="M58" s="872">
        <f t="shared" si="1"/>
        <v>177.47404172098217</v>
      </c>
      <c r="N58" s="772"/>
      <c r="O58" s="873">
        <v>0</v>
      </c>
      <c r="P58" s="772"/>
      <c r="Q58" s="874">
        <f>O58*$Q$50*M58+O58*(1-$Q$50)*K58</f>
        <v>0</v>
      </c>
      <c r="R58" s="772"/>
      <c r="S58" s="875">
        <f>IF(AND(Q58&lt;&gt;0,O58&lt;&gt;0),Q58*(1-D17-D18-D19)/O58/30/(($D$25*1000000/$D$8))*1000,0)</f>
        <v>0</v>
      </c>
      <c r="T58" s="772" t="s">
        <v>459</v>
      </c>
      <c r="U58" s="876">
        <f>S58*O58*30*$D$11*(1+$D$24)/1000</f>
        <v>0</v>
      </c>
      <c r="V58" s="772" t="s">
        <v>460</v>
      </c>
      <c r="W58" s="896">
        <f>IF(O58&lt;&gt;0,U58/O58,0)</f>
        <v>0</v>
      </c>
      <c r="X58" s="772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772"/>
      <c r="B59" s="772"/>
      <c r="C59" s="777"/>
      <c r="D59" s="772"/>
      <c r="E59" s="772"/>
      <c r="F59" s="772"/>
      <c r="G59" s="772"/>
      <c r="H59" s="777"/>
      <c r="I59" s="772"/>
      <c r="J59" s="777"/>
      <c r="K59" s="777"/>
      <c r="L59" s="777"/>
      <c r="M59" s="777"/>
      <c r="N59" s="772"/>
      <c r="O59" s="772"/>
      <c r="P59" s="772"/>
      <c r="Q59" s="772"/>
      <c r="R59" s="772"/>
      <c r="S59" s="1061"/>
      <c r="T59" s="772"/>
      <c r="U59" s="772"/>
      <c r="V59" s="772"/>
      <c r="W59" s="777"/>
      <c r="X59" s="772"/>
      <c r="Y59" s="777"/>
      <c r="Z59" s="772"/>
      <c r="AA59" s="772"/>
      <c r="AB59" s="773"/>
    </row>
    <row r="60" spans="1:28" s="774" customFormat="1" ht="34.950000000000003" customHeight="1" outlineLevel="1" x14ac:dyDescent="0.3">
      <c r="A60" s="772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772"/>
      <c r="P60" s="842"/>
      <c r="Q60" s="772"/>
      <c r="R60" s="842"/>
      <c r="S60" s="1061"/>
      <c r="T60" s="772"/>
      <c r="U60" s="772"/>
      <c r="V60" s="772"/>
      <c r="W60" s="777"/>
      <c r="X60" s="772"/>
      <c r="Y60" s="777"/>
      <c r="Z60" s="772"/>
      <c r="AA60" s="772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4.3489315390548997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772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772"/>
      <c r="O62" s="802">
        <f>O65+O67+O68+O69+O70+O71</f>
        <v>42447</v>
      </c>
      <c r="P62" s="772"/>
      <c r="Q62" s="849">
        <f>Q65+Q67+Q68+Q69+Q70+Q71</f>
        <v>184599.09703826334</v>
      </c>
      <c r="R62" s="772"/>
      <c r="S62" s="1310">
        <f>IF(AND(Q62&lt;&gt;0,O62&lt;&gt;0),Q62*(1-D17-D18-D19)/(H15)/(($D$25*1000000/$D$8)),0)</f>
        <v>543.37924015206488</v>
      </c>
      <c r="T62" s="1335" t="s">
        <v>448</v>
      </c>
      <c r="U62" s="1310">
        <f>U65+U67+U68+U69+U70+U71</f>
        <v>97309.93845299173</v>
      </c>
      <c r="V62" s="772" t="s">
        <v>449</v>
      </c>
      <c r="W62" s="1310">
        <f>W65*O65+W67*O67+W68*O68+W69*O69+W70*O70+W71*O71</f>
        <v>97309.93845299173</v>
      </c>
      <c r="X62" s="772" t="s">
        <v>449</v>
      </c>
      <c r="Y62" s="850" t="s">
        <v>450</v>
      </c>
      <c r="Z62" s="772"/>
      <c r="AA62" s="772"/>
      <c r="AB62" s="773"/>
    </row>
    <row r="63" spans="1:28" s="774" customFormat="1" ht="24" customHeight="1" outlineLevel="1" x14ac:dyDescent="0.3">
      <c r="A63" s="772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772"/>
      <c r="O63" s="891" t="s">
        <v>455</v>
      </c>
      <c r="P63" s="772"/>
      <c r="Q63" s="856">
        <v>0.75</v>
      </c>
      <c r="R63" s="772"/>
      <c r="S63" s="1334"/>
      <c r="T63" s="1336"/>
      <c r="U63" s="1334"/>
      <c r="V63" s="772"/>
      <c r="W63" s="1311"/>
      <c r="X63" s="772"/>
      <c r="Y63" s="857">
        <f>$Y$33</f>
        <v>0.1</v>
      </c>
      <c r="Z63" s="772"/>
      <c r="AA63" s="772"/>
      <c r="AB63" s="773"/>
    </row>
    <row r="64" spans="1:28" s="774" customFormat="1" ht="24" customHeight="1" outlineLevel="1" x14ac:dyDescent="0.3">
      <c r="A64" s="772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772"/>
      <c r="O64" s="864"/>
      <c r="P64" s="772"/>
      <c r="Q64" s="865"/>
      <c r="R64" s="772"/>
      <c r="S64" s="866"/>
      <c r="T64" s="772"/>
      <c r="U64" s="866"/>
      <c r="V64" s="772"/>
      <c r="W64" s="867"/>
      <c r="X64" s="772"/>
      <c r="Y64" s="892"/>
      <c r="Z64" s="772"/>
      <c r="AA64" s="772"/>
      <c r="AB64" s="773"/>
    </row>
    <row r="65" spans="1:28" s="774" customFormat="1" ht="24" customHeight="1" outlineLevel="1" x14ac:dyDescent="0.3">
      <c r="A65" s="772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21.842958981043964</v>
      </c>
      <c r="K65" s="872">
        <f>$M$32*H65*$B$64*$C$64</f>
        <v>1.8202465817536637</v>
      </c>
      <c r="L65" s="871">
        <f>J65*$D$51</f>
        <v>27.303698726304955</v>
      </c>
      <c r="M65" s="872">
        <f>K65*$D$51</f>
        <v>2.2753082271920797</v>
      </c>
      <c r="N65" s="772"/>
      <c r="O65" s="873">
        <v>25947</v>
      </c>
      <c r="P65" s="772"/>
      <c r="Q65" s="874">
        <f>O65*$Q$63*M65+O65*(1-$Q$63)*K65</f>
        <v>56085.551442405253</v>
      </c>
      <c r="R65" s="772"/>
      <c r="S65" s="875">
        <f>IF(AND(Q65&lt;&gt;0,O65&lt;&gt;0),Q65*(1-D17-D18-D19)/(H15)/O65/30/(($D$25*1000000/$D$8))*1000,0)</f>
        <v>0.21208798086730798</v>
      </c>
      <c r="T65" s="772" t="s">
        <v>459</v>
      </c>
      <c r="U65" s="876">
        <f>S65*O65*30*$D$11*(1+$D$24)/1000</f>
        <v>29565.050135815676</v>
      </c>
      <c r="V65" s="772" t="s">
        <v>460</v>
      </c>
      <c r="W65" s="876">
        <f>IF(O65&lt;&gt;0,U65/O65,0)</f>
        <v>1.1394400175671822</v>
      </c>
      <c r="X65" s="772" t="s">
        <v>461</v>
      </c>
      <c r="Y65" s="877" t="str">
        <f>IF(O65=0,"-", IF(W65&lt;=(G65*(1+$Y$63)),"OK", "NOK"))</f>
        <v>OK</v>
      </c>
      <c r="Z65" s="893">
        <f>W65</f>
        <v>1.1394400175671822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772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772"/>
      <c r="O66" s="864"/>
      <c r="P66" s="772"/>
      <c r="Q66" s="865"/>
      <c r="R66" s="772"/>
      <c r="S66" s="881"/>
      <c r="T66" s="772"/>
      <c r="U66" s="882"/>
      <c r="V66" s="772"/>
      <c r="W66" s="882"/>
      <c r="X66" s="772"/>
      <c r="Y66" s="892"/>
      <c r="Z66" s="903"/>
      <c r="AA66" s="777"/>
      <c r="AB66" s="777"/>
    </row>
    <row r="67" spans="1:28" s="774" customFormat="1" ht="24" customHeight="1" outlineLevel="1" x14ac:dyDescent="0.3">
      <c r="A67" s="772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69.500324030594427</v>
      </c>
      <c r="K67" s="872">
        <f>$M$32*(H65+(G67-F67)*H67)*$B$64*$C$64</f>
        <v>5.7916936692162011</v>
      </c>
      <c r="L67" s="871">
        <f t="shared" ref="L67:M71" si="3">J67*$D$51</f>
        <v>86.875405038243031</v>
      </c>
      <c r="M67" s="872">
        <f t="shared" si="3"/>
        <v>7.2396170865202514</v>
      </c>
      <c r="N67" s="772"/>
      <c r="O67" s="873">
        <v>15000</v>
      </c>
      <c r="P67" s="772"/>
      <c r="Q67" s="874">
        <f>O67*$Q$63*M67+O67*(1-$Q$63)*K67</f>
        <v>103164.54348291358</v>
      </c>
      <c r="R67" s="772"/>
      <c r="S67" s="875">
        <f>IF(AND(Q67&lt;&gt;0,O67&lt;&gt;0),Q67*(1-D17-D18-D19)/O67/30/(H15)/(($D$25*1000000/$D$8))*1000,0)</f>
        <v>0.67482539366870686</v>
      </c>
      <c r="T67" s="772" t="s">
        <v>459</v>
      </c>
      <c r="U67" s="876">
        <f>S67*O67*30*$D$11*(1+$D$24)/1000</f>
        <v>54382.364474797294</v>
      </c>
      <c r="V67" s="772" t="s">
        <v>460</v>
      </c>
      <c r="W67" s="876">
        <f>IF(O67&lt;&gt;0,U67/O67,0)</f>
        <v>3.6254909649864864</v>
      </c>
      <c r="X67" s="772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772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119.14341262387616</v>
      </c>
      <c r="K68" s="872">
        <f>$M$32*(H65+(G67-F67)*H67+(G68-F68)*H68)*$B$64*$C$64</f>
        <v>9.928617718656346</v>
      </c>
      <c r="L68" s="871">
        <f t="shared" si="3"/>
        <v>148.9292657798452</v>
      </c>
      <c r="M68" s="872">
        <f t="shared" si="3"/>
        <v>12.410772148320433</v>
      </c>
      <c r="N68" s="772"/>
      <c r="O68" s="873">
        <v>500</v>
      </c>
      <c r="P68" s="772"/>
      <c r="Q68" s="874">
        <f>O68*$Q$63*M68+O68*(1-$Q$63)*K68</f>
        <v>5895.1167704522049</v>
      </c>
      <c r="R68" s="772"/>
      <c r="S68" s="875">
        <f>IF(AND(Q68&lt;&gt;0,O68&lt;&gt;0),Q68*(1-D17-D18-D19)/O68/30/(H15)/(($D$25*1000000/$D$8))*1000,0)</f>
        <v>1.1568435320034975</v>
      </c>
      <c r="T68" s="772" t="s">
        <v>459</v>
      </c>
      <c r="U68" s="876">
        <f>S68*O68*30*$D$11*(1+$D$24)/1000</f>
        <v>3107.5636842741314</v>
      </c>
      <c r="V68" s="772" t="s">
        <v>460</v>
      </c>
      <c r="W68" s="876">
        <f>IF(O68&lt;&gt;0,U68/O68,0)</f>
        <v>6.2151273685482629</v>
      </c>
      <c r="X68" s="772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772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196.58663082939566</v>
      </c>
      <c r="K69" s="872">
        <f>$M$32*(H65+(G67-F67)*H67+(G68-F68)*H68+(G69-F69)*H69)*$B$64*$C$64</f>
        <v>16.382219235782973</v>
      </c>
      <c r="L69" s="871">
        <f t="shared" si="3"/>
        <v>245.73328853674457</v>
      </c>
      <c r="M69" s="872">
        <f t="shared" si="3"/>
        <v>20.477774044728715</v>
      </c>
      <c r="N69" s="772"/>
      <c r="O69" s="873">
        <v>1000</v>
      </c>
      <c r="P69" s="772"/>
      <c r="Q69" s="874">
        <f>O69*$Q$63*M69+O69*(1-$Q$63)*K69</f>
        <v>19453.885342492278</v>
      </c>
      <c r="R69" s="772"/>
      <c r="S69" s="875">
        <f>IF(AND(Q69&lt;&gt;0,O69&lt;&gt;0),Q69*(1-D17-D18-D19)/O69/30/(H15)/(($D$25*1000000/$D$8))*1000,0)</f>
        <v>1.9087918278057709</v>
      </c>
      <c r="T69" s="772" t="s">
        <v>459</v>
      </c>
      <c r="U69" s="876">
        <f>S69*O69*30*$D$11*(1+$D$24)/1000</f>
        <v>10254.960158104635</v>
      </c>
      <c r="V69" s="772" t="s">
        <v>460</v>
      </c>
      <c r="W69" s="876">
        <f>IF(O69&lt;&gt;0,U69/O69,0)</f>
        <v>10.254960158104636</v>
      </c>
      <c r="X69" s="772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772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405.08760292117887</v>
      </c>
      <c r="K70" s="872">
        <f>$M$32*(H65+(G67-F67)*H67+(G68-F68)*H68+(G69-F69)*H69+(G70-F70)*H70)*$B$64*$C$64</f>
        <v>33.757300243431573</v>
      </c>
      <c r="L70" s="871">
        <f t="shared" si="3"/>
        <v>506.35950365147357</v>
      </c>
      <c r="M70" s="872">
        <f t="shared" si="3"/>
        <v>42.196625304289469</v>
      </c>
      <c r="N70" s="772"/>
      <c r="O70" s="873">
        <v>0</v>
      </c>
      <c r="P70" s="772"/>
      <c r="Q70" s="874">
        <f>O70*$Q$63*M70+O70*(1-$Q$63)*K70</f>
        <v>0</v>
      </c>
      <c r="R70" s="772"/>
      <c r="S70" s="875">
        <f>IF(AND(Q70&lt;&gt;0,O70&lt;&gt;0),Q70*(1-D17-D18-D19)/O70/30/(H15)/(($D$25*1000000/$D$8))*1000,0)</f>
        <v>0</v>
      </c>
      <c r="T70" s="772" t="s">
        <v>459</v>
      </c>
      <c r="U70" s="876">
        <f>S70*O70*30*$D$11*(1+$D$24)/1000</f>
        <v>0</v>
      </c>
      <c r="V70" s="772" t="s">
        <v>460</v>
      </c>
      <c r="W70" s="876">
        <f>IF(O70&lt;&gt;0,U70/O70,0)</f>
        <v>0</v>
      </c>
      <c r="X70" s="772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772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851.87540026071451</v>
      </c>
      <c r="K71" s="872">
        <f>$M$32*(H65+(G67-F67)*H67+(G68-F68)*H68+(G69-F69)*H69+(G70-F70)*H70+(G71-F71)*H71)*$B$64*$C$64</f>
        <v>70.989616688392871</v>
      </c>
      <c r="L71" s="871">
        <f t="shared" si="3"/>
        <v>1064.8442503258932</v>
      </c>
      <c r="M71" s="872">
        <f t="shared" si="3"/>
        <v>88.737020860491086</v>
      </c>
      <c r="N71" s="772"/>
      <c r="O71" s="873">
        <v>0</v>
      </c>
      <c r="P71" s="772"/>
      <c r="Q71" s="874">
        <f>O71*$Q$63*M71+O71*(1-$Q$63)*K71</f>
        <v>0</v>
      </c>
      <c r="R71" s="772"/>
      <c r="S71" s="875">
        <f>IF(AND(Q71&lt;&gt;0,O71&lt;&gt;0),Q71*(1-D17-D18-D19)/O71/30/(H15)/(($D$25*1000000/$D$8))*1000,0)</f>
        <v>0</v>
      </c>
      <c r="T71" s="772" t="s">
        <v>459</v>
      </c>
      <c r="U71" s="876">
        <f>S71*O71*30*$D$11*(1+$D$24)/1000</f>
        <v>0</v>
      </c>
      <c r="V71" s="772" t="s">
        <v>460</v>
      </c>
      <c r="W71" s="876">
        <f>IF(O71&lt;&gt;0,U71/O71,0)</f>
        <v>0</v>
      </c>
      <c r="X71" s="772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772"/>
      <c r="B72" s="772"/>
      <c r="C72" s="777"/>
      <c r="D72" s="772"/>
      <c r="E72" s="772"/>
      <c r="F72" s="772"/>
      <c r="G72" s="772"/>
      <c r="H72" s="777"/>
      <c r="I72" s="772"/>
      <c r="J72" s="777"/>
      <c r="K72" s="777"/>
      <c r="L72" s="777"/>
      <c r="M72" s="777"/>
      <c r="N72" s="772"/>
      <c r="O72" s="772"/>
      <c r="P72" s="772"/>
      <c r="Q72" s="772"/>
      <c r="R72" s="772"/>
      <c r="S72" s="1061"/>
      <c r="T72" s="772"/>
      <c r="U72" s="772"/>
      <c r="V72" s="772"/>
      <c r="W72" s="777"/>
      <c r="X72" s="772"/>
      <c r="Y72" s="777"/>
      <c r="Z72" s="772"/>
      <c r="AA72" s="772"/>
      <c r="AB72" s="773"/>
    </row>
    <row r="73" spans="1:28" s="774" customFormat="1" ht="34.950000000000003" customHeight="1" outlineLevel="1" x14ac:dyDescent="0.3">
      <c r="A73" s="772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772"/>
      <c r="O73" s="772"/>
      <c r="P73" s="772"/>
      <c r="Q73" s="772"/>
      <c r="R73" s="772"/>
      <c r="S73" s="1061"/>
      <c r="T73" s="772"/>
      <c r="U73" s="772"/>
      <c r="V73" s="772"/>
      <c r="W73" s="777"/>
      <c r="X73" s="772"/>
      <c r="Y73" s="777"/>
      <c r="Z73" s="772"/>
      <c r="AA73" s="772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17.189990801672707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772"/>
      <c r="O75" s="802">
        <f>O78+O80+O81+O82+O83+O84</f>
        <v>1741</v>
      </c>
      <c r="P75" s="772"/>
      <c r="Q75" s="849">
        <f>Q78+Q80+Q81+Q82+Q83+Q84</f>
        <v>29927.773985712185</v>
      </c>
      <c r="R75" s="772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7888.0934178704319</v>
      </c>
      <c r="V75" s="772" t="s">
        <v>449</v>
      </c>
      <c r="W75" s="1310">
        <f>W78*O78+W80*O80+W81*O81+W82*O82+W83*O83+W84*O84</f>
        <v>7888.0934178704319</v>
      </c>
      <c r="X75" s="772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772"/>
      <c r="O76" s="891" t="s">
        <v>455</v>
      </c>
      <c r="P76" s="772"/>
      <c r="Q76" s="856">
        <v>0.75</v>
      </c>
      <c r="R76" s="772"/>
      <c r="S76" s="1334"/>
      <c r="T76" s="1336"/>
      <c r="U76" s="1334"/>
      <c r="V76" s="772"/>
      <c r="W76" s="1311"/>
      <c r="X76" s="772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772"/>
      <c r="O77" s="864"/>
      <c r="P77" s="772"/>
      <c r="Q77" s="865"/>
      <c r="R77" s="772"/>
      <c r="S77" s="866"/>
      <c r="T77" s="772"/>
      <c r="U77" s="866"/>
      <c r="V77" s="772"/>
      <c r="W77" s="867"/>
      <c r="X77" s="772"/>
      <c r="Y77" s="867"/>
      <c r="Z77" s="878"/>
      <c r="AA77" s="878"/>
      <c r="AB77" s="773"/>
    </row>
    <row r="78" spans="1:28" s="774" customFormat="1" ht="24" customHeight="1" outlineLevel="1" x14ac:dyDescent="0.3">
      <c r="A78" s="772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42.050616220191586</v>
      </c>
      <c r="K78" s="872">
        <f>$M$32*H78*$B$77*$C$77</f>
        <v>3.5042180183492988</v>
      </c>
      <c r="L78" s="871">
        <f>J78*$D$77</f>
        <v>52.563270275239482</v>
      </c>
      <c r="M78" s="872">
        <f>K78*$D$77</f>
        <v>4.3802725229366235</v>
      </c>
      <c r="N78" s="772"/>
      <c r="O78" s="873">
        <v>264</v>
      </c>
      <c r="P78" s="772"/>
      <c r="Q78" s="874">
        <f>O78*$Q$76*M78+O78*(1-$Q$76)*K78</f>
        <v>1098.5723487525051</v>
      </c>
      <c r="R78" s="772"/>
      <c r="S78" s="875">
        <f>IF(AND(Q78&lt;&gt;0,O78&lt;&gt;0),Q78*(1-D17-D18-D19)/O78/30/(($D$25*1000000/$D$8))*1000,0)</f>
        <v>0.20414885858885251</v>
      </c>
      <c r="T78" s="772" t="s">
        <v>459</v>
      </c>
      <c r="U78" s="876">
        <f>S78*O78*30*$D$11*(1+$D$24)/1000</f>
        <v>289.5518162288368</v>
      </c>
      <c r="V78" s="772" t="s">
        <v>460</v>
      </c>
      <c r="W78" s="876">
        <f>IF(O78&lt;&gt;0,U78/O78,0)</f>
        <v>1.096787182684988</v>
      </c>
      <c r="X78" s="772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772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772"/>
      <c r="O79" s="864"/>
      <c r="P79" s="772"/>
      <c r="Q79" s="865"/>
      <c r="R79" s="772"/>
      <c r="S79" s="881"/>
      <c r="T79" s="772"/>
      <c r="U79" s="882"/>
      <c r="V79" s="772"/>
      <c r="W79" s="882"/>
      <c r="X79" s="772"/>
      <c r="Y79" s="867"/>
      <c r="Z79" s="878"/>
      <c r="AA79" s="846"/>
      <c r="AB79" s="773"/>
    </row>
    <row r="80" spans="1:28" s="774" customFormat="1" ht="24" customHeight="1" outlineLevel="1" x14ac:dyDescent="0.3">
      <c r="A80" s="772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154.18559280736912</v>
      </c>
      <c r="K80" s="872">
        <f>$M$32*(H78+(G80-F80)*H80)*$B$77*$C$77</f>
        <v>12.848799400614096</v>
      </c>
      <c r="L80" s="871">
        <f t="shared" ref="L80:M84" si="4">J80*$D$77</f>
        <v>192.73199100921141</v>
      </c>
      <c r="M80" s="872">
        <f t="shared" si="4"/>
        <v>16.060999250767619</v>
      </c>
      <c r="N80" s="772"/>
      <c r="O80" s="873">
        <v>994</v>
      </c>
      <c r="P80" s="772"/>
      <c r="Q80" s="874">
        <f>O80*$Q$76*M80+O80*(1-$Q$76)*K80</f>
        <v>15166.401592499864</v>
      </c>
      <c r="R80" s="772"/>
      <c r="S80" s="875">
        <f>IF(AND(Q80&lt;&gt;0,O80&lt;&gt;0),Q80*(1-D17-D18-D19)/O80/30/(($D$25*1000000/$D$8))*1000,0)</f>
        <v>0.74854581482579274</v>
      </c>
      <c r="T80" s="772" t="s">
        <v>459</v>
      </c>
      <c r="U80" s="876">
        <f>S80*O80*30*$D$11*(1+$D$24)/1000</f>
        <v>3997.4236851592191</v>
      </c>
      <c r="V80" s="772" t="s">
        <v>460</v>
      </c>
      <c r="W80" s="876">
        <f>IF(O80&lt;&gt;0,U80/O80,0)</f>
        <v>4.0215530031782887</v>
      </c>
      <c r="X80" s="772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772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233.6145345566199</v>
      </c>
      <c r="K81" s="872">
        <f>$M$32*(H78+(G80-F80)*H80+(G81-F81)*H81)*$B$77*$C$77</f>
        <v>19.467877879718326</v>
      </c>
      <c r="L81" s="871">
        <f t="shared" si="4"/>
        <v>292.01816819577488</v>
      </c>
      <c r="M81" s="872">
        <f t="shared" si="4"/>
        <v>24.334847349647909</v>
      </c>
      <c r="N81" s="772"/>
      <c r="O81" s="873">
        <v>183</v>
      </c>
      <c r="P81" s="772"/>
      <c r="Q81" s="874">
        <f>O81*$Q$76*M81+O81*(1-$Q$76)*K81</f>
        <v>4230.6132117362886</v>
      </c>
      <c r="R81" s="772"/>
      <c r="S81" s="875">
        <f>IF(AND(Q81&lt;&gt;0,O81&lt;&gt;0),Q81*(1-D17-D18-D19)/O81/30/(($D$25*1000000/$D$8))*1000,0)</f>
        <v>1.134160325493625</v>
      </c>
      <c r="T81" s="772" t="s">
        <v>459</v>
      </c>
      <c r="U81" s="876">
        <f>S81*O81*30*$D$11*(1+$D$24)/1000</f>
        <v>1115.0669690630707</v>
      </c>
      <c r="V81" s="772" t="s">
        <v>460</v>
      </c>
      <c r="W81" s="876">
        <f>IF(O81&lt;&gt;0,U81/O81,0)</f>
        <v>6.0932621260277084</v>
      </c>
      <c r="X81" s="772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772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317.71576699700307</v>
      </c>
      <c r="K82" s="872">
        <f>$M$32*(H78+(G80-F80)*H80+(G81-F81)*H81+(G82-F82)*H82)*$B$77*$C$77</f>
        <v>26.476313916416924</v>
      </c>
      <c r="L82" s="871">
        <f t="shared" si="4"/>
        <v>397.14470874625385</v>
      </c>
      <c r="M82" s="872">
        <f t="shared" si="4"/>
        <v>33.095392395521152</v>
      </c>
      <c r="N82" s="772"/>
      <c r="O82" s="873">
        <v>300</v>
      </c>
      <c r="P82" s="772"/>
      <c r="Q82" s="874">
        <f>O82*$Q$76*M82+O82*(1-$Q$76)*K82</f>
        <v>9432.1868327235279</v>
      </c>
      <c r="R82" s="772"/>
      <c r="S82" s="875">
        <f>IF(AND(Q82&lt;&gt;0,O82&lt;&gt;0),Q82*(1-D17-D18-D19)/O82/30/(($D$25*1000000/$D$8))*1000,0)</f>
        <v>1.5424580426713301</v>
      </c>
      <c r="T82" s="772" t="s">
        <v>459</v>
      </c>
      <c r="U82" s="876">
        <f>S82*O82*30*$D$11*(1+$D$24)/1000</f>
        <v>2486.0509474193054</v>
      </c>
      <c r="V82" s="772" t="s">
        <v>460</v>
      </c>
      <c r="W82" s="876">
        <f>IF(O82&lt;&gt;0,U82/O82,0)</f>
        <v>8.2868364913976844</v>
      </c>
      <c r="X82" s="772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772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450.8760516942765</v>
      </c>
      <c r="K83" s="872">
        <f>$M$32*(H78+(G80-F80)*H80+(G81-F81)*H81+(G82-F82)*H82+(G83-F83)*H83)*$B$77*$C$77</f>
        <v>37.573004307856372</v>
      </c>
      <c r="L83" s="871">
        <f t="shared" si="4"/>
        <v>563.59506461784565</v>
      </c>
      <c r="M83" s="872">
        <f t="shared" si="4"/>
        <v>46.966255384820464</v>
      </c>
      <c r="N83" s="772"/>
      <c r="O83" s="873">
        <v>0</v>
      </c>
      <c r="P83" s="772"/>
      <c r="Q83" s="874">
        <f>O83*$Q$76*M83+O83*(1-$Q$76)*K83</f>
        <v>0</v>
      </c>
      <c r="R83" s="772"/>
      <c r="S83" s="875">
        <f>IF(AND(Q83&lt;&gt;0,O83&lt;&gt;0),Q83*(1-D17-D18-D19)/O83/30/(($D$25*1000000/$D$8))*1000,0)</f>
        <v>0</v>
      </c>
      <c r="T83" s="772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772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772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871.3822138961923</v>
      </c>
      <c r="K84" s="872">
        <f>$M$32*(H78+(G80-F80)*H80+(G81-F81)*H81+(G82-F82)*H82+(G83-F83)*H83+(G84-F84)*H84)*$B$77*$C$77</f>
        <v>72.615184491349353</v>
      </c>
      <c r="L84" s="871">
        <f t="shared" si="4"/>
        <v>1089.2277673702404</v>
      </c>
      <c r="M84" s="872">
        <f t="shared" si="4"/>
        <v>90.768980614186688</v>
      </c>
      <c r="N84" s="772"/>
      <c r="O84" s="873">
        <v>0</v>
      </c>
      <c r="P84" s="772"/>
      <c r="Q84" s="874">
        <f>O84*$Q$76*M84+O84*(1-$Q$76)*K84</f>
        <v>0</v>
      </c>
      <c r="R84" s="772"/>
      <c r="S84" s="875">
        <f>IF(AND(Q84&lt;&gt;0,O84&lt;&gt;0),Q84*(1-D17-D18-D19)/O84/30/(($D$25*1000000/$D$8))*1000,0)</f>
        <v>0</v>
      </c>
      <c r="T84" s="772" t="s">
        <v>459</v>
      </c>
      <c r="U84" s="876">
        <f>S84*O84*30*$D$11*(1+$D$24)/1000</f>
        <v>0</v>
      </c>
      <c r="V84" s="772" t="s">
        <v>460</v>
      </c>
      <c r="W84" s="876">
        <f>IF(O84&lt;&gt;0,U84/O84,0)</f>
        <v>0</v>
      </c>
      <c r="X84" s="772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772"/>
      <c r="B85" s="772"/>
      <c r="C85" s="777"/>
      <c r="D85" s="772"/>
      <c r="E85" s="772"/>
      <c r="F85" s="772"/>
      <c r="G85" s="772"/>
      <c r="H85" s="777"/>
      <c r="I85" s="772"/>
      <c r="J85" s="777"/>
      <c r="K85" s="777"/>
      <c r="L85" s="777"/>
      <c r="M85" s="777"/>
      <c r="N85" s="772"/>
      <c r="O85" s="772"/>
      <c r="P85" s="772"/>
      <c r="Q85" s="772"/>
      <c r="R85" s="772"/>
      <c r="S85" s="1061"/>
      <c r="T85" s="772"/>
      <c r="U85" s="772"/>
      <c r="V85" s="772"/>
      <c r="W85" s="777"/>
      <c r="X85" s="772"/>
      <c r="Y85" s="777"/>
      <c r="Z85" s="772"/>
      <c r="AA85" s="772"/>
      <c r="AB85" s="773"/>
    </row>
    <row r="86" spans="1:28" s="774" customFormat="1" ht="34.950000000000003" customHeight="1" outlineLevel="1" x14ac:dyDescent="0.3">
      <c r="A86" s="772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772"/>
      <c r="O86" s="772"/>
      <c r="P86" s="772"/>
      <c r="Q86" s="772"/>
      <c r="R86" s="772"/>
      <c r="S86" s="1061"/>
      <c r="T86" s="772"/>
      <c r="U86" s="772"/>
      <c r="V86" s="772"/>
      <c r="W86" s="777"/>
      <c r="X86" s="772"/>
      <c r="Y86" s="777"/>
      <c r="Z86" s="772"/>
      <c r="AA86" s="772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37.335739546197303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772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772"/>
      <c r="O88" s="877">
        <f>O91+O93+O94+O95+O96</f>
        <v>20</v>
      </c>
      <c r="P88" s="772"/>
      <c r="Q88" s="849">
        <f>Q91+Q93+Q94+Q95+Q96</f>
        <v>746.714790923946</v>
      </c>
      <c r="R88" s="772"/>
      <c r="S88" s="1310">
        <f>IF(AND(Q88&lt;&gt;0,O88&lt;&gt;0),Q88*(1-D17-D18-D19)/(($D$25*1000000/$D$8)),0)</f>
        <v>1.0990013554033227</v>
      </c>
      <c r="T88" s="1335" t="s">
        <v>448</v>
      </c>
      <c r="U88" s="1310">
        <f>U91+U93+U94+U95+U96+Z97</f>
        <v>196.81236667069498</v>
      </c>
      <c r="V88" s="772" t="s">
        <v>449</v>
      </c>
      <c r="W88" s="1310">
        <f>W91*O91+W93*O93+W94*O94+W95*O95+W96*O96</f>
        <v>196.81236667069501</v>
      </c>
      <c r="X88" s="772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772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772"/>
      <c r="O89" s="891" t="s">
        <v>455</v>
      </c>
      <c r="P89" s="772"/>
      <c r="Q89" s="856">
        <v>0.75</v>
      </c>
      <c r="R89" s="772"/>
      <c r="S89" s="1334"/>
      <c r="T89" s="1336"/>
      <c r="U89" s="1334"/>
      <c r="V89" s="772"/>
      <c r="W89" s="1311"/>
      <c r="X89" s="772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772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772"/>
      <c r="O90" s="864"/>
      <c r="P90" s="772"/>
      <c r="Q90" s="865"/>
      <c r="R90" s="772"/>
      <c r="S90" s="866"/>
      <c r="T90" s="772"/>
      <c r="U90" s="866"/>
      <c r="V90" s="772"/>
      <c r="W90" s="867"/>
      <c r="X90" s="772"/>
      <c r="Y90" s="777"/>
      <c r="Z90" s="772"/>
      <c r="AA90" s="772"/>
      <c r="AB90" s="773"/>
    </row>
    <row r="91" spans="1:28" s="774" customFormat="1" ht="24" customHeight="1" outlineLevel="1" x14ac:dyDescent="0.3">
      <c r="A91" s="772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32.706034837926786</v>
      </c>
      <c r="K91" s="872">
        <f>$M$32*H91*$B$90*$C$90</f>
        <v>2.7255029031605655</v>
      </c>
      <c r="L91" s="871">
        <f>J91*$D$90</f>
        <v>40.882543547408481</v>
      </c>
      <c r="M91" s="872">
        <f>K91*$D$90</f>
        <v>3.4068786289507069</v>
      </c>
      <c r="N91" s="772"/>
      <c r="O91" s="873">
        <v>1</v>
      </c>
      <c r="P91" s="772"/>
      <c r="Q91" s="874">
        <f>O91*$Q$76*M91+O91*(1-$Q$76)*K91</f>
        <v>3.2365346975031715</v>
      </c>
      <c r="R91" s="772"/>
      <c r="S91" s="875">
        <f>IF(AND(Q91&lt;&gt;0,O91&lt;&gt;0),Q91*(1-D17-D18-D19)/O91/30/(($D$25*1000000/$D$8))*1000,0)</f>
        <v>0.15878244556910748</v>
      </c>
      <c r="T91" s="772" t="s">
        <v>459</v>
      </c>
      <c r="U91" s="876">
        <f>S91*O91*30*$D$11*(1+$D$24)/1000</f>
        <v>0.85305669764387915</v>
      </c>
      <c r="V91" s="772" t="s">
        <v>460</v>
      </c>
      <c r="W91" s="876">
        <f>IF(O91&lt;&gt;0,U91/O91,0)</f>
        <v>0.85305669764387915</v>
      </c>
      <c r="X91" s="772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772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772"/>
      <c r="O92" s="864"/>
      <c r="P92" s="772"/>
      <c r="Q92" s="865"/>
      <c r="R92" s="772"/>
      <c r="S92" s="881"/>
      <c r="T92" s="772"/>
      <c r="U92" s="882"/>
      <c r="V92" s="772"/>
      <c r="W92" s="882"/>
      <c r="X92" s="772"/>
      <c r="Y92" s="904"/>
      <c r="Z92" s="878"/>
      <c r="AA92" s="846"/>
      <c r="AB92" s="773"/>
    </row>
    <row r="93" spans="1:28" s="774" customFormat="1" ht="24" customHeight="1" outlineLevel="1" x14ac:dyDescent="0.3">
      <c r="A93" s="772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102.79039520491277</v>
      </c>
      <c r="K93" s="872">
        <f>$M$32*(H91+(G93-F93)*H93)*$B$90*$C$90</f>
        <v>8.5658662670760641</v>
      </c>
      <c r="L93" s="871">
        <f t="shared" ref="L93:M96" si="5">J93*$D$90</f>
        <v>128.48799400614095</v>
      </c>
      <c r="M93" s="872">
        <f t="shared" si="5"/>
        <v>10.707332833845079</v>
      </c>
      <c r="N93" s="772"/>
      <c r="O93" s="873">
        <v>2</v>
      </c>
      <c r="P93" s="772"/>
      <c r="Q93" s="874">
        <f>O93*$Q$76*M93+O93*(1-$Q$76)*K93</f>
        <v>20.343932384305653</v>
      </c>
      <c r="R93" s="772"/>
      <c r="S93" s="875">
        <f>IF(AND(Q93&lt;&gt;0,O93&lt;&gt;0),Q93*(1-D17-D18-D19)/O93/30/(($D$25*1000000/$D$8))*1000,0)</f>
        <v>0.49903054321719509</v>
      </c>
      <c r="T93" s="772" t="s">
        <v>459</v>
      </c>
      <c r="U93" s="876">
        <f>S93*O93*30*$D$11*(1+$D$24)/1000</f>
        <v>5.3620706709043855</v>
      </c>
      <c r="V93" s="772" t="s">
        <v>460</v>
      </c>
      <c r="W93" s="876">
        <f>IF(O93&lt;&gt;0,U93/O93,0)</f>
        <v>2.6810353354521927</v>
      </c>
      <c r="X93" s="772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772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429.85074358418063</v>
      </c>
      <c r="K94" s="872">
        <f>$M$32*(H91+(G93-F93)*H93+(G94-F94)*H94)*$B$90*$C$90</f>
        <v>35.82089529868172</v>
      </c>
      <c r="L94" s="871">
        <f t="shared" si="5"/>
        <v>537.31342948022575</v>
      </c>
      <c r="M94" s="872">
        <f t="shared" si="5"/>
        <v>44.776119123352146</v>
      </c>
      <c r="N94" s="772"/>
      <c r="O94" s="873">
        <v>17</v>
      </c>
      <c r="P94" s="772"/>
      <c r="Q94" s="874">
        <f>O94*$Q$76*M94+O94*(1-$Q$76)*K94</f>
        <v>723.13432384213718</v>
      </c>
      <c r="R94" s="772"/>
      <c r="S94" s="875">
        <f>IF(AND(Q94&lt;&gt;0,O94&lt;&gt;0),Q94*(1-D17-D18-D19)/O94/30/(($D$25*1000000/$D$8))*1000,0)</f>
        <v>2.0868549989082701</v>
      </c>
      <c r="T94" s="772" t="s">
        <v>459</v>
      </c>
      <c r="U94" s="876">
        <f>S94*O94*30*$D$11*(1+$D$24)/1000</f>
        <v>190.59723930214673</v>
      </c>
      <c r="V94" s="772" t="s">
        <v>460</v>
      </c>
      <c r="W94" s="876">
        <f>IF(O94&lt;&gt;0,U94/O94,0)</f>
        <v>11.211602311890985</v>
      </c>
      <c r="X94" s="772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772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2485.6586476824359</v>
      </c>
      <c r="K95" s="872">
        <f>$M$32*(H91+(G93-F93)*H93+(G94-F94)*H94+(G95-F95)*H95)*$B$90*$C$90</f>
        <v>207.138220640203</v>
      </c>
      <c r="L95" s="871">
        <f t="shared" si="5"/>
        <v>3107.0733096030449</v>
      </c>
      <c r="M95" s="872">
        <f t="shared" si="5"/>
        <v>258.92277580025376</v>
      </c>
      <c r="N95" s="772"/>
      <c r="O95" s="873">
        <v>0</v>
      </c>
      <c r="P95" s="772"/>
      <c r="Q95" s="874">
        <f>O95*$Q$76*M95+O95*(1-$Q$76)*K95</f>
        <v>0</v>
      </c>
      <c r="R95" s="772"/>
      <c r="S95" s="875">
        <f>IF(AND(Q95&lt;&gt;0,O95&lt;&gt;0),Q95*(1-D17-D18-D19)/O95/30/(($D$25*1000000/$D$8))*1000,0)</f>
        <v>0</v>
      </c>
      <c r="T95" s="772" t="s">
        <v>459</v>
      </c>
      <c r="U95" s="876">
        <f>S95*O95*30*$D$11*(1+$D$24)/1000</f>
        <v>0</v>
      </c>
      <c r="V95" s="772" t="s">
        <v>460</v>
      </c>
      <c r="W95" s="876">
        <f>IF(O95&lt;&gt;0,U95/O95,0)</f>
        <v>0</v>
      </c>
      <c r="X95" s="772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772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5289.0330623618756</v>
      </c>
      <c r="K96" s="872">
        <f>$M$32*(H91+(G93-F93)*H93+(G94-F94)*H94+(G95-F95)*H95+(G96-F96)*H96)*$B$90*$C$90</f>
        <v>440.75275519682293</v>
      </c>
      <c r="L96" s="871">
        <f t="shared" si="5"/>
        <v>6611.2913279523445</v>
      </c>
      <c r="M96" s="872">
        <f t="shared" si="5"/>
        <v>550.94094399602864</v>
      </c>
      <c r="N96" s="772"/>
      <c r="O96" s="873">
        <v>0</v>
      </c>
      <c r="P96" s="772"/>
      <c r="Q96" s="874">
        <f>O96*$Q$76*M96+O96*(1-$Q$76)*K96</f>
        <v>0</v>
      </c>
      <c r="R96" s="772"/>
      <c r="S96" s="875">
        <f>IF(AND(Q96&lt;&gt;0,O96&lt;&gt;0),Q96*(1-D17-D18-D19)/O96/30/(($D$25*1000000/$D$8))*1000,0)</f>
        <v>0</v>
      </c>
      <c r="T96" s="772" t="s">
        <v>459</v>
      </c>
      <c r="U96" s="876">
        <f>S96*O96*30*$D$11*(1+$D$24)/1000</f>
        <v>0</v>
      </c>
      <c r="V96" s="772" t="s">
        <v>460</v>
      </c>
      <c r="W96" s="876">
        <f>IF(O96&lt;&gt;0,U96/O96,0)</f>
        <v>0</v>
      </c>
      <c r="X96" s="772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772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772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 O49 O62 O75 O88">
    <cfRule type="expression" dxfId="535" priority="11">
      <formula>OR(O36&lt;O35*99.75%,O36&gt;O35*100.25%)</formula>
    </cfRule>
  </conditionalFormatting>
  <conditionalFormatting sqref="O36 O49 O62 O75 O88">
    <cfRule type="expression" dxfId="534" priority="12">
      <formula>OR(O36&lt;O35*100.25%,O36&gt;O35*99.75%)</formula>
    </cfRule>
  </conditionalFormatting>
  <conditionalFormatting sqref="Y39">
    <cfRule type="expression" dxfId="533" priority="13">
      <formula>Y39="NOK"</formula>
    </cfRule>
  </conditionalFormatting>
  <conditionalFormatting sqref="Y39">
    <cfRule type="expression" dxfId="532" priority="14">
      <formula>Y39="OK"</formula>
    </cfRule>
  </conditionalFormatting>
  <conditionalFormatting sqref="Y41:Y45">
    <cfRule type="expression" dxfId="531" priority="15">
      <formula>Y41="NOK"</formula>
    </cfRule>
  </conditionalFormatting>
  <conditionalFormatting sqref="Y41:Y45">
    <cfRule type="expression" dxfId="530" priority="16">
      <formula>Y41="OK"</formula>
    </cfRule>
  </conditionalFormatting>
  <conditionalFormatting sqref="Y52">
    <cfRule type="expression" dxfId="529" priority="17">
      <formula>Y52="NOK"</formula>
    </cfRule>
  </conditionalFormatting>
  <conditionalFormatting sqref="Y52">
    <cfRule type="expression" dxfId="528" priority="18">
      <formula>Y52="OK"</formula>
    </cfRule>
  </conditionalFormatting>
  <conditionalFormatting sqref="Y54:Y58">
    <cfRule type="expression" dxfId="527" priority="19">
      <formula>Y54="NOK"</formula>
    </cfRule>
  </conditionalFormatting>
  <conditionalFormatting sqref="Y54:Y58">
    <cfRule type="expression" dxfId="526" priority="20">
      <formula>Y54="OK"</formula>
    </cfRule>
  </conditionalFormatting>
  <conditionalFormatting sqref="Y65">
    <cfRule type="expression" dxfId="525" priority="21">
      <formula>Y65="NOK"</formula>
    </cfRule>
  </conditionalFormatting>
  <conditionalFormatting sqref="Y65">
    <cfRule type="expression" dxfId="524" priority="22">
      <formula>Y65="OK"</formula>
    </cfRule>
  </conditionalFormatting>
  <conditionalFormatting sqref="Y67:Y71">
    <cfRule type="expression" dxfId="523" priority="23">
      <formula>Y67="NOK"</formula>
    </cfRule>
  </conditionalFormatting>
  <conditionalFormatting sqref="Y67:Y71">
    <cfRule type="expression" dxfId="522" priority="24">
      <formula>Y67="OK"</formula>
    </cfRule>
  </conditionalFormatting>
  <conditionalFormatting sqref="Y78">
    <cfRule type="expression" dxfId="521" priority="25">
      <formula>Y78="NOK"</formula>
    </cfRule>
  </conditionalFormatting>
  <conditionalFormatting sqref="Y78">
    <cfRule type="expression" dxfId="520" priority="26">
      <formula>Y78="OK"</formula>
    </cfRule>
  </conditionalFormatting>
  <conditionalFormatting sqref="Y80:Y84">
    <cfRule type="expression" dxfId="519" priority="27">
      <formula>Y80="NOK"</formula>
    </cfRule>
  </conditionalFormatting>
  <conditionalFormatting sqref="Y80:Y84">
    <cfRule type="expression" dxfId="518" priority="28">
      <formula>Y80="OK"</formula>
    </cfRule>
  </conditionalFormatting>
  <conditionalFormatting sqref="Y91">
    <cfRule type="expression" dxfId="517" priority="29">
      <formula>Y91="NOK"</formula>
    </cfRule>
  </conditionalFormatting>
  <conditionalFormatting sqref="Y91">
    <cfRule type="expression" dxfId="516" priority="30">
      <formula>Y91="OK"</formula>
    </cfRule>
  </conditionalFormatting>
  <conditionalFormatting sqref="Y93:Y96">
    <cfRule type="expression" dxfId="515" priority="31">
      <formula>Y93="NOK"</formula>
    </cfRule>
  </conditionalFormatting>
  <conditionalFormatting sqref="Y93:Y96">
    <cfRule type="expression" dxfId="514" priority="32">
      <formula>Y93="OK"</formula>
    </cfRule>
  </conditionalFormatting>
  <conditionalFormatting sqref="Y12">
    <cfRule type="expression" dxfId="513" priority="33">
      <formula>Y12&gt;20%</formula>
    </cfRule>
  </conditionalFormatting>
  <conditionalFormatting sqref="Y12">
    <cfRule type="expression" dxfId="512" priority="34">
      <formula>Y12&lt;=20%</formula>
    </cfRule>
  </conditionalFormatting>
  <conditionalFormatting sqref="O5">
    <cfRule type="expression" dxfId="511" priority="35">
      <formula>ABS(O8)&gt;=O7</formula>
    </cfRule>
    <cfRule type="expression" dxfId="510" priority="36">
      <formula>ABS(O8)&lt;O7</formula>
    </cfRule>
  </conditionalFormatting>
  <conditionalFormatting sqref="Q5">
    <cfRule type="expression" dxfId="509" priority="9">
      <formula>ABS(Q8)&gt;=Q7</formula>
    </cfRule>
    <cfRule type="expression" dxfId="508" priority="10">
      <formula>ABS(Q8)&lt;Q7</formula>
    </cfRule>
  </conditionalFormatting>
  <conditionalFormatting sqref="S5">
    <cfRule type="expression" dxfId="507" priority="7">
      <formula>ABS(S8)&gt;=S7</formula>
    </cfRule>
    <cfRule type="expression" dxfId="506" priority="8">
      <formula>ABS(S8)&lt;S7</formula>
    </cfRule>
  </conditionalFormatting>
  <conditionalFormatting sqref="U5">
    <cfRule type="expression" dxfId="505" priority="5">
      <formula>ABS(U8)&gt;=U7</formula>
    </cfRule>
    <cfRule type="expression" dxfId="504" priority="6">
      <formula>ABS(U8)&lt;U7</formula>
    </cfRule>
  </conditionalFormatting>
  <conditionalFormatting sqref="W5">
    <cfRule type="expression" dxfId="503" priority="3">
      <formula>ABS(W8)&gt;=W7</formula>
    </cfRule>
    <cfRule type="expression" dxfId="502" priority="4">
      <formula>ABS(W8)&lt;W7</formula>
    </cfRule>
  </conditionalFormatting>
  <conditionalFormatting sqref="Y5">
    <cfRule type="expression" dxfId="501" priority="1">
      <formula>ABS(Y12)&gt;=Y10</formula>
    </cfRule>
    <cfRule type="expression" dxfId="500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288" t="s">
        <v>472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4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4"/>
      <c r="M5" s="777"/>
      <c r="N5" s="1054"/>
      <c r="O5" s="1294" t="s">
        <v>378</v>
      </c>
      <c r="P5" s="1054"/>
      <c r="Q5" s="1294" t="s">
        <v>379</v>
      </c>
      <c r="R5" s="1054"/>
      <c r="S5" s="1294" t="s">
        <v>380</v>
      </c>
      <c r="T5" s="1054"/>
      <c r="U5" s="1294" t="s">
        <v>381</v>
      </c>
      <c r="V5" s="1054"/>
      <c r="W5" s="1294" t="s">
        <v>382</v>
      </c>
      <c r="X5" s="1054"/>
      <c r="Y5" s="1294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4.7675999019252977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4"/>
      <c r="M6" s="789"/>
      <c r="N6" s="790"/>
      <c r="O6" s="1295"/>
      <c r="P6" s="1054"/>
      <c r="Q6" s="1295"/>
      <c r="R6" s="1054"/>
      <c r="S6" s="1295"/>
      <c r="T6" s="1054"/>
      <c r="U6" s="1295"/>
      <c r="V6" s="1054"/>
      <c r="W6" s="1295"/>
      <c r="X6" s="1054"/>
      <c r="Y6" s="1295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'RT1A)BIODIG Energia Elétrica'!M22-'RT1A)BIODIG Energia Elétrica'!M8-'RT1A)BIODIG Energia Elétrica'!M9</f>
        <v>138.64026876101192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4"/>
      <c r="M8" s="789"/>
      <c r="N8" s="790"/>
      <c r="O8" s="796">
        <f>(O12-O10)/O10</f>
        <v>0</v>
      </c>
      <c r="P8" s="790"/>
      <c r="Q8" s="796">
        <f>(Q12-Q10)/Q10</f>
        <v>5.8389267695990567E-3</v>
      </c>
      <c r="R8" s="790"/>
      <c r="S8" s="796">
        <f>(S12-S10)/S10</f>
        <v>1.515037717307062E-2</v>
      </c>
      <c r="T8" s="1054"/>
      <c r="U8" s="796">
        <f>(U12-U10)/U10</f>
        <v>1.51503771730704E-2</v>
      </c>
      <c r="V8" s="1054"/>
      <c r="W8" s="796">
        <f>(W12-W10)/W10</f>
        <v>1.5150377173070249E-2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5.1824406883915719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0.77416803557253311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5.2127005800588808</v>
      </c>
      <c r="R12" s="790"/>
      <c r="S12" s="802">
        <f>S33</f>
        <v>34909.27190131649</v>
      </c>
      <c r="T12" s="1054"/>
      <c r="U12" s="802">
        <f>U33</f>
        <v>6251654.1839272399</v>
      </c>
      <c r="V12" s="1054"/>
      <c r="W12" s="802">
        <f>W33</f>
        <v>6251654.1839272389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280"/>
      <c r="G16" s="1282"/>
      <c r="H16" s="1284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5.1824406883915719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0.84153033176778813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285" t="s">
        <v>419</v>
      </c>
      <c r="G23" s="1286"/>
      <c r="H23" s="1287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30.202639378932052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5.1824406883915719</v>
      </c>
      <c r="E25" s="1054"/>
      <c r="F25" s="835" t="s">
        <v>424</v>
      </c>
      <c r="G25" s="812" t="s">
        <v>425</v>
      </c>
      <c r="H25" s="1069">
        <f>H24/12</f>
        <v>2.5168866149110043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0.84153033176778813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296" t="s">
        <v>427</v>
      </c>
      <c r="C29" s="1297"/>
      <c r="D29" s="1297"/>
      <c r="E29" s="1298"/>
      <c r="F29" s="1054"/>
      <c r="G29" s="1054"/>
      <c r="H29" s="777"/>
      <c r="I29" s="1054"/>
      <c r="J29" s="777"/>
      <c r="K29" s="1299" t="s">
        <v>428</v>
      </c>
      <c r="L29" s="1300"/>
      <c r="M29" s="1301"/>
      <c r="N29" s="1054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4"/>
      <c r="O31" s="1307" t="s">
        <v>433</v>
      </c>
      <c r="P31" s="1054"/>
      <c r="Q31" s="1307" t="s">
        <v>434</v>
      </c>
      <c r="R31" s="1054"/>
      <c r="S31" s="1307" t="s">
        <v>435</v>
      </c>
      <c r="T31" s="1054"/>
      <c r="U31" s="1307" t="s">
        <v>436</v>
      </c>
      <c r="V31" s="1054"/>
      <c r="W31" s="1307" t="s">
        <v>436</v>
      </c>
      <c r="X31" s="1054"/>
      <c r="Y31" s="1307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30.202639378932052</v>
      </c>
      <c r="M32" s="841">
        <f>H25</f>
        <v>2.5168866149110043</v>
      </c>
      <c r="N32" s="842"/>
      <c r="O32" s="1308"/>
      <c r="P32" s="842"/>
      <c r="Q32" s="1308"/>
      <c r="R32" s="842"/>
      <c r="S32" s="1308"/>
      <c r="T32" s="1054"/>
      <c r="U32" s="1308"/>
      <c r="V32" s="1054"/>
      <c r="W32" s="1308"/>
      <c r="X32" s="1054"/>
      <c r="Y32" s="1309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5.2127005800588808</v>
      </c>
      <c r="R33" s="1054"/>
      <c r="S33" s="802">
        <f>12*S34</f>
        <v>34909.27190131649</v>
      </c>
      <c r="T33" s="1054" t="s">
        <v>438</v>
      </c>
      <c r="U33" s="802">
        <f>12*U34</f>
        <v>6251654.1839272399</v>
      </c>
      <c r="V33" s="1054" t="s">
        <v>439</v>
      </c>
      <c r="W33" s="802">
        <f>12*W34</f>
        <v>6251654.1839272389</v>
      </c>
      <c r="X33" s="1054" t="s">
        <v>439</v>
      </c>
      <c r="Y33" s="1320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2909.1059917763741</v>
      </c>
      <c r="T34" s="1054" t="s">
        <v>441</v>
      </c>
      <c r="U34" s="802">
        <f>U36+U49+U62+U75+U88</f>
        <v>520971.18199393665</v>
      </c>
      <c r="V34" s="1054" t="s">
        <v>442</v>
      </c>
      <c r="W34" s="802">
        <f>W36+W49+W62+W75+W88</f>
        <v>520971.1819939366</v>
      </c>
      <c r="X34" s="1054" t="s">
        <v>442</v>
      </c>
      <c r="Y34" s="1321"/>
      <c r="Z34" s="1054"/>
      <c r="AA34" s="1054"/>
      <c r="AB34" s="773"/>
    </row>
    <row r="35" spans="1:28" s="774" customFormat="1" ht="25.2" customHeight="1" outlineLevel="1" x14ac:dyDescent="0.3">
      <c r="A35" s="1054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3.7546835868535653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4"/>
      <c r="O36" s="802">
        <f>O39+O41+O42+O43+O44+O45</f>
        <v>40</v>
      </c>
      <c r="P36" s="1054"/>
      <c r="Q36" s="849">
        <f>Q39+Q41+Q42+Q43+Q44+Q45</f>
        <v>150.18734347414261</v>
      </c>
      <c r="R36" s="1054"/>
      <c r="S36" s="1310">
        <f>IF(AND(Q36&lt;&gt;0,O36&lt;&gt;0),Q36*(1-D17-D18-D19)/(($D$25*1000000/$D$8)),0)</f>
        <v>0.91186490169687484</v>
      </c>
      <c r="T36" s="1335" t="s">
        <v>448</v>
      </c>
      <c r="U36" s="1310">
        <f>U39+U41+U42+U43+U44+U45</f>
        <v>163.29942497754263</v>
      </c>
      <c r="V36" s="1054" t="s">
        <v>449</v>
      </c>
      <c r="W36" s="131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4"/>
      <c r="O37" s="855" t="s">
        <v>455</v>
      </c>
      <c r="P37" s="1054"/>
      <c r="Q37" s="856">
        <v>0.75</v>
      </c>
      <c r="R37" s="1054"/>
      <c r="S37" s="1334"/>
      <c r="T37" s="1336"/>
      <c r="U37" s="1334"/>
      <c r="V37" s="1054"/>
      <c r="W37" s="1311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7.5506598447330129</v>
      </c>
      <c r="K39" s="872">
        <f>$M$32*H39*$B$38*$C$38</f>
        <v>0.62922165372775107</v>
      </c>
      <c r="L39" s="871">
        <f>J39*$D$38</f>
        <v>9.4383248059162668</v>
      </c>
      <c r="M39" s="872">
        <f>K39*$D$38</f>
        <v>0.7865270671596889</v>
      </c>
      <c r="N39" s="1054"/>
      <c r="O39" s="873">
        <v>2</v>
      </c>
      <c r="P39" s="1054"/>
      <c r="Q39" s="874">
        <f>O39*$Q$37*M39+O39*(1-$Q$37)*K39</f>
        <v>1.494401427603409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21.896913549725738</v>
      </c>
      <c r="K41" s="872">
        <f>$M$32*(H39+(G41-F41)*H41)*$B$38*$C$38</f>
        <v>1.824742795810478</v>
      </c>
      <c r="L41" s="871">
        <f t="shared" ref="L41:M45" si="0">J41*$D$38</f>
        <v>27.371141937157173</v>
      </c>
      <c r="M41" s="872">
        <f t="shared" si="0"/>
        <v>2.2809284947630974</v>
      </c>
      <c r="N41" s="1054"/>
      <c r="O41" s="873">
        <v>2</v>
      </c>
      <c r="P41" s="1054"/>
      <c r="Q41" s="874">
        <f>O41*$Q$37*M41+O41*(1-$Q$37)*K41</f>
        <v>4.333764140049885</v>
      </c>
      <c r="R41" s="1054"/>
      <c r="S41" s="875">
        <f>IF(AND(Q41&lt;&gt;0,O41&lt;&gt;0),Q41*(1-D17-D18-D19)/O41/30/(($D$25*1000000/$D$8))*1000,0)</f>
        <v>0.43854199252420162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36.998233239191762</v>
      </c>
      <c r="K42" s="872">
        <f>$M$32*(H39+(G41-F41)*H41+(G42-F42)*H42)*$B$38*$C$38</f>
        <v>3.0831861032659806</v>
      </c>
      <c r="L42" s="871">
        <f t="shared" si="0"/>
        <v>46.247791548989703</v>
      </c>
      <c r="M42" s="872">
        <f t="shared" si="0"/>
        <v>3.8539826290824757</v>
      </c>
      <c r="N42" s="1054"/>
      <c r="O42" s="873">
        <v>28</v>
      </c>
      <c r="P42" s="1054"/>
      <c r="Q42" s="874">
        <f>O42*$Q$37*M42+O42*(1-$Q$37)*K42</f>
        <v>102.51593793359386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52.854618913131091</v>
      </c>
      <c r="K43" s="872">
        <f>$M$32*(H39+(G41-F41)*H41+(G42-F42)*H42+(G43-F43)*H43)*$B$38*$C$38</f>
        <v>4.4045515760942573</v>
      </c>
      <c r="L43" s="871">
        <f t="shared" si="0"/>
        <v>66.068273641413867</v>
      </c>
      <c r="M43" s="872">
        <f t="shared" si="0"/>
        <v>5.5056894701178214</v>
      </c>
      <c r="N43" s="1054"/>
      <c r="O43" s="873">
        <v>8</v>
      </c>
      <c r="P43" s="1054"/>
      <c r="Q43" s="874">
        <f>O43*$Q$37*M43+O43*(1-$Q$37)*K43</f>
        <v>41.843239972895439</v>
      </c>
      <c r="R43" s="1054"/>
      <c r="S43" s="875">
        <f>IF(AND(Q43&lt;&gt;0,O43&lt;&gt;0),Q43*(1-D17-D18-D19)/O43/30/(($D$25*1000000/$D$8))*1000,0)</f>
        <v>1.0585496371273833</v>
      </c>
      <c r="T43" s="1054" t="s">
        <v>459</v>
      </c>
      <c r="U43" s="876">
        <f>S43*O43*30*$D$11*(1+$D$24)/1000</f>
        <v>45.496357207673562</v>
      </c>
      <c r="V43" s="1054" t="s">
        <v>460</v>
      </c>
      <c r="W43" s="876">
        <f>IF(O43&lt;&gt;0,U43/O43,0)</f>
        <v>5.6870446509591952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77.771796400750034</v>
      </c>
      <c r="K44" s="872">
        <f>$M$32*(H39+(G41-F41)*H41+(G42-F42)*H42+(G43-F43)*H43+(G44-F44)*H44)*$B$38*$C$38</f>
        <v>6.4809830333958365</v>
      </c>
      <c r="L44" s="871">
        <f t="shared" si="0"/>
        <v>97.214745500937539</v>
      </c>
      <c r="M44" s="872">
        <f t="shared" si="0"/>
        <v>8.1012287917447949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164.6043846151797</v>
      </c>
      <c r="K45" s="872">
        <f>$M$32*(H39+(G41-F41)*H41+(G42-F42)*H42+(G43-F43)*H43+(G44-F44)*H44+(G45-F45)*H45)*$B$38*$C$38</f>
        <v>13.717032051264974</v>
      </c>
      <c r="L45" s="871">
        <f t="shared" si="0"/>
        <v>205.75548076897462</v>
      </c>
      <c r="M45" s="872">
        <f t="shared" si="0"/>
        <v>17.146290064081217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61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4"/>
      <c r="R47" s="842"/>
      <c r="S47" s="1061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3.0005779072358054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4"/>
      <c r="O49" s="802">
        <f>O52+O54+O55+O56+O57+O58</f>
        <v>127341</v>
      </c>
      <c r="P49" s="1054"/>
      <c r="Q49" s="890">
        <f>Q52+Q54+Q55+Q56+Q57+Q58</f>
        <v>382096.5912853147</v>
      </c>
      <c r="R49" s="1054"/>
      <c r="S49" s="1337">
        <f>IF(AND(Q49&lt;&gt;0,O49&lt;&gt;0),Q49*(1-D17-D18-D19)/(($D$25*1000000/$D$8)),0)</f>
        <v>2319.9056764132802</v>
      </c>
      <c r="T49" s="1335" t="s">
        <v>448</v>
      </c>
      <c r="U49" s="1310">
        <f>U52+U54+U55+U56+U57+U58</f>
        <v>415455.47180887189</v>
      </c>
      <c r="V49" s="1054" t="s">
        <v>449</v>
      </c>
      <c r="W49" s="1338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4"/>
      <c r="O50" s="891" t="s">
        <v>455</v>
      </c>
      <c r="P50" s="1054"/>
      <c r="Q50" s="856">
        <v>0.75</v>
      </c>
      <c r="R50" s="1054"/>
      <c r="S50" s="1334"/>
      <c r="T50" s="1336"/>
      <c r="U50" s="1334"/>
      <c r="V50" s="1054"/>
      <c r="W50" s="1339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41"/>
      <c r="C52" s="1317"/>
      <c r="D52" s="1319"/>
      <c r="E52" s="854"/>
      <c r="F52" s="868" t="s">
        <v>393</v>
      </c>
      <c r="G52" s="869">
        <v>5</v>
      </c>
      <c r="H52" s="870">
        <f>0.275</f>
        <v>0.27500000000000002</v>
      </c>
      <c r="I52" s="853"/>
      <c r="J52" s="871">
        <f>$L$32*H52*$B$51*$C$51</f>
        <v>10.58980043223805</v>
      </c>
      <c r="K52" s="872">
        <f>$M$32*H52*$B$51*$C$51</f>
        <v>0.88248336935317095</v>
      </c>
      <c r="L52" s="871">
        <f>J52*$D$51</f>
        <v>13.237250540297563</v>
      </c>
      <c r="M52" s="872">
        <f>K52*$D$51</f>
        <v>1.1031042116914638</v>
      </c>
      <c r="N52" s="1054"/>
      <c r="O52" s="873">
        <v>62341</v>
      </c>
      <c r="P52" s="1054"/>
      <c r="Q52" s="874">
        <f>O52*$Q$50*M52+O52*(1-$Q$50)*K52</f>
        <v>65330.188678004663</v>
      </c>
      <c r="R52" s="1054"/>
      <c r="S52" s="875">
        <f>IF(AND(Q52&lt;&gt;0,O52&lt;&gt;0),Q52*(1-D17-D18-D19)/O52/30/(($D$25*1000000/$D$8))*1000,0)</f>
        <v>0.2120879808673079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33.694819557121065</v>
      </c>
      <c r="K54" s="872">
        <f>$M$32*(H52+(G54-F54)*H54)*$B$51*$C$51</f>
        <v>2.8079016297600887</v>
      </c>
      <c r="L54" s="871">
        <f t="shared" ref="L54:M58" si="1">J54*$D$51</f>
        <v>42.118524446401331</v>
      </c>
      <c r="M54" s="872">
        <f t="shared" si="1"/>
        <v>3.5098770372001109</v>
      </c>
      <c r="N54" s="1054"/>
      <c r="O54" s="873">
        <v>42500</v>
      </c>
      <c r="P54" s="1054"/>
      <c r="Q54" s="874">
        <f>O54*$Q$50*M54+O54*(1-$Q$50)*K54</f>
        <v>141711.28537695447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57.762547812207544</v>
      </c>
      <c r="K55" s="872">
        <f>$M$32*(H52+(G54-F54)*H54+(G55-F55)*H55)*$B$51*$C$51</f>
        <v>4.8135456510172956</v>
      </c>
      <c r="L55" s="871">
        <f t="shared" si="1"/>
        <v>72.203184765259437</v>
      </c>
      <c r="M55" s="872">
        <f t="shared" si="1"/>
        <v>6.0169320637716197</v>
      </c>
      <c r="N55" s="1054"/>
      <c r="O55" s="873">
        <v>10000</v>
      </c>
      <c r="P55" s="1054"/>
      <c r="Q55" s="874">
        <f>O55*$Q$50*M55+O55*(1-$Q$50)*K55</f>
        <v>57160.854605830384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95.308203890142451</v>
      </c>
      <c r="K56" s="872">
        <f>$M$32*(H52+(G54-F54)*H54+(G55-F55)*H55+(G56-F56)*H56)*$B$51*$C$51</f>
        <v>7.9423503241785376</v>
      </c>
      <c r="L56" s="871">
        <f t="shared" si="1"/>
        <v>119.13525486267807</v>
      </c>
      <c r="M56" s="872">
        <f t="shared" si="1"/>
        <v>9.9279379052231711</v>
      </c>
      <c r="N56" s="1054"/>
      <c r="O56" s="873">
        <v>12500</v>
      </c>
      <c r="P56" s="1054"/>
      <c r="Q56" s="874">
        <f>O56*$Q$50*M56+O56*(1-$Q$50)*K56</f>
        <v>117894.26262452516</v>
      </c>
      <c r="R56" s="1054"/>
      <c r="S56" s="875">
        <f>IF(AND(Q56&lt;&gt;0,O56&lt;&gt;0),Q56*(1-D17-D18-D19)/O56/30/(($D$25*1000000/$D$8))*1000,0)</f>
        <v>1.9087918278057707</v>
      </c>
      <c r="T56" s="1054" t="s">
        <v>459</v>
      </c>
      <c r="U56" s="876">
        <f>S56*O56*30*$D$11*(1+$D$24)/1000</f>
        <v>128187.00197630793</v>
      </c>
      <c r="V56" s="1054" t="s">
        <v>460</v>
      </c>
      <c r="W56" s="895">
        <f>IF(O56&lt;&gt;0,U56/O56,0)</f>
        <v>10.254960158104634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196.39266256150566</v>
      </c>
      <c r="K57" s="872">
        <f>$M$32*(H52+(G54-F54)*H54+(G55-F55)*H55+(G56-F56)*H56+(G57-F57)*H57)*$B$51*$C$51</f>
        <v>16.366055213458804</v>
      </c>
      <c r="L57" s="871">
        <f t="shared" si="1"/>
        <v>245.49082820188207</v>
      </c>
      <c r="M57" s="872">
        <f t="shared" si="1"/>
        <v>20.457569016823506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413.00221685728394</v>
      </c>
      <c r="K58" s="872">
        <f>$M$32*(H52+(G54-F54)*H54+(G55-F55)*H55+(G56-F56)*H56+(G57-F57)*H57+(G58-F58)*H58)*$B$51*$C$51</f>
        <v>34.416851404773659</v>
      </c>
      <c r="L58" s="871">
        <f t="shared" si="1"/>
        <v>516.25277107160491</v>
      </c>
      <c r="M58" s="872">
        <f t="shared" si="1"/>
        <v>43.021064255967076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61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4"/>
      <c r="R60" s="842"/>
      <c r="S60" s="1061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1.0542142466143145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4"/>
      <c r="O62" s="802">
        <f>O65+O67+O68+O69+O70+O71</f>
        <v>42447</v>
      </c>
      <c r="P62" s="1054"/>
      <c r="Q62" s="849">
        <f>Q65+Q67+Q68+Q69+Q70+Q71</f>
        <v>44748.232126037808</v>
      </c>
      <c r="R62" s="1054"/>
      <c r="S62" s="1310">
        <f>IF(AND(Q62&lt;&gt;0,O62&lt;&gt;0),Q62*(1-D17-D18-D19)/(H15)/(($D$25*1000000/$D$8)),0)</f>
        <v>543.37924015206488</v>
      </c>
      <c r="T62" s="1335" t="s">
        <v>448</v>
      </c>
      <c r="U62" s="1310">
        <f>U65+U67+U68+U69+U70+U71</f>
        <v>97309.93845299173</v>
      </c>
      <c r="V62" s="1054" t="s">
        <v>449</v>
      </c>
      <c r="W62" s="1310">
        <f>W65*O65+W67*O67+W68*O68+W69*O69+W70*O70+W71*O71</f>
        <v>97309.93845299173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4"/>
      <c r="O63" s="891" t="s">
        <v>455</v>
      </c>
      <c r="P63" s="1054"/>
      <c r="Q63" s="856">
        <v>0.75</v>
      </c>
      <c r="R63" s="1054"/>
      <c r="S63" s="1334"/>
      <c r="T63" s="1336"/>
      <c r="U63" s="1334"/>
      <c r="V63" s="1054"/>
      <c r="W63" s="1311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5.2949002161190251</v>
      </c>
      <c r="K65" s="872">
        <f>$M$32*H65*$B$64*$C$64</f>
        <v>0.44124168467658548</v>
      </c>
      <c r="L65" s="871">
        <f>J65*$D$51</f>
        <v>6.6186252701487813</v>
      </c>
      <c r="M65" s="872">
        <f>K65*$D$51</f>
        <v>0.55155210584573189</v>
      </c>
      <c r="N65" s="1054"/>
      <c r="O65" s="873">
        <v>25947</v>
      </c>
      <c r="P65" s="1054"/>
      <c r="Q65" s="874">
        <f>O65*$Q$63*M65+O65*(1-$Q$63)*K65</f>
        <v>13595.566365860244</v>
      </c>
      <c r="R65" s="1054"/>
      <c r="S65" s="875">
        <f>IF(AND(Q65&lt;&gt;0,O65&lt;&gt;0),Q65*(1-D17-D18-D19)/(H15)/O65/30/(($D$25*1000000/$D$8))*1000,0)</f>
        <v>0.2120879808673079</v>
      </c>
      <c r="T65" s="1054" t="s">
        <v>459</v>
      </c>
      <c r="U65" s="876">
        <f>S65*O65*30*$D$11*(1+$D$24)/1000</f>
        <v>29565.050135815665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16.847409778560532</v>
      </c>
      <c r="K67" s="872">
        <f>$M$32*(H65+(G67-F67)*H67)*$B$64*$C$64</f>
        <v>1.4039508148800444</v>
      </c>
      <c r="L67" s="871">
        <f t="shared" ref="L67:M71" si="3">J67*$D$51</f>
        <v>21.059262223200665</v>
      </c>
      <c r="M67" s="872">
        <f t="shared" si="3"/>
        <v>1.7549385186000555</v>
      </c>
      <c r="N67" s="1054"/>
      <c r="O67" s="873">
        <v>15000</v>
      </c>
      <c r="P67" s="1054"/>
      <c r="Q67" s="874">
        <f>O67*$Q$63*M67+O67*(1-$Q$63)*K67</f>
        <v>25007.873890050792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28.881273906103772</v>
      </c>
      <c r="K68" s="872">
        <f>$M$32*(H65+(G67-F67)*H67+(G68-F68)*H68)*$B$64*$C$64</f>
        <v>2.4067728255086478</v>
      </c>
      <c r="L68" s="871">
        <f t="shared" si="3"/>
        <v>36.101592382629718</v>
      </c>
      <c r="M68" s="872">
        <f t="shared" si="3"/>
        <v>3.0084660318858099</v>
      </c>
      <c r="N68" s="1054"/>
      <c r="O68" s="873">
        <v>500</v>
      </c>
      <c r="P68" s="1054"/>
      <c r="Q68" s="874">
        <f>O68*$Q$63*M68+O68*(1-$Q$63)*K68</f>
        <v>1429.0213651457595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47.654101945071226</v>
      </c>
      <c r="K69" s="872">
        <f>$M$32*(H65+(G67-F67)*H67+(G68-F68)*H68+(G69-F69)*H69)*$B$64*$C$64</f>
        <v>3.9711751620892688</v>
      </c>
      <c r="L69" s="871">
        <f t="shared" si="3"/>
        <v>59.567627431339034</v>
      </c>
      <c r="M69" s="872">
        <f t="shared" si="3"/>
        <v>4.9639689526115856</v>
      </c>
      <c r="N69" s="1054"/>
      <c r="O69" s="873">
        <v>1000</v>
      </c>
      <c r="P69" s="1054"/>
      <c r="Q69" s="874">
        <f>O69*$Q$63*M69+O69*(1-$Q$63)*K69</f>
        <v>4715.7705049810065</v>
      </c>
      <c r="R69" s="1054"/>
      <c r="S69" s="875">
        <f>IF(AND(Q69&lt;&gt;0,O69&lt;&gt;0),Q69*(1-D17-D18-D19)/O69/30/(H15)/(($D$25*1000000/$D$8))*1000,0)</f>
        <v>1.9087918278057712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98.19633128075283</v>
      </c>
      <c r="K70" s="872">
        <f>$M$32*(H65+(G67-F67)*H67+(G68-F68)*H68+(G69-F69)*H69+(G70-F70)*H70)*$B$64*$C$64</f>
        <v>8.1830276067294019</v>
      </c>
      <c r="L70" s="871">
        <f t="shared" si="3"/>
        <v>122.74541410094103</v>
      </c>
      <c r="M70" s="872">
        <f t="shared" si="3"/>
        <v>10.228784508411753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206.50110842864197</v>
      </c>
      <c r="K71" s="872">
        <f>$M$32*(H65+(G67-F67)*H67+(G68-F68)*H68+(G69-F69)*H69+(G70-F70)*H70+(G71-F71)*H71)*$B$64*$C$64</f>
        <v>17.20842570238683</v>
      </c>
      <c r="L71" s="871">
        <f t="shared" si="3"/>
        <v>258.12638553580246</v>
      </c>
      <c r="M71" s="872">
        <f t="shared" si="3"/>
        <v>21.510532127983538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61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4"/>
      <c r="O73" s="1061"/>
      <c r="P73" s="1054"/>
      <c r="Q73" s="1054"/>
      <c r="R73" s="1054"/>
      <c r="S73" s="1061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4.1445691425397158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4"/>
      <c r="O75" s="802">
        <f>O78+O80+O81+O82+O83+O84</f>
        <v>1741</v>
      </c>
      <c r="P75" s="1054"/>
      <c r="Q75" s="849">
        <f>Q78+Q80+Q81+Q82+Q83+Q84</f>
        <v>7215.6948771616453</v>
      </c>
      <c r="R75" s="1054"/>
      <c r="S75" s="1310">
        <f>IF(AND(Q75&lt;&gt;0,O75&lt;&gt;0),Q75*(1-D17-D18-D19)/(($D$25*1000000/$D$8)),0)</f>
        <v>43.810208953928687</v>
      </c>
      <c r="T75" s="1335" t="s">
        <v>448</v>
      </c>
      <c r="U75" s="1310">
        <f>U78+U80+U81+U82+U83+U84</f>
        <v>7845.6599404247736</v>
      </c>
      <c r="V75" s="1054" t="s">
        <v>449</v>
      </c>
      <c r="W75" s="1310">
        <f>W78*O78+W80*O80+W81*O81+W82*O82+W83*O83+W84*O84</f>
        <v>7845.6599404247736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4"/>
      <c r="O76" s="891" t="s">
        <v>455</v>
      </c>
      <c r="P76" s="1054"/>
      <c r="Q76" s="856">
        <v>0.75</v>
      </c>
      <c r="R76" s="1054"/>
      <c r="S76" s="1334"/>
      <c r="T76" s="1336"/>
      <c r="U76" s="1334"/>
      <c r="V76" s="1054"/>
      <c r="W76" s="1311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316"/>
      <c r="C78" s="1317"/>
      <c r="D78" s="1319"/>
      <c r="E78" s="854"/>
      <c r="F78" s="868" t="s">
        <v>393</v>
      </c>
      <c r="G78" s="869">
        <v>5</v>
      </c>
      <c r="H78" s="870">
        <f>0.225-0.005</f>
        <v>0.22</v>
      </c>
      <c r="I78" s="853"/>
      <c r="J78" s="871">
        <f>$L$32*H78*$B$77*$C$77</f>
        <v>9.9668709950475769</v>
      </c>
      <c r="K78" s="872">
        <f>$M$32*H78*$B$77*$C$77</f>
        <v>0.83057258292063141</v>
      </c>
      <c r="L78" s="871">
        <f>J78*$D$77</f>
        <v>12.458588743809472</v>
      </c>
      <c r="M78" s="872">
        <f>K78*$D$77</f>
        <v>1.0382157286507891</v>
      </c>
      <c r="N78" s="1054"/>
      <c r="O78" s="873">
        <v>264</v>
      </c>
      <c r="P78" s="1054"/>
      <c r="Q78" s="874">
        <f>O78*$Q$76*M78+O78*(1-$Q$76)*K78</f>
        <v>260.3845047456179</v>
      </c>
      <c r="R78" s="1054"/>
      <c r="S78" s="875">
        <f>IF(AND(Q78&lt;&gt;0,O78&lt;&gt;0),Q78*(1-D17-D18-D19)/O78/30/(($D$25*1000000/$D$8))*1000,0)</f>
        <v>0.19961221728687797</v>
      </c>
      <c r="T78" s="1054" t="s">
        <v>459</v>
      </c>
      <c r="U78" s="876">
        <f>S78*O78*30*$D$11*(1+$D$24)/1000</f>
        <v>283.11733142375141</v>
      </c>
      <c r="V78" s="1054" t="s">
        <v>460</v>
      </c>
      <c r="W78" s="876">
        <f>IF(O78&lt;&gt;0,U78/O78,0)</f>
        <v>1.0724141341808766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37.149246436086422</v>
      </c>
      <c r="K80" s="872">
        <f>$M$32*(H78+(G80-F80)*H80)*$B$77*$C$77</f>
        <v>3.0957705363405355</v>
      </c>
      <c r="L80" s="871">
        <f t="shared" ref="L80:M84" si="4">J80*$D$77</f>
        <v>46.436558045108029</v>
      </c>
      <c r="M80" s="872">
        <f t="shared" si="4"/>
        <v>3.8697131704256691</v>
      </c>
      <c r="N80" s="1054"/>
      <c r="O80" s="873">
        <v>994</v>
      </c>
      <c r="P80" s="1054"/>
      <c r="Q80" s="874">
        <f>O80*$Q$76*M80+O80*(1-$Q$76)*K80</f>
        <v>3654.1701468329593</v>
      </c>
      <c r="R80" s="1054"/>
      <c r="S80" s="875">
        <f>IF(AND(Q80&lt;&gt;0,O80&lt;&gt;0),Q80*(1-D17-D18-D19)/O80/30/(($D$25*1000000/$D$8))*1000,0)</f>
        <v>0.74400917352381801</v>
      </c>
      <c r="T80" s="1054" t="s">
        <v>459</v>
      </c>
      <c r="U80" s="876">
        <f>S80*O80*30*$D$11*(1+$D$24)/1000</f>
        <v>3973.1968749461321</v>
      </c>
      <c r="V80" s="1054" t="s">
        <v>460</v>
      </c>
      <c r="W80" s="876">
        <f>IF(O80&lt;&gt;0,U80/O80,0)</f>
        <v>3.9971799546741771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56.403429040155615</v>
      </c>
      <c r="K81" s="872">
        <f>$M$32*(H78+(G80-F80)*H80+(G81-F81)*H81)*$B$77*$C$77</f>
        <v>4.7002857533463009</v>
      </c>
      <c r="L81" s="871">
        <f t="shared" si="4"/>
        <v>70.504286300194522</v>
      </c>
      <c r="M81" s="872">
        <f t="shared" si="4"/>
        <v>5.875357191682876</v>
      </c>
      <c r="N81" s="1054"/>
      <c r="O81" s="873">
        <v>183</v>
      </c>
      <c r="P81" s="1054"/>
      <c r="Q81" s="874">
        <f>O81*$Q$76*M81+O81*(1-$Q$76)*K81</f>
        <v>1021.430847774068</v>
      </c>
      <c r="R81" s="1054"/>
      <c r="S81" s="875">
        <f>IF(AND(Q81&lt;&gt;0,O81&lt;&gt;0),Q81*(1-D17-D18-D19)/O81/30/(($D$25*1000000/$D$8))*1000,0)</f>
        <v>1.1296236841916503</v>
      </c>
      <c r="T81" s="1054" t="s">
        <v>459</v>
      </c>
      <c r="U81" s="876">
        <f>S81*O81*30*$D$11*(1+$D$24)/1000</f>
        <v>1110.6067011868183</v>
      </c>
      <c r="V81" s="1054" t="s">
        <v>460</v>
      </c>
      <c r="W81" s="876">
        <f>IF(O81&lt;&gt;0,U81/O81,0)</f>
        <v>6.0688890775235977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76.790210620934744</v>
      </c>
      <c r="K82" s="872">
        <f>$M$32*(H78+(G80-F80)*H80+(G81-F81)*H81+(G82-F82)*H82)*$B$77*$C$77</f>
        <v>6.3991842184112286</v>
      </c>
      <c r="L82" s="871">
        <f t="shared" si="4"/>
        <v>95.987763276168437</v>
      </c>
      <c r="M82" s="872">
        <f t="shared" si="4"/>
        <v>7.9989802730140358</v>
      </c>
      <c r="N82" s="1054"/>
      <c r="O82" s="873">
        <v>300</v>
      </c>
      <c r="P82" s="1054"/>
      <c r="Q82" s="874">
        <f>O82*$Q$76*M82+O82*(1-$Q$76)*K82</f>
        <v>2279.7093778090002</v>
      </c>
      <c r="R82" s="1054"/>
      <c r="S82" s="875">
        <f>IF(AND(Q82&lt;&gt;0,O82&lt;&gt;0),Q82*(1-D17-D18-D19)/O82/30/(($D$25*1000000/$D$8))*1000,0)</f>
        <v>1.5379214013693556</v>
      </c>
      <c r="T82" s="1054" t="s">
        <v>459</v>
      </c>
      <c r="U82" s="876">
        <f>S82*O82*30*$D$11*(1+$D$24)/1000</f>
        <v>2478.7390328680722</v>
      </c>
      <c r="V82" s="1054" t="s">
        <v>460</v>
      </c>
      <c r="W82" s="876">
        <f>IF(O82&lt;&gt;0,U82/O82,0)</f>
        <v>8.2624634428935746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109.06928145716837</v>
      </c>
      <c r="K83" s="872">
        <f>$M$32*(H78+(G80-F80)*H80+(G81-F81)*H81+(G82-F82)*H82+(G83-F83)*H83)*$B$77*$C$77</f>
        <v>9.0891067880973644</v>
      </c>
      <c r="L83" s="871">
        <f t="shared" si="4"/>
        <v>136.33660182146048</v>
      </c>
      <c r="M83" s="872">
        <f t="shared" si="4"/>
        <v>11.361383485121706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211.00318936106407</v>
      </c>
      <c r="K84" s="872">
        <f>$M$32*(H78+(G80-F80)*H80+(G81-F81)*H81+(G82-F82)*H82+(G83-F83)*H83+(G84-F84)*H84)*$B$77*$C$77</f>
        <v>17.583599113422004</v>
      </c>
      <c r="L84" s="871">
        <f t="shared" si="4"/>
        <v>263.75398670133006</v>
      </c>
      <c r="M84" s="872">
        <f t="shared" si="4"/>
        <v>21.979498891777503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61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4"/>
      <c r="O86" s="1061"/>
      <c r="P86" s="1054"/>
      <c r="Q86" s="1054"/>
      <c r="R86" s="1054"/>
      <c r="S86" s="1061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9.0504686459231429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4"/>
      <c r="O88" s="877">
        <f>O91+O93+O94+O95+O96</f>
        <v>20</v>
      </c>
      <c r="P88" s="1054"/>
      <c r="Q88" s="849">
        <f>Q91+Q93+Q94+Q95+Q96</f>
        <v>181.00937291846287</v>
      </c>
      <c r="R88" s="1054"/>
      <c r="S88" s="1310">
        <f>IF(AND(Q88&lt;&gt;0,O88&lt;&gt;0),Q88*(1-D17-D18-D19)/(($D$25*1000000/$D$8)),0)</f>
        <v>1.0990013554033227</v>
      </c>
      <c r="T88" s="1335" t="s">
        <v>448</v>
      </c>
      <c r="U88" s="1310">
        <f>U91+U93+U94+U95+U96+Z97</f>
        <v>196.81236667069498</v>
      </c>
      <c r="V88" s="1054" t="s">
        <v>449</v>
      </c>
      <c r="W88" s="131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4"/>
      <c r="O89" s="891" t="s">
        <v>455</v>
      </c>
      <c r="P89" s="1054"/>
      <c r="Q89" s="856">
        <v>0.75</v>
      </c>
      <c r="R89" s="1054"/>
      <c r="S89" s="1334"/>
      <c r="T89" s="1336"/>
      <c r="U89" s="1334"/>
      <c r="V89" s="1054"/>
      <c r="W89" s="1311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7.9281928369696626</v>
      </c>
      <c r="K91" s="872">
        <f>$M$32*H91*$B$90*$C$90</f>
        <v>0.66068273641413855</v>
      </c>
      <c r="L91" s="871">
        <f>J91*$D$90</f>
        <v>9.9102410462120787</v>
      </c>
      <c r="M91" s="872">
        <f>K91*$D$90</f>
        <v>0.82585342051767319</v>
      </c>
      <c r="N91" s="1054"/>
      <c r="O91" s="873">
        <v>1</v>
      </c>
      <c r="P91" s="1054"/>
      <c r="Q91" s="874">
        <f>O91*$Q$76*M91+O91*(1-$Q$76)*K91</f>
        <v>0.78456074949178956</v>
      </c>
      <c r="R91" s="1054"/>
      <c r="S91" s="875">
        <f>IF(AND(Q91&lt;&gt;0,O91&lt;&gt;0),Q91*(1-D17-D18-D19)/O91/30/(($D$25*1000000/$D$8))*1000,0)</f>
        <v>0.15878244556910748</v>
      </c>
      <c r="T91" s="1054" t="s">
        <v>459</v>
      </c>
      <c r="U91" s="876">
        <f>S91*O91*30*$D$11*(1+$D$24)/1000</f>
        <v>0.85305669764387915</v>
      </c>
      <c r="V91" s="1054" t="s">
        <v>460</v>
      </c>
      <c r="W91" s="876">
        <f>IF(O91&lt;&gt;0,U91/O91,0)</f>
        <v>0.85305669764387915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24.917177487618943</v>
      </c>
      <c r="K93" s="872">
        <f>$M$32*(H91+(G93-F93)*H93)*$B$90*$C$90</f>
        <v>2.0764314573015787</v>
      </c>
      <c r="L93" s="871">
        <f t="shared" ref="L93:M96" si="5">J93*$D$90</f>
        <v>31.146471859523679</v>
      </c>
      <c r="M93" s="872">
        <f t="shared" si="5"/>
        <v>2.5955393216269735</v>
      </c>
      <c r="N93" s="1054"/>
      <c r="O93" s="873">
        <v>2</v>
      </c>
      <c r="P93" s="1054"/>
      <c r="Q93" s="874">
        <f>O93*$Q$76*M93+O93*(1-$Q$76)*K93</f>
        <v>4.9315247110912495</v>
      </c>
      <c r="R93" s="1054"/>
      <c r="S93" s="875">
        <f>IF(AND(Q93&lt;&gt;0,O93&lt;&gt;0),Q93*(1-D17-D18-D19)/O93/30/(($D$25*1000000/$D$8))*1000,0)</f>
        <v>0.49903054321719509</v>
      </c>
      <c r="T93" s="1054" t="s">
        <v>459</v>
      </c>
      <c r="U93" s="876">
        <f>S93*O93*30*$D$11*(1+$D$24)/1000</f>
        <v>5.3620706709043855</v>
      </c>
      <c r="V93" s="1054" t="s">
        <v>460</v>
      </c>
      <c r="W93" s="876">
        <f>IF(O93&lt;&gt;0,U93/O93,0)</f>
        <v>2.6810353354521927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104.19910585731557</v>
      </c>
      <c r="K94" s="872">
        <f>$M$32*(H91+(G93-F93)*H93+(G94-F94)*H94)*$B$90*$C$90</f>
        <v>8.6832588214429656</v>
      </c>
      <c r="L94" s="871">
        <f t="shared" si="5"/>
        <v>130.24888232164446</v>
      </c>
      <c r="M94" s="872">
        <f t="shared" si="5"/>
        <v>10.854073526803706</v>
      </c>
      <c r="N94" s="1054"/>
      <c r="O94" s="873">
        <v>17</v>
      </c>
      <c r="P94" s="1054"/>
      <c r="Q94" s="874">
        <f>O94*$Q$76*M94+O94*(1-$Q$76)*K94</f>
        <v>175.29328745787984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602.54265560969452</v>
      </c>
      <c r="K95" s="872">
        <f>$M$32*(H91+(G93-F93)*H93+(G94-F94)*H94+(G95-F95)*H95)*$B$90*$C$90</f>
        <v>50.211887967474539</v>
      </c>
      <c r="L95" s="871">
        <f t="shared" si="5"/>
        <v>753.17831951211815</v>
      </c>
      <c r="M95" s="872">
        <f t="shared" si="5"/>
        <v>62.76485995934317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1282.1020416356657</v>
      </c>
      <c r="K96" s="872">
        <f>$M$32*(H91+(G93-F93)*H93+(G94-F94)*H94+(G95-F95)*H95+(G96-F96)*H96)*$B$90*$C$90</f>
        <v>106.84183680297213</v>
      </c>
      <c r="L96" s="871">
        <f t="shared" si="5"/>
        <v>1602.6275520445822</v>
      </c>
      <c r="M96" s="872">
        <f t="shared" si="5"/>
        <v>133.55229600371516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99" priority="15">
      <formula>OR(O36&lt;O35*99.75%,O36&gt;O35*100.25%)</formula>
    </cfRule>
  </conditionalFormatting>
  <conditionalFormatting sqref="O36">
    <cfRule type="expression" dxfId="498" priority="16">
      <formula>OR(O36&lt;O35*100.25%,O36&gt;O35*99.75%)</formula>
    </cfRule>
  </conditionalFormatting>
  <conditionalFormatting sqref="Y39">
    <cfRule type="expression" dxfId="497" priority="17">
      <formula>Y39="NOK"</formula>
    </cfRule>
  </conditionalFormatting>
  <conditionalFormatting sqref="Y39">
    <cfRule type="expression" dxfId="496" priority="18">
      <formula>Y39="OK"</formula>
    </cfRule>
  </conditionalFormatting>
  <conditionalFormatting sqref="Y41:Y45">
    <cfRule type="expression" dxfId="495" priority="19">
      <formula>Y41="NOK"</formula>
    </cfRule>
  </conditionalFormatting>
  <conditionalFormatting sqref="Y41:Y45">
    <cfRule type="expression" dxfId="494" priority="20">
      <formula>Y41="OK"</formula>
    </cfRule>
  </conditionalFormatting>
  <conditionalFormatting sqref="Y52">
    <cfRule type="expression" dxfId="493" priority="21">
      <formula>Y52="NOK"</formula>
    </cfRule>
  </conditionalFormatting>
  <conditionalFormatting sqref="Y52">
    <cfRule type="expression" dxfId="492" priority="22">
      <formula>Y52="OK"</formula>
    </cfRule>
  </conditionalFormatting>
  <conditionalFormatting sqref="Y54:Y58">
    <cfRule type="expression" dxfId="491" priority="23">
      <formula>Y54="NOK"</formula>
    </cfRule>
  </conditionalFormatting>
  <conditionalFormatting sqref="Y54:Y58">
    <cfRule type="expression" dxfId="490" priority="24">
      <formula>Y54="OK"</formula>
    </cfRule>
  </conditionalFormatting>
  <conditionalFormatting sqref="Y65">
    <cfRule type="expression" dxfId="489" priority="25">
      <formula>Y65="NOK"</formula>
    </cfRule>
  </conditionalFormatting>
  <conditionalFormatting sqref="Y65">
    <cfRule type="expression" dxfId="488" priority="26">
      <formula>Y65="OK"</formula>
    </cfRule>
  </conditionalFormatting>
  <conditionalFormatting sqref="Y67:Y71">
    <cfRule type="expression" dxfId="487" priority="27">
      <formula>Y67="NOK"</formula>
    </cfRule>
  </conditionalFormatting>
  <conditionalFormatting sqref="Y67:Y71">
    <cfRule type="expression" dxfId="486" priority="28">
      <formula>Y67="OK"</formula>
    </cfRule>
  </conditionalFormatting>
  <conditionalFormatting sqref="Y78">
    <cfRule type="expression" dxfId="485" priority="29">
      <formula>Y78="NOK"</formula>
    </cfRule>
  </conditionalFormatting>
  <conditionalFormatting sqref="Y78">
    <cfRule type="expression" dxfId="484" priority="30">
      <formula>Y78="OK"</formula>
    </cfRule>
  </conditionalFormatting>
  <conditionalFormatting sqref="Y80:Y84">
    <cfRule type="expression" dxfId="483" priority="31">
      <formula>Y80="NOK"</formula>
    </cfRule>
  </conditionalFormatting>
  <conditionalFormatting sqref="Y80:Y84">
    <cfRule type="expression" dxfId="482" priority="32">
      <formula>Y80="OK"</formula>
    </cfRule>
  </conditionalFormatting>
  <conditionalFormatting sqref="Y91">
    <cfRule type="expression" dxfId="481" priority="33">
      <formula>Y91="NOK"</formula>
    </cfRule>
  </conditionalFormatting>
  <conditionalFormatting sqref="Y91">
    <cfRule type="expression" dxfId="480" priority="34">
      <formula>Y91="OK"</formula>
    </cfRule>
  </conditionalFormatting>
  <conditionalFormatting sqref="Y93:Y96">
    <cfRule type="expression" dxfId="479" priority="35">
      <formula>Y93="NOK"</formula>
    </cfRule>
  </conditionalFormatting>
  <conditionalFormatting sqref="Y93:Y96">
    <cfRule type="expression" dxfId="478" priority="36">
      <formula>Y93="OK"</formula>
    </cfRule>
  </conditionalFormatting>
  <conditionalFormatting sqref="Y12">
    <cfRule type="expression" dxfId="477" priority="37">
      <formula>Y12&gt;20%</formula>
    </cfRule>
  </conditionalFormatting>
  <conditionalFormatting sqref="Y12">
    <cfRule type="expression" dxfId="476" priority="38">
      <formula>Y12&lt;=20%</formula>
    </cfRule>
  </conditionalFormatting>
  <conditionalFormatting sqref="O5">
    <cfRule type="expression" dxfId="475" priority="39">
      <formula>ABS(O8)&gt;=O7</formula>
    </cfRule>
    <cfRule type="expression" dxfId="474" priority="40">
      <formula>ABS(O8)&lt;O7</formula>
    </cfRule>
  </conditionalFormatting>
  <conditionalFormatting sqref="Q5">
    <cfRule type="expression" dxfId="473" priority="13">
      <formula>ABS(Q8)&gt;=Q7</formula>
    </cfRule>
    <cfRule type="expression" dxfId="472" priority="14">
      <formula>ABS(Q8)&lt;Q7</formula>
    </cfRule>
  </conditionalFormatting>
  <conditionalFormatting sqref="S5">
    <cfRule type="expression" dxfId="471" priority="11">
      <formula>ABS(S8)&gt;=S7</formula>
    </cfRule>
    <cfRule type="expression" dxfId="470" priority="12">
      <formula>ABS(S8)&lt;S7</formula>
    </cfRule>
  </conditionalFormatting>
  <conditionalFormatting sqref="U5">
    <cfRule type="expression" dxfId="469" priority="9">
      <formula>ABS(U8)&gt;=U7</formula>
    </cfRule>
    <cfRule type="expression" dxfId="468" priority="10">
      <formula>ABS(U8)&lt;U7</formula>
    </cfRule>
  </conditionalFormatting>
  <conditionalFormatting sqref="W5">
    <cfRule type="expression" dxfId="467" priority="7">
      <formula>ABS(W8)&gt;=W7</formula>
    </cfRule>
    <cfRule type="expression" dxfId="466" priority="8">
      <formula>ABS(W8)&lt;W7</formula>
    </cfRule>
  </conditionalFormatting>
  <conditionalFormatting sqref="Y5">
    <cfRule type="expression" dxfId="465" priority="5">
      <formula>ABS(Y12)&gt;=Y10</formula>
    </cfRule>
    <cfRule type="expression" dxfId="464" priority="6">
      <formula>ABS(Y12)&lt;Y10</formula>
    </cfRule>
  </conditionalFormatting>
  <conditionalFormatting sqref="O49 O62 O75 O88">
    <cfRule type="expression" dxfId="463" priority="1">
      <formula>OR(O49&lt;O48*99.75%,O49&gt;O48*100.25%)</formula>
    </cfRule>
  </conditionalFormatting>
  <conditionalFormatting sqref="O49 O62 O75 O88">
    <cfRule type="expression" dxfId="46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16.6640625" style="258" customWidth="1"/>
    <col min="5" max="5" width="3.33203125" style="1" customWidth="1"/>
    <col min="6" max="16384" width="8.88671875" style="1"/>
  </cols>
  <sheetData>
    <row r="1" spans="2:4" ht="4.95" customHeight="1" thickBot="1" x14ac:dyDescent="0.35">
      <c r="C1" s="1"/>
      <c r="D1" s="1"/>
    </row>
    <row r="2" spans="2:4" s="261" customFormat="1" ht="19.95" customHeight="1" collapsed="1" thickTop="1" thickBot="1" x14ac:dyDescent="0.35">
      <c r="B2" s="507" t="s">
        <v>281</v>
      </c>
      <c r="C2" s="505"/>
      <c r="D2" s="506"/>
    </row>
    <row r="3" spans="2:4" ht="4.95" hidden="1" customHeight="1" outlineLevel="1" thickTop="1" thickBot="1" x14ac:dyDescent="0.35"/>
    <row r="4" spans="2:4" ht="15" hidden="1" customHeight="1" outlineLevel="1" thickTop="1" x14ac:dyDescent="0.3">
      <c r="B4" s="1348" t="s">
        <v>120</v>
      </c>
      <c r="C4" s="516">
        <f>'C-Dados RT1 Simplif.'!C106</f>
        <v>110.21883506853425</v>
      </c>
      <c r="D4" s="510" t="s">
        <v>44</v>
      </c>
    </row>
    <row r="5" spans="2:4" ht="15" hidden="1" customHeight="1" outlineLevel="1" x14ac:dyDescent="0.3">
      <c r="B5" s="1349"/>
      <c r="C5" s="517">
        <f>'C-Dados RT1 Simplif.'!C105</f>
        <v>34388.276541382686</v>
      </c>
      <c r="D5" s="511" t="s">
        <v>5</v>
      </c>
    </row>
    <row r="6" spans="2:4" ht="15" hidden="1" customHeight="1" outlineLevel="1" x14ac:dyDescent="0.3">
      <c r="B6" s="501" t="s">
        <v>152</v>
      </c>
      <c r="C6" s="518">
        <f>'C-Dados RT1 Simplif.'!C107</f>
        <v>0.48399999999999999</v>
      </c>
      <c r="D6" s="499" t="s">
        <v>1</v>
      </c>
    </row>
    <row r="7" spans="2:4" ht="15" hidden="1" customHeight="1" outlineLevel="1" thickBot="1" x14ac:dyDescent="0.35">
      <c r="B7" s="502" t="s">
        <v>31</v>
      </c>
      <c r="C7" s="519">
        <f>'C-Dados RT1 Simplif.'!C7</f>
        <v>35</v>
      </c>
      <c r="D7" s="512" t="s">
        <v>121</v>
      </c>
    </row>
    <row r="8" spans="2:4" ht="4.95" hidden="1" customHeight="1" outlineLevel="1" thickTop="1" thickBot="1" x14ac:dyDescent="0.35"/>
    <row r="9" spans="2:4" ht="15" hidden="1" customHeight="1" outlineLevel="1" thickTop="1" x14ac:dyDescent="0.3">
      <c r="B9" s="508" t="s">
        <v>122</v>
      </c>
      <c r="C9" s="520"/>
      <c r="D9" s="513"/>
    </row>
    <row r="10" spans="2:4" ht="15" hidden="1" customHeight="1" outlineLevel="1" x14ac:dyDescent="0.3">
      <c r="B10" s="503" t="s">
        <v>123</v>
      </c>
      <c r="C10" s="521">
        <v>183</v>
      </c>
      <c r="D10" s="514" t="s">
        <v>153</v>
      </c>
    </row>
    <row r="11" spans="2:4" ht="15" hidden="1" customHeight="1" outlineLevel="1" x14ac:dyDescent="0.3">
      <c r="B11" s="504" t="s">
        <v>125</v>
      </c>
      <c r="C11" s="521"/>
      <c r="D11" s="514"/>
    </row>
    <row r="12" spans="2:4" ht="15" hidden="1" customHeight="1" outlineLevel="1" x14ac:dyDescent="0.3">
      <c r="B12" s="503" t="s">
        <v>123</v>
      </c>
      <c r="C12" s="521">
        <v>40</v>
      </c>
      <c r="D12" s="514" t="s">
        <v>154</v>
      </c>
    </row>
    <row r="13" spans="2:4" ht="15" hidden="1" customHeight="1" outlineLevel="1" x14ac:dyDescent="0.3">
      <c r="B13" s="504" t="s">
        <v>126</v>
      </c>
      <c r="C13" s="522"/>
      <c r="D13" s="514"/>
    </row>
    <row r="14" spans="2:4" ht="15" hidden="1" customHeight="1" outlineLevel="1" thickBot="1" x14ac:dyDescent="0.35">
      <c r="B14" s="502" t="s">
        <v>127</v>
      </c>
      <c r="C14" s="768">
        <f>'C-Dados RT1 Simplif.'!C133</f>
        <v>250.89999999999998</v>
      </c>
      <c r="D14" s="512" t="s">
        <v>155</v>
      </c>
    </row>
    <row r="15" spans="2:4" s="2" customFormat="1" ht="15" customHeight="1" thickTop="1" x14ac:dyDescent="0.3">
      <c r="B15" s="600" t="s">
        <v>134</v>
      </c>
      <c r="C15" s="601">
        <f>(C10*C5*C6+C12*C5*C6*C7)*1000/(C14*C5*C6*C7)</f>
        <v>180.26533052439785</v>
      </c>
      <c r="D15" s="602" t="s">
        <v>0</v>
      </c>
    </row>
    <row r="16" spans="2:4" ht="4.95" customHeight="1" x14ac:dyDescent="0.3"/>
    <row r="17" spans="2:5" s="2" customFormat="1" ht="15" customHeight="1" thickBot="1" x14ac:dyDescent="0.35">
      <c r="B17" s="509" t="s">
        <v>319</v>
      </c>
      <c r="C17" s="523">
        <f>'Demanda Preço &amp; Quantidade'!C42</f>
        <v>500</v>
      </c>
      <c r="D17" s="515" t="s">
        <v>0</v>
      </c>
    </row>
    <row r="18" spans="2:5" s="2" customFormat="1" ht="15" thickTop="1" x14ac:dyDescent="0.3">
      <c r="B18" s="1345" t="s">
        <v>358</v>
      </c>
      <c r="C18" s="558">
        <f>'RT1A)BIODIG Energia Elétrica'!F9*(C17-C15)/1000000</f>
        <v>0.36057845318058901</v>
      </c>
      <c r="D18" s="449" t="s">
        <v>289</v>
      </c>
    </row>
    <row r="19" spans="2:5" s="2" customFormat="1" x14ac:dyDescent="0.3">
      <c r="B19" s="1346"/>
      <c r="C19" s="558">
        <f>C18*C7</f>
        <v>12.620245861320615</v>
      </c>
      <c r="D19" s="449" t="s">
        <v>353</v>
      </c>
    </row>
    <row r="20" spans="2:5" s="2" customFormat="1" ht="15" thickBot="1" x14ac:dyDescent="0.35">
      <c r="B20" s="1347"/>
      <c r="C20" s="598">
        <f>C18*1000000/C5</f>
        <v>10.485505219974332</v>
      </c>
      <c r="D20" s="593" t="s">
        <v>8</v>
      </c>
      <c r="E20" s="393"/>
    </row>
    <row r="21" spans="2:5" ht="4.95" customHeight="1" thickTop="1" x14ac:dyDescent="0.3"/>
    <row r="22" spans="2:5" s="2" customFormat="1" ht="15" customHeight="1" thickBot="1" x14ac:dyDescent="0.35">
      <c r="B22" s="509" t="s">
        <v>354</v>
      </c>
      <c r="C22" s="523">
        <f>'RT1A)BIODIG Energia Elétrica'!H12</f>
        <v>520</v>
      </c>
      <c r="D22" s="515" t="s">
        <v>0</v>
      </c>
    </row>
    <row r="23" spans="2:5" s="2" customFormat="1" ht="15" thickTop="1" x14ac:dyDescent="0.3">
      <c r="B23" s="1345" t="s">
        <v>318</v>
      </c>
      <c r="C23" s="558">
        <f>'RT1A)BIODIG Energia Elétrica'!F12*(C22-C15)/1000000</f>
        <v>1.035585420260549</v>
      </c>
      <c r="D23" s="449" t="s">
        <v>289</v>
      </c>
    </row>
    <row r="24" spans="2:5" s="2" customFormat="1" x14ac:dyDescent="0.3">
      <c r="B24" s="1346"/>
      <c r="C24" s="558">
        <f>C23*C7</f>
        <v>36.245489709119212</v>
      </c>
      <c r="D24" s="449" t="s">
        <v>353</v>
      </c>
    </row>
    <row r="25" spans="2:5" s="2" customFormat="1" ht="15" thickBot="1" x14ac:dyDescent="0.35">
      <c r="B25" s="1347"/>
      <c r="C25" s="598">
        <f>C23*1000000/C5</f>
        <v>30.11449029771325</v>
      </c>
      <c r="D25" s="593" t="s">
        <v>8</v>
      </c>
      <c r="E25" s="393"/>
    </row>
    <row r="26" spans="2:5" ht="4.95" customHeight="1" thickTop="1" x14ac:dyDescent="0.3"/>
    <row r="27" spans="2:5" s="2" customFormat="1" ht="15" customHeight="1" thickBot="1" x14ac:dyDescent="0.35">
      <c r="B27" s="509" t="s">
        <v>356</v>
      </c>
      <c r="C27" s="523">
        <f>'Demanda Preço &amp; Quantidade'!C18</f>
        <v>549.4</v>
      </c>
      <c r="D27" s="515" t="s">
        <v>0</v>
      </c>
    </row>
    <row r="28" spans="2:5" s="2" customFormat="1" ht="15" thickTop="1" x14ac:dyDescent="0.3">
      <c r="B28" s="1345" t="s">
        <v>355</v>
      </c>
      <c r="C28" s="558">
        <f>'RT1A)BIODIG Energia Elétrica'!F15*(C27-C15)/1000000</f>
        <v>0</v>
      </c>
      <c r="D28" s="449" t="s">
        <v>289</v>
      </c>
    </row>
    <row r="29" spans="2:5" s="2" customFormat="1" x14ac:dyDescent="0.3">
      <c r="B29" s="1346"/>
      <c r="C29" s="558">
        <f>C28*C7</f>
        <v>0</v>
      </c>
      <c r="D29" s="449" t="s">
        <v>353</v>
      </c>
    </row>
    <row r="30" spans="2:5" s="2" customFormat="1" ht="15" thickBot="1" x14ac:dyDescent="0.35">
      <c r="B30" s="1347"/>
      <c r="C30" s="598">
        <f>C28*1000000/C5</f>
        <v>0</v>
      </c>
      <c r="D30" s="593" t="s">
        <v>8</v>
      </c>
      <c r="E30" s="393"/>
    </row>
    <row r="31" spans="2:5" ht="15" customHeight="1" thickTop="1" x14ac:dyDescent="0.3"/>
    <row r="32" spans="2:5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topLeftCell="A9" zoomScale="75" zoomScaleNormal="75" workbookViewId="0">
      <selection activeCell="M12" sqref="M12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12.6640625" style="98" bestFit="1" customWidth="1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61" t="s">
        <v>26</v>
      </c>
      <c r="C3" s="1261"/>
      <c r="D3" s="1261"/>
      <c r="E3" s="1261"/>
      <c r="F3" s="1261"/>
      <c r="G3" s="1261"/>
      <c r="H3" s="1261"/>
      <c r="L3" s="1262" t="s">
        <v>159</v>
      </c>
      <c r="M3" s="1263"/>
      <c r="N3" s="301"/>
      <c r="O3" s="1264" t="s">
        <v>169</v>
      </c>
      <c r="P3" s="1264"/>
      <c r="Q3" s="1264"/>
      <c r="R3" s="1264"/>
      <c r="S3" s="1264"/>
      <c r="T3" s="1264"/>
      <c r="U3" s="1264"/>
      <c r="V3" s="1264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65" t="s">
        <v>106</v>
      </c>
      <c r="C5" s="1265"/>
      <c r="D5" s="86"/>
      <c r="E5" s="86"/>
      <c r="F5" s="356"/>
      <c r="G5" s="86"/>
      <c r="H5" s="356"/>
      <c r="L5" s="1266" t="s">
        <v>171</v>
      </c>
      <c r="M5" s="1267"/>
      <c r="N5"/>
      <c r="O5" s="1270" t="s">
        <v>158</v>
      </c>
      <c r="P5" s="1271"/>
      <c r="Q5" s="1271"/>
      <c r="R5" s="1271"/>
      <c r="S5" s="1271"/>
      <c r="T5" s="1271"/>
      <c r="U5" s="1271"/>
      <c r="V5" s="1272"/>
    </row>
    <row r="6" spans="2:22" s="90" customFormat="1" ht="15" customHeight="1" outlineLevel="1" thickTop="1" thickBot="1" x14ac:dyDescent="0.35">
      <c r="B6" s="1265"/>
      <c r="C6" s="1265"/>
      <c r="D6" s="87"/>
      <c r="E6" s="89"/>
      <c r="F6" s="88" t="s">
        <v>10</v>
      </c>
      <c r="G6" s="89"/>
      <c r="H6" s="88" t="s">
        <v>10</v>
      </c>
      <c r="L6" s="1268"/>
      <c r="M6" s="1269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3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RT´s'!D29+'RESUMO GERAL Valoriz. RT´s'!D30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73" t="s">
        <v>107</v>
      </c>
      <c r="C9" s="84" t="s">
        <v>4</v>
      </c>
      <c r="D9" s="78" t="s">
        <v>33</v>
      </c>
      <c r="E9" s="97"/>
      <c r="F9" s="94">
        <f>'C-Dados RT1 Simplif.'!C108</f>
        <v>1127.7427429811567</v>
      </c>
      <c r="G9" s="313"/>
      <c r="H9" s="94">
        <f>-'Demanda Preço &amp; Quantidade'!C42</f>
        <v>-500</v>
      </c>
      <c r="L9" s="1025" t="s">
        <v>495</v>
      </c>
      <c r="M9" s="294">
        <f>'RESUMO GERAL Valoriz. RT´s'!D31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73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733.34849807869944</v>
      </c>
      <c r="N10" s="272"/>
      <c r="O10" s="275">
        <f>M10</f>
        <v>733.34849807869944</v>
      </c>
      <c r="P10" s="276"/>
      <c r="Q10" s="277">
        <f>M10</f>
        <v>733.34849807869944</v>
      </c>
      <c r="R10" s="277"/>
      <c r="S10" s="277"/>
      <c r="T10" s="277"/>
      <c r="U10" s="277"/>
      <c r="V10" s="278">
        <f>Q10</f>
        <v>733.34849807869944</v>
      </c>
    </row>
    <row r="11" spans="2:22" s="84" customFormat="1" ht="15" customHeight="1" outlineLevel="1" x14ac:dyDescent="0.3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11.785321926716216</v>
      </c>
      <c r="N11" s="274"/>
      <c r="O11" s="279"/>
      <c r="P11" s="280"/>
      <c r="Q11" s="281">
        <f>Q10+M11</f>
        <v>745.1338200054156</v>
      </c>
      <c r="R11" s="281">
        <f t="shared" ref="R11:R22" si="0">M10</f>
        <v>733.34849807869944</v>
      </c>
      <c r="S11" s="281">
        <f>IF(R11&gt;=0,IF(M11&gt;=0,Q10,Q11),IF(M11&gt;=0,S10,Q11))</f>
        <v>733.34849807869944</v>
      </c>
      <c r="T11" s="281">
        <f>IF(M11&gt;=0,M11,0)</f>
        <v>11.785321926716216</v>
      </c>
      <c r="U11" s="281">
        <f t="shared" ref="U11:U22" si="1">IF(M11&lt;0,M11*-1,0)</f>
        <v>0</v>
      </c>
      <c r="V11" s="282">
        <f>SUM(T11:U11)</f>
        <v>11.785321926716216</v>
      </c>
    </row>
    <row r="12" spans="2:22" s="84" customFormat="1" ht="15" customHeight="1" outlineLevel="1" x14ac:dyDescent="0.3">
      <c r="B12" s="1273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-19.423098183257213</v>
      </c>
      <c r="N12" s="274"/>
      <c r="O12" s="279"/>
      <c r="P12" s="280"/>
      <c r="Q12" s="281">
        <f>Q11+M12</f>
        <v>725.71072182215835</v>
      </c>
      <c r="R12" s="281">
        <f t="shared" si="0"/>
        <v>11.785321926716216</v>
      </c>
      <c r="S12" s="281">
        <f>IF(R12&gt;=0,IF(M12&gt;=0,Q11,Q12),IF(M12&gt;=0,S11,Q12))</f>
        <v>725.71072182215835</v>
      </c>
      <c r="T12" s="281">
        <f>IF(M12&gt;=0,M12,0)</f>
        <v>0</v>
      </c>
      <c r="U12" s="281">
        <f t="shared" si="1"/>
        <v>19.423098183257213</v>
      </c>
      <c r="V12" s="282">
        <f>SUM(T12:U12)</f>
        <v>19.423098183257213</v>
      </c>
    </row>
    <row r="13" spans="2:22" s="84" customFormat="1" ht="15" customHeight="1" outlineLevel="1" x14ac:dyDescent="0.3">
      <c r="B13" s="1273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725.71072182215835</v>
      </c>
      <c r="N13" s="272"/>
      <c r="O13" s="283">
        <f>M13</f>
        <v>725.71072182215835</v>
      </c>
      <c r="P13" s="284"/>
      <c r="Q13" s="285">
        <f>Q12+M13-O13</f>
        <v>725.71072182215835</v>
      </c>
      <c r="R13" s="285">
        <f t="shared" si="0"/>
        <v>-19.423098183257213</v>
      </c>
      <c r="S13" s="285">
        <v>0</v>
      </c>
      <c r="T13" s="285">
        <v>0</v>
      </c>
      <c r="U13" s="285">
        <f t="shared" si="1"/>
        <v>0</v>
      </c>
      <c r="V13" s="286">
        <f>Q13</f>
        <v>725.71072182215835</v>
      </c>
    </row>
    <row r="14" spans="2:22" s="84" customFormat="1" ht="15" customHeight="1" outlineLevel="1" x14ac:dyDescent="0.3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725.71072182215835</v>
      </c>
      <c r="R14" s="281">
        <f t="shared" si="0"/>
        <v>725.71072182215835</v>
      </c>
      <c r="S14" s="281">
        <f>IF(R14&gt;=0,IF(M14&gt;=0,Q13,Q14),IF(M14&gt;=0,S13,Q14))</f>
        <v>725.71072182215835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73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549.4</v>
      </c>
      <c r="L15" s="273" t="s">
        <v>175</v>
      </c>
      <c r="M15" s="909">
        <f>J37+'RT1B) Descarb Util Públ'!C42</f>
        <v>-39.85612845677246</v>
      </c>
      <c r="N15" s="274"/>
      <c r="O15" s="279"/>
      <c r="P15" s="280"/>
      <c r="Q15" s="281">
        <f>Q14+M15</f>
        <v>685.85459336538588</v>
      </c>
      <c r="R15" s="281">
        <f t="shared" si="0"/>
        <v>0</v>
      </c>
      <c r="S15" s="281">
        <f>IF(R15&gt;=0,IF(M15&gt;=0,Q14,Q15),IF(M15&gt;=0,S14,Q15))</f>
        <v>685.85459336538588</v>
      </c>
      <c r="T15" s="281">
        <f>IF(M15&gt;=0,M15,0)</f>
        <v>0</v>
      </c>
      <c r="U15" s="281">
        <f t="shared" si="1"/>
        <v>39.85612845677246</v>
      </c>
      <c r="V15" s="282">
        <f>SUM(T15:U15)</f>
        <v>39.85612845677246</v>
      </c>
    </row>
    <row r="16" spans="2:22" s="84" customFormat="1" ht="15" customHeight="1" outlineLevel="1" x14ac:dyDescent="0.3">
      <c r="B16" s="1273"/>
      <c r="C16" s="98" t="s">
        <v>40</v>
      </c>
      <c r="D16" s="78" t="s">
        <v>41</v>
      </c>
      <c r="E16" s="103"/>
      <c r="F16" s="427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313"/>
      <c r="H16" s="100">
        <f>'Demanda Preço &amp; Quantidade'!C26</f>
        <v>3.6</v>
      </c>
      <c r="L16" s="288" t="s">
        <v>167</v>
      </c>
      <c r="M16" s="296">
        <f>SUM(M13:M15)</f>
        <v>685.85459336538588</v>
      </c>
      <c r="N16" s="272"/>
      <c r="O16" s="283">
        <f>M16</f>
        <v>685.85459336538588</v>
      </c>
      <c r="P16" s="284"/>
      <c r="Q16" s="285">
        <f>Q15+M16-O16</f>
        <v>685.85459336538588</v>
      </c>
      <c r="R16" s="285">
        <f t="shared" si="0"/>
        <v>-39.85612845677246</v>
      </c>
      <c r="S16" s="285">
        <v>0</v>
      </c>
      <c r="T16" s="285">
        <v>0</v>
      </c>
      <c r="U16" s="285">
        <f t="shared" si="1"/>
        <v>0</v>
      </c>
      <c r="V16" s="286">
        <f>Q16</f>
        <v>685.85459336538588</v>
      </c>
    </row>
    <row r="17" spans="2:22" s="84" customFormat="1" ht="15" customHeight="1" outlineLevel="1" x14ac:dyDescent="0.3">
      <c r="B17" s="1273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685.85459336538588</v>
      </c>
      <c r="R17" s="281">
        <f t="shared" si="0"/>
        <v>685.85459336538588</v>
      </c>
      <c r="S17" s="281">
        <f>IF(R17&gt;=0,IF(M17&gt;=0,Q16,Q17),IF(M17&gt;=0,S16,Q17))</f>
        <v>685.85459336538588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73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-37.360681434196444</v>
      </c>
      <c r="N18" s="274"/>
      <c r="O18" s="279"/>
      <c r="P18" s="280"/>
      <c r="Q18" s="281">
        <f>Q17+M18</f>
        <v>648.49391193118947</v>
      </c>
      <c r="R18" s="281">
        <f t="shared" si="0"/>
        <v>0</v>
      </c>
      <c r="S18" s="281">
        <f>IF(R18&gt;=0,IF(M18&gt;=0,Q17,Q18),IF(M18&gt;=0,S17,Q18))</f>
        <v>648.49391193118947</v>
      </c>
      <c r="T18" s="281">
        <f>IF(M18&gt;=0,M18,0)</f>
        <v>0</v>
      </c>
      <c r="U18" s="281">
        <f t="shared" si="1"/>
        <v>37.360681434196444</v>
      </c>
      <c r="V18" s="282">
        <f>SUM(T18:U18)</f>
        <v>37.360681434196444</v>
      </c>
    </row>
    <row r="19" spans="2:22" s="84" customFormat="1" ht="15" customHeight="1" outlineLevel="1" x14ac:dyDescent="0.3">
      <c r="B19" s="354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629.1364468811895</v>
      </c>
      <c r="R19" s="281">
        <f t="shared" si="0"/>
        <v>-37.360681434196444</v>
      </c>
      <c r="S19" s="281">
        <f>IF(R19&gt;=0,IF(M19&gt;=0,Q18,Q19),IF(M19&gt;=0,S18,Q19))</f>
        <v>629.1364468811895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629.1364468811895</v>
      </c>
      <c r="R20" s="281">
        <f t="shared" si="0"/>
        <v>-19.357465049999998</v>
      </c>
      <c r="S20" s="281">
        <f>IF(R20&gt;=0,IF(M20&gt;=0,Q19,Q20),IF(M20&gt;=0,S19,Q20))</f>
        <v>629.1364468811895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73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527.67567813118956</v>
      </c>
      <c r="R21" s="281">
        <f t="shared" si="0"/>
        <v>0</v>
      </c>
      <c r="S21" s="281">
        <f>IF(R21&gt;=0,IF(M21&gt;=0,Q20,Q21),IF(M21&gt;=0,S20,Q21))</f>
        <v>527.67567813118956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73"/>
      <c r="C22" s="91" t="s">
        <v>249</v>
      </c>
      <c r="D22" s="78" t="s">
        <v>41</v>
      </c>
      <c r="F22" s="427">
        <f>'C-Dados RT1 Simplif.'!C105*'C-Dados RT1 Simplif.'!C107*'C-Dados RT1 Simplif.'!C136/1000</f>
        <v>1043.9902486921826</v>
      </c>
      <c r="G22" s="305"/>
      <c r="H22" s="1035">
        <f>F16/F22</f>
        <v>0.5330416154646116</v>
      </c>
      <c r="L22" s="288" t="s">
        <v>168</v>
      </c>
      <c r="M22" s="297">
        <f>M16+M17+M18+M19+M20+M21</f>
        <v>527.67567813118956</v>
      </c>
      <c r="N22" s="272"/>
      <c r="O22" s="289">
        <f>M22</f>
        <v>527.67567813118956</v>
      </c>
      <c r="P22" s="290"/>
      <c r="Q22" s="291">
        <f>Q21+M22-O22</f>
        <v>527.67567813118956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527.67567813118956</v>
      </c>
    </row>
    <row r="23" spans="2:22" ht="15" customHeight="1" outlineLevel="1" thickTop="1" x14ac:dyDescent="0.3">
      <c r="B23" s="1273"/>
      <c r="C23" s="91" t="s">
        <v>250</v>
      </c>
      <c r="D23" s="78" t="s">
        <v>32</v>
      </c>
      <c r="F23" s="99">
        <f>'C-Dados RT1 Simplif.'!C126</f>
        <v>6.1744150530052604</v>
      </c>
      <c r="G23" s="305"/>
      <c r="H23" s="305"/>
    </row>
    <row r="24" spans="2:22" ht="15" customHeight="1" outlineLevel="1" x14ac:dyDescent="0.3">
      <c r="B24" s="1273"/>
      <c r="C24" s="91" t="s">
        <v>251</v>
      </c>
      <c r="D24" s="78" t="s">
        <v>32</v>
      </c>
      <c r="F24" s="99">
        <f>'C-Dados RT1 Simplif.'!C129</f>
        <v>5.7467710430057641</v>
      </c>
      <c r="G24" s="305"/>
      <c r="H24" s="305"/>
    </row>
    <row r="25" spans="2:22" outlineLevel="1" x14ac:dyDescent="0.3">
      <c r="B25" s="1273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</row>
    <row r="28" spans="2:22" s="84" customFormat="1" ht="40.200000000000003" customHeight="1" x14ac:dyDescent="0.3">
      <c r="B28" s="1274" t="s">
        <v>112</v>
      </c>
      <c r="C28" s="1274"/>
      <c r="D28" s="1274"/>
      <c r="E28" s="1274"/>
      <c r="F28" s="1274"/>
      <c r="G28" s="1274"/>
      <c r="H28" s="1274"/>
      <c r="I28" s="1274"/>
      <c r="J28" s="1274"/>
      <c r="K28" s="1274"/>
    </row>
    <row r="29" spans="2:22" s="84" customFormat="1" ht="4.95" customHeight="1" outlineLevel="1" x14ac:dyDescent="0.3">
      <c r="D29" s="78"/>
    </row>
    <row r="30" spans="2:22" s="111" customFormat="1" ht="18" outlineLevel="1" x14ac:dyDescent="0.35">
      <c r="B30" s="1260" t="s">
        <v>30</v>
      </c>
      <c r="C30" s="1260"/>
      <c r="D30" s="110"/>
      <c r="F30" s="355"/>
      <c r="H30" s="355"/>
      <c r="J30" s="355"/>
    </row>
    <row r="31" spans="2:22" s="110" customFormat="1" ht="15.6" outlineLevel="1" x14ac:dyDescent="0.3">
      <c r="B31" s="1260"/>
      <c r="C31" s="1260"/>
      <c r="F31" s="112" t="s">
        <v>10</v>
      </c>
      <c r="H31" s="112" t="s">
        <v>10</v>
      </c>
      <c r="J31" s="112" t="s">
        <v>10</v>
      </c>
    </row>
    <row r="32" spans="2:22" ht="4.95" customHeight="1" outlineLevel="1" x14ac:dyDescent="0.3"/>
    <row r="33" spans="2:11" outlineLevel="1" x14ac:dyDescent="0.3">
      <c r="B33" s="1255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11.785321926716216</v>
      </c>
      <c r="K33" s="115"/>
    </row>
    <row r="34" spans="2:11" outlineLevel="1" x14ac:dyDescent="0.3">
      <c r="B34" s="1255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-16.333918605198452</v>
      </c>
      <c r="K34" s="115"/>
    </row>
    <row r="35" spans="2:11" ht="4.95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3">
      <c r="B36" s="1255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outlineLevel="1" x14ac:dyDescent="0.3">
      <c r="B37" s="1255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-36.751316861696509</v>
      </c>
      <c r="K37" s="115"/>
    </row>
    <row r="38" spans="2:11" ht="4.95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3">
      <c r="B39" s="1255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549.4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outlineLevel="1" x14ac:dyDescent="0.3">
      <c r="B40" s="1255"/>
      <c r="C40" s="98" t="s">
        <v>40</v>
      </c>
      <c r="D40" s="117" t="s">
        <v>41</v>
      </c>
      <c r="E40" s="103"/>
      <c r="F40" s="105">
        <f t="shared" si="2"/>
        <v>556.4902486921826</v>
      </c>
      <c r="G40" s="103"/>
      <c r="H40" s="119">
        <f>H16</f>
        <v>3.6</v>
      </c>
      <c r="I40" s="115"/>
      <c r="J40" s="116">
        <f>-'RT1B) Comercializ Gás Biome'!C26</f>
        <v>-37.360681434196444</v>
      </c>
      <c r="K40" s="115"/>
    </row>
    <row r="41" spans="2:11" outlineLevel="1" x14ac:dyDescent="0.3">
      <c r="B41" s="1255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outlineLevel="1" x14ac:dyDescent="0.3">
      <c r="B42" s="1255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outlineLevel="1" x14ac:dyDescent="0.3">
      <c r="B43" s="352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x14ac:dyDescent="0.3">
      <c r="B46" s="1256" t="s">
        <v>113</v>
      </c>
      <c r="C46" s="1257"/>
      <c r="D46" s="1257"/>
      <c r="E46" s="1257"/>
      <c r="F46" s="1257"/>
      <c r="G46" s="1257"/>
      <c r="H46" s="1257"/>
      <c r="I46" s="126"/>
      <c r="J46" s="353"/>
      <c r="K46" s="126"/>
    </row>
    <row r="47" spans="2:11" s="110" customFormat="1" ht="15.6" x14ac:dyDescent="0.3">
      <c r="B47" s="1258"/>
      <c r="C47" s="1259"/>
      <c r="D47" s="1259"/>
      <c r="E47" s="1259"/>
      <c r="F47" s="1259"/>
      <c r="G47" s="1259"/>
      <c r="H47" s="1259"/>
      <c r="I47" s="86"/>
      <c r="J47" s="88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2" customHeight="1" x14ac:dyDescent="0.3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-199.47882877437516</v>
      </c>
      <c r="K49" s="128"/>
    </row>
    <row r="50" spans="2:22" ht="4.95" customHeight="1" x14ac:dyDescent="0.3">
      <c r="B50" s="85"/>
      <c r="C50" s="85"/>
      <c r="D50" s="85"/>
      <c r="E50" s="85"/>
      <c r="F50" s="85"/>
      <c r="I50" s="126"/>
      <c r="J50" s="128"/>
      <c r="K50" s="86"/>
    </row>
    <row r="51" spans="2:22" ht="25.2" customHeight="1" x14ac:dyDescent="0.3">
      <c r="B51" s="419" t="s">
        <v>115</v>
      </c>
      <c r="C51" s="420"/>
      <c r="D51" s="420"/>
      <c r="E51" s="420"/>
      <c r="F51" s="85"/>
      <c r="I51" s="129"/>
      <c r="J51" s="351">
        <f>'C-Dados RT1 Simplif.'!C6+(J33)</f>
        <v>300.05849807869942</v>
      </c>
      <c r="K51" s="416"/>
    </row>
    <row r="52" spans="2:22" ht="4.95" customHeight="1" x14ac:dyDescent="0.3">
      <c r="B52" s="85"/>
      <c r="C52" s="85"/>
      <c r="D52" s="85"/>
      <c r="E52" s="85"/>
      <c r="F52" s="85"/>
      <c r="I52" s="126"/>
      <c r="J52" s="131"/>
      <c r="K52" s="132"/>
    </row>
    <row r="53" spans="2:22" ht="25.2" customHeight="1" x14ac:dyDescent="0.3">
      <c r="B53" s="421" t="s">
        <v>116</v>
      </c>
      <c r="C53" s="656">
        <f>'Demanda Preço &amp; Quantidade'!D10</f>
        <v>1</v>
      </c>
      <c r="D53" s="422"/>
      <c r="E53" s="423"/>
      <c r="F53" s="85"/>
      <c r="I53" s="126"/>
      <c r="J53" s="1254"/>
      <c r="K53" s="1254"/>
    </row>
    <row r="54" spans="2:22" ht="4.95" customHeight="1" x14ac:dyDescent="0.3">
      <c r="B54" s="85"/>
      <c r="C54" s="85"/>
      <c r="D54" s="85"/>
      <c r="E54" s="130"/>
      <c r="F54" s="85"/>
      <c r="I54" s="133"/>
      <c r="J54" s="134"/>
      <c r="K54" s="135"/>
    </row>
    <row r="55" spans="2:22" ht="25.2" customHeight="1" x14ac:dyDescent="0.3">
      <c r="B55" s="424" t="s">
        <v>117</v>
      </c>
      <c r="C55" s="425"/>
      <c r="D55" s="425"/>
      <c r="E55" s="425"/>
      <c r="F55" s="85"/>
      <c r="I55" s="86"/>
      <c r="J55" s="136">
        <f>$J$51+J49</f>
        <v>100.57966930432426</v>
      </c>
      <c r="K55" s="137"/>
    </row>
    <row r="56" spans="2:22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" x14ac:dyDescent="0.35">
      <c r="E57" s="140"/>
      <c r="G57" s="140"/>
      <c r="H57" s="140"/>
      <c r="I57" s="140"/>
      <c r="J57" s="140"/>
      <c r="K57" s="140"/>
    </row>
    <row r="58" spans="2:22" customFormat="1" x14ac:dyDescent="0.3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6" x14ac:dyDescent="0.3"/>
    <row r="61" spans="2:22" customFormat="1" x14ac:dyDescent="0.3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6" x14ac:dyDescent="0.3"/>
    <row r="64" spans="2:22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mergeCells count="17"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  <mergeCell ref="B33:B34"/>
    <mergeCell ref="B36:B37"/>
    <mergeCell ref="B39:B42"/>
    <mergeCell ref="B46:H47"/>
    <mergeCell ref="J53:K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288" t="s">
        <v>548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3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3"/>
      <c r="M5" s="777"/>
      <c r="N5" s="1053"/>
      <c r="O5" s="1294" t="s">
        <v>378</v>
      </c>
      <c r="P5" s="1053"/>
      <c r="Q5" s="1294" t="s">
        <v>379</v>
      </c>
      <c r="R5" s="1053"/>
      <c r="S5" s="1294" t="s">
        <v>380</v>
      </c>
      <c r="T5" s="1053"/>
      <c r="U5" s="1294" t="s">
        <v>381</v>
      </c>
      <c r="V5" s="1053"/>
      <c r="W5" s="1294" t="s">
        <v>382</v>
      </c>
      <c r="X5" s="1053"/>
      <c r="Y5" s="1294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18.145857143736986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3"/>
      <c r="M6" s="789"/>
      <c r="N6" s="790"/>
      <c r="O6" s="1295"/>
      <c r="P6" s="1053"/>
      <c r="Q6" s="1295"/>
      <c r="R6" s="1053"/>
      <c r="S6" s="1295"/>
      <c r="T6" s="1053"/>
      <c r="U6" s="1295"/>
      <c r="V6" s="1053"/>
      <c r="W6" s="1295"/>
      <c r="X6" s="1053"/>
      <c r="Y6" s="1295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'RT1B)BIODIG Descarb Biomet'!M22</f>
        <v>527.67567813118956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3"/>
      <c r="M8" s="789"/>
      <c r="N8" s="790"/>
      <c r="O8" s="796">
        <f>(O12-O10)/O10</f>
        <v>0</v>
      </c>
      <c r="P8" s="790"/>
      <c r="Q8" s="796">
        <f>(Q12-Q10)/Q10</f>
        <v>5.9292925928745429E-3</v>
      </c>
      <c r="R8" s="790"/>
      <c r="S8" s="796">
        <f>(S12-S10)/S10</f>
        <v>1.5233061901367591E-2</v>
      </c>
      <c r="T8" s="1053"/>
      <c r="U8" s="796">
        <f>(U12-U10)/U10</f>
        <v>1.5233061901367686E-2</v>
      </c>
      <c r="V8" s="1053"/>
      <c r="W8" s="796">
        <f>(W12-W10)/W10</f>
        <v>1.5233061901367686E-2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19.724773538456404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2.9465439356758329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19.841727492094101</v>
      </c>
      <c r="R12" s="790"/>
      <c r="S12" s="802">
        <f>S33</f>
        <v>34912.115286618915</v>
      </c>
      <c r="T12" s="1053"/>
      <c r="U12" s="802">
        <f>U33</f>
        <v>6252163.3856565896</v>
      </c>
      <c r="V12" s="1053"/>
      <c r="W12" s="802">
        <f>W33</f>
        <v>6252163.3856565896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280"/>
      <c r="G16" s="1282"/>
      <c r="H16" s="1284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19.724773538456404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3.2029300898788264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285" t="s">
        <v>419</v>
      </c>
      <c r="G23" s="1286"/>
      <c r="H23" s="1287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114.95360156220039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19.724773538456404</v>
      </c>
      <c r="E25" s="1053"/>
      <c r="F25" s="835" t="s">
        <v>424</v>
      </c>
      <c r="G25" s="812" t="s">
        <v>425</v>
      </c>
      <c r="H25" s="838">
        <f>H24/12</f>
        <v>9.5794667968500331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3.2029300898788264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296" t="s">
        <v>427</v>
      </c>
      <c r="C29" s="1297"/>
      <c r="D29" s="1297"/>
      <c r="E29" s="1298"/>
      <c r="F29" s="1053"/>
      <c r="G29" s="1053"/>
      <c r="H29" s="777"/>
      <c r="I29" s="1053"/>
      <c r="J29" s="777"/>
      <c r="K29" s="1299" t="s">
        <v>428</v>
      </c>
      <c r="L29" s="1300"/>
      <c r="M29" s="1301"/>
      <c r="N29" s="1053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3"/>
      <c r="O31" s="1307" t="s">
        <v>433</v>
      </c>
      <c r="P31" s="1053"/>
      <c r="Q31" s="1307" t="s">
        <v>434</v>
      </c>
      <c r="R31" s="1053"/>
      <c r="S31" s="1307" t="s">
        <v>435</v>
      </c>
      <c r="T31" s="1053"/>
      <c r="U31" s="1307" t="s">
        <v>436</v>
      </c>
      <c r="V31" s="1053"/>
      <c r="W31" s="1307" t="s">
        <v>436</v>
      </c>
      <c r="X31" s="1053"/>
      <c r="Y31" s="1307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114.95360156220039</v>
      </c>
      <c r="M32" s="841">
        <f>H25</f>
        <v>9.5794667968500331</v>
      </c>
      <c r="N32" s="842"/>
      <c r="O32" s="1308"/>
      <c r="P32" s="842"/>
      <c r="Q32" s="1308"/>
      <c r="R32" s="842"/>
      <c r="S32" s="1308"/>
      <c r="T32" s="1053"/>
      <c r="U32" s="1308"/>
      <c r="V32" s="1053"/>
      <c r="W32" s="1308"/>
      <c r="X32" s="1053"/>
      <c r="Y32" s="1309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19.841727492094101</v>
      </c>
      <c r="R33" s="1053"/>
      <c r="S33" s="802">
        <f>12*S34</f>
        <v>34912.115286618915</v>
      </c>
      <c r="T33" s="1053" t="s">
        <v>438</v>
      </c>
      <c r="U33" s="802">
        <f>12*U34</f>
        <v>6252163.3856565896</v>
      </c>
      <c r="V33" s="1053" t="s">
        <v>439</v>
      </c>
      <c r="W33" s="802">
        <f>12*W34</f>
        <v>6252163.3856565896</v>
      </c>
      <c r="X33" s="1053" t="s">
        <v>439</v>
      </c>
      <c r="Y33" s="1320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2909.3429405515762</v>
      </c>
      <c r="T34" s="1053" t="s">
        <v>441</v>
      </c>
      <c r="U34" s="802">
        <f>U36+U49+U62+U75+U88</f>
        <v>521013.61547138245</v>
      </c>
      <c r="V34" s="1053" t="s">
        <v>442</v>
      </c>
      <c r="W34" s="802">
        <f>W36+W49+W62+W75+W88</f>
        <v>521013.61547138245</v>
      </c>
      <c r="X34" s="1053" t="s">
        <v>442</v>
      </c>
      <c r="Y34" s="1321"/>
      <c r="Z34" s="1053"/>
      <c r="AA34" s="1053"/>
      <c r="AB34" s="773"/>
    </row>
    <row r="35" spans="1:28" s="774" customFormat="1" ht="25.2" customHeight="1" outlineLevel="1" x14ac:dyDescent="0.3">
      <c r="A35" s="1053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14.290618631707138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3"/>
      <c r="O36" s="802">
        <f>O39+O41+O42+O43+O44+O45</f>
        <v>40</v>
      </c>
      <c r="P36" s="1053"/>
      <c r="Q36" s="849">
        <f>Q39+Q41+Q42+Q43+Q44+Q45</f>
        <v>571.62474526828555</v>
      </c>
      <c r="R36" s="1053"/>
      <c r="S36" s="1310">
        <f>IF(AND(Q36&lt;&gt;0,O36&lt;&gt;0),Q36*(1-D17-D18-D19)/(($D$25*1000000/$D$8)),0)</f>
        <v>0.91186490169687462</v>
      </c>
      <c r="T36" s="1335" t="s">
        <v>448</v>
      </c>
      <c r="U36" s="1310">
        <f>U39+U41+U42+U43+U44+U45</f>
        <v>163.29942497754269</v>
      </c>
      <c r="V36" s="1053" t="s">
        <v>449</v>
      </c>
      <c r="W36" s="1310">
        <f>W39*O39+W41*O41+W42*O42+W43*O43+W44*O44+W45*O45</f>
        <v>163.29942497754269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3"/>
      <c r="O37" s="855" t="s">
        <v>455</v>
      </c>
      <c r="P37" s="1053"/>
      <c r="Q37" s="856">
        <v>0.75</v>
      </c>
      <c r="R37" s="1053"/>
      <c r="S37" s="1334"/>
      <c r="T37" s="1336"/>
      <c r="U37" s="1334"/>
      <c r="V37" s="1053"/>
      <c r="W37" s="1311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28.738400390550098</v>
      </c>
      <c r="K39" s="872">
        <f>$M$32*H39*$B$38*$C$38</f>
        <v>2.3948666992125083</v>
      </c>
      <c r="L39" s="871">
        <f>J39*$D$38</f>
        <v>35.923000488187625</v>
      </c>
      <c r="M39" s="872">
        <f>K39*$D$38</f>
        <v>2.9935833740156355</v>
      </c>
      <c r="N39" s="1053"/>
      <c r="O39" s="873">
        <v>2</v>
      </c>
      <c r="P39" s="1053"/>
      <c r="Q39" s="874">
        <f>O39*$Q$37*M39+O39*(1-$Q$37)*K39</f>
        <v>5.6878084106297075</v>
      </c>
      <c r="R39" s="1053"/>
      <c r="S39" s="875">
        <f>IF(AND(Q39&lt;&gt;0,O39&lt;&gt;0),Q39*(1-D17-D18-D19)/O39/30/(($D$25*1000000/$D$8))*1000,0)</f>
        <v>0.1512213767324834</v>
      </c>
      <c r="T39" s="1053" t="s">
        <v>459</v>
      </c>
      <c r="U39" s="876">
        <f>S39*O39*30*$D$11*(1+$D$24)/1000</f>
        <v>1.6248699002740563</v>
      </c>
      <c r="V39" s="1053" t="s">
        <v>460</v>
      </c>
      <c r="W39" s="876">
        <f>IF(O39&lt;&gt;0,U39/O39,0)</f>
        <v>0.81243495013702816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83.341361132595281</v>
      </c>
      <c r="K41" s="872">
        <f>$M$32*(H39+(G41-F41)*H41)*$B$38*$C$38</f>
        <v>6.945113427716274</v>
      </c>
      <c r="L41" s="871">
        <f t="shared" ref="L41:M45" si="0">J41*$D$38</f>
        <v>104.17670141574411</v>
      </c>
      <c r="M41" s="872">
        <f t="shared" si="0"/>
        <v>8.6813917846453421</v>
      </c>
      <c r="N41" s="1053"/>
      <c r="O41" s="873">
        <v>2</v>
      </c>
      <c r="P41" s="1053"/>
      <c r="Q41" s="874">
        <f>O41*$Q$37*M41+O41*(1-$Q$37)*K41</f>
        <v>16.494644390826149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140.81816191369549</v>
      </c>
      <c r="K42" s="872">
        <f>$M$32*(H39+(G41-F41)*H41+(G42-F42)*H42)*$B$38*$C$38</f>
        <v>11.734846826141291</v>
      </c>
      <c r="L42" s="871">
        <f t="shared" si="0"/>
        <v>176.02270239211936</v>
      </c>
      <c r="M42" s="872">
        <f t="shared" si="0"/>
        <v>14.668558532676615</v>
      </c>
      <c r="N42" s="1053"/>
      <c r="O42" s="873">
        <v>28</v>
      </c>
      <c r="P42" s="1053"/>
      <c r="Q42" s="874">
        <f>O42*$Q$37*M42+O42*(1-$Q$37)*K42</f>
        <v>390.18365696919795</v>
      </c>
      <c r="R42" s="1053"/>
      <c r="S42" s="875">
        <f>IF(AND(Q42&lt;&gt;0,O42&lt;&gt;0),Q42*(1-D17-D18-D19)/O42/30/(($D$25*1000000/$D$8))*1000,0)</f>
        <v>0.74098474598916864</v>
      </c>
      <c r="T42" s="1053" t="s">
        <v>459</v>
      </c>
      <c r="U42" s="876">
        <f>S42*O42*30*$D$11*(1+$D$24)/1000</f>
        <v>111.46607515880028</v>
      </c>
      <c r="V42" s="1053" t="s">
        <v>460</v>
      </c>
      <c r="W42" s="876">
        <f>IF(O42&lt;&gt;0,U42/O42,0)</f>
        <v>3.9809312556714387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201.16880273385067</v>
      </c>
      <c r="K43" s="872">
        <f>$M$32*(H39+(G41-F41)*H41+(G42-F42)*H42+(G43-F43)*H43)*$B$38*$C$38</f>
        <v>16.764066894487559</v>
      </c>
      <c r="L43" s="871">
        <f t="shared" si="0"/>
        <v>251.46100341731335</v>
      </c>
      <c r="M43" s="872">
        <f t="shared" si="0"/>
        <v>20.955083618109448</v>
      </c>
      <c r="N43" s="1053"/>
      <c r="O43" s="873">
        <v>8</v>
      </c>
      <c r="P43" s="1053"/>
      <c r="Q43" s="874">
        <f>O43*$Q$37*M43+O43*(1-$Q$37)*K43</f>
        <v>159.25863549763181</v>
      </c>
      <c r="R43" s="1053"/>
      <c r="S43" s="875">
        <f>IF(AND(Q43&lt;&gt;0,O43&lt;&gt;0),Q43*(1-D17-D18-D19)/O43/30/(($D$25*1000000/$D$8))*1000,0)</f>
        <v>1.0585496371273837</v>
      </c>
      <c r="T43" s="1053" t="s">
        <v>459</v>
      </c>
      <c r="U43" s="876">
        <f>S43*O43*30*$D$11*(1+$D$24)/1000</f>
        <v>45.496357207673583</v>
      </c>
      <c r="V43" s="1053" t="s">
        <v>460</v>
      </c>
      <c r="W43" s="876">
        <f>IF(O43&lt;&gt;0,U43/O43,0)</f>
        <v>5.6870446509591979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296.00552402266601</v>
      </c>
      <c r="K44" s="872">
        <f>$M$32*(H39+(G41-F41)*H41+(G42-F42)*H42+(G43-F43)*H43+(G44-F44)*H44)*$B$38*$C$38</f>
        <v>24.667127001888836</v>
      </c>
      <c r="L44" s="871">
        <f t="shared" si="0"/>
        <v>370.00690502833254</v>
      </c>
      <c r="M44" s="872">
        <f t="shared" si="0"/>
        <v>30.833908752361047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626.49712851399215</v>
      </c>
      <c r="K45" s="872">
        <f>$M$32*(H39+(G41-F41)*H41+(G42-F42)*H42+(G43-F43)*H43+(G44-F44)*H44+(G45-F45)*H45)*$B$38*$C$38</f>
        <v>52.208094042832684</v>
      </c>
      <c r="L45" s="871">
        <f t="shared" si="0"/>
        <v>783.12141064249022</v>
      </c>
      <c r="M45" s="872">
        <f t="shared" si="0"/>
        <v>65.260117553540852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11.420433587845007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3"/>
      <c r="O49" s="802">
        <f>O52+O54+O55+O56+O57+O58</f>
        <v>127341</v>
      </c>
      <c r="P49" s="1053"/>
      <c r="Q49" s="890">
        <f>Q52+Q54+Q55+Q56+Q57+Q58</f>
        <v>1454289.433509771</v>
      </c>
      <c r="R49" s="1053"/>
      <c r="S49" s="1337">
        <f>IF(AND(Q49&lt;&gt;0,O49&lt;&gt;0),Q49*(1-D17-D18-D19)/(($D$25*1000000/$D$8)),0)</f>
        <v>2319.9056764132802</v>
      </c>
      <c r="T49" s="1335" t="s">
        <v>448</v>
      </c>
      <c r="U49" s="1310">
        <f>U52+U54+U55+U56+U57+U58</f>
        <v>415455.47180887201</v>
      </c>
      <c r="V49" s="1053" t="s">
        <v>449</v>
      </c>
      <c r="W49" s="1338">
        <f>W52*O52+W54*O54+W55*O55+W56*O56+W57*O57+W58*O58</f>
        <v>415455.47180887201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3"/>
      <c r="O50" s="891" t="s">
        <v>455</v>
      </c>
      <c r="P50" s="1053"/>
      <c r="Q50" s="856">
        <v>0.75</v>
      </c>
      <c r="R50" s="1053"/>
      <c r="S50" s="1334"/>
      <c r="T50" s="1336"/>
      <c r="U50" s="1334"/>
      <c r="V50" s="1053"/>
      <c r="W50" s="1339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40.305606547746514</v>
      </c>
      <c r="K52" s="872">
        <f>$M$32*H52*$B$51*$C$51</f>
        <v>3.358800545645543</v>
      </c>
      <c r="L52" s="871">
        <f>J52*$D$51</f>
        <v>50.382008184683144</v>
      </c>
      <c r="M52" s="872">
        <f>K52*$D$51</f>
        <v>4.1985006820569284</v>
      </c>
      <c r="N52" s="1053"/>
      <c r="O52" s="873">
        <v>62341</v>
      </c>
      <c r="P52" s="1053"/>
      <c r="Q52" s="874">
        <f>O52*$Q$50*M52+O52*(1-$Q$50)*K52</f>
        <v>248651.79446910543</v>
      </c>
      <c r="R52" s="1053"/>
      <c r="S52" s="875">
        <f>IF(AND(Q52&lt;&gt;0,O52&lt;&gt;0),Q52*(1-D17-D18-D19)/O52/30/(($D$25*1000000/$D$8))*1000,0)</f>
        <v>0.21208798086730793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128.24511174282981</v>
      </c>
      <c r="K54" s="872">
        <f>$M$32*(H52+(G54-F54)*H54)*$B$51*$C$51</f>
        <v>10.687092645235818</v>
      </c>
      <c r="L54" s="871">
        <f t="shared" ref="L54:M58" si="1">J54*$D$51</f>
        <v>160.30638967853724</v>
      </c>
      <c r="M54" s="872">
        <f t="shared" si="1"/>
        <v>13.358865806544774</v>
      </c>
      <c r="N54" s="1053"/>
      <c r="O54" s="873">
        <v>42500</v>
      </c>
      <c r="P54" s="1053"/>
      <c r="Q54" s="874">
        <f>O54*$Q$50*M54+O54*(1-$Q$50)*K54</f>
        <v>539364.20693924522</v>
      </c>
      <c r="R54" s="1053"/>
      <c r="S54" s="875">
        <f>IF(AND(Q54&lt;&gt;0,O54&lt;&gt;0),Q54*(1-D17-D18-D19)/O54/30/(($D$25*1000000/$D$8))*1000,0)</f>
        <v>0.67482539366870709</v>
      </c>
      <c r="T54" s="1053" t="s">
        <v>459</v>
      </c>
      <c r="U54" s="876">
        <f>S54*O54*30*$D$11*(1+$D$24)/1000</f>
        <v>154083.36601192574</v>
      </c>
      <c r="V54" s="1053" t="s">
        <v>460</v>
      </c>
      <c r="W54" s="894">
        <f>IF(O54&lt;&gt;0,U54/O54,0)</f>
        <v>3.6254909649864882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219.84876298770823</v>
      </c>
      <c r="K55" s="872">
        <f>$M$32*(H52+(G54-F54)*H54+(G55-F55)*H55)*$B$51*$C$51</f>
        <v>18.320730248975686</v>
      </c>
      <c r="L55" s="871">
        <f t="shared" si="1"/>
        <v>274.81095373463529</v>
      </c>
      <c r="M55" s="872">
        <f t="shared" si="1"/>
        <v>22.900912811219605</v>
      </c>
      <c r="N55" s="1053"/>
      <c r="O55" s="873">
        <v>10000</v>
      </c>
      <c r="P55" s="1053"/>
      <c r="Q55" s="874">
        <f>O55*$Q$50*M55+O55*(1-$Q$50)*K55</f>
        <v>217558.67170658626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362.7504589297186</v>
      </c>
      <c r="K56" s="872">
        <f>$M$32*(H52+(G54-F54)*H54+(G55-F55)*H55+(G56-F56)*H56)*$B$51*$C$51</f>
        <v>30.229204910809884</v>
      </c>
      <c r="L56" s="871">
        <f t="shared" si="1"/>
        <v>453.43807366214827</v>
      </c>
      <c r="M56" s="872">
        <f t="shared" si="1"/>
        <v>37.786506138512351</v>
      </c>
      <c r="N56" s="1053"/>
      <c r="O56" s="873">
        <v>12500</v>
      </c>
      <c r="P56" s="1053"/>
      <c r="Q56" s="874">
        <f>O56*$Q$50*M56+O56*(1-$Q$50)*K56</f>
        <v>448714.76039483416</v>
      </c>
      <c r="R56" s="1053"/>
      <c r="S56" s="875">
        <f>IF(AND(Q56&lt;&gt;0,O56&lt;&gt;0),Q56*(1-D17-D18-D19)/O56/30/(($D$25*1000000/$D$8))*1000,0)</f>
        <v>1.9087918278057709</v>
      </c>
      <c r="T56" s="1053" t="s">
        <v>459</v>
      </c>
      <c r="U56" s="876">
        <f>S56*O56*30*$D$11*(1+$D$24)/1000</f>
        <v>128187.00197630795</v>
      </c>
      <c r="V56" s="1053" t="s">
        <v>460</v>
      </c>
      <c r="W56" s="895">
        <f>IF(O56&lt;&gt;0,U56/O56,0)</f>
        <v>10.254960158104636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747.48579415820791</v>
      </c>
      <c r="K57" s="872">
        <f>$M$32*(H52+(G54-F54)*H54+(G55-F55)*H55+(G56-F56)*H56+(G57-F57)*H57)*$B$51*$C$51</f>
        <v>62.290482846517335</v>
      </c>
      <c r="L57" s="871">
        <f t="shared" si="1"/>
        <v>934.35724269775983</v>
      </c>
      <c r="M57" s="872">
        <f t="shared" si="1"/>
        <v>77.863103558146662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1571.9186553621139</v>
      </c>
      <c r="K58" s="872">
        <f>$M$32*(H52+(G54-F54)*H54+(G55-F55)*H55+(G56-F56)*H56+(G57-F57)*H57+(G58-F58)*H58)*$B$51*$C$51</f>
        <v>130.99322128017616</v>
      </c>
      <c r="L58" s="871">
        <f t="shared" si="1"/>
        <v>1964.8983192026424</v>
      </c>
      <c r="M58" s="872">
        <f t="shared" si="1"/>
        <v>163.7415266002202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4.0124216611025947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3"/>
      <c r="O62" s="802">
        <f>O65+O67+O68+O69+O70+O71</f>
        <v>42447</v>
      </c>
      <c r="P62" s="1053"/>
      <c r="Q62" s="849">
        <f>Q65+Q67+Q68+Q69+Q70+Q71</f>
        <v>170315.26224882182</v>
      </c>
      <c r="R62" s="1053"/>
      <c r="S62" s="1310">
        <f>IF(AND(Q62&lt;&gt;0,O62&lt;&gt;0),Q62*(1-D17-D18-D19)/(H15)/(($D$25*1000000/$D$8)),0)</f>
        <v>543.37924015206488</v>
      </c>
      <c r="T62" s="1335" t="s">
        <v>448</v>
      </c>
      <c r="U62" s="1310">
        <f>U65+U67+U68+U69+U70+U71</f>
        <v>97309.938452991744</v>
      </c>
      <c r="V62" s="1053" t="s">
        <v>449</v>
      </c>
      <c r="W62" s="1310">
        <f>W65*O65+W67*O67+W68*O68+W69*O69+W70*O70+W71*O71</f>
        <v>97309.938452991744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3"/>
      <c r="O63" s="891" t="s">
        <v>455</v>
      </c>
      <c r="P63" s="1053"/>
      <c r="Q63" s="856">
        <v>0.75</v>
      </c>
      <c r="R63" s="1053"/>
      <c r="S63" s="1334"/>
      <c r="T63" s="1336"/>
      <c r="U63" s="1334"/>
      <c r="V63" s="1053"/>
      <c r="W63" s="1311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20.152803273873257</v>
      </c>
      <c r="K65" s="872">
        <f>$M$32*H65*$B$64*$C$64</f>
        <v>1.6794002728227715</v>
      </c>
      <c r="L65" s="871">
        <f>J65*$D$51</f>
        <v>25.191004092341572</v>
      </c>
      <c r="M65" s="872">
        <f>K65*$D$51</f>
        <v>2.0992503410284642</v>
      </c>
      <c r="N65" s="1053"/>
      <c r="O65" s="873">
        <v>25947</v>
      </c>
      <c r="P65" s="1053"/>
      <c r="Q65" s="874">
        <f>O65*$Q$63*M65+O65*(1-$Q$63)*K65</f>
        <v>51745.786168732287</v>
      </c>
      <c r="R65" s="1053"/>
      <c r="S65" s="875">
        <f>IF(AND(Q65&lt;&gt;0,O65&lt;&gt;0),Q65*(1-D17-D18-D19)/(H15)/O65/30/(($D$25*1000000/$D$8))*1000,0)</f>
        <v>0.21208798086730796</v>
      </c>
      <c r="T65" s="1053" t="s">
        <v>459</v>
      </c>
      <c r="U65" s="876">
        <f>S65*O65*30*$D$11*(1+$D$24)/1000</f>
        <v>29565.050135815673</v>
      </c>
      <c r="V65" s="1053" t="s">
        <v>460</v>
      </c>
      <c r="W65" s="876">
        <f>IF(O65&lt;&gt;0,U65/O65,0)</f>
        <v>1.1394400175671819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1.1394400175671819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64.122555871414903</v>
      </c>
      <c r="K67" s="872">
        <f>$M$32*(H65+(G67-F67)*H67)*$B$64*$C$64</f>
        <v>5.3435463226179092</v>
      </c>
      <c r="L67" s="871">
        <f t="shared" ref="L67:M71" si="3">J67*$D$51</f>
        <v>80.153194839268622</v>
      </c>
      <c r="M67" s="872">
        <f t="shared" si="3"/>
        <v>6.6794329032723869</v>
      </c>
      <c r="N67" s="1053"/>
      <c r="O67" s="873">
        <v>15000</v>
      </c>
      <c r="P67" s="1053"/>
      <c r="Q67" s="874">
        <f>O67*$Q$63*M67+O67*(1-$Q$63)*K67</f>
        <v>95181.918871631511</v>
      </c>
      <c r="R67" s="1053"/>
      <c r="S67" s="875">
        <f>IF(AND(Q67&lt;&gt;0,O67&lt;&gt;0),Q67*(1-D17-D18-D19)/O67/30/(H15)/(($D$25*1000000/$D$8))*1000,0)</f>
        <v>0.67482539366870697</v>
      </c>
      <c r="T67" s="1053" t="s">
        <v>459</v>
      </c>
      <c r="U67" s="876">
        <f>S67*O67*30*$D$11*(1+$D$24)/1000</f>
        <v>54382.364474797309</v>
      </c>
      <c r="V67" s="1053" t="s">
        <v>460</v>
      </c>
      <c r="W67" s="876">
        <f>IF(O67&lt;&gt;0,U67/O67,0)</f>
        <v>3.6254909649864873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109.92438149385411</v>
      </c>
      <c r="K68" s="872">
        <f>$M$32*(H65+(G67-F67)*H67+(G68-F68)*H68)*$B$64*$C$64</f>
        <v>9.1603651244878428</v>
      </c>
      <c r="L68" s="871">
        <f t="shared" si="3"/>
        <v>137.40547686731765</v>
      </c>
      <c r="M68" s="872">
        <f t="shared" si="3"/>
        <v>11.450456405609803</v>
      </c>
      <c r="N68" s="1053"/>
      <c r="O68" s="873">
        <v>500</v>
      </c>
      <c r="P68" s="1053"/>
      <c r="Q68" s="874">
        <f>O68*$Q$63*M68+O68*(1-$Q$63)*K68</f>
        <v>5438.9667926646562</v>
      </c>
      <c r="R68" s="1053"/>
      <c r="S68" s="875">
        <f>IF(AND(Q68&lt;&gt;0,O68&lt;&gt;0),Q68*(1-D17-D18-D19)/O68/30/(H15)/(($D$25*1000000/$D$8))*1000,0)</f>
        <v>1.1568435320034975</v>
      </c>
      <c r="T68" s="1053" t="s">
        <v>459</v>
      </c>
      <c r="U68" s="876">
        <f>S68*O68*30*$D$11*(1+$D$24)/1000</f>
        <v>3107.5636842741314</v>
      </c>
      <c r="V68" s="1053" t="s">
        <v>460</v>
      </c>
      <c r="W68" s="876">
        <f>IF(O68&lt;&gt;0,U68/O68,0)</f>
        <v>6.2151273685482629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181.3752294648593</v>
      </c>
      <c r="K69" s="872">
        <f>$M$32*(H65+(G67-F67)*H67+(G68-F68)*H68+(G69-F69)*H69)*$B$64*$C$64</f>
        <v>15.114602455404942</v>
      </c>
      <c r="L69" s="871">
        <f t="shared" si="3"/>
        <v>226.71903683107413</v>
      </c>
      <c r="M69" s="872">
        <f t="shared" si="3"/>
        <v>18.893253069256176</v>
      </c>
      <c r="N69" s="1053"/>
      <c r="O69" s="873">
        <v>1000</v>
      </c>
      <c r="P69" s="1053"/>
      <c r="Q69" s="874">
        <f>O69*$Q$63*M69+O69*(1-$Q$63)*K69</f>
        <v>17948.590415793366</v>
      </c>
      <c r="R69" s="1053"/>
      <c r="S69" s="875">
        <f>IF(AND(Q69&lt;&gt;0,O69&lt;&gt;0),Q69*(1-D17-D18-D19)/O69/30/(H15)/(($D$25*1000000/$D$8))*1000,0)</f>
        <v>1.9087918278057709</v>
      </c>
      <c r="T69" s="1053" t="s">
        <v>459</v>
      </c>
      <c r="U69" s="876">
        <f>S69*O69*30*$D$11*(1+$D$24)/1000</f>
        <v>10254.960158104635</v>
      </c>
      <c r="V69" s="1053" t="s">
        <v>460</v>
      </c>
      <c r="W69" s="876">
        <f>IF(O69&lt;&gt;0,U69/O69,0)</f>
        <v>10.254960158104636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373.74289707910395</v>
      </c>
      <c r="K70" s="872">
        <f>$M$32*(H65+(G67-F67)*H67+(G68-F68)*H68+(G69-F69)*H69+(G70-F70)*H70)*$B$64*$C$64</f>
        <v>31.145241423258668</v>
      </c>
      <c r="L70" s="871">
        <f t="shared" si="3"/>
        <v>467.17862134887991</v>
      </c>
      <c r="M70" s="872">
        <f t="shared" si="3"/>
        <v>38.931551779073331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785.95932768105695</v>
      </c>
      <c r="K71" s="872">
        <f>$M$32*(H65+(G67-F67)*H67+(G68-F68)*H68+(G69-F69)*H69+(G70-F70)*H70+(G71-F71)*H71)*$B$64*$C$64</f>
        <v>65.496610640088079</v>
      </c>
      <c r="L71" s="871">
        <f t="shared" si="3"/>
        <v>982.44915960132118</v>
      </c>
      <c r="M71" s="872">
        <f t="shared" si="3"/>
        <v>81.870763300110099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15.8598705974974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3"/>
      <c r="O75" s="802">
        <f>O78+O80+O81+O82+O83+O84</f>
        <v>1741</v>
      </c>
      <c r="P75" s="1053"/>
      <c r="Q75" s="849">
        <f>Q78+Q80+Q81+Q82+Q83+Q84</f>
        <v>27612.034710242973</v>
      </c>
      <c r="R75" s="1053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7888.0934178704319</v>
      </c>
      <c r="V75" s="1053" t="s">
        <v>449</v>
      </c>
      <c r="W75" s="131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3"/>
      <c r="O76" s="891" t="s">
        <v>455</v>
      </c>
      <c r="P76" s="1053"/>
      <c r="Q76" s="856">
        <v>0.75</v>
      </c>
      <c r="R76" s="1053"/>
      <c r="S76" s="1334"/>
      <c r="T76" s="1336"/>
      <c r="U76" s="1334"/>
      <c r="V76" s="1053"/>
      <c r="W76" s="1311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38.796840527242637</v>
      </c>
      <c r="K78" s="872">
        <f>$M$32*H78*$B$77*$C$77</f>
        <v>3.2330700439368862</v>
      </c>
      <c r="L78" s="871">
        <f>J78*$D$77</f>
        <v>48.496050659053296</v>
      </c>
      <c r="M78" s="872">
        <f>K78*$D$77</f>
        <v>4.0413375549211077</v>
      </c>
      <c r="N78" s="1053"/>
      <c r="O78" s="873">
        <v>264</v>
      </c>
      <c r="P78" s="1053"/>
      <c r="Q78" s="874">
        <f>O78*$Q$76*M78+O78*(1-$Q$76)*K78</f>
        <v>1013.5674587742138</v>
      </c>
      <c r="R78" s="1053"/>
      <c r="S78" s="875">
        <f>IF(AND(Q78&lt;&gt;0,O78&lt;&gt;0),Q78*(1-D17-D18-D19)/O78/30/(($D$25*1000000/$D$8))*1000,0)</f>
        <v>0.20414885858885254</v>
      </c>
      <c r="T78" s="1053" t="s">
        <v>459</v>
      </c>
      <c r="U78" s="876">
        <f>S78*O78*30*$D$11*(1+$D$24)/1000</f>
        <v>289.5518162288368</v>
      </c>
      <c r="V78" s="1053" t="s">
        <v>460</v>
      </c>
      <c r="W78" s="876">
        <f>IF(O78&lt;&gt;0,U78/O78,0)</f>
        <v>1.096787182684988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142.25508193322298</v>
      </c>
      <c r="K80" s="872">
        <f>$M$32*(H78+(G80-F80)*H80)*$B$77*$C$77</f>
        <v>11.854590161101916</v>
      </c>
      <c r="L80" s="871">
        <f t="shared" ref="L80:M84" si="4">J80*$D$77</f>
        <v>177.81885241652873</v>
      </c>
      <c r="M80" s="872">
        <f t="shared" si="4"/>
        <v>14.818237701377395</v>
      </c>
      <c r="N80" s="1053"/>
      <c r="O80" s="873">
        <v>994</v>
      </c>
      <c r="P80" s="1053"/>
      <c r="Q80" s="874">
        <f>O80*$Q$76*M80+O80*(1-$Q$76)*K80</f>
        <v>13992.861861410674</v>
      </c>
      <c r="R80" s="1053"/>
      <c r="S80" s="875">
        <f>IF(AND(Q80&lt;&gt;0,O80&lt;&gt;0),Q80*(1-D17-D18-D19)/O80/30/(($D$25*1000000/$D$8))*1000,0)</f>
        <v>0.74854581482579274</v>
      </c>
      <c r="T80" s="1053" t="s">
        <v>459</v>
      </c>
      <c r="U80" s="876">
        <f>S80*O80*30*$D$11*(1+$D$24)/1000</f>
        <v>3997.4236851592191</v>
      </c>
      <c r="V80" s="1053" t="s">
        <v>460</v>
      </c>
      <c r="W80" s="876">
        <f>IF(O80&lt;&gt;0,U80/O80,0)</f>
        <v>4.0215530031782887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215.53800292912575</v>
      </c>
      <c r="K81" s="872">
        <f>$M$32*(H78+(G80-F80)*H80+(G81-F81)*H81)*$B$77*$C$77</f>
        <v>17.961500244093813</v>
      </c>
      <c r="L81" s="871">
        <f t="shared" si="4"/>
        <v>269.42250366140718</v>
      </c>
      <c r="M81" s="872">
        <f t="shared" si="4"/>
        <v>22.451875305117266</v>
      </c>
      <c r="N81" s="1053"/>
      <c r="O81" s="873">
        <v>183</v>
      </c>
      <c r="P81" s="1053"/>
      <c r="Q81" s="874">
        <f>O81*$Q$76*M81+O81*(1-$Q$76)*K81</f>
        <v>3903.2585217946366</v>
      </c>
      <c r="R81" s="1053"/>
      <c r="S81" s="875">
        <f>IF(AND(Q81&lt;&gt;0,O81&lt;&gt;0),Q81*(1-D17-D18-D19)/O81/30/(($D$25*1000000/$D$8))*1000,0)</f>
        <v>1.1341603254936252</v>
      </c>
      <c r="T81" s="1053" t="s">
        <v>459</v>
      </c>
      <c r="U81" s="876">
        <f>S81*O81*30*$D$11*(1+$D$24)/1000</f>
        <v>1115.0669690630712</v>
      </c>
      <c r="V81" s="1053" t="s">
        <v>460</v>
      </c>
      <c r="W81" s="876">
        <f>IF(O81&lt;&gt;0,U81/O81,0)</f>
        <v>6.0932621260277111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293.13168398361097</v>
      </c>
      <c r="K82" s="872">
        <f>$M$32*(H78+(G80-F80)*H80+(G81-F81)*H81+(G82-F82)*H82)*$B$77*$C$77</f>
        <v>24.427640331967581</v>
      </c>
      <c r="L82" s="871">
        <f t="shared" si="4"/>
        <v>366.41460497951368</v>
      </c>
      <c r="M82" s="872">
        <f t="shared" si="4"/>
        <v>30.534550414959476</v>
      </c>
      <c r="N82" s="1053"/>
      <c r="O82" s="873">
        <v>300</v>
      </c>
      <c r="P82" s="1053"/>
      <c r="Q82" s="874">
        <f>O82*$Q$76*M82+O82*(1-$Q$76)*K82</f>
        <v>8702.3468682634502</v>
      </c>
      <c r="R82" s="1053"/>
      <c r="S82" s="875">
        <f>IF(AND(Q82&lt;&gt;0,O82&lt;&gt;0),Q82*(1-D17-D18-D19)/O82/30/(($D$25*1000000/$D$8))*1000,0)</f>
        <v>1.5424580426713301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415.98834565321272</v>
      </c>
      <c r="K83" s="872">
        <f>$M$32*(H78+(G80-F80)*H80+(G81-F81)*H81+(G82-F82)*H82+(G83-F83)*H83)*$B$77*$C$77</f>
        <v>34.66569547110106</v>
      </c>
      <c r="L83" s="871">
        <f t="shared" si="4"/>
        <v>519.98543206651584</v>
      </c>
      <c r="M83" s="872">
        <f t="shared" si="4"/>
        <v>43.332119338876325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803.95675092563897</v>
      </c>
      <c r="K84" s="872">
        <f>$M$32*(H78+(G80-F80)*H80+(G81-F81)*H81+(G82-F82)*H82+(G83-F83)*H83+(G84-F84)*H84)*$B$77*$C$77</f>
        <v>66.996395910469914</v>
      </c>
      <c r="L84" s="871">
        <f t="shared" si="4"/>
        <v>1004.9459386570487</v>
      </c>
      <c r="M84" s="872">
        <f t="shared" si="4"/>
        <v>83.745494888087393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34.446789686876166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3"/>
      <c r="O88" s="877">
        <f>O91+O93+O94+O95+O96</f>
        <v>20</v>
      </c>
      <c r="P88" s="1053"/>
      <c r="Q88" s="849">
        <f>Q91+Q93+Q94+Q95+Q96</f>
        <v>688.93579373752334</v>
      </c>
      <c r="R88" s="1053"/>
      <c r="S88" s="1310">
        <f>IF(AND(Q88&lt;&gt;0,O88&lt;&gt;0),Q88*(1-D17-D18-D19)/(($D$25*1000000/$D$8)),0)</f>
        <v>1.0990013554033229</v>
      </c>
      <c r="T88" s="1335" t="s">
        <v>448</v>
      </c>
      <c r="U88" s="1310">
        <f>U91+U93+U94+U95+U96+Z97</f>
        <v>196.81236667069498</v>
      </c>
      <c r="V88" s="1053" t="s">
        <v>449</v>
      </c>
      <c r="W88" s="1310">
        <f>W91*O91+W93*O93+W94*O94+W95*O95+W96*O96</f>
        <v>196.81236667069501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3"/>
      <c r="O89" s="891" t="s">
        <v>455</v>
      </c>
      <c r="P89" s="1053"/>
      <c r="Q89" s="856">
        <v>0.75</v>
      </c>
      <c r="R89" s="1053"/>
      <c r="S89" s="1334"/>
      <c r="T89" s="1336"/>
      <c r="U89" s="1334"/>
      <c r="V89" s="1053"/>
      <c r="W89" s="1311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30.175320410077603</v>
      </c>
      <c r="K91" s="872">
        <f>$M$32*H91*$B$90*$C$90</f>
        <v>2.5146100341731334</v>
      </c>
      <c r="L91" s="871">
        <f>J91*$D$90</f>
        <v>37.719150512597004</v>
      </c>
      <c r="M91" s="872">
        <f>K91*$D$90</f>
        <v>3.1432625427164167</v>
      </c>
      <c r="N91" s="1053"/>
      <c r="O91" s="873">
        <v>1</v>
      </c>
      <c r="P91" s="1053"/>
      <c r="Q91" s="874">
        <f>O91*$Q$76*M91+O91*(1-$Q$76)*K91</f>
        <v>2.9860994155805956</v>
      </c>
      <c r="R91" s="1053"/>
      <c r="S91" s="875">
        <f>IF(AND(Q91&lt;&gt;0,O91&lt;&gt;0),Q91*(1-D17-D18-D19)/O91/30/(($D$25*1000000/$D$8))*1000,0)</f>
        <v>0.15878244556910748</v>
      </c>
      <c r="T91" s="1053" t="s">
        <v>459</v>
      </c>
      <c r="U91" s="876">
        <f>S91*O91*30*$D$11*(1+$D$24)/1000</f>
        <v>0.85305669764387915</v>
      </c>
      <c r="V91" s="1053" t="s">
        <v>460</v>
      </c>
      <c r="W91" s="876">
        <f>IF(O91&lt;&gt;0,U91/O91,0)</f>
        <v>0.85305669764387915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94.836721288815326</v>
      </c>
      <c r="K93" s="872">
        <f>$M$32*(H91+(G93-F93)*H93)*$B$90*$C$90</f>
        <v>7.903060107401279</v>
      </c>
      <c r="L93" s="871">
        <f t="shared" ref="L93:M96" si="5">J93*$D$90</f>
        <v>118.54590161101916</v>
      </c>
      <c r="M93" s="872">
        <f t="shared" si="5"/>
        <v>9.8788251342515991</v>
      </c>
      <c r="N93" s="1053"/>
      <c r="O93" s="873">
        <v>2</v>
      </c>
      <c r="P93" s="1053"/>
      <c r="Q93" s="874">
        <f>O93*$Q$76*M93+O93*(1-$Q$76)*K93</f>
        <v>18.769767755078039</v>
      </c>
      <c r="R93" s="1053"/>
      <c r="S93" s="875">
        <f>IF(AND(Q93&lt;&gt;0,O93&lt;&gt;0),Q93*(1-D17-D18-D19)/O93/30/(($D$25*1000000/$D$8))*1000,0)</f>
        <v>0.4990305432171952</v>
      </c>
      <c r="T93" s="1053" t="s">
        <v>459</v>
      </c>
      <c r="U93" s="876">
        <f>S93*O93*30*$D$11*(1+$D$24)/1000</f>
        <v>5.3620706709043864</v>
      </c>
      <c r="V93" s="1053" t="s">
        <v>460</v>
      </c>
      <c r="W93" s="876">
        <f>IF(O93&lt;&gt;0,U93/O93,0)</f>
        <v>2.6810353354521932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396.58992538959126</v>
      </c>
      <c r="K94" s="872">
        <f>$M$32*(H91+(G93-F93)*H93+(G94-F94)*H94)*$B$90*$C$90</f>
        <v>33.049160449132614</v>
      </c>
      <c r="L94" s="871">
        <f t="shared" si="5"/>
        <v>495.7374067369891</v>
      </c>
      <c r="M94" s="872">
        <f t="shared" si="5"/>
        <v>41.311450561415768</v>
      </c>
      <c r="N94" s="1053"/>
      <c r="O94" s="873">
        <v>17</v>
      </c>
      <c r="P94" s="1053"/>
      <c r="Q94" s="874">
        <f>O94*$Q$76*M94+O94*(1-$Q$76)*K94</f>
        <v>667.17992656686465</v>
      </c>
      <c r="R94" s="1053"/>
      <c r="S94" s="875">
        <f>IF(AND(Q94&lt;&gt;0,O94&lt;&gt;0),Q94*(1-D17-D18-D19)/O94/30/(($D$25*1000000/$D$8))*1000,0)</f>
        <v>2.0868549989082701</v>
      </c>
      <c r="T94" s="1053" t="s">
        <v>459</v>
      </c>
      <c r="U94" s="876">
        <f>S94*O94*30*$D$11*(1+$D$24)/1000</f>
        <v>190.59723930214673</v>
      </c>
      <c r="V94" s="1053" t="s">
        <v>460</v>
      </c>
      <c r="W94" s="876">
        <f>IF(O94&lt;&gt;0,U94/O94,0)</f>
        <v>11.211602311890985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2293.324351165898</v>
      </c>
      <c r="K95" s="872">
        <f>$M$32*(H91+(G93-F93)*H93+(G94-F94)*H94+(G95-F95)*H95)*$B$90*$C$90</f>
        <v>191.11036259715817</v>
      </c>
      <c r="L95" s="871">
        <f t="shared" si="5"/>
        <v>2866.6554389573726</v>
      </c>
      <c r="M95" s="872">
        <f t="shared" si="5"/>
        <v>238.88795324644772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4879.7803863154068</v>
      </c>
      <c r="K96" s="872">
        <f>$M$32*(H91+(G93-F93)*H93+(G94-F94)*H94+(G95-F95)*H95+(G96-F96)*H96)*$B$90*$C$90</f>
        <v>406.6483655262839</v>
      </c>
      <c r="L96" s="871">
        <f t="shared" si="5"/>
        <v>6099.7254828942587</v>
      </c>
      <c r="M96" s="872">
        <f t="shared" si="5"/>
        <v>508.31045690785487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61" priority="17">
      <formula>OR(O36&lt;O35*99.75%,O36&gt;O35*100.25%)</formula>
    </cfRule>
  </conditionalFormatting>
  <conditionalFormatting sqref="O36">
    <cfRule type="expression" dxfId="460" priority="18">
      <formula>OR(O36&lt;O35*100.25%,O36&gt;O35*99.75%)</formula>
    </cfRule>
  </conditionalFormatting>
  <conditionalFormatting sqref="Y39">
    <cfRule type="expression" dxfId="459" priority="19">
      <formula>Y39="NOK"</formula>
    </cfRule>
  </conditionalFormatting>
  <conditionalFormatting sqref="Y39">
    <cfRule type="expression" dxfId="458" priority="20">
      <formula>Y39="OK"</formula>
    </cfRule>
  </conditionalFormatting>
  <conditionalFormatting sqref="Y41:Y45">
    <cfRule type="expression" dxfId="457" priority="21">
      <formula>Y41="NOK"</formula>
    </cfRule>
  </conditionalFormatting>
  <conditionalFormatting sqref="Y41:Y45">
    <cfRule type="expression" dxfId="456" priority="22">
      <formula>Y41="OK"</formula>
    </cfRule>
  </conditionalFormatting>
  <conditionalFormatting sqref="Y52">
    <cfRule type="expression" dxfId="455" priority="23">
      <formula>Y52="NOK"</formula>
    </cfRule>
  </conditionalFormatting>
  <conditionalFormatting sqref="Y52">
    <cfRule type="expression" dxfId="454" priority="24">
      <formula>Y52="OK"</formula>
    </cfRule>
  </conditionalFormatting>
  <conditionalFormatting sqref="Y54:Y58">
    <cfRule type="expression" dxfId="453" priority="25">
      <formula>Y54="NOK"</formula>
    </cfRule>
  </conditionalFormatting>
  <conditionalFormatting sqref="Y54:Y58">
    <cfRule type="expression" dxfId="452" priority="26">
      <formula>Y54="OK"</formula>
    </cfRule>
  </conditionalFormatting>
  <conditionalFormatting sqref="Y65">
    <cfRule type="expression" dxfId="451" priority="27">
      <formula>Y65="NOK"</formula>
    </cfRule>
  </conditionalFormatting>
  <conditionalFormatting sqref="Y65">
    <cfRule type="expression" dxfId="450" priority="28">
      <formula>Y65="OK"</formula>
    </cfRule>
  </conditionalFormatting>
  <conditionalFormatting sqref="Y67:Y71">
    <cfRule type="expression" dxfId="449" priority="29">
      <formula>Y67="NOK"</formula>
    </cfRule>
  </conditionalFormatting>
  <conditionalFormatting sqref="Y67:Y71">
    <cfRule type="expression" dxfId="448" priority="30">
      <formula>Y67="OK"</formula>
    </cfRule>
  </conditionalFormatting>
  <conditionalFormatting sqref="Y78">
    <cfRule type="expression" dxfId="447" priority="31">
      <formula>Y78="NOK"</formula>
    </cfRule>
  </conditionalFormatting>
  <conditionalFormatting sqref="Y78">
    <cfRule type="expression" dxfId="446" priority="32">
      <formula>Y78="OK"</formula>
    </cfRule>
  </conditionalFormatting>
  <conditionalFormatting sqref="Y80:Y84">
    <cfRule type="expression" dxfId="445" priority="33">
      <formula>Y80="NOK"</formula>
    </cfRule>
  </conditionalFormatting>
  <conditionalFormatting sqref="Y80:Y84">
    <cfRule type="expression" dxfId="444" priority="34">
      <formula>Y80="OK"</formula>
    </cfRule>
  </conditionalFormatting>
  <conditionalFormatting sqref="Y91">
    <cfRule type="expression" dxfId="443" priority="35">
      <formula>Y91="NOK"</formula>
    </cfRule>
  </conditionalFormatting>
  <conditionalFormatting sqref="Y91">
    <cfRule type="expression" dxfId="442" priority="36">
      <formula>Y91="OK"</formula>
    </cfRule>
  </conditionalFormatting>
  <conditionalFormatting sqref="Y93:Y96">
    <cfRule type="expression" dxfId="441" priority="37">
      <formula>Y93="NOK"</formula>
    </cfRule>
  </conditionalFormatting>
  <conditionalFormatting sqref="Y93:Y96">
    <cfRule type="expression" dxfId="440" priority="38">
      <formula>Y93="OK"</formula>
    </cfRule>
  </conditionalFormatting>
  <conditionalFormatting sqref="Y12">
    <cfRule type="expression" dxfId="439" priority="39">
      <formula>Y12&gt;20%</formula>
    </cfRule>
  </conditionalFormatting>
  <conditionalFormatting sqref="Y12">
    <cfRule type="expression" dxfId="438" priority="40">
      <formula>Y12&lt;=20%</formula>
    </cfRule>
  </conditionalFormatting>
  <conditionalFormatting sqref="O5">
    <cfRule type="expression" dxfId="437" priority="41">
      <formula>ABS(O8)&gt;=O7</formula>
    </cfRule>
    <cfRule type="expression" dxfId="436" priority="42">
      <formula>ABS(O8)&lt;O7</formula>
    </cfRule>
  </conditionalFormatting>
  <conditionalFormatting sqref="Q5">
    <cfRule type="expression" dxfId="435" priority="15">
      <formula>ABS(Q8)&gt;=Q7</formula>
    </cfRule>
    <cfRule type="expression" dxfId="434" priority="16">
      <formula>ABS(Q8)&lt;Q7</formula>
    </cfRule>
  </conditionalFormatting>
  <conditionalFormatting sqref="S5">
    <cfRule type="expression" dxfId="433" priority="13">
      <formula>ABS(S8)&gt;=S7</formula>
    </cfRule>
    <cfRule type="expression" dxfId="432" priority="14">
      <formula>ABS(S8)&lt;S7</formula>
    </cfRule>
  </conditionalFormatting>
  <conditionalFormatting sqref="U5">
    <cfRule type="expression" dxfId="431" priority="11">
      <formula>ABS(U8)&gt;=U7</formula>
    </cfRule>
    <cfRule type="expression" dxfId="430" priority="12">
      <formula>ABS(U8)&lt;U7</formula>
    </cfRule>
  </conditionalFormatting>
  <conditionalFormatting sqref="W5">
    <cfRule type="expression" dxfId="429" priority="9">
      <formula>ABS(W8)&gt;=W7</formula>
    </cfRule>
    <cfRule type="expression" dxfId="428" priority="10">
      <formula>ABS(W8)&lt;W7</formula>
    </cfRule>
  </conditionalFormatting>
  <conditionalFormatting sqref="Y5">
    <cfRule type="expression" dxfId="427" priority="7">
      <formula>ABS(Y12)&gt;=Y10</formula>
    </cfRule>
    <cfRule type="expression" dxfId="426" priority="8">
      <formula>ABS(Y12)&lt;Y10</formula>
    </cfRule>
  </conditionalFormatting>
  <conditionalFormatting sqref="O49 O62 O75 O88">
    <cfRule type="expression" dxfId="425" priority="1">
      <formula>OR(O49&lt;O48*99.75%,O49&gt;O48*100.25%)</formula>
    </cfRule>
  </conditionalFormatting>
  <conditionalFormatting sqref="O49 O62 O75 O88">
    <cfRule type="expression" dxfId="42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288" t="s">
        <v>548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4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4"/>
      <c r="M5" s="777"/>
      <c r="N5" s="1054"/>
      <c r="O5" s="1294" t="s">
        <v>378</v>
      </c>
      <c r="P5" s="1054"/>
      <c r="Q5" s="1294" t="s">
        <v>379</v>
      </c>
      <c r="R5" s="1054"/>
      <c r="S5" s="1294" t="s">
        <v>380</v>
      </c>
      <c r="T5" s="1054"/>
      <c r="U5" s="1294" t="s">
        <v>381</v>
      </c>
      <c r="V5" s="1054"/>
      <c r="W5" s="1294" t="s">
        <v>382</v>
      </c>
      <c r="X5" s="1054"/>
      <c r="Y5" s="1294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3.2457608011212833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4"/>
      <c r="M6" s="789"/>
      <c r="N6" s="790"/>
      <c r="O6" s="1295"/>
      <c r="P6" s="1054"/>
      <c r="Q6" s="1295"/>
      <c r="R6" s="1054"/>
      <c r="S6" s="1295"/>
      <c r="T6" s="1054"/>
      <c r="U6" s="1295"/>
      <c r="V6" s="1054"/>
      <c r="W6" s="1295"/>
      <c r="X6" s="1054"/>
      <c r="Y6" s="1295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'RT1B)BIODIG Descarb Biomet'!M22-'RT1B)BIODIG Descarb Biomet'!M8-'RT1B)BIODIG Descarb Biomet'!M9</f>
        <v>94.385678131189579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4"/>
      <c r="M8" s="789"/>
      <c r="N8" s="790"/>
      <c r="O8" s="796">
        <f>(O12-O10)/O10</f>
        <v>0</v>
      </c>
      <c r="P8" s="790"/>
      <c r="Q8" s="796">
        <f>(Q12-Q10)/Q10</f>
        <v>5.9292925928746843E-3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3.5281825628288486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0.52705015417247303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3.5491021895649393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280"/>
      <c r="G16" s="1282"/>
      <c r="H16" s="1284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3.5281825628288486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0.5729101057124053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285" t="s">
        <v>419</v>
      </c>
      <c r="G23" s="1286"/>
      <c r="H23" s="1287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20.561822510935134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3.5281825628288486</v>
      </c>
      <c r="E25" s="1054"/>
      <c r="F25" s="835" t="s">
        <v>424</v>
      </c>
      <c r="G25" s="812" t="s">
        <v>425</v>
      </c>
      <c r="H25" s="838">
        <f>H24/12</f>
        <v>1.7134852092445945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0.5729101057124053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296" t="s">
        <v>427</v>
      </c>
      <c r="C29" s="1297"/>
      <c r="D29" s="1297"/>
      <c r="E29" s="1298"/>
      <c r="F29" s="1054"/>
      <c r="G29" s="1054"/>
      <c r="H29" s="777"/>
      <c r="I29" s="1054"/>
      <c r="J29" s="777"/>
      <c r="K29" s="1299" t="s">
        <v>428</v>
      </c>
      <c r="L29" s="1300"/>
      <c r="M29" s="1301"/>
      <c r="N29" s="1054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4"/>
      <c r="O31" s="1307" t="s">
        <v>433</v>
      </c>
      <c r="P31" s="1054"/>
      <c r="Q31" s="1307" t="s">
        <v>434</v>
      </c>
      <c r="R31" s="1054"/>
      <c r="S31" s="1307" t="s">
        <v>435</v>
      </c>
      <c r="T31" s="1054"/>
      <c r="U31" s="1307" t="s">
        <v>436</v>
      </c>
      <c r="V31" s="1054"/>
      <c r="W31" s="1307" t="s">
        <v>436</v>
      </c>
      <c r="X31" s="1054"/>
      <c r="Y31" s="1307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20.561822510935134</v>
      </c>
      <c r="M32" s="841">
        <f>H25</f>
        <v>1.7134852092445945</v>
      </c>
      <c r="N32" s="842"/>
      <c r="O32" s="1308"/>
      <c r="P32" s="842"/>
      <c r="Q32" s="1308"/>
      <c r="R32" s="842"/>
      <c r="S32" s="1308"/>
      <c r="T32" s="1054"/>
      <c r="U32" s="1308"/>
      <c r="V32" s="1054"/>
      <c r="W32" s="1308"/>
      <c r="X32" s="1054"/>
      <c r="Y32" s="1309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3.5491021895649393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20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21"/>
      <c r="Z34" s="1054"/>
      <c r="AA34" s="1054"/>
      <c r="AB34" s="773"/>
    </row>
    <row r="35" spans="1:28" s="774" customFormat="1" ht="25.2" customHeight="1" outlineLevel="1" x14ac:dyDescent="0.3">
      <c r="A35" s="1054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2.5561718805098073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4"/>
      <c r="O36" s="802">
        <f>O39+O41+O42+O43+O44+O45</f>
        <v>40</v>
      </c>
      <c r="P36" s="1054"/>
      <c r="Q36" s="849">
        <f>Q39+Q41+Q42+Q43+Q44+Q45</f>
        <v>102.2468752203923</v>
      </c>
      <c r="R36" s="1054"/>
      <c r="S36" s="1310">
        <f>IF(AND(Q36&lt;&gt;0,O36&lt;&gt;0),Q36*(1-D17-D18-D19)/(($D$25*1000000/$D$8)),0)</f>
        <v>0.91186490169687462</v>
      </c>
      <c r="T36" s="1335" t="s">
        <v>448</v>
      </c>
      <c r="U36" s="1310">
        <f>U39+U41+U42+U43+U44+U45</f>
        <v>163.29942497754263</v>
      </c>
      <c r="V36" s="1054" t="s">
        <v>449</v>
      </c>
      <c r="W36" s="131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4"/>
      <c r="O37" s="855" t="s">
        <v>455</v>
      </c>
      <c r="P37" s="1054"/>
      <c r="Q37" s="856">
        <v>0.75</v>
      </c>
      <c r="R37" s="1054"/>
      <c r="S37" s="1334"/>
      <c r="T37" s="1336"/>
      <c r="U37" s="1334"/>
      <c r="V37" s="1054"/>
      <c r="W37" s="1311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5.1404556277337834</v>
      </c>
      <c r="K39" s="872">
        <f>$M$32*H39*$B$38*$C$38</f>
        <v>0.42837130231114862</v>
      </c>
      <c r="L39" s="871">
        <f>J39*$D$38</f>
        <v>6.425569534667229</v>
      </c>
      <c r="M39" s="872">
        <f>K39*$D$38</f>
        <v>0.53546412788893583</v>
      </c>
      <c r="N39" s="1054"/>
      <c r="O39" s="873">
        <v>2</v>
      </c>
      <c r="P39" s="1054"/>
      <c r="Q39" s="874">
        <f>O39*$Q$37*M39+O39*(1-$Q$37)*K39</f>
        <v>1.017381842988978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14.907321320427972</v>
      </c>
      <c r="K41" s="872">
        <f>$M$32*(H39+(G41-F41)*H41)*$B$38*$C$38</f>
        <v>1.2422767767023311</v>
      </c>
      <c r="L41" s="871">
        <f t="shared" ref="L41:M45" si="0">J41*$D$38</f>
        <v>18.634151650534964</v>
      </c>
      <c r="M41" s="872">
        <f t="shared" si="0"/>
        <v>1.5528459708779139</v>
      </c>
      <c r="N41" s="1054"/>
      <c r="O41" s="873">
        <v>2</v>
      </c>
      <c r="P41" s="1054"/>
      <c r="Q41" s="874">
        <f>O41*$Q$37*M41+O41*(1-$Q$37)*K41</f>
        <v>2.9504073446680366</v>
      </c>
      <c r="R41" s="1054"/>
      <c r="S41" s="875">
        <f>IF(AND(Q41&lt;&gt;0,O41&lt;&gt;0),Q41*(1-D17-D18-D19)/O41/30/(($D$25*1000000/$D$8))*1000,0)</f>
        <v>0.43854199252420173</v>
      </c>
      <c r="T41" s="1054" t="s">
        <v>459</v>
      </c>
      <c r="U41" s="876">
        <f>S41*O41*30*$D$11*(1+$D$24)/1000</f>
        <v>4.7121227107947625</v>
      </c>
      <c r="V41" s="1054" t="s">
        <v>460</v>
      </c>
      <c r="W41" s="876">
        <f>IF(O41&lt;&gt;0,U41/O41,0)</f>
        <v>2.3560613553973813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25.18823257589554</v>
      </c>
      <c r="K42" s="872">
        <f>$M$32*(H39+(G41-F41)*H41+(G42-F42)*H42)*$B$38*$C$38</f>
        <v>2.0990193813246285</v>
      </c>
      <c r="L42" s="871">
        <f t="shared" si="0"/>
        <v>31.485290719869425</v>
      </c>
      <c r="M42" s="872">
        <f t="shared" si="0"/>
        <v>2.6237742266557857</v>
      </c>
      <c r="N42" s="1054"/>
      <c r="O42" s="873">
        <v>28</v>
      </c>
      <c r="P42" s="1054"/>
      <c r="Q42" s="874">
        <f>O42*$Q$37*M42+O42*(1-$Q$37)*K42</f>
        <v>69.792394429043895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35.983189394136481</v>
      </c>
      <c r="K43" s="872">
        <f>$M$32*(H39+(G41-F41)*H41+(G42-F42)*H42+(G43-F43)*H43)*$B$38*$C$38</f>
        <v>2.9985991161780401</v>
      </c>
      <c r="L43" s="871">
        <f t="shared" si="0"/>
        <v>44.9789867426706</v>
      </c>
      <c r="M43" s="872">
        <f t="shared" si="0"/>
        <v>3.7482488952225501</v>
      </c>
      <c r="N43" s="1054"/>
      <c r="O43" s="873">
        <v>8</v>
      </c>
      <c r="P43" s="1054"/>
      <c r="Q43" s="874">
        <f>O43*$Q$37*M43+O43*(1-$Q$37)*K43</f>
        <v>28.48669160369138</v>
      </c>
      <c r="R43" s="1054"/>
      <c r="S43" s="875">
        <f>IF(AND(Q43&lt;&gt;0,O43&lt;&gt;0),Q43*(1-D17-D18-D19)/O43/30/(($D$25*1000000/$D$8))*1000,0)</f>
        <v>1.0585496371273833</v>
      </c>
      <c r="T43" s="1054" t="s">
        <v>459</v>
      </c>
      <c r="U43" s="876">
        <f>S43*O43*30*$D$11*(1+$D$24)/1000</f>
        <v>45.496357207673562</v>
      </c>
      <c r="V43" s="1054" t="s">
        <v>460</v>
      </c>
      <c r="W43" s="876">
        <f>IF(O43&lt;&gt;0,U43/O43,0)</f>
        <v>5.6870446509591952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52.946692965657974</v>
      </c>
      <c r="K44" s="872">
        <f>$M$32*(H39+(G41-F41)*H41+(G42-F42)*H42+(G43-F43)*H43+(G44-F44)*H44)*$B$38*$C$38</f>
        <v>4.4122244138048314</v>
      </c>
      <c r="L44" s="871">
        <f t="shared" si="0"/>
        <v>66.183366207072467</v>
      </c>
      <c r="M44" s="872">
        <f t="shared" si="0"/>
        <v>5.5152805172560395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112.06193268459648</v>
      </c>
      <c r="K45" s="872">
        <f>$M$32*(H39+(G41-F41)*H41+(G42-F42)*H42+(G43-F43)*H43+(G44-F44)*H44+(G45-F45)*H45)*$B$38*$C$38</f>
        <v>9.3384943903830404</v>
      </c>
      <c r="L45" s="871">
        <f t="shared" si="0"/>
        <v>140.07741585574561</v>
      </c>
      <c r="M45" s="872">
        <f t="shared" si="0"/>
        <v>11.673117987978801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2.0427800890094727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4"/>
      <c r="O49" s="802">
        <f>O52+O54+O55+O56+O57+O58</f>
        <v>127341</v>
      </c>
      <c r="P49" s="1054"/>
      <c r="Q49" s="890">
        <f>Q52+Q54+Q55+Q56+Q57+Q58</f>
        <v>260129.65931455526</v>
      </c>
      <c r="R49" s="1054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415455.47180887184</v>
      </c>
      <c r="V49" s="1054" t="s">
        <v>449</v>
      </c>
      <c r="W49" s="1338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4"/>
      <c r="O50" s="891" t="s">
        <v>455</v>
      </c>
      <c r="P50" s="1054"/>
      <c r="Q50" s="856">
        <v>0.75</v>
      </c>
      <c r="R50" s="1054"/>
      <c r="S50" s="1334"/>
      <c r="T50" s="1336"/>
      <c r="U50" s="1334"/>
      <c r="V50" s="1054"/>
      <c r="W50" s="1339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7.2094890178966304</v>
      </c>
      <c r="K52" s="872">
        <f>$M$32*H52*$B$51*$C$51</f>
        <v>0.60079075149138594</v>
      </c>
      <c r="L52" s="871">
        <f>J52*$D$51</f>
        <v>9.0118612723707887</v>
      </c>
      <c r="M52" s="872">
        <f>K52*$D$51</f>
        <v>0.75098843936423243</v>
      </c>
      <c r="N52" s="1054"/>
      <c r="O52" s="873">
        <v>62341</v>
      </c>
      <c r="P52" s="1054"/>
      <c r="Q52" s="874">
        <f>O52*$Q$50*M52+O52*(1-$Q$50)*K52</f>
        <v>44476.501783485335</v>
      </c>
      <c r="R52" s="1054"/>
      <c r="S52" s="875">
        <f>IF(AND(Q52&lt;&gt;0,O52&lt;&gt;0),Q52*(1-D17-D18-D19)/O52/30/(($D$25*1000000/$D$8))*1000,0)</f>
        <v>0.2120879808673079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22.939283238762005</v>
      </c>
      <c r="K54" s="872">
        <f>$M$32*(H52+(G54-F54)*H54)*$B$51*$C$51</f>
        <v>1.9116069365635004</v>
      </c>
      <c r="L54" s="871">
        <f t="shared" ref="L54:M58" si="1">J54*$D$51</f>
        <v>28.674104048452506</v>
      </c>
      <c r="M54" s="872">
        <f t="shared" si="1"/>
        <v>2.3895086707043758</v>
      </c>
      <c r="N54" s="1054"/>
      <c r="O54" s="873">
        <v>42500</v>
      </c>
      <c r="P54" s="1054"/>
      <c r="Q54" s="874">
        <f>O54*$Q$50*M54+O54*(1-$Q$50)*K54</f>
        <v>96476.412579689175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39.324485552163445</v>
      </c>
      <c r="K55" s="872">
        <f>$M$32*(H52+(G54-F54)*H54+(G55-F55)*H55)*$B$51*$C$51</f>
        <v>3.2770404626802865</v>
      </c>
      <c r="L55" s="871">
        <f t="shared" si="1"/>
        <v>49.155606940204308</v>
      </c>
      <c r="M55" s="872">
        <f t="shared" si="1"/>
        <v>4.0963005783503581</v>
      </c>
      <c r="N55" s="1054"/>
      <c r="O55" s="873">
        <v>10000</v>
      </c>
      <c r="P55" s="1054"/>
      <c r="Q55" s="874">
        <f>O55*$Q$50*M55+O55*(1-$Q$50)*K55</f>
        <v>38914.855494328396</v>
      </c>
      <c r="R55" s="1054"/>
      <c r="S55" s="875">
        <f>IF(AND(Q55&lt;&gt;0,O55&lt;&gt;0),Q55*(1-D17-D18-D19)/O55/30/(($D$25*1000000/$D$8))*1000,0)</f>
        <v>1.1568435320034971</v>
      </c>
      <c r="T55" s="1054" t="s">
        <v>459</v>
      </c>
      <c r="U55" s="876">
        <f>S55*O55*30*$D$11*(1+$D$24)/1000</f>
        <v>62151.273685482607</v>
      </c>
      <c r="V55" s="1054" t="s">
        <v>460</v>
      </c>
      <c r="W55" s="895">
        <f>IF(O55&lt;&gt;0,U55/O55,0)</f>
        <v>6.2151273685482611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64.88540116106968</v>
      </c>
      <c r="K56" s="872">
        <f>$M$32*(H52+(G54-F54)*H54+(G55-F55)*H55+(G56-F56)*H56)*$B$51*$C$51</f>
        <v>5.407116763422473</v>
      </c>
      <c r="L56" s="871">
        <f t="shared" si="1"/>
        <v>81.106751451337104</v>
      </c>
      <c r="M56" s="872">
        <f t="shared" si="1"/>
        <v>6.7588959542780911</v>
      </c>
      <c r="N56" s="1054"/>
      <c r="O56" s="873">
        <v>12500</v>
      </c>
      <c r="P56" s="1054"/>
      <c r="Q56" s="874">
        <f>O56*$Q$50*M56+O56*(1-$Q$50)*K56</f>
        <v>80261.889457052341</v>
      </c>
      <c r="R56" s="1054"/>
      <c r="S56" s="875">
        <f>IF(AND(Q56&lt;&gt;0,O56&lt;&gt;0),Q56*(1-D17-D18-D19)/O56/30/(($D$25*1000000/$D$8))*1000,0)</f>
        <v>1.9087918278057712</v>
      </c>
      <c r="T56" s="1054" t="s">
        <v>459</v>
      </c>
      <c r="U56" s="876">
        <f>S56*O56*30*$D$11*(1+$D$24)/1000</f>
        <v>128187.00197630795</v>
      </c>
      <c r="V56" s="1054" t="s">
        <v>460</v>
      </c>
      <c r="W56" s="895">
        <f>IF(O56&lt;&gt;0,U56/O56,0)</f>
        <v>10.254960158104636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133.70325087735569</v>
      </c>
      <c r="K57" s="872">
        <f>$M$32*(H52+(G54-F54)*H54+(G55-F55)*H55+(G56-F56)*H56+(G57-F57)*H57)*$B$51*$C$51</f>
        <v>11.141937573112973</v>
      </c>
      <c r="L57" s="871">
        <f t="shared" si="1"/>
        <v>167.12906359669461</v>
      </c>
      <c r="M57" s="872">
        <f t="shared" si="1"/>
        <v>13.927421966391215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281.17007169796858</v>
      </c>
      <c r="K58" s="872">
        <f>$M$32*(H52+(G54-F54)*H54+(G55-F55)*H55+(G56-F56)*H56+(G57-F57)*H57+(G58-F58)*H58)*$B$51*$C$51</f>
        <v>23.43083930816405</v>
      </c>
      <c r="L58" s="871">
        <f t="shared" si="1"/>
        <v>351.46258962246071</v>
      </c>
      <c r="M58" s="872">
        <f t="shared" si="1"/>
        <v>29.288549135205063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0.71770436866200815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4"/>
      <c r="O62" s="802">
        <f>O65+O67+O68+O69+O70+O71</f>
        <v>42447</v>
      </c>
      <c r="P62" s="1054"/>
      <c r="Q62" s="849">
        <f>Q65+Q67+Q68+Q69+Q70+Q71</f>
        <v>30464.397336596259</v>
      </c>
      <c r="R62" s="1054"/>
      <c r="S62" s="1310">
        <f>IF(AND(Q62&lt;&gt;0,O62&lt;&gt;0),Q62*(1-D17-D18-D19)/(H15)/(($D$25*1000000/$D$8)),0)</f>
        <v>543.37924015206488</v>
      </c>
      <c r="T62" s="1335" t="s">
        <v>448</v>
      </c>
      <c r="U62" s="1310">
        <f>U65+U67+U68+U69+U70+U71</f>
        <v>97309.938452991744</v>
      </c>
      <c r="V62" s="1054" t="s">
        <v>449</v>
      </c>
      <c r="W62" s="1310">
        <f>W65*O65+W67*O67+W68*O68+W69*O69+W70*O70+W71*O71</f>
        <v>97309.938452991744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4"/>
      <c r="O63" s="891" t="s">
        <v>455</v>
      </c>
      <c r="P63" s="1054"/>
      <c r="Q63" s="856">
        <v>0.75</v>
      </c>
      <c r="R63" s="1054"/>
      <c r="S63" s="1334"/>
      <c r="T63" s="1336"/>
      <c r="U63" s="1334"/>
      <c r="V63" s="1054"/>
      <c r="W63" s="1311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3.6047445089483152</v>
      </c>
      <c r="K65" s="872">
        <f>$M$32*H65*$B$64*$C$64</f>
        <v>0.30039537574569297</v>
      </c>
      <c r="L65" s="871">
        <f>J65*$D$51</f>
        <v>4.5059306361853944</v>
      </c>
      <c r="M65" s="872">
        <f>K65*$D$51</f>
        <v>0.37549421968211621</v>
      </c>
      <c r="N65" s="1054"/>
      <c r="O65" s="873">
        <v>25947</v>
      </c>
      <c r="P65" s="1054"/>
      <c r="Q65" s="874">
        <f>O65*$Q$63*M65+O65*(1-$Q$63)*K65</f>
        <v>9255.8010921872756</v>
      </c>
      <c r="R65" s="1054"/>
      <c r="S65" s="875">
        <f>IF(AND(Q65&lt;&gt;0,O65&lt;&gt;0),Q65*(1-D17-D18-D19)/(H15)/O65/30/(($D$25*1000000/$D$8))*1000,0)</f>
        <v>0.2120879808673079</v>
      </c>
      <c r="T65" s="1054" t="s">
        <v>459</v>
      </c>
      <c r="U65" s="876">
        <f>S65*O65*30*$D$11*(1+$D$24)/1000</f>
        <v>29565.050135815665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11.469641619381003</v>
      </c>
      <c r="K67" s="872">
        <f>$M$32*(H65+(G67-F67)*H67)*$B$64*$C$64</f>
        <v>0.95580346828175022</v>
      </c>
      <c r="L67" s="871">
        <f t="shared" ref="L67:M71" si="3">J67*$D$51</f>
        <v>14.337052024226253</v>
      </c>
      <c r="M67" s="872">
        <f t="shared" si="3"/>
        <v>1.1947543353521879</v>
      </c>
      <c r="N67" s="1054"/>
      <c r="O67" s="873">
        <v>15000</v>
      </c>
      <c r="P67" s="1054"/>
      <c r="Q67" s="874">
        <f>O67*$Q$63*M67+O67*(1-$Q$63)*K67</f>
        <v>17025.249278768679</v>
      </c>
      <c r="R67" s="1054"/>
      <c r="S67" s="875">
        <f>IF(AND(Q67&lt;&gt;0,O67&lt;&gt;0),Q67*(1-D17-D18-D19)/O67/30/(H15)/(($D$25*1000000/$D$8))*1000,0)</f>
        <v>0.67482539366870709</v>
      </c>
      <c r="T67" s="1054" t="s">
        <v>459</v>
      </c>
      <c r="U67" s="876">
        <f>S67*O67*30*$D$11*(1+$D$24)/1000</f>
        <v>54382.364474797316</v>
      </c>
      <c r="V67" s="1054" t="s">
        <v>460</v>
      </c>
      <c r="W67" s="876">
        <f>IF(O67&lt;&gt;0,U67/O67,0)</f>
        <v>3.6254909649864877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3.6254909649864877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19.662242776081722</v>
      </c>
      <c r="K68" s="872">
        <f>$M$32*(H65+(G67-F67)*H67+(G68-F68)*H68)*$B$64*$C$64</f>
        <v>1.6385202313401432</v>
      </c>
      <c r="L68" s="871">
        <f t="shared" si="3"/>
        <v>24.577803470102154</v>
      </c>
      <c r="M68" s="872">
        <f t="shared" si="3"/>
        <v>2.0481502891751791</v>
      </c>
      <c r="N68" s="1054"/>
      <c r="O68" s="873">
        <v>500</v>
      </c>
      <c r="P68" s="1054"/>
      <c r="Q68" s="874">
        <f>O68*$Q$63*M68+O68*(1-$Q$63)*K68</f>
        <v>972.87138735821009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32.44270058053484</v>
      </c>
      <c r="K69" s="872">
        <f>$M$32*(H65+(G67-F67)*H67+(G68-F68)*H68+(G69-F69)*H69)*$B$64*$C$64</f>
        <v>2.7035583817112365</v>
      </c>
      <c r="L69" s="871">
        <f t="shared" si="3"/>
        <v>40.553375725668552</v>
      </c>
      <c r="M69" s="872">
        <f t="shared" si="3"/>
        <v>3.3794479771390455</v>
      </c>
      <c r="N69" s="1054"/>
      <c r="O69" s="873">
        <v>1000</v>
      </c>
      <c r="P69" s="1054"/>
      <c r="Q69" s="874">
        <f>O69*$Q$63*M69+O69*(1-$Q$63)*K69</f>
        <v>3210.4755782820935</v>
      </c>
      <c r="R69" s="1054"/>
      <c r="S69" s="875">
        <f>IF(AND(Q69&lt;&gt;0,O69&lt;&gt;0),Q69*(1-D17-D18-D19)/O69/30/(H15)/(($D$25*1000000/$D$8))*1000,0)</f>
        <v>1.9087918278057712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66.851625438677843</v>
      </c>
      <c r="K70" s="872">
        <f>$M$32*(H65+(G67-F67)*H67+(G68-F68)*H68+(G69-F69)*H69+(G70-F70)*H70)*$B$64*$C$64</f>
        <v>5.5709687865564863</v>
      </c>
      <c r="L70" s="871">
        <f t="shared" si="3"/>
        <v>83.564531798347303</v>
      </c>
      <c r="M70" s="872">
        <f t="shared" si="3"/>
        <v>6.9637109831956074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140.58503584898429</v>
      </c>
      <c r="K71" s="872">
        <f>$M$32*(H65+(G67-F67)*H67+(G68-F68)*H68+(G69-F69)*H69+(G70-F70)*H70+(G71-F71)*H71)*$B$64*$C$64</f>
        <v>11.715419654082025</v>
      </c>
      <c r="L71" s="871">
        <f t="shared" si="3"/>
        <v>175.73129481123036</v>
      </c>
      <c r="M71" s="872">
        <f t="shared" si="3"/>
        <v>14.644274567602531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2.8368649597784561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4"/>
      <c r="O75" s="802">
        <f>O78+O80+O81+O82+O83+O84</f>
        <v>1741</v>
      </c>
      <c r="P75" s="1054"/>
      <c r="Q75" s="849">
        <f>Q78+Q80+Q81+Q82+Q83+Q84</f>
        <v>4938.9818949742921</v>
      </c>
      <c r="R75" s="1054"/>
      <c r="S75" s="1310">
        <f>IF(AND(Q75&lt;&gt;0,O75&lt;&gt;0),Q75*(1-D17-D18-D19)/(($D$25*1000000/$D$8)),0)</f>
        <v>44.047157729130824</v>
      </c>
      <c r="T75" s="1335" t="s">
        <v>448</v>
      </c>
      <c r="U75" s="1310">
        <f>U78+U80+U81+U82+U83+U84</f>
        <v>7888.0934178704319</v>
      </c>
      <c r="V75" s="1054" t="s">
        <v>449</v>
      </c>
      <c r="W75" s="1310">
        <f>W78*O78+W80*O80+W81*O81+W82*O82+W83*O83+W84*O84</f>
        <v>7888.0934178704319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4"/>
      <c r="O76" s="891" t="s">
        <v>455</v>
      </c>
      <c r="P76" s="1054"/>
      <c r="Q76" s="856">
        <v>0.75</v>
      </c>
      <c r="R76" s="1054"/>
      <c r="S76" s="1334"/>
      <c r="T76" s="1336"/>
      <c r="U76" s="1334"/>
      <c r="V76" s="1054"/>
      <c r="W76" s="1311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6.9396150974406074</v>
      </c>
      <c r="K78" s="872">
        <f>$M$32*H78*$B$77*$C$77</f>
        <v>0.57830125812005062</v>
      </c>
      <c r="L78" s="871">
        <f>J78*$D$77</f>
        <v>8.6745188718007586</v>
      </c>
      <c r="M78" s="872">
        <f>K78*$D$77</f>
        <v>0.72287657265006322</v>
      </c>
      <c r="N78" s="1054"/>
      <c r="O78" s="873">
        <v>264</v>
      </c>
      <c r="P78" s="1054"/>
      <c r="Q78" s="874">
        <f>O78*$Q$76*M78+O78*(1-$Q$76)*K78</f>
        <v>181.29744442063588</v>
      </c>
      <c r="R78" s="1054"/>
      <c r="S78" s="875">
        <f>IF(AND(Q78&lt;&gt;0,O78&lt;&gt;0),Q78*(1-D17-D18-D19)/O78/30/(($D$25*1000000/$D$8))*1000,0)</f>
        <v>0.20414885858885248</v>
      </c>
      <c r="T78" s="1054" t="s">
        <v>459</v>
      </c>
      <c r="U78" s="876">
        <f>S78*O78*30*$D$11*(1+$D$24)/1000</f>
        <v>289.55181622883674</v>
      </c>
      <c r="V78" s="1054" t="s">
        <v>460</v>
      </c>
      <c r="W78" s="876">
        <f>IF(O78&lt;&gt;0,U78/O78,0)</f>
        <v>1.0967871826849878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25.445255357282228</v>
      </c>
      <c r="K80" s="872">
        <f>$M$32*(H78+(G80-F80)*H80)*$B$77*$C$77</f>
        <v>2.1204379464401857</v>
      </c>
      <c r="L80" s="871">
        <f t="shared" ref="L80:M84" si="4">J80*$D$77</f>
        <v>31.806569196602787</v>
      </c>
      <c r="M80" s="872">
        <f t="shared" si="4"/>
        <v>2.6505474330502321</v>
      </c>
      <c r="N80" s="1054"/>
      <c r="O80" s="873">
        <v>994</v>
      </c>
      <c r="P80" s="1054"/>
      <c r="Q80" s="874">
        <f>O80*$Q$76*M80+O80*(1-$Q$76)*K80</f>
        <v>2502.9119410293342</v>
      </c>
      <c r="R80" s="1054"/>
      <c r="S80" s="875">
        <f>IF(AND(Q80&lt;&gt;0,O80&lt;&gt;0),Q80*(1-D17-D18-D19)/O80/30/(($D$25*1000000/$D$8))*1000,0)</f>
        <v>0.74854581482579252</v>
      </c>
      <c r="T80" s="1054" t="s">
        <v>459</v>
      </c>
      <c r="U80" s="876">
        <f>S80*O80*30*$D$11*(1+$D$24)/1000</f>
        <v>3997.4236851592182</v>
      </c>
      <c r="V80" s="1054" t="s">
        <v>460</v>
      </c>
      <c r="W80" s="876">
        <f>IF(O80&lt;&gt;0,U80/O80,0)</f>
        <v>4.0215530031782878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38.553417208003374</v>
      </c>
      <c r="K81" s="872">
        <f>$M$32*(H78+(G80-F80)*H80+(G81-F81)*H81)*$B$77*$C$77</f>
        <v>3.212784767333615</v>
      </c>
      <c r="L81" s="871">
        <f t="shared" si="4"/>
        <v>48.191771510004216</v>
      </c>
      <c r="M81" s="872">
        <f t="shared" si="4"/>
        <v>4.0159809591670186</v>
      </c>
      <c r="N81" s="1054"/>
      <c r="O81" s="873">
        <v>183</v>
      </c>
      <c r="P81" s="1054"/>
      <c r="Q81" s="874">
        <f>O81*$Q$76*M81+O81*(1-$Q$76)*K81</f>
        <v>698.17828975118618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52.432647402884598</v>
      </c>
      <c r="K82" s="872">
        <f>$M$32*(H78+(G80-F80)*H80+(G81-F81)*H81+(G82-F82)*H82)*$B$77*$C$77</f>
        <v>4.3693872835737153</v>
      </c>
      <c r="L82" s="871">
        <f t="shared" si="4"/>
        <v>65.540809253605744</v>
      </c>
      <c r="M82" s="872">
        <f t="shared" si="4"/>
        <v>5.4617341044671441</v>
      </c>
      <c r="N82" s="1054"/>
      <c r="O82" s="873">
        <v>300</v>
      </c>
      <c r="P82" s="1054"/>
      <c r="Q82" s="874">
        <f>O82*$Q$76*M82+O82*(1-$Q$76)*K82</f>
        <v>1556.594219773136</v>
      </c>
      <c r="R82" s="1054"/>
      <c r="S82" s="875">
        <f>IF(AND(Q82&lt;&gt;0,O82&lt;&gt;0),Q82*(1-D17-D18-D19)/O82/30/(($D$25*1000000/$D$8))*1000,0)</f>
        <v>1.5424580426713299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74.408095211446522</v>
      </c>
      <c r="K83" s="872">
        <f>$M$32*(H78+(G80-F80)*H80+(G81-F81)*H81+(G82-F82)*H82+(G83-F83)*H83)*$B$77*$C$77</f>
        <v>6.2006746009538762</v>
      </c>
      <c r="L83" s="871">
        <f t="shared" si="4"/>
        <v>93.010119014308145</v>
      </c>
      <c r="M83" s="872">
        <f t="shared" si="4"/>
        <v>7.7508432511923449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143.80424618585258</v>
      </c>
      <c r="K84" s="872">
        <f>$M$32*(H78+(G80-F80)*H80+(G81-F81)*H81+(G82-F82)*H82+(G83-F83)*H83+(G84-F84)*H84)*$B$77*$C$77</f>
        <v>11.983687182154382</v>
      </c>
      <c r="L84" s="871">
        <f t="shared" si="4"/>
        <v>179.75530773231571</v>
      </c>
      <c r="M84" s="872">
        <f t="shared" si="4"/>
        <v>14.979608977692978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6.1615187866019969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4"/>
      <c r="O88" s="877">
        <f>O91+O93+O94+O95+O96</f>
        <v>20</v>
      </c>
      <c r="P88" s="1054"/>
      <c r="Q88" s="849">
        <f>Q91+Q93+Q94+Q95+Q96</f>
        <v>123.23037573203995</v>
      </c>
      <c r="R88" s="1054"/>
      <c r="S88" s="1310">
        <f>IF(AND(Q88&lt;&gt;0,O88&lt;&gt;0),Q88*(1-D17-D18-D19)/(($D$25*1000000/$D$8)),0)</f>
        <v>1.0990013554033227</v>
      </c>
      <c r="T88" s="1335" t="s">
        <v>448</v>
      </c>
      <c r="U88" s="1310">
        <f>U91+U93+U94+U95+U96+Z97</f>
        <v>196.81236667069498</v>
      </c>
      <c r="V88" s="1054" t="s">
        <v>449</v>
      </c>
      <c r="W88" s="131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4"/>
      <c r="O89" s="891" t="s">
        <v>455</v>
      </c>
      <c r="P89" s="1054"/>
      <c r="Q89" s="856">
        <v>0.75</v>
      </c>
      <c r="R89" s="1054"/>
      <c r="S89" s="1334"/>
      <c r="T89" s="1336"/>
      <c r="U89" s="1334"/>
      <c r="V89" s="1054"/>
      <c r="W89" s="1311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5.3974784091204722</v>
      </c>
      <c r="K91" s="872">
        <f>$M$32*H91*$B$90*$C$90</f>
        <v>0.44978986742670601</v>
      </c>
      <c r="L91" s="871">
        <f>J91*$D$90</f>
        <v>6.7468480114005907</v>
      </c>
      <c r="M91" s="872">
        <f>K91*$D$90</f>
        <v>0.56223733428338252</v>
      </c>
      <c r="N91" s="1054"/>
      <c r="O91" s="873">
        <v>1</v>
      </c>
      <c r="P91" s="1054"/>
      <c r="Q91" s="874">
        <f>O91*$Q$76*M91+O91*(1-$Q$76)*K91</f>
        <v>0.53412546756921342</v>
      </c>
      <c r="R91" s="1054"/>
      <c r="S91" s="875">
        <f>IF(AND(Q91&lt;&gt;0,O91&lt;&gt;0),Q91*(1-D17-D18-D19)/O91/30/(($D$25*1000000/$D$8))*1000,0)</f>
        <v>0.15878244556910751</v>
      </c>
      <c r="T91" s="1054" t="s">
        <v>459</v>
      </c>
      <c r="U91" s="876">
        <f>S91*O91*30*$D$11*(1+$D$24)/1000</f>
        <v>0.85305669764387937</v>
      </c>
      <c r="V91" s="1054" t="s">
        <v>460</v>
      </c>
      <c r="W91" s="876">
        <f>IF(O91&lt;&gt;0,U91/O91,0)</f>
        <v>0.85305669764387937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16.963503571521485</v>
      </c>
      <c r="K93" s="872">
        <f>$M$32*(H91+(G93-F93)*H93)*$B$90*$C$90</f>
        <v>1.4136252976267905</v>
      </c>
      <c r="L93" s="871">
        <f t="shared" ref="L93:M96" si="5">J93*$D$90</f>
        <v>21.204379464401857</v>
      </c>
      <c r="M93" s="872">
        <f t="shared" si="5"/>
        <v>1.7670316220334881</v>
      </c>
      <c r="N93" s="1054"/>
      <c r="O93" s="873">
        <v>2</v>
      </c>
      <c r="P93" s="1054"/>
      <c r="Q93" s="874">
        <f>O93*$Q$76*M93+O93*(1-$Q$76)*K93</f>
        <v>3.3573600818636273</v>
      </c>
      <c r="R93" s="1054"/>
      <c r="S93" s="875">
        <f>IF(AND(Q93&lt;&gt;0,O93&lt;&gt;0),Q93*(1-D17-D18-D19)/O93/30/(($D$25*1000000/$D$8))*1000,0)</f>
        <v>0.49903054321719498</v>
      </c>
      <c r="T93" s="1054" t="s">
        <v>459</v>
      </c>
      <c r="U93" s="876">
        <f>S93*O93*30*$D$11*(1+$D$24)/1000</f>
        <v>5.3620706709043837</v>
      </c>
      <c r="V93" s="1054" t="s">
        <v>460</v>
      </c>
      <c r="W93" s="876">
        <f>IF(O93&lt;&gt;0,U93/O93,0)</f>
        <v>2.6810353354521919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70.938287662726211</v>
      </c>
      <c r="K94" s="872">
        <f>$M$32*(H91+(G93-F93)*H93+(G94-F94)*H94)*$B$90*$C$90</f>
        <v>5.9115239718938506</v>
      </c>
      <c r="L94" s="871">
        <f t="shared" si="5"/>
        <v>88.672859578407767</v>
      </c>
      <c r="M94" s="872">
        <f t="shared" si="5"/>
        <v>7.389404964867313</v>
      </c>
      <c r="N94" s="1054"/>
      <c r="O94" s="873">
        <v>17</v>
      </c>
      <c r="P94" s="1054"/>
      <c r="Q94" s="874">
        <f>O94*$Q$76*M94+O94*(1-$Q$76)*K94</f>
        <v>119.3388901826071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410.20835909315588</v>
      </c>
      <c r="K95" s="872">
        <f>$M$32*(H91+(G93-F93)*H93+(G94-F94)*H94+(G95-F95)*H95)*$B$90*$C$90</f>
        <v>34.184029924429666</v>
      </c>
      <c r="L95" s="871">
        <f t="shared" si="5"/>
        <v>512.7604488664449</v>
      </c>
      <c r="M95" s="872">
        <f t="shared" si="5"/>
        <v>42.730037405537082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872.8493655891964</v>
      </c>
      <c r="K96" s="872">
        <f>$M$32*(H91+(G93-F93)*H93+(G94-F94)*H94+(G95-F95)*H95+(G96-F96)*H96)*$B$90*$C$90</f>
        <v>72.737447132433033</v>
      </c>
      <c r="L96" s="871">
        <f t="shared" si="5"/>
        <v>1091.0617069864954</v>
      </c>
      <c r="M96" s="872">
        <f t="shared" si="5"/>
        <v>90.921808915541291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423" priority="17">
      <formula>OR(O36&lt;O35*99.75%,O36&gt;O35*100.25%)</formula>
    </cfRule>
  </conditionalFormatting>
  <conditionalFormatting sqref="O36">
    <cfRule type="expression" dxfId="422" priority="18">
      <formula>OR(O36&lt;O35*100.25%,O36&gt;O35*99.75%)</formula>
    </cfRule>
  </conditionalFormatting>
  <conditionalFormatting sqref="Y39">
    <cfRule type="expression" dxfId="421" priority="19">
      <formula>Y39="NOK"</formula>
    </cfRule>
  </conditionalFormatting>
  <conditionalFormatting sqref="Y39">
    <cfRule type="expression" dxfId="420" priority="20">
      <formula>Y39="OK"</formula>
    </cfRule>
  </conditionalFormatting>
  <conditionalFormatting sqref="Y41:Y45">
    <cfRule type="expression" dxfId="419" priority="21">
      <formula>Y41="NOK"</formula>
    </cfRule>
  </conditionalFormatting>
  <conditionalFormatting sqref="Y41:Y45">
    <cfRule type="expression" dxfId="418" priority="22">
      <formula>Y41="OK"</formula>
    </cfRule>
  </conditionalFormatting>
  <conditionalFormatting sqref="Y52">
    <cfRule type="expression" dxfId="417" priority="23">
      <formula>Y52="NOK"</formula>
    </cfRule>
  </conditionalFormatting>
  <conditionalFormatting sqref="Y52">
    <cfRule type="expression" dxfId="416" priority="24">
      <formula>Y52="OK"</formula>
    </cfRule>
  </conditionalFormatting>
  <conditionalFormatting sqref="Y54:Y58">
    <cfRule type="expression" dxfId="415" priority="25">
      <formula>Y54="NOK"</formula>
    </cfRule>
  </conditionalFormatting>
  <conditionalFormatting sqref="Y54:Y58">
    <cfRule type="expression" dxfId="414" priority="26">
      <formula>Y54="OK"</formula>
    </cfRule>
  </conditionalFormatting>
  <conditionalFormatting sqref="Y65">
    <cfRule type="expression" dxfId="413" priority="27">
      <formula>Y65="NOK"</formula>
    </cfRule>
  </conditionalFormatting>
  <conditionalFormatting sqref="Y65">
    <cfRule type="expression" dxfId="412" priority="28">
      <formula>Y65="OK"</formula>
    </cfRule>
  </conditionalFormatting>
  <conditionalFormatting sqref="Y67:Y71">
    <cfRule type="expression" dxfId="411" priority="29">
      <formula>Y67="NOK"</formula>
    </cfRule>
  </conditionalFormatting>
  <conditionalFormatting sqref="Y67:Y71">
    <cfRule type="expression" dxfId="410" priority="30">
      <formula>Y67="OK"</formula>
    </cfRule>
  </conditionalFormatting>
  <conditionalFormatting sqref="Y78">
    <cfRule type="expression" dxfId="409" priority="31">
      <formula>Y78="NOK"</formula>
    </cfRule>
  </conditionalFormatting>
  <conditionalFormatting sqref="Y78">
    <cfRule type="expression" dxfId="408" priority="32">
      <formula>Y78="OK"</formula>
    </cfRule>
  </conditionalFormatting>
  <conditionalFormatting sqref="Y80:Y84">
    <cfRule type="expression" dxfId="407" priority="33">
      <formula>Y80="NOK"</formula>
    </cfRule>
  </conditionalFormatting>
  <conditionalFormatting sqref="Y80:Y84">
    <cfRule type="expression" dxfId="406" priority="34">
      <formula>Y80="OK"</formula>
    </cfRule>
  </conditionalFormatting>
  <conditionalFormatting sqref="Y91">
    <cfRule type="expression" dxfId="405" priority="35">
      <formula>Y91="NOK"</formula>
    </cfRule>
  </conditionalFormatting>
  <conditionalFormatting sqref="Y91">
    <cfRule type="expression" dxfId="404" priority="36">
      <formula>Y91="OK"</formula>
    </cfRule>
  </conditionalFormatting>
  <conditionalFormatting sqref="Y93:Y96">
    <cfRule type="expression" dxfId="403" priority="37">
      <formula>Y93="NOK"</formula>
    </cfRule>
  </conditionalFormatting>
  <conditionalFormatting sqref="Y93:Y96">
    <cfRule type="expression" dxfId="402" priority="38">
      <formula>Y93="OK"</formula>
    </cfRule>
  </conditionalFormatting>
  <conditionalFormatting sqref="Y12">
    <cfRule type="expression" dxfId="401" priority="39">
      <formula>Y12&gt;20%</formula>
    </cfRule>
  </conditionalFormatting>
  <conditionalFormatting sqref="Y12">
    <cfRule type="expression" dxfId="400" priority="40">
      <formula>Y12&lt;=20%</formula>
    </cfRule>
  </conditionalFormatting>
  <conditionalFormatting sqref="O5">
    <cfRule type="expression" dxfId="399" priority="41">
      <formula>ABS(O8)&gt;=O7</formula>
    </cfRule>
    <cfRule type="expression" dxfId="398" priority="42">
      <formula>ABS(O8)&lt;O7</formula>
    </cfRule>
  </conditionalFormatting>
  <conditionalFormatting sqref="Q5">
    <cfRule type="expression" dxfId="397" priority="15">
      <formula>ABS(Q8)&gt;=Q7</formula>
    </cfRule>
    <cfRule type="expression" dxfId="396" priority="16">
      <formula>ABS(Q8)&lt;Q7</formula>
    </cfRule>
  </conditionalFormatting>
  <conditionalFormatting sqref="S5">
    <cfRule type="expression" dxfId="395" priority="13">
      <formula>ABS(S8)&gt;=S7</formula>
    </cfRule>
    <cfRule type="expression" dxfId="394" priority="14">
      <formula>ABS(S8)&lt;S7</formula>
    </cfRule>
  </conditionalFormatting>
  <conditionalFormatting sqref="U5">
    <cfRule type="expression" dxfId="393" priority="11">
      <formula>ABS(U8)&gt;=U7</formula>
    </cfRule>
    <cfRule type="expression" dxfId="392" priority="12">
      <formula>ABS(U8)&lt;U7</formula>
    </cfRule>
  </conditionalFormatting>
  <conditionalFormatting sqref="W5">
    <cfRule type="expression" dxfId="391" priority="9">
      <formula>ABS(W8)&gt;=W7</formula>
    </cfRule>
    <cfRule type="expression" dxfId="390" priority="10">
      <formula>ABS(W8)&lt;W7</formula>
    </cfRule>
  </conditionalFormatting>
  <conditionalFormatting sqref="Y5">
    <cfRule type="expression" dxfId="389" priority="7">
      <formula>ABS(Y12)&gt;=Y10</formula>
    </cfRule>
    <cfRule type="expression" dxfId="388" priority="8">
      <formula>ABS(Y12)&lt;Y10</formula>
    </cfRule>
  </conditionalFormatting>
  <conditionalFormatting sqref="O49 O62 O75 O88">
    <cfRule type="expression" dxfId="387" priority="1">
      <formula>OR(O49&lt;O48*99.75%,O49&gt;O48*100.25%)</formula>
    </cfRule>
  </conditionalFormatting>
  <conditionalFormatting sqref="O49 O62 O75 O88">
    <cfRule type="expression" dxfId="38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topLeftCell="A7" zoomScale="70" zoomScaleNormal="70" workbookViewId="0">
      <selection activeCell="J22" sqref="J2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thickTop="1" thickBot="1" x14ac:dyDescent="0.35">
      <c r="B2" s="1350" t="s">
        <v>157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3">
      <c r="B7" s="564" t="s">
        <v>122</v>
      </c>
      <c r="C7" s="577"/>
      <c r="D7" s="571"/>
    </row>
    <row r="8" spans="2:12" ht="15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3">
      <c r="B9" s="566" t="s">
        <v>125</v>
      </c>
      <c r="C9" s="578"/>
      <c r="D9" s="514"/>
    </row>
    <row r="10" spans="2:12" ht="15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3">
      <c r="B11" s="566" t="s">
        <v>126</v>
      </c>
      <c r="C11" s="579"/>
      <c r="D11" s="514"/>
    </row>
    <row r="12" spans="2:12" ht="15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3">
      <c r="B15" s="567" t="s">
        <v>132</v>
      </c>
      <c r="C15" s="581">
        <f>C14*90%</f>
        <v>0.54204862495017958</v>
      </c>
      <c r="D15" s="500" t="s">
        <v>133</v>
      </c>
    </row>
    <row r="16" spans="2:12" ht="15" customHeight="1" outlineLevel="1" x14ac:dyDescent="0.3">
      <c r="B16" s="565" t="s">
        <v>303</v>
      </c>
      <c r="C16" s="580">
        <f>'Demanda Preço &amp; Quantidade'!C48</f>
        <v>5.21</v>
      </c>
      <c r="D16" s="514" t="s">
        <v>131</v>
      </c>
    </row>
    <row r="17" spans="2:10" ht="15" customHeight="1" outlineLevel="1" thickBot="1" x14ac:dyDescent="0.35">
      <c r="B17" s="568" t="s">
        <v>303</v>
      </c>
      <c r="C17" s="582">
        <f>'Demanda Preço &amp; Quantidade'!E46</f>
        <v>4.6890000000000001</v>
      </c>
      <c r="D17" s="266" t="s">
        <v>133</v>
      </c>
    </row>
    <row r="18" spans="2:10" ht="4.95" customHeight="1" thickBot="1" x14ac:dyDescent="0.35">
      <c r="D18" s="1"/>
    </row>
    <row r="19" spans="2:10" ht="19.95" customHeight="1" thickTop="1" thickBot="1" x14ac:dyDescent="0.35">
      <c r="B19" s="1350" t="s">
        <v>138</v>
      </c>
      <c r="C19" s="1351"/>
      <c r="D19" s="1352"/>
    </row>
    <row r="20" spans="2:10" ht="15" customHeight="1" outlineLevel="1" x14ac:dyDescent="0.3">
      <c r="B20" s="569" t="s">
        <v>139</v>
      </c>
      <c r="C20" s="583">
        <f>'Demanda Preço &amp; Quantidade'!I70</f>
        <v>25</v>
      </c>
      <c r="D20" s="572" t="s">
        <v>140</v>
      </c>
    </row>
    <row r="21" spans="2:10" ht="15" customHeight="1" outlineLevel="1" x14ac:dyDescent="0.3">
      <c r="B21" s="565" t="s">
        <v>142</v>
      </c>
      <c r="C21" s="584">
        <f>'Demanda Preço &amp; Quantidade'!I71</f>
        <v>2000</v>
      </c>
      <c r="D21" s="514" t="s">
        <v>143</v>
      </c>
    </row>
    <row r="22" spans="2:10" ht="15" customHeight="1" outlineLevel="1" x14ac:dyDescent="0.3">
      <c r="B22" s="565" t="s">
        <v>145</v>
      </c>
      <c r="C22" s="585">
        <f>'Demanda Preço &amp; Quantidade'!C72*1000/12</f>
        <v>12500</v>
      </c>
      <c r="D22" s="514" t="s">
        <v>146</v>
      </c>
    </row>
    <row r="23" spans="2:10" ht="15" customHeight="1" outlineLevel="1" x14ac:dyDescent="0.3">
      <c r="B23" s="565" t="s">
        <v>147</v>
      </c>
      <c r="C23" s="557">
        <f>'Demanda Preço &amp; Quantidade'!P73</f>
        <v>350</v>
      </c>
      <c r="D23" s="514" t="s">
        <v>148</v>
      </c>
    </row>
    <row r="24" spans="2:10" ht="15" customHeight="1" outlineLevel="1" x14ac:dyDescent="0.3">
      <c r="B24" s="565" t="s">
        <v>150</v>
      </c>
      <c r="C24" s="586">
        <f>'Demanda Preço &amp; Quantidade'!P74</f>
        <v>0.2</v>
      </c>
      <c r="D24" s="514" t="s">
        <v>1</v>
      </c>
    </row>
    <row r="25" spans="2:10" ht="15" customHeight="1" outlineLevel="1" x14ac:dyDescent="0.3">
      <c r="B25" s="740" t="s">
        <v>365</v>
      </c>
      <c r="C25" s="735">
        <f>'Demanda Preço &amp; Quantidade'!P75</f>
        <v>3.5000000000000003E-2</v>
      </c>
      <c r="D25" s="514" t="s">
        <v>1</v>
      </c>
    </row>
    <row r="26" spans="2:10" ht="15" customHeight="1" outlineLevel="1" x14ac:dyDescent="0.3">
      <c r="B26" s="741" t="s">
        <v>366</v>
      </c>
      <c r="C26" s="735">
        <f>'Demanda Preço &amp; Quantidade'!P76</f>
        <v>0.35</v>
      </c>
      <c r="D26" s="514" t="s">
        <v>1</v>
      </c>
      <c r="G26" s="5"/>
      <c r="H26" s="5"/>
      <c r="I26" s="5"/>
      <c r="J26" s="5"/>
    </row>
    <row r="27" spans="2:10" ht="15" customHeight="1" outlineLevel="1" x14ac:dyDescent="0.3">
      <c r="B27" s="565" t="s">
        <v>288</v>
      </c>
      <c r="C27" s="586">
        <f>'Demanda Preço &amp; Quantidade'!P71</f>
        <v>0.1</v>
      </c>
      <c r="D27" s="514" t="s">
        <v>1</v>
      </c>
      <c r="G27" s="5"/>
      <c r="H27" s="5"/>
      <c r="I27" s="5"/>
      <c r="J27" s="5"/>
    </row>
    <row r="28" spans="2:10" ht="15" customHeight="1" outlineLevel="1" x14ac:dyDescent="0.3">
      <c r="B28" s="565" t="s">
        <v>151</v>
      </c>
      <c r="C28" s="586">
        <f>'Demanda Preço &amp; Quantidade'!P72</f>
        <v>0.1</v>
      </c>
      <c r="D28" s="514" t="s">
        <v>1</v>
      </c>
      <c r="G28" s="5"/>
      <c r="H28" s="5"/>
      <c r="I28" s="5"/>
      <c r="J28" s="5"/>
    </row>
    <row r="29" spans="2:10" ht="15" customHeight="1" outlineLevel="1" x14ac:dyDescent="0.3">
      <c r="B29" s="569" t="s">
        <v>274</v>
      </c>
      <c r="C29" s="587">
        <f>100/'Demanda Preço &amp; Quantidade'!P70</f>
        <v>4</v>
      </c>
      <c r="D29" s="572" t="s">
        <v>275</v>
      </c>
      <c r="G29" s="5"/>
      <c r="H29" s="5"/>
      <c r="I29" s="5"/>
      <c r="J29" s="5"/>
    </row>
    <row r="30" spans="2:10" ht="4.95" customHeight="1" thickBot="1" x14ac:dyDescent="0.35">
      <c r="D30" s="1"/>
      <c r="G30" s="5"/>
      <c r="H30" s="5"/>
      <c r="I30" s="5"/>
      <c r="J30" s="5"/>
    </row>
    <row r="31" spans="2:10" ht="19.95" customHeight="1" thickTop="1" thickBot="1" x14ac:dyDescent="0.35">
      <c r="B31" s="588" t="s">
        <v>149</v>
      </c>
      <c r="C31" s="357"/>
      <c r="D31" s="524"/>
      <c r="G31" s="5"/>
      <c r="H31" s="5"/>
      <c r="I31" s="5"/>
      <c r="J31" s="5"/>
    </row>
    <row r="32" spans="2:10" ht="15" customHeight="1" outlineLevel="1" x14ac:dyDescent="0.3">
      <c r="B32" s="559" t="s">
        <v>306</v>
      </c>
      <c r="C32" s="738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customHeight="1" outlineLevel="1" x14ac:dyDescent="0.3">
      <c r="B33" s="560" t="s">
        <v>304</v>
      </c>
      <c r="C33" s="594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customHeight="1" outlineLevel="1" x14ac:dyDescent="0.3">
      <c r="B34" s="561" t="s">
        <v>305</v>
      </c>
      <c r="C34" s="596">
        <f>C33-C32</f>
        <v>-22.343104656569679</v>
      </c>
      <c r="D34" s="562" t="s">
        <v>6</v>
      </c>
      <c r="G34" s="739"/>
      <c r="H34" s="739"/>
      <c r="I34" s="739"/>
      <c r="J34" s="739"/>
    </row>
    <row r="35" spans="2:10" outlineLevel="1" x14ac:dyDescent="0.3">
      <c r="B35" s="560" t="s">
        <v>141</v>
      </c>
      <c r="C35" s="595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outlineLevel="1" x14ac:dyDescent="0.3">
      <c r="B36" s="667" t="s">
        <v>346</v>
      </c>
      <c r="C36" s="595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outlineLevel="1" x14ac:dyDescent="0.3">
      <c r="B37" s="667" t="s">
        <v>342</v>
      </c>
      <c r="C37" s="574">
        <v>500000</v>
      </c>
      <c r="D37" s="262" t="s">
        <v>343</v>
      </c>
      <c r="G37" s="5"/>
      <c r="H37" s="5"/>
      <c r="I37" s="5"/>
      <c r="J37" s="5"/>
    </row>
    <row r="38" spans="2:10" x14ac:dyDescent="0.3">
      <c r="B38" s="561" t="s">
        <v>144</v>
      </c>
      <c r="C38" s="596">
        <f>(C6/C35)*C20*C23*1000*C24/1000000+C37*C36/1000000</f>
        <v>18.625</v>
      </c>
      <c r="D38" s="562" t="s">
        <v>6</v>
      </c>
      <c r="G38" s="5"/>
      <c r="H38" s="5"/>
      <c r="I38" s="5"/>
      <c r="J38" s="5"/>
    </row>
    <row r="39" spans="2:10" x14ac:dyDescent="0.3">
      <c r="B39" s="561" t="s">
        <v>51</v>
      </c>
      <c r="C39" s="597">
        <f>C38/(-C34/C6)</f>
        <v>29.175667841144236</v>
      </c>
      <c r="D39" s="562" t="s">
        <v>121</v>
      </c>
      <c r="G39" s="5"/>
      <c r="H39" s="5"/>
      <c r="I39" s="5"/>
      <c r="J39" s="5"/>
    </row>
    <row r="40" spans="2:10" s="2" customFormat="1" x14ac:dyDescent="0.3">
      <c r="B40" s="1345" t="s">
        <v>290</v>
      </c>
      <c r="C40" s="558">
        <f>C41/C6</f>
        <v>-0.10623156161627655</v>
      </c>
      <c r="D40" s="449" t="s">
        <v>289</v>
      </c>
      <c r="G40" s="739"/>
      <c r="H40" s="739"/>
      <c r="I40" s="739"/>
      <c r="J40" s="739"/>
    </row>
    <row r="41" spans="2:10" s="2" customFormat="1" x14ac:dyDescent="0.3">
      <c r="B41" s="1346"/>
      <c r="C41" s="558">
        <f>(C38+C34)</f>
        <v>-3.7181046565696789</v>
      </c>
      <c r="D41" s="449" t="s">
        <v>353</v>
      </c>
      <c r="G41" s="739"/>
      <c r="H41" s="739"/>
      <c r="I41" s="739"/>
      <c r="J41" s="739"/>
    </row>
    <row r="42" spans="2:10" s="2" customFormat="1" ht="15" thickBot="1" x14ac:dyDescent="0.35">
      <c r="B42" s="1347"/>
      <c r="C42" s="598">
        <f>C40*1000000/C4</f>
        <v>-3.089179578058761</v>
      </c>
      <c r="D42" s="593" t="s">
        <v>8</v>
      </c>
      <c r="E42" s="393"/>
    </row>
    <row r="43" spans="2:10" ht="4.95" customHeight="1" thickTop="1" x14ac:dyDescent="0.3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collapsed="1" thickTop="1" thickBot="1" x14ac:dyDescent="0.35">
      <c r="B2" s="1350" t="s">
        <v>157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hidden="1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hidden="1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hidden="1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hidden="1" customHeight="1" outlineLevel="1" thickTop="1" x14ac:dyDescent="0.3">
      <c r="B7" s="564" t="s">
        <v>122</v>
      </c>
      <c r="C7" s="577"/>
      <c r="D7" s="571"/>
    </row>
    <row r="8" spans="2:12" ht="15" hidden="1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hidden="1" customHeight="1" outlineLevel="1" x14ac:dyDescent="0.3">
      <c r="B9" s="566" t="s">
        <v>125</v>
      </c>
      <c r="C9" s="578"/>
      <c r="D9" s="514"/>
    </row>
    <row r="10" spans="2:12" ht="15" hidden="1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hidden="1" customHeight="1" outlineLevel="1" x14ac:dyDescent="0.3">
      <c r="B11" s="566" t="s">
        <v>126</v>
      </c>
      <c r="C11" s="579"/>
      <c r="D11" s="514"/>
    </row>
    <row r="12" spans="2:12" ht="15" hidden="1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hidden="1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hidden="1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hidden="1" customHeight="1" outlineLevel="1" x14ac:dyDescent="0.3">
      <c r="B15" s="567" t="s">
        <v>132</v>
      </c>
      <c r="C15" s="581">
        <f>C14*90%</f>
        <v>0.54204862495017958</v>
      </c>
      <c r="D15" s="500" t="s">
        <v>133</v>
      </c>
    </row>
    <row r="16" spans="2:12" ht="15" hidden="1" customHeight="1" outlineLevel="1" x14ac:dyDescent="0.3">
      <c r="B16" s="565" t="s">
        <v>308</v>
      </c>
      <c r="C16" s="580">
        <f>'Demanda Preço &amp; Quantidade'!C56</f>
        <v>5.21</v>
      </c>
      <c r="D16" s="514" t="s">
        <v>131</v>
      </c>
    </row>
    <row r="17" spans="2:10" ht="15" hidden="1" customHeight="1" outlineLevel="1" thickBot="1" x14ac:dyDescent="0.35">
      <c r="B17" s="568" t="s">
        <v>308</v>
      </c>
      <c r="C17" s="582">
        <f>'Demanda Preço &amp; Quantidade'!E56</f>
        <v>4.6890000000000001</v>
      </c>
      <c r="D17" s="266" t="s">
        <v>133</v>
      </c>
    </row>
    <row r="18" spans="2:10" ht="4.95" customHeight="1" thickBot="1" x14ac:dyDescent="0.35">
      <c r="D18" s="1"/>
    </row>
    <row r="19" spans="2:10" ht="19.95" customHeight="1" collapsed="1" thickTop="1" thickBot="1" x14ac:dyDescent="0.35">
      <c r="B19" s="1350" t="s">
        <v>138</v>
      </c>
      <c r="C19" s="1351"/>
      <c r="D19" s="1352"/>
    </row>
    <row r="20" spans="2:10" ht="15" hidden="1" customHeight="1" outlineLevel="1" x14ac:dyDescent="0.3">
      <c r="B20" s="569" t="s">
        <v>200</v>
      </c>
      <c r="C20" s="583">
        <f>'Demanda Preço &amp; Quantidade'!I86</f>
        <v>50</v>
      </c>
      <c r="D20" s="572" t="s">
        <v>201</v>
      </c>
    </row>
    <row r="21" spans="2:10" ht="15" hidden="1" customHeight="1" outlineLevel="1" x14ac:dyDescent="0.3">
      <c r="B21" s="565" t="s">
        <v>204</v>
      </c>
      <c r="C21" s="584">
        <f>'Demanda Preço &amp; Quantidade'!I87</f>
        <v>2250</v>
      </c>
      <c r="D21" s="514" t="s">
        <v>143</v>
      </c>
    </row>
    <row r="22" spans="2:10" ht="15" hidden="1" customHeight="1" outlineLevel="1" x14ac:dyDescent="0.3">
      <c r="B22" s="565" t="s">
        <v>145</v>
      </c>
      <c r="C22" s="585">
        <f>'Demanda Preço &amp; Quantidade'!C86*1000/12</f>
        <v>83.333333333333329</v>
      </c>
      <c r="D22" s="514" t="s">
        <v>146</v>
      </c>
    </row>
    <row r="23" spans="2:10" ht="15" hidden="1" customHeight="1" outlineLevel="1" x14ac:dyDescent="0.3">
      <c r="B23" s="565" t="s">
        <v>205</v>
      </c>
      <c r="C23" s="557">
        <f>'Demanda Preço &amp; Quantidade'!P89</f>
        <v>50</v>
      </c>
      <c r="D23" s="514" t="s">
        <v>206</v>
      </c>
    </row>
    <row r="24" spans="2:10" ht="15" hidden="1" customHeight="1" outlineLevel="1" x14ac:dyDescent="0.3">
      <c r="B24" s="565" t="s">
        <v>309</v>
      </c>
      <c r="C24" s="586">
        <f>'Demanda Preço &amp; Quantidade'!P90</f>
        <v>0.25</v>
      </c>
      <c r="D24" s="514" t="s">
        <v>1</v>
      </c>
    </row>
    <row r="25" spans="2:10" ht="15" hidden="1" customHeight="1" outlineLevel="1" x14ac:dyDescent="0.3">
      <c r="B25" s="740" t="s">
        <v>365</v>
      </c>
      <c r="C25" s="735">
        <f>'Demanda Preço &amp; Quantidade'!P91</f>
        <v>2.5000000000000001E-2</v>
      </c>
      <c r="D25" s="514" t="s">
        <v>1</v>
      </c>
    </row>
    <row r="26" spans="2:10" ht="15" hidden="1" customHeight="1" outlineLevel="1" x14ac:dyDescent="0.3">
      <c r="B26" s="741" t="s">
        <v>366</v>
      </c>
      <c r="C26" s="735">
        <f>'Demanda Preço &amp; Quantidade'!P92</f>
        <v>0.55000000000000004</v>
      </c>
      <c r="D26" s="514" t="s">
        <v>1</v>
      </c>
      <c r="G26" s="5"/>
      <c r="H26" s="5"/>
      <c r="I26" s="5"/>
      <c r="J26" s="5"/>
    </row>
    <row r="27" spans="2:10" ht="15" hidden="1" customHeight="1" outlineLevel="1" x14ac:dyDescent="0.3">
      <c r="B27" s="565" t="s">
        <v>310</v>
      </c>
      <c r="C27" s="586">
        <f>'Demanda Preço &amp; Quantidade'!P87</f>
        <v>0.1</v>
      </c>
      <c r="D27" s="514" t="s">
        <v>1</v>
      </c>
    </row>
    <row r="28" spans="2:10" ht="15" hidden="1" customHeight="1" outlineLevel="1" x14ac:dyDescent="0.3">
      <c r="B28" s="565" t="s">
        <v>203</v>
      </c>
      <c r="C28" s="586">
        <f>'Demanda Preço &amp; Quantidade'!P88</f>
        <v>0.1</v>
      </c>
      <c r="D28" s="514" t="s">
        <v>1</v>
      </c>
    </row>
    <row r="29" spans="2:10" ht="15" hidden="1" customHeight="1" outlineLevel="1" x14ac:dyDescent="0.3">
      <c r="B29" s="569" t="s">
        <v>274</v>
      </c>
      <c r="C29" s="587">
        <f>100/'Demanda Preço &amp; Quantidade'!P86</f>
        <v>10</v>
      </c>
      <c r="D29" s="572" t="s">
        <v>275</v>
      </c>
    </row>
    <row r="30" spans="2:10" ht="4.95" customHeight="1" thickBot="1" x14ac:dyDescent="0.35">
      <c r="D30" s="1"/>
    </row>
    <row r="31" spans="2:10" ht="19.95" customHeight="1" collapsed="1" thickTop="1" x14ac:dyDescent="0.3">
      <c r="B31" s="588" t="s">
        <v>149</v>
      </c>
      <c r="C31" s="357"/>
      <c r="D31" s="524"/>
    </row>
    <row r="32" spans="2:10" ht="15" hidden="1" customHeight="1" outlineLevel="1" x14ac:dyDescent="0.3">
      <c r="B32" s="559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3">
      <c r="B33" s="560" t="s">
        <v>304</v>
      </c>
      <c r="C33" s="592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3">
      <c r="B34" s="561" t="s">
        <v>305</v>
      </c>
      <c r="C34" s="594">
        <f>C33-C32</f>
        <v>-20.611919190912712</v>
      </c>
      <c r="D34" s="562" t="s">
        <v>6</v>
      </c>
    </row>
    <row r="35" spans="2:5" hidden="1" outlineLevel="1" x14ac:dyDescent="0.3">
      <c r="B35" s="560" t="s">
        <v>141</v>
      </c>
      <c r="C35" s="595">
        <f>'Demanda Preço &amp; Quantidade'!I88</f>
        <v>5</v>
      </c>
      <c r="D35" s="262" t="s">
        <v>121</v>
      </c>
    </row>
    <row r="36" spans="2:5" hidden="1" outlineLevel="1" x14ac:dyDescent="0.3">
      <c r="B36" s="667" t="s">
        <v>346</v>
      </c>
      <c r="C36" s="595">
        <f>'Demanda Preço &amp; Quantidade'!I90</f>
        <v>25</v>
      </c>
      <c r="D36" s="262" t="s">
        <v>351</v>
      </c>
    </row>
    <row r="37" spans="2:5" hidden="1" outlineLevel="1" x14ac:dyDescent="0.3">
      <c r="B37" s="667" t="s">
        <v>342</v>
      </c>
      <c r="C37" s="574">
        <v>500000</v>
      </c>
      <c r="D37" s="262" t="s">
        <v>343</v>
      </c>
    </row>
    <row r="38" spans="2:5" x14ac:dyDescent="0.3">
      <c r="B38" s="561" t="s">
        <v>144</v>
      </c>
      <c r="C38" s="596">
        <f>(C6/C35)*C20*C23*1000*C24/1000000+(C37*C36)/1000000</f>
        <v>16.875</v>
      </c>
      <c r="D38" s="562" t="s">
        <v>6</v>
      </c>
    </row>
    <row r="39" spans="2:5" x14ac:dyDescent="0.3">
      <c r="B39" s="561" t="s">
        <v>51</v>
      </c>
      <c r="C39" s="597">
        <f>C38/(-C34/C6)</f>
        <v>28.654536946777473</v>
      </c>
      <c r="D39" s="562" t="s">
        <v>121</v>
      </c>
    </row>
    <row r="40" spans="2:5" s="2" customFormat="1" x14ac:dyDescent="0.3">
      <c r="B40" s="1345" t="s">
        <v>290</v>
      </c>
      <c r="C40" s="558">
        <f>C41/C6</f>
        <v>-0.1067691197403632</v>
      </c>
      <c r="D40" s="449" t="s">
        <v>289</v>
      </c>
    </row>
    <row r="41" spans="2:5" s="2" customFormat="1" x14ac:dyDescent="0.3">
      <c r="B41" s="1346"/>
      <c r="C41" s="558">
        <f>(C38+C34)</f>
        <v>-3.7369191909127117</v>
      </c>
      <c r="D41" s="449" t="s">
        <v>353</v>
      </c>
    </row>
    <row r="42" spans="2:5" s="2" customFormat="1" ht="15" thickBot="1" x14ac:dyDescent="0.35">
      <c r="B42" s="1347"/>
      <c r="C42" s="598">
        <f>C40*1000000/C4</f>
        <v>-3.1048115950759483</v>
      </c>
      <c r="D42" s="593" t="s">
        <v>8</v>
      </c>
      <c r="E42" s="393"/>
    </row>
    <row r="43" spans="2:5" ht="4.95" customHeight="1" thickTop="1" x14ac:dyDescent="0.3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C19" sqref="C19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2.441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thickTop="1" thickBot="1" x14ac:dyDescent="0.35">
      <c r="B2" s="1350" t="s">
        <v>347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3">
      <c r="B7" s="564" t="s">
        <v>122</v>
      </c>
      <c r="C7" s="577"/>
      <c r="D7" s="571"/>
    </row>
    <row r="8" spans="2:12" ht="15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3">
      <c r="B9" s="566" t="s">
        <v>125</v>
      </c>
      <c r="C9" s="578"/>
      <c r="D9" s="514"/>
    </row>
    <row r="10" spans="2:12" ht="15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3">
      <c r="B11" s="566" t="s">
        <v>126</v>
      </c>
      <c r="C11" s="579"/>
      <c r="D11" s="514"/>
    </row>
    <row r="12" spans="2:12" ht="15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3">
      <c r="B15" s="567" t="s">
        <v>132</v>
      </c>
      <c r="C15" s="581">
        <f>C14*90%*45/100</f>
        <v>0.24392188122758082</v>
      </c>
      <c r="D15" s="500" t="s">
        <v>133</v>
      </c>
    </row>
    <row r="16" spans="2:12" ht="15" customHeight="1" outlineLevel="1" thickBot="1" x14ac:dyDescent="0.35">
      <c r="B16" s="568" t="s">
        <v>352</v>
      </c>
      <c r="C16" s="582">
        <f>'Demanda Preço &amp; Quantidade'!C24</f>
        <v>4</v>
      </c>
      <c r="D16" s="266" t="s">
        <v>133</v>
      </c>
    </row>
    <row r="17" spans="2:5" ht="4.95" customHeight="1" thickBot="1" x14ac:dyDescent="0.35">
      <c r="D17" s="1"/>
    </row>
    <row r="18" spans="2:5" ht="19.95" customHeight="1" thickTop="1" thickBot="1" x14ac:dyDescent="0.35">
      <c r="B18" s="1350" t="s">
        <v>350</v>
      </c>
      <c r="C18" s="1351"/>
      <c r="D18" s="1352"/>
    </row>
    <row r="19" spans="2:5" ht="15" customHeight="1" outlineLevel="1" x14ac:dyDescent="0.3">
      <c r="B19" s="569" t="s">
        <v>348</v>
      </c>
      <c r="C19" s="689">
        <f>'Demanda Preço &amp; Quantidade'!C105</f>
        <v>556490.24869218259</v>
      </c>
      <c r="D19" s="572" t="s">
        <v>349</v>
      </c>
    </row>
    <row r="20" spans="2:5" outlineLevel="1" x14ac:dyDescent="0.3">
      <c r="B20" s="756" t="s">
        <v>346</v>
      </c>
      <c r="C20" s="595">
        <f>'Demanda Preço &amp; Quantidade'!I101</f>
        <v>25</v>
      </c>
      <c r="D20" s="262" t="s">
        <v>351</v>
      </c>
    </row>
    <row r="21" spans="2:5" outlineLevel="1" x14ac:dyDescent="0.3">
      <c r="B21" s="756" t="s">
        <v>342</v>
      </c>
      <c r="C21" s="574">
        <v>500000</v>
      </c>
      <c r="D21" s="262" t="s">
        <v>343</v>
      </c>
    </row>
    <row r="22" spans="2:5" x14ac:dyDescent="0.3">
      <c r="B22" s="561" t="s">
        <v>144</v>
      </c>
      <c r="C22" s="690">
        <f>C20*C21</f>
        <v>12500000</v>
      </c>
      <c r="D22" s="562" t="s">
        <v>6</v>
      </c>
    </row>
    <row r="23" spans="2:5" x14ac:dyDescent="0.3">
      <c r="B23" s="561" t="s">
        <v>51</v>
      </c>
      <c r="C23" s="597">
        <f>C22/(C19*(C16-C15))</f>
        <v>5.9802293242801143</v>
      </c>
      <c r="D23" s="562" t="s">
        <v>121</v>
      </c>
    </row>
    <row r="24" spans="2:5" s="2" customFormat="1" x14ac:dyDescent="0.3">
      <c r="B24" s="1345" t="s">
        <v>290</v>
      </c>
      <c r="C24" s="691">
        <f>C25/C6</f>
        <v>1284769.4449336492</v>
      </c>
      <c r="D24" s="449" t="s">
        <v>289</v>
      </c>
    </row>
    <row r="25" spans="2:5" s="2" customFormat="1" x14ac:dyDescent="0.3">
      <c r="B25" s="1346"/>
      <c r="C25" s="691">
        <f>(C19*(C16*(1-'C-Dados RT1 Simplif.'!$C$93)*(1-'C-Dados RT1 Simplif.'!$C$89)-C15))*C6-C22</f>
        <v>44966930.572677724</v>
      </c>
      <c r="D25" s="449" t="s">
        <v>353</v>
      </c>
    </row>
    <row r="26" spans="2:5" s="2" customFormat="1" ht="15" thickBot="1" x14ac:dyDescent="0.35">
      <c r="B26" s="1347"/>
      <c r="C26" s="598">
        <f>C24/C4</f>
        <v>37.360681434196444</v>
      </c>
      <c r="D26" s="593" t="s">
        <v>8</v>
      </c>
      <c r="E26" s="393"/>
    </row>
    <row r="27" spans="2:5" ht="4.95" customHeight="1" thickTop="1" x14ac:dyDescent="0.3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L27" sqref="L27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3.3320312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61" t="s">
        <v>26</v>
      </c>
      <c r="C3" s="1261"/>
      <c r="D3" s="1261"/>
      <c r="E3" s="1261"/>
      <c r="F3" s="1261"/>
      <c r="G3" s="1261"/>
      <c r="H3" s="1261"/>
      <c r="L3" s="1262" t="s">
        <v>159</v>
      </c>
      <c r="M3" s="1263"/>
      <c r="N3" s="301"/>
      <c r="O3" s="1264" t="s">
        <v>169</v>
      </c>
      <c r="P3" s="1264"/>
      <c r="Q3" s="1264"/>
      <c r="R3" s="1264"/>
      <c r="S3" s="1264"/>
      <c r="T3" s="1264"/>
      <c r="U3" s="1264"/>
      <c r="V3" s="1264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65" t="s">
        <v>106</v>
      </c>
      <c r="C5" s="1265"/>
      <c r="D5" s="86"/>
      <c r="E5" s="86"/>
      <c r="F5" s="356"/>
      <c r="G5" s="86"/>
      <c r="H5" s="356"/>
      <c r="L5" s="1266" t="s">
        <v>171</v>
      </c>
      <c r="M5" s="1267"/>
      <c r="N5"/>
      <c r="O5" s="1270" t="s">
        <v>158</v>
      </c>
      <c r="P5" s="1271"/>
      <c r="Q5" s="1271"/>
      <c r="R5" s="1271"/>
      <c r="S5" s="1271"/>
      <c r="T5" s="1271"/>
      <c r="U5" s="1271"/>
      <c r="V5" s="1272"/>
    </row>
    <row r="6" spans="2:22" s="90" customFormat="1" ht="15" customHeight="1" outlineLevel="1" thickTop="1" thickBot="1" x14ac:dyDescent="0.35">
      <c r="B6" s="1265"/>
      <c r="C6" s="1265"/>
      <c r="D6" s="87"/>
      <c r="E6" s="89"/>
      <c r="F6" s="88" t="s">
        <v>10</v>
      </c>
      <c r="G6" s="89"/>
      <c r="H6" s="88" t="s">
        <v>10</v>
      </c>
      <c r="L6" s="1268"/>
      <c r="M6" s="1269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3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RT´s'!E29+'RESUMO GERAL Valoriz. RT´s'!E30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73" t="s">
        <v>107</v>
      </c>
      <c r="C9" s="84" t="s">
        <v>4</v>
      </c>
      <c r="D9" s="78" t="s">
        <v>33</v>
      </c>
      <c r="E9" s="97"/>
      <c r="F9" s="94">
        <f>'C-Dados RT1 Simplif.'!C108</f>
        <v>1127.7427429811567</v>
      </c>
      <c r="G9" s="313"/>
      <c r="H9" s="427">
        <f>-'Demanda Preço &amp; Quantidade'!C42</f>
        <v>-500</v>
      </c>
      <c r="L9" s="1025" t="s">
        <v>495</v>
      </c>
      <c r="M9" s="294">
        <f>'RESUMO GERAL Valoriz. RT´s'!E31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73"/>
      <c r="C10" s="98" t="s">
        <v>242</v>
      </c>
      <c r="D10" s="78" t="s">
        <v>234</v>
      </c>
      <c r="E10" s="97"/>
      <c r="F10" s="426">
        <v>0</v>
      </c>
      <c r="G10" s="313"/>
      <c r="H10" s="426">
        <v>0</v>
      </c>
      <c r="L10" s="287" t="s">
        <v>493</v>
      </c>
      <c r="M10" s="295">
        <f>SUM(M7:M9)</f>
        <v>733.34849807869944</v>
      </c>
      <c r="N10" s="272"/>
      <c r="O10" s="275">
        <f>M10</f>
        <v>733.34849807869944</v>
      </c>
      <c r="P10" s="276"/>
      <c r="Q10" s="277">
        <f>M10</f>
        <v>733.34849807869944</v>
      </c>
      <c r="R10" s="277"/>
      <c r="S10" s="277"/>
      <c r="T10" s="277"/>
      <c r="U10" s="277"/>
      <c r="V10" s="278">
        <f>Q10</f>
        <v>733.34849807869944</v>
      </c>
    </row>
    <row r="11" spans="2:22" s="84" customFormat="1" ht="15" customHeight="1" outlineLevel="1" x14ac:dyDescent="0.3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11.785321926716216</v>
      </c>
      <c r="N11" s="274"/>
      <c r="O11" s="279"/>
      <c r="P11" s="280"/>
      <c r="Q11" s="281">
        <f>Q10+M11</f>
        <v>745.1338200054156</v>
      </c>
      <c r="R11" s="281">
        <f t="shared" ref="R11:R22" si="0">M10</f>
        <v>733.34849807869944</v>
      </c>
      <c r="S11" s="281">
        <f>IF(R11&gt;=0,IF(M11&gt;=0,Q10,Q11),IF(M11&gt;=0,S10,Q11))</f>
        <v>733.34849807869944</v>
      </c>
      <c r="T11" s="281">
        <f>IF(M11&gt;=0,M11,0)</f>
        <v>11.785321926716216</v>
      </c>
      <c r="U11" s="281">
        <f t="shared" ref="U11:U22" si="1">IF(M11&lt;0,M11*-1,0)</f>
        <v>0</v>
      </c>
      <c r="V11" s="282">
        <f>SUM(T11:U11)</f>
        <v>11.785321926716216</v>
      </c>
    </row>
    <row r="12" spans="2:22" s="84" customFormat="1" ht="15" customHeight="1" outlineLevel="1" x14ac:dyDescent="0.3">
      <c r="B12" s="1273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745.1338200054156</v>
      </c>
      <c r="R12" s="281">
        <f t="shared" si="0"/>
        <v>11.785321926716216</v>
      </c>
      <c r="S12" s="281">
        <f>IF(R12&gt;=0,IF(M12&gt;=0,Q11,Q12),IF(M12&gt;=0,S11,Q12))</f>
        <v>745.1338200054156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73"/>
      <c r="C13" s="98" t="s">
        <v>242</v>
      </c>
      <c r="D13" s="78" t="s">
        <v>234</v>
      </c>
      <c r="E13" s="97"/>
      <c r="F13" s="426">
        <v>0</v>
      </c>
      <c r="G13" s="313"/>
      <c r="H13" s="426">
        <v>0</v>
      </c>
      <c r="L13" s="288" t="s">
        <v>170</v>
      </c>
      <c r="M13" s="295">
        <f>SUM(M10:M12)</f>
        <v>745.1338200054156</v>
      </c>
      <c r="N13" s="272"/>
      <c r="O13" s="283">
        <f>M13</f>
        <v>745.1338200054156</v>
      </c>
      <c r="P13" s="284"/>
      <c r="Q13" s="285">
        <f>Q12+M13-O13</f>
        <v>745.1338200054156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745.1338200054156</v>
      </c>
    </row>
    <row r="14" spans="2:22" s="84" customFormat="1" ht="15" customHeight="1" outlineLevel="1" x14ac:dyDescent="0.3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745.1338200054156</v>
      </c>
      <c r="R14" s="281">
        <f t="shared" si="0"/>
        <v>745.1338200054156</v>
      </c>
      <c r="S14" s="281">
        <f>IF(R14&gt;=0,IF(M14&gt;=0,Q13,Q14),IF(M14&gt;=0,S13,Q14))</f>
        <v>745.1338200054156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73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745.1338200054156</v>
      </c>
      <c r="R15" s="281">
        <f t="shared" si="0"/>
        <v>0</v>
      </c>
      <c r="S15" s="281">
        <f>IF(R15&gt;=0,IF(M15&gt;=0,Q14,Q15),IF(M15&gt;=0,S14,Q15))</f>
        <v>745.1338200054156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73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1043990.2486921826</v>
      </c>
      <c r="G16" s="313"/>
      <c r="H16" s="100">
        <f>'Demanda Preço &amp; Quantidade'!C25</f>
        <v>4</v>
      </c>
      <c r="L16" s="288" t="s">
        <v>167</v>
      </c>
      <c r="M16" s="296">
        <f>SUM(M13:M15)</f>
        <v>745.1338200054156</v>
      </c>
      <c r="N16" s="272"/>
      <c r="O16" s="283">
        <f>M16</f>
        <v>745.1338200054156</v>
      </c>
      <c r="P16" s="284"/>
      <c r="Q16" s="285">
        <f>Q15+M16-O16</f>
        <v>745.1338200054156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745.1338200054156</v>
      </c>
    </row>
    <row r="17" spans="2:22" s="84" customFormat="1" ht="15" customHeight="1" outlineLevel="1" x14ac:dyDescent="0.3">
      <c r="B17" s="1273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745.1338200054156</v>
      </c>
      <c r="R17" s="281">
        <f t="shared" si="0"/>
        <v>745.1338200054156</v>
      </c>
      <c r="S17" s="281">
        <f>IF(R17&gt;=0,IF(M17&gt;=0,Q16,Q17),IF(M17&gt;=0,S16,Q17))</f>
        <v>745.1338200054156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73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-79.187670965661937</v>
      </c>
      <c r="N18" s="274"/>
      <c r="O18" s="279"/>
      <c r="P18" s="280"/>
      <c r="Q18" s="281">
        <f>Q17+M18</f>
        <v>665.94614903975366</v>
      </c>
      <c r="R18" s="281">
        <f t="shared" si="0"/>
        <v>0</v>
      </c>
      <c r="S18" s="281">
        <f>IF(R18&gt;=0,IF(M18&gt;=0,Q17,Q18),IF(M18&gt;=0,S17,Q18))</f>
        <v>665.94614903975366</v>
      </c>
      <c r="T18" s="281">
        <f>IF(M18&gt;=0,M18,0)</f>
        <v>0</v>
      </c>
      <c r="U18" s="281">
        <f t="shared" si="1"/>
        <v>79.187670965661937</v>
      </c>
      <c r="V18" s="282">
        <f>SUM(T18:U18)</f>
        <v>79.187670965661937</v>
      </c>
    </row>
    <row r="19" spans="2:22" s="84" customFormat="1" ht="15" customHeight="1" outlineLevel="1" x14ac:dyDescent="0.3">
      <c r="B19" s="349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646.58868398975369</v>
      </c>
      <c r="R19" s="281">
        <f t="shared" si="0"/>
        <v>-79.187670965661937</v>
      </c>
      <c r="S19" s="281">
        <f>IF(R19&gt;=0,IF(M19&gt;=0,Q18,Q19),IF(M19&gt;=0,S18,Q19))</f>
        <v>646.58868398975369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646.58868398975369</v>
      </c>
      <c r="R20" s="281">
        <f t="shared" si="0"/>
        <v>-19.357465049999998</v>
      </c>
      <c r="S20" s="281">
        <f>IF(R20&gt;=0,IF(M20&gt;=0,Q19,Q20),IF(M20&gt;=0,S19,Q20))</f>
        <v>646.58868398975369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73" t="s">
        <v>110</v>
      </c>
      <c r="C21" s="91" t="s">
        <v>37</v>
      </c>
      <c r="D21" s="78" t="s">
        <v>34</v>
      </c>
      <c r="F21" s="426">
        <v>0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545.12791523975375</v>
      </c>
      <c r="R21" s="281">
        <f t="shared" si="0"/>
        <v>0</v>
      </c>
      <c r="S21" s="281">
        <f>IF(R21&gt;=0,IF(M21&gt;=0,Q20,Q21),IF(M21&gt;=0,S20,Q21))</f>
        <v>545.12791523975375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73"/>
      <c r="C22" s="98" t="s">
        <v>242</v>
      </c>
      <c r="D22" s="78" t="s">
        <v>234</v>
      </c>
      <c r="F22" s="94">
        <f>'C-Dados RT1 Simplif.'!C105*'C-Dados RT1 Simplif.'!C107*'C-Dados RT1 Simplif.'!C136</f>
        <v>1043990.2486921826</v>
      </c>
      <c r="G22" s="305"/>
      <c r="H22" s="305"/>
      <c r="L22" s="288" t="s">
        <v>168</v>
      </c>
      <c r="M22" s="297">
        <f>M16+M17+M18+M19+M20+M21</f>
        <v>545.12791523975375</v>
      </c>
      <c r="N22" s="272"/>
      <c r="O22" s="289">
        <f>M22</f>
        <v>545.12791523975375</v>
      </c>
      <c r="P22" s="290"/>
      <c r="Q22" s="291">
        <f>Q21+M22-O22</f>
        <v>545.12791523975375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545.12791523975375</v>
      </c>
    </row>
    <row r="23" spans="2:22" ht="15" customHeight="1" outlineLevel="1" thickTop="1" x14ac:dyDescent="0.3">
      <c r="B23" s="1273"/>
      <c r="C23" s="91" t="s">
        <v>39</v>
      </c>
      <c r="D23" s="78" t="s">
        <v>32</v>
      </c>
      <c r="F23" s="99">
        <f>'C-Dados RT1 Simplif.'!C126</f>
        <v>6.1744150530052604</v>
      </c>
      <c r="G23" s="305"/>
      <c r="H23" s="305"/>
    </row>
    <row r="24" spans="2:22" ht="15" customHeight="1" outlineLevel="1" x14ac:dyDescent="0.3">
      <c r="B24" s="1273"/>
      <c r="C24" s="91" t="s">
        <v>111</v>
      </c>
      <c r="D24" s="78" t="s">
        <v>32</v>
      </c>
      <c r="F24" s="99">
        <f>'C-Dados RT1 Simplif.'!C129</f>
        <v>5.7467710430057641</v>
      </c>
      <c r="G24" s="305"/>
      <c r="H24" s="305"/>
    </row>
    <row r="25" spans="2:22" outlineLevel="1" x14ac:dyDescent="0.3">
      <c r="B25" s="1273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</row>
    <row r="28" spans="2:22" s="84" customFormat="1" ht="40.200000000000003" customHeight="1" x14ac:dyDescent="0.3">
      <c r="B28" s="1274" t="s">
        <v>112</v>
      </c>
      <c r="C28" s="1274"/>
      <c r="D28" s="1274"/>
      <c r="E28" s="1274"/>
      <c r="F28" s="1274"/>
      <c r="G28" s="1274"/>
      <c r="H28" s="1274"/>
      <c r="I28" s="1274"/>
      <c r="J28" s="1274"/>
      <c r="K28" s="1274"/>
    </row>
    <row r="29" spans="2:22" s="84" customFormat="1" ht="4.95" customHeight="1" outlineLevel="1" x14ac:dyDescent="0.3">
      <c r="D29" s="78"/>
    </row>
    <row r="30" spans="2:22" s="111" customFormat="1" ht="18" outlineLevel="1" x14ac:dyDescent="0.35">
      <c r="B30" s="1260" t="s">
        <v>30</v>
      </c>
      <c r="C30" s="1260"/>
      <c r="D30" s="110"/>
      <c r="F30" s="355"/>
      <c r="H30" s="355"/>
      <c r="J30" s="355"/>
    </row>
    <row r="31" spans="2:22" s="110" customFormat="1" ht="15.6" outlineLevel="1" x14ac:dyDescent="0.3">
      <c r="B31" s="1260"/>
      <c r="C31" s="1260"/>
      <c r="F31" s="112" t="s">
        <v>10</v>
      </c>
      <c r="H31" s="112" t="s">
        <v>10</v>
      </c>
      <c r="J31" s="112" t="s">
        <v>10</v>
      </c>
    </row>
    <row r="32" spans="2:22" ht="4.95" customHeight="1" outlineLevel="1" x14ac:dyDescent="0.3"/>
    <row r="33" spans="2:11" outlineLevel="1" x14ac:dyDescent="0.3">
      <c r="B33" s="1255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11.785321926716216</v>
      </c>
      <c r="K33" s="115"/>
    </row>
    <row r="34" spans="2:11" outlineLevel="1" x14ac:dyDescent="0.3">
      <c r="B34" s="1255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5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3">
      <c r="B36" s="1255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outlineLevel="1" x14ac:dyDescent="0.3">
      <c r="B37" s="1255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5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3">
      <c r="B39" s="1255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outlineLevel="1" x14ac:dyDescent="0.3">
      <c r="B40" s="1255"/>
      <c r="C40" s="98" t="s">
        <v>40</v>
      </c>
      <c r="D40" s="117" t="s">
        <v>41</v>
      </c>
      <c r="E40" s="103"/>
      <c r="F40" s="105">
        <f t="shared" si="2"/>
        <v>1043990.2486921826</v>
      </c>
      <c r="G40" s="103"/>
      <c r="H40" s="119">
        <f>H16</f>
        <v>4</v>
      </c>
      <c r="I40" s="115"/>
      <c r="J40" s="116">
        <f>-'RT1C) Comercializ Gás Biomet'!C26</f>
        <v>-79.187670965661937</v>
      </c>
      <c r="K40" s="115"/>
    </row>
    <row r="41" spans="2:11" outlineLevel="1" x14ac:dyDescent="0.3">
      <c r="B41" s="1255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outlineLevel="1" x14ac:dyDescent="0.3">
      <c r="B42" s="1255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outlineLevel="1" x14ac:dyDescent="0.3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1355" t="s">
        <v>113</v>
      </c>
      <c r="C46" s="1356"/>
      <c r="D46" s="1356"/>
      <c r="E46" s="1356"/>
      <c r="F46" s="631"/>
      <c r="G46" s="631"/>
      <c r="H46" s="631"/>
      <c r="I46" s="126"/>
      <c r="J46" s="1359" t="s">
        <v>10</v>
      </c>
      <c r="K46" s="126"/>
    </row>
    <row r="47" spans="2:11" s="110" customFormat="1" ht="15.6" customHeight="1" x14ac:dyDescent="0.3">
      <c r="B47" s="1357"/>
      <c r="C47" s="1358"/>
      <c r="D47" s="1358"/>
      <c r="E47" s="1358"/>
      <c r="F47" s="633"/>
      <c r="G47" s="633"/>
      <c r="H47" s="633"/>
      <c r="I47" s="86"/>
      <c r="J47" s="1359"/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2" customHeight="1" x14ac:dyDescent="0.3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-188.22058283894569</v>
      </c>
      <c r="K49" s="86"/>
    </row>
    <row r="50" spans="2:22" ht="4.95" customHeight="1" x14ac:dyDescent="0.3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2" customHeight="1" x14ac:dyDescent="0.3">
      <c r="B51" s="419" t="s">
        <v>115</v>
      </c>
      <c r="C51" s="420"/>
      <c r="D51" s="420"/>
      <c r="E51" s="420"/>
      <c r="F51" s="85"/>
      <c r="H51" s="634"/>
      <c r="I51" s="129"/>
      <c r="J51" s="351">
        <f>'C-Dados RT1 Simplif.'!C6+(J33)</f>
        <v>300.05849807869942</v>
      </c>
      <c r="K51" s="416"/>
    </row>
    <row r="52" spans="2:22" ht="4.95" customHeight="1" x14ac:dyDescent="0.3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2" customHeight="1" x14ac:dyDescent="0.3">
      <c r="B53" s="421" t="s">
        <v>116</v>
      </c>
      <c r="C53" s="656">
        <f>'Demanda Preço &amp; Quantidade'!D10</f>
        <v>1</v>
      </c>
      <c r="D53" s="422"/>
      <c r="E53" s="422"/>
      <c r="F53" s="85"/>
      <c r="I53" s="126"/>
      <c r="J53" s="1254"/>
      <c r="K53" s="1254"/>
    </row>
    <row r="54" spans="2:22" ht="4.95" customHeight="1" x14ac:dyDescent="0.3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2" customHeight="1" x14ac:dyDescent="0.3">
      <c r="B55" s="424" t="s">
        <v>117</v>
      </c>
      <c r="C55" s="425"/>
      <c r="D55" s="425"/>
      <c r="E55" s="425"/>
      <c r="F55" s="85"/>
      <c r="I55" s="86"/>
      <c r="J55" s="136">
        <f>$J$51+J49</f>
        <v>111.83791523975373</v>
      </c>
      <c r="K55" s="137"/>
    </row>
    <row r="56" spans="2:22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" x14ac:dyDescent="0.35">
      <c r="E57" s="140"/>
      <c r="G57" s="140"/>
      <c r="H57" s="140"/>
      <c r="I57" s="140"/>
      <c r="J57" s="140"/>
      <c r="K57" s="140"/>
    </row>
    <row r="58" spans="2:22" customFormat="1" x14ac:dyDescent="0.3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6" x14ac:dyDescent="0.3"/>
    <row r="61" spans="2:22" customFormat="1" x14ac:dyDescent="0.3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6" x14ac:dyDescent="0.3"/>
    <row r="64" spans="2:22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mergeCells count="18">
    <mergeCell ref="J53:K53"/>
    <mergeCell ref="B46:E47"/>
    <mergeCell ref="B28:K28"/>
    <mergeCell ref="J46:J47"/>
    <mergeCell ref="B33:B34"/>
    <mergeCell ref="B36:B37"/>
    <mergeCell ref="B39:B42"/>
    <mergeCell ref="B9:B10"/>
    <mergeCell ref="B12:B13"/>
    <mergeCell ref="B15:B18"/>
    <mergeCell ref="B21:B25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/>
    <col min="15" max="15" width="18.33203125" style="770" customWidth="1" outlineLevel="1"/>
    <col min="16" max="16" width="3.44140625" style="770" customWidth="1" outlineLevel="1"/>
    <col min="17" max="17" width="18.33203125" style="770" customWidth="1" outlineLevel="1"/>
    <col min="18" max="18" width="3.44140625" style="770" customWidth="1" outlineLevel="1"/>
    <col min="19" max="19" width="18.33203125" style="770" customWidth="1" outlineLevel="1"/>
    <col min="20" max="21" width="23.33203125" style="770" customWidth="1" outlineLevel="1"/>
    <col min="22" max="22" width="28.44140625" style="770" customWidth="1" outlineLevel="1"/>
    <col min="23" max="23" width="23.33203125" style="771" customWidth="1" outlineLevel="1"/>
    <col min="24" max="24" width="28.44140625" style="770" customWidth="1" outlineLevel="1"/>
    <col min="25" max="25" width="21.88671875" style="771" customWidth="1" outlineLevel="1"/>
    <col min="26" max="26" width="11.33203125" style="770" customWidth="1" outlineLevel="1"/>
    <col min="27" max="27" width="8.6640625" style="770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288" t="s">
        <v>549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3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3"/>
      <c r="M5" s="777"/>
      <c r="N5" s="1053"/>
      <c r="O5" s="1294" t="s">
        <v>378</v>
      </c>
      <c r="P5" s="1053"/>
      <c r="Q5" s="1294" t="s">
        <v>379</v>
      </c>
      <c r="R5" s="1053"/>
      <c r="S5" s="1294" t="s">
        <v>380</v>
      </c>
      <c r="T5" s="1053"/>
      <c r="U5" s="1294" t="s">
        <v>381</v>
      </c>
      <c r="V5" s="1053"/>
      <c r="W5" s="1294" t="s">
        <v>382</v>
      </c>
      <c r="X5" s="1053"/>
      <c r="Y5" s="1294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18.746009499692072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3"/>
      <c r="M6" s="789"/>
      <c r="N6" s="790"/>
      <c r="O6" s="1295"/>
      <c r="P6" s="1053"/>
      <c r="Q6" s="1295"/>
      <c r="R6" s="1053"/>
      <c r="S6" s="1295"/>
      <c r="T6" s="1053"/>
      <c r="U6" s="1295"/>
      <c r="V6" s="1053"/>
      <c r="W6" s="1295"/>
      <c r="X6" s="1053"/>
      <c r="Y6" s="1295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'RT1C)BIODIG Gas Natural'!M22</f>
        <v>545.12791523975375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3"/>
      <c r="M8" s="789"/>
      <c r="N8" s="790"/>
      <c r="O8" s="796">
        <f>(O12-O10)/O10</f>
        <v>0</v>
      </c>
      <c r="P8" s="790"/>
      <c r="Q8" s="796">
        <f>(Q12-Q10)/Q10</f>
        <v>5.9292925928744848E-3</v>
      </c>
      <c r="R8" s="790"/>
      <c r="S8" s="796">
        <f>(S12-S10)/S10</f>
        <v>1.5233061901367591E-2</v>
      </c>
      <c r="T8" s="1053"/>
      <c r="U8" s="796">
        <f>(U12-U10)/U10</f>
        <v>1.5233061901367384E-2</v>
      </c>
      <c r="V8" s="1053"/>
      <c r="W8" s="796">
        <f>(W12-W10)/W10</f>
        <v>1.5233061901367384E-2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20.377146651284033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3.0439973252243875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20.497968715987408</v>
      </c>
      <c r="R12" s="790"/>
      <c r="S12" s="802">
        <f>S33</f>
        <v>34912.115286618915</v>
      </c>
      <c r="T12" s="1053"/>
      <c r="U12" s="802">
        <f>U33</f>
        <v>6252163.3856565878</v>
      </c>
      <c r="V12" s="1053"/>
      <c r="W12" s="802">
        <f>W33</f>
        <v>6252163.3856565878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280"/>
      <c r="G16" s="1282"/>
      <c r="H16" s="1284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20.377146651284033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3.3088631424854746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285" t="s">
        <v>419</v>
      </c>
      <c r="G23" s="1286"/>
      <c r="H23" s="1287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118.75555339377252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20.377146651284033</v>
      </c>
      <c r="E25" s="1053"/>
      <c r="F25" s="835" t="s">
        <v>424</v>
      </c>
      <c r="G25" s="812" t="s">
        <v>425</v>
      </c>
      <c r="H25" s="838">
        <f>H24/12</f>
        <v>9.8962961161477097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3.3088631424854746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296" t="s">
        <v>427</v>
      </c>
      <c r="C29" s="1297"/>
      <c r="D29" s="1297"/>
      <c r="E29" s="1298"/>
      <c r="F29" s="1053"/>
      <c r="G29" s="1053"/>
      <c r="H29" s="777"/>
      <c r="I29" s="1053"/>
      <c r="J29" s="777"/>
      <c r="K29" s="1299" t="s">
        <v>428</v>
      </c>
      <c r="L29" s="1300"/>
      <c r="M29" s="1301"/>
      <c r="N29" s="1053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3"/>
      <c r="O31" s="1307" t="s">
        <v>433</v>
      </c>
      <c r="P31" s="1053"/>
      <c r="Q31" s="1307" t="s">
        <v>434</v>
      </c>
      <c r="R31" s="1053"/>
      <c r="S31" s="1307" t="s">
        <v>435</v>
      </c>
      <c r="T31" s="1053"/>
      <c r="U31" s="1307" t="s">
        <v>436</v>
      </c>
      <c r="V31" s="1053"/>
      <c r="W31" s="1307" t="s">
        <v>436</v>
      </c>
      <c r="X31" s="1053"/>
      <c r="Y31" s="1307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118.75555339377252</v>
      </c>
      <c r="M32" s="841">
        <f>H25</f>
        <v>9.8962961161477097</v>
      </c>
      <c r="N32" s="842"/>
      <c r="O32" s="1308"/>
      <c r="P32" s="842"/>
      <c r="Q32" s="1308"/>
      <c r="R32" s="842"/>
      <c r="S32" s="1308"/>
      <c r="T32" s="1053"/>
      <c r="U32" s="1308"/>
      <c r="V32" s="1053"/>
      <c r="W32" s="1308"/>
      <c r="X32" s="1053"/>
      <c r="Y32" s="1309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20.497968715987408</v>
      </c>
      <c r="R33" s="1053"/>
      <c r="S33" s="802">
        <f>12*S34</f>
        <v>34912.115286618915</v>
      </c>
      <c r="T33" s="1053" t="s">
        <v>438</v>
      </c>
      <c r="U33" s="802">
        <f>12*U34</f>
        <v>6252163.3856565878</v>
      </c>
      <c r="V33" s="1053" t="s">
        <v>439</v>
      </c>
      <c r="W33" s="802">
        <f>12*W34</f>
        <v>6252163.3856565878</v>
      </c>
      <c r="X33" s="1053" t="s">
        <v>439</v>
      </c>
      <c r="Y33" s="1320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2909.3429405515762</v>
      </c>
      <c r="T34" s="1053" t="s">
        <v>441</v>
      </c>
      <c r="U34" s="802">
        <f>U36+U49+U62+U75+U88</f>
        <v>521013.61547138233</v>
      </c>
      <c r="V34" s="1053" t="s">
        <v>442</v>
      </c>
      <c r="W34" s="802">
        <f>W36+W49+W62+W75+W88</f>
        <v>521013.61547138233</v>
      </c>
      <c r="X34" s="1053" t="s">
        <v>442</v>
      </c>
      <c r="Y34" s="1321"/>
      <c r="Z34" s="1053"/>
      <c r="AA34" s="1053"/>
      <c r="AB34" s="773"/>
    </row>
    <row r="35" spans="1:28" s="774" customFormat="1" ht="25.2" customHeight="1" outlineLevel="1" x14ac:dyDescent="0.3">
      <c r="A35" s="1053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14.763263620143793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3"/>
      <c r="O36" s="802">
        <f>O39+O41+O42+O43+O44+O45</f>
        <v>40</v>
      </c>
      <c r="P36" s="1053"/>
      <c r="Q36" s="849">
        <f>Q39+Q41+Q42+Q43+Q44+Q45</f>
        <v>590.53054480575167</v>
      </c>
      <c r="R36" s="1053"/>
      <c r="S36" s="1310">
        <f>IF(AND(Q36&lt;&gt;0,O36&lt;&gt;0),Q36*(1-D17-D18-D19)/(($D$25*1000000/$D$8)),0)</f>
        <v>0.91186490169687473</v>
      </c>
      <c r="T36" s="1335" t="s">
        <v>448</v>
      </c>
      <c r="U36" s="1310">
        <f>U39+U41+U42+U43+U44+U45</f>
        <v>163.29942497754269</v>
      </c>
      <c r="V36" s="1053" t="s">
        <v>449</v>
      </c>
      <c r="W36" s="1310">
        <f>W39*O39+W41*O41+W42*O42+W43*O43+W44*O44+W45*O45</f>
        <v>163.29942497754269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3"/>
      <c r="O37" s="855" t="s">
        <v>455</v>
      </c>
      <c r="P37" s="1053"/>
      <c r="Q37" s="856">
        <v>0.75</v>
      </c>
      <c r="R37" s="1053"/>
      <c r="S37" s="1334"/>
      <c r="T37" s="1336"/>
      <c r="U37" s="1334"/>
      <c r="V37" s="1053"/>
      <c r="W37" s="1311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29.688888348443129</v>
      </c>
      <c r="K39" s="872">
        <f>$M$32*H39*$B$38*$C$38</f>
        <v>2.4740740290369274</v>
      </c>
      <c r="L39" s="871">
        <f>J39*$D$38</f>
        <v>37.111110435553911</v>
      </c>
      <c r="M39" s="872">
        <f>K39*$D$38</f>
        <v>3.0925925362961593</v>
      </c>
      <c r="N39" s="1053"/>
      <c r="O39" s="873">
        <v>2</v>
      </c>
      <c r="P39" s="1053"/>
      <c r="Q39" s="874">
        <f>O39*$Q$37*M39+O39*(1-$Q$37)*K39</f>
        <v>5.8759258189627026</v>
      </c>
      <c r="R39" s="1053"/>
      <c r="S39" s="875">
        <f>IF(AND(Q39&lt;&gt;0,O39&lt;&gt;0),Q39*(1-D17-D18-D19)/O39/30/(($D$25*1000000/$D$8))*1000,0)</f>
        <v>0.15122137673248337</v>
      </c>
      <c r="T39" s="1053" t="s">
        <v>459</v>
      </c>
      <c r="U39" s="876">
        <f>S39*O39*30*$D$11*(1+$D$24)/1000</f>
        <v>1.6248699002740559</v>
      </c>
      <c r="V39" s="1053" t="s">
        <v>460</v>
      </c>
      <c r="W39" s="876">
        <f>IF(O39&lt;&gt;0,U39/O39,0)</f>
        <v>0.81243495013702793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86.097776210485065</v>
      </c>
      <c r="K41" s="872">
        <f>$M$32*(H39+(G41-F41)*H41)*$B$38*$C$38</f>
        <v>7.1748146842070897</v>
      </c>
      <c r="L41" s="871">
        <f t="shared" ref="L41:M45" si="0">J41*$D$38</f>
        <v>107.62222026310633</v>
      </c>
      <c r="M41" s="872">
        <f t="shared" si="0"/>
        <v>8.9685183552588619</v>
      </c>
      <c r="N41" s="1053"/>
      <c r="O41" s="873">
        <v>2</v>
      </c>
      <c r="P41" s="1053"/>
      <c r="Q41" s="874">
        <f>O41*$Q$37*M41+O41*(1-$Q$37)*K41</f>
        <v>17.040184874991837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145.47555290737134</v>
      </c>
      <c r="K42" s="872">
        <f>$M$32*(H39+(G41-F41)*H41+(G42-F42)*H42)*$B$38*$C$38</f>
        <v>12.122962742280945</v>
      </c>
      <c r="L42" s="871">
        <f t="shared" si="0"/>
        <v>181.84444113421418</v>
      </c>
      <c r="M42" s="872">
        <f t="shared" si="0"/>
        <v>15.153703427851182</v>
      </c>
      <c r="N42" s="1053"/>
      <c r="O42" s="873">
        <v>28</v>
      </c>
      <c r="P42" s="1053"/>
      <c r="Q42" s="874">
        <f>O42*$Q$37*M42+O42*(1-$Q$37)*K42</f>
        <v>403.08851118084146</v>
      </c>
      <c r="R42" s="1053"/>
      <c r="S42" s="875">
        <f>IF(AND(Q42&lt;&gt;0,O42&lt;&gt;0),Q42*(1-D17-D18-D19)/O42/30/(($D$25*1000000/$D$8))*1000,0)</f>
        <v>0.74098474598916853</v>
      </c>
      <c r="T42" s="1053" t="s">
        <v>459</v>
      </c>
      <c r="U42" s="876">
        <f>S42*O42*30*$D$11*(1+$D$24)/1000</f>
        <v>111.46607515880027</v>
      </c>
      <c r="V42" s="1053" t="s">
        <v>460</v>
      </c>
      <c r="W42" s="876">
        <f>IF(O42&lt;&gt;0,U42/O42,0)</f>
        <v>3.9809312556714382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207.8222184391019</v>
      </c>
      <c r="K43" s="872">
        <f>$M$32*(H39+(G41-F41)*H41+(G42-F42)*H42+(G43-F43)*H43)*$B$38*$C$38</f>
        <v>17.318518203258492</v>
      </c>
      <c r="L43" s="871">
        <f t="shared" si="0"/>
        <v>259.77777304887741</v>
      </c>
      <c r="M43" s="872">
        <f t="shared" si="0"/>
        <v>21.648147754073115</v>
      </c>
      <c r="N43" s="1053"/>
      <c r="O43" s="873">
        <v>8</v>
      </c>
      <c r="P43" s="1053"/>
      <c r="Q43" s="874">
        <f>O43*$Q$37*M43+O43*(1-$Q$37)*K43</f>
        <v>164.52592293095569</v>
      </c>
      <c r="R43" s="1053"/>
      <c r="S43" s="875">
        <f>IF(AND(Q43&lt;&gt;0,O43&lt;&gt;0),Q43*(1-D17-D18-D19)/O43/30/(($D$25*1000000/$D$8))*1000,0)</f>
        <v>1.0585496371273837</v>
      </c>
      <c r="T43" s="1053" t="s">
        <v>459</v>
      </c>
      <c r="U43" s="876">
        <f>S43*O43*30*$D$11*(1+$D$24)/1000</f>
        <v>45.496357207673583</v>
      </c>
      <c r="V43" s="1053" t="s">
        <v>460</v>
      </c>
      <c r="W43" s="876">
        <f>IF(O43&lt;&gt;0,U43/O43,0)</f>
        <v>5.6870446509591979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305.79554998896424</v>
      </c>
      <c r="K44" s="872">
        <f>$M$32*(H39+(G41-F41)*H41+(G42-F42)*H42+(G43-F43)*H43+(G44-F44)*H44)*$B$38*$C$38</f>
        <v>25.482962499080354</v>
      </c>
      <c r="L44" s="871">
        <f t="shared" si="0"/>
        <v>382.2444374862053</v>
      </c>
      <c r="M44" s="872">
        <f t="shared" si="0"/>
        <v>31.853703123850444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647.21776599606028</v>
      </c>
      <c r="K45" s="872">
        <f>$M$32*(H39+(G41-F41)*H41+(G42-F42)*H42+(G43-F43)*H43+(G44-F44)*H44+(G45-F45)*H45)*$B$38*$C$38</f>
        <v>53.934813833005016</v>
      </c>
      <c r="L45" s="871">
        <f t="shared" si="0"/>
        <v>809.02220749507535</v>
      </c>
      <c r="M45" s="872">
        <f t="shared" si="0"/>
        <v>67.418517291256265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11.798150665053422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3"/>
      <c r="O49" s="802">
        <f>O52+O54+O55+O56+O57+O58</f>
        <v>127341</v>
      </c>
      <c r="P49" s="1053"/>
      <c r="Q49" s="890">
        <f>Q52+Q54+Q55+Q56+Q57+Q58</f>
        <v>1502388.3038385678</v>
      </c>
      <c r="R49" s="1053"/>
      <c r="S49" s="1337">
        <f>IF(AND(Q49&lt;&gt;0,O49&lt;&gt;0),Q49*(1-D17-D18-D19)/(($D$25*1000000/$D$8)),0)</f>
        <v>2319.9056764132802</v>
      </c>
      <c r="T49" s="1335" t="s">
        <v>448</v>
      </c>
      <c r="U49" s="1310">
        <f>U52+U54+U55+U56+U57+U58</f>
        <v>415455.47180887195</v>
      </c>
      <c r="V49" s="1053" t="s">
        <v>449</v>
      </c>
      <c r="W49" s="1338">
        <f>W52*O52+W54*O54+W55*O55+W56*O56+W57*O57+W58*O58</f>
        <v>415455.47180887195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3"/>
      <c r="O50" s="891" t="s">
        <v>455</v>
      </c>
      <c r="P50" s="1053"/>
      <c r="Q50" s="856">
        <v>0.75</v>
      </c>
      <c r="R50" s="1053"/>
      <c r="S50" s="1334"/>
      <c r="T50" s="1336"/>
      <c r="U50" s="1334"/>
      <c r="V50" s="1053"/>
      <c r="W50" s="1339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41.638665908691486</v>
      </c>
      <c r="K52" s="872">
        <f>$M$32*H52*$B$51*$C$51</f>
        <v>3.4698888257242908</v>
      </c>
      <c r="L52" s="871">
        <f>J52*$D$51</f>
        <v>52.048332385864356</v>
      </c>
      <c r="M52" s="872">
        <f>K52*$D$51</f>
        <v>4.3373610321553633</v>
      </c>
      <c r="N52" s="1053"/>
      <c r="O52" s="873">
        <v>62341</v>
      </c>
      <c r="P52" s="1053"/>
      <c r="Q52" s="874">
        <f>O52*$Q$50*M52+O52*(1-$Q$50)*K52</f>
        <v>256875.65290031763</v>
      </c>
      <c r="R52" s="1053"/>
      <c r="S52" s="875">
        <f>IF(AND(Q52&lt;&gt;0,O52&lt;&gt;0),Q52*(1-D17-D18-D19)/O52/30/(($D$25*1000000/$D$8))*1000,0)</f>
        <v>0.2120879808673079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132.48666425492746</v>
      </c>
      <c r="K54" s="872">
        <f>$M$32*(H52+(G54-F54)*H54)*$B$51*$C$51</f>
        <v>11.040555354577288</v>
      </c>
      <c r="L54" s="871">
        <f t="shared" ref="L54:M58" si="1">J54*$D$51</f>
        <v>165.60833031865934</v>
      </c>
      <c r="M54" s="872">
        <f t="shared" si="1"/>
        <v>13.800694193221609</v>
      </c>
      <c r="N54" s="1053"/>
      <c r="O54" s="873">
        <v>42500</v>
      </c>
      <c r="P54" s="1053"/>
      <c r="Q54" s="874">
        <f>O54*$Q$50*M54+O54*(1-$Q$50)*K54</f>
        <v>557203.02805132244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227.11999586558991</v>
      </c>
      <c r="K55" s="872">
        <f>$M$32*(H52+(G54-F54)*H54+(G55-F55)*H55)*$B$51*$C$51</f>
        <v>18.926666322132494</v>
      </c>
      <c r="L55" s="871">
        <f t="shared" si="1"/>
        <v>283.89999483198739</v>
      </c>
      <c r="M55" s="872">
        <f t="shared" si="1"/>
        <v>23.658332902665617</v>
      </c>
      <c r="N55" s="1053"/>
      <c r="O55" s="873">
        <v>10000</v>
      </c>
      <c r="P55" s="1053"/>
      <c r="Q55" s="874">
        <f>O55*$Q$50*M55+O55*(1-$Q$50)*K55</f>
        <v>224754.16257532334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374.7479931782234</v>
      </c>
      <c r="K56" s="872">
        <f>$M$32*(H52+(G54-F54)*H54+(G55-F55)*H55+(G56-F56)*H56)*$B$51*$C$51</f>
        <v>31.228999431518613</v>
      </c>
      <c r="L56" s="871">
        <f t="shared" si="1"/>
        <v>468.43499147277925</v>
      </c>
      <c r="M56" s="872">
        <f t="shared" si="1"/>
        <v>39.036249289398263</v>
      </c>
      <c r="N56" s="1053"/>
      <c r="O56" s="873">
        <v>12500</v>
      </c>
      <c r="P56" s="1053"/>
      <c r="Q56" s="874">
        <f>O56*$Q$50*M56+O56*(1-$Q$50)*K56</f>
        <v>463555.46031160437</v>
      </c>
      <c r="R56" s="1053"/>
      <c r="S56" s="875">
        <f>IF(AND(Q56&lt;&gt;0,O56&lt;&gt;0),Q56*(1-D17-D18-D19)/O56/30/(($D$25*1000000/$D$8))*1000,0)</f>
        <v>1.9087918278057707</v>
      </c>
      <c r="T56" s="1053" t="s">
        <v>459</v>
      </c>
      <c r="U56" s="876">
        <f>S56*O56*30*$D$11*(1+$D$24)/1000</f>
        <v>128187.00197630793</v>
      </c>
      <c r="V56" s="1053" t="s">
        <v>460</v>
      </c>
      <c r="W56" s="895">
        <f>IF(O56&lt;&gt;0,U56/O56,0)</f>
        <v>10.254960158104634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772.20798594300572</v>
      </c>
      <c r="K57" s="872">
        <f>$M$32*(H52+(G54-F54)*H54+(G55-F55)*H55+(G56-F56)*H56+(G57-F57)*H57)*$B$51*$C$51</f>
        <v>64.350665495250468</v>
      </c>
      <c r="L57" s="871">
        <f t="shared" si="1"/>
        <v>965.25998242875721</v>
      </c>
      <c r="M57" s="872">
        <f t="shared" si="1"/>
        <v>80.438331869063092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1623.9079704389681</v>
      </c>
      <c r="K58" s="872">
        <f>$M$32*(H52+(G54-F54)*H54+(G55-F55)*H55+(G56-F56)*H56+(G57-F57)*H57+(G58-F58)*H58)*$B$51*$C$51</f>
        <v>135.32566420324733</v>
      </c>
      <c r="L58" s="871">
        <f t="shared" si="1"/>
        <v>2029.88496304871</v>
      </c>
      <c r="M58" s="872">
        <f t="shared" si="1"/>
        <v>169.15708025405917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4.1451276718421903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3"/>
      <c r="O62" s="802">
        <f>O65+O67+O68+O69+O70+O71</f>
        <v>42447</v>
      </c>
      <c r="P62" s="1053"/>
      <c r="Q62" s="849">
        <f>Q65+Q67+Q68+Q69+Q70+Q71</f>
        <v>175948.23428668545</v>
      </c>
      <c r="R62" s="1053"/>
      <c r="S62" s="1310">
        <f>IF(AND(Q62&lt;&gt;0,O62&lt;&gt;0),Q62*(1-D17-D18-D19)/(H15)/(($D$25*1000000/$D$8)),0)</f>
        <v>543.37924015206488</v>
      </c>
      <c r="T62" s="1335" t="s">
        <v>448</v>
      </c>
      <c r="U62" s="1310">
        <f>U65+U67+U68+U69+U70+U71</f>
        <v>97309.938452991744</v>
      </c>
      <c r="V62" s="1053" t="s">
        <v>449</v>
      </c>
      <c r="W62" s="1310">
        <f>W65*O65+W67*O67+W68*O68+W69*O69+W70*O70+W71*O71</f>
        <v>97309.938452991744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3"/>
      <c r="O63" s="891" t="s">
        <v>455</v>
      </c>
      <c r="P63" s="1053"/>
      <c r="Q63" s="856">
        <v>0.75</v>
      </c>
      <c r="R63" s="1053"/>
      <c r="S63" s="1334"/>
      <c r="T63" s="1336"/>
      <c r="U63" s="1334"/>
      <c r="V63" s="1053"/>
      <c r="W63" s="1311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20.819332954345743</v>
      </c>
      <c r="K65" s="872">
        <f>$M$32*H65*$B$64*$C$64</f>
        <v>1.7349444128621454</v>
      </c>
      <c r="L65" s="871">
        <f>J65*$D$51</f>
        <v>26.024166192932178</v>
      </c>
      <c r="M65" s="872">
        <f>K65*$D$51</f>
        <v>2.1686805160776816</v>
      </c>
      <c r="N65" s="1053"/>
      <c r="O65" s="873">
        <v>25947</v>
      </c>
      <c r="P65" s="1053"/>
      <c r="Q65" s="874">
        <f>O65*$Q$63*M65+O65*(1-$Q$63)*K65</f>
        <v>53457.215683134229</v>
      </c>
      <c r="R65" s="1053"/>
      <c r="S65" s="875">
        <f>IF(AND(Q65&lt;&gt;0,O65&lt;&gt;0),Q65*(1-D17-D18-D19)/(H15)/O65/30/(($D$25*1000000/$D$8))*1000,0)</f>
        <v>0.2120879808673079</v>
      </c>
      <c r="T65" s="1053" t="s">
        <v>459</v>
      </c>
      <c r="U65" s="876">
        <f>S65*O65*30*$D$11*(1+$D$24)/1000</f>
        <v>29565.050135815665</v>
      </c>
      <c r="V65" s="1053" t="s">
        <v>460</v>
      </c>
      <c r="W65" s="876">
        <f>IF(O65&lt;&gt;0,U65/O65,0)</f>
        <v>1.1394400175671817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66.243332127463731</v>
      </c>
      <c r="K67" s="872">
        <f>$M$32*(H65+(G67-F67)*H67)*$B$64*$C$64</f>
        <v>5.5202776772886439</v>
      </c>
      <c r="L67" s="871">
        <f t="shared" ref="L67:M71" si="3">J67*$D$51</f>
        <v>82.804165159329671</v>
      </c>
      <c r="M67" s="872">
        <f t="shared" si="3"/>
        <v>6.9003470966108047</v>
      </c>
      <c r="N67" s="1053"/>
      <c r="O67" s="873">
        <v>15000</v>
      </c>
      <c r="P67" s="1053"/>
      <c r="Q67" s="874">
        <f>O67*$Q$63*M67+O67*(1-$Q$63)*K67</f>
        <v>98329.946126703973</v>
      </c>
      <c r="R67" s="1053"/>
      <c r="S67" s="875">
        <f>IF(AND(Q67&lt;&gt;0,O67&lt;&gt;0),Q67*(1-D17-D18-D19)/O67/30/(H15)/(($D$25*1000000/$D$8))*1000,0)</f>
        <v>0.67482539366870697</v>
      </c>
      <c r="T67" s="1053" t="s">
        <v>459</v>
      </c>
      <c r="U67" s="876">
        <f>S67*O67*30*$D$11*(1+$D$24)/1000</f>
        <v>54382.364474797309</v>
      </c>
      <c r="V67" s="1053" t="s">
        <v>460</v>
      </c>
      <c r="W67" s="876">
        <f>IF(O67&lt;&gt;0,U67/O67,0)</f>
        <v>3.6254909649864873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113.55999793279496</v>
      </c>
      <c r="K68" s="872">
        <f>$M$32*(H65+(G67-F67)*H67+(G68-F68)*H68)*$B$64*$C$64</f>
        <v>9.463333161066247</v>
      </c>
      <c r="L68" s="871">
        <f t="shared" si="3"/>
        <v>141.94999741599369</v>
      </c>
      <c r="M68" s="872">
        <f t="shared" si="3"/>
        <v>11.829166451332808</v>
      </c>
      <c r="N68" s="1053"/>
      <c r="O68" s="873">
        <v>500</v>
      </c>
      <c r="P68" s="1053"/>
      <c r="Q68" s="874">
        <f>O68*$Q$63*M68+O68*(1-$Q$63)*K68</f>
        <v>5618.8540643830838</v>
      </c>
      <c r="R68" s="1053"/>
      <c r="S68" s="875">
        <f>IF(AND(Q68&lt;&gt;0,O68&lt;&gt;0),Q68*(1-D17-D18-D19)/O68/30/(H15)/(($D$25*1000000/$D$8))*1000,0)</f>
        <v>1.1568435320034975</v>
      </c>
      <c r="T68" s="1053" t="s">
        <v>459</v>
      </c>
      <c r="U68" s="876">
        <f>S68*O68*30*$D$11*(1+$D$24)/1000</f>
        <v>3107.5636842741314</v>
      </c>
      <c r="V68" s="1053" t="s">
        <v>460</v>
      </c>
      <c r="W68" s="876">
        <f>IF(O68&lt;&gt;0,U68/O68,0)</f>
        <v>6.2151273685482629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187.3739965891117</v>
      </c>
      <c r="K69" s="872">
        <f>$M$32*(H65+(G67-F67)*H67+(G68-F68)*H68+(G69-F69)*H69)*$B$64*$C$64</f>
        <v>15.614499715759306</v>
      </c>
      <c r="L69" s="871">
        <f t="shared" si="3"/>
        <v>234.21749573638962</v>
      </c>
      <c r="M69" s="872">
        <f t="shared" si="3"/>
        <v>19.518124644699132</v>
      </c>
      <c r="N69" s="1053"/>
      <c r="O69" s="873">
        <v>1000</v>
      </c>
      <c r="P69" s="1053"/>
      <c r="Q69" s="874">
        <f>O69*$Q$63*M69+O69*(1-$Q$63)*K69</f>
        <v>18542.218412464175</v>
      </c>
      <c r="R69" s="1053"/>
      <c r="S69" s="875">
        <f>IF(AND(Q69&lt;&gt;0,O69&lt;&gt;0),Q69*(1-D17-D18-D19)/O69/30/(H15)/(($D$25*1000000/$D$8))*1000,0)</f>
        <v>1.9087918278057707</v>
      </c>
      <c r="T69" s="1053" t="s">
        <v>459</v>
      </c>
      <c r="U69" s="876">
        <f>S69*O69*30*$D$11*(1+$D$24)/1000</f>
        <v>10254.960158104634</v>
      </c>
      <c r="V69" s="1053" t="s">
        <v>460</v>
      </c>
      <c r="W69" s="876">
        <f>IF(O69&lt;&gt;0,U69/O69,0)</f>
        <v>10.254960158104634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386.10399297150286</v>
      </c>
      <c r="K70" s="872">
        <f>$M$32*(H65+(G67-F67)*H67+(G68-F68)*H68+(G69-F69)*H69+(G70-F70)*H70)*$B$64*$C$64</f>
        <v>32.175332747625234</v>
      </c>
      <c r="L70" s="871">
        <f t="shared" si="3"/>
        <v>482.62999121437861</v>
      </c>
      <c r="M70" s="872">
        <f t="shared" si="3"/>
        <v>40.219165934531546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811.95398521948403</v>
      </c>
      <c r="K71" s="872">
        <f>$M$32*(H65+(G67-F67)*H67+(G68-F68)*H68+(G69-F69)*H69+(G70-F70)*H70+(G71-F71)*H71)*$B$64*$C$64</f>
        <v>67.662832101623664</v>
      </c>
      <c r="L71" s="871">
        <f t="shared" si="3"/>
        <v>1014.942481524355</v>
      </c>
      <c r="M71" s="872">
        <f t="shared" si="3"/>
        <v>84.578540127029584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16.384416703467167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3"/>
      <c r="O75" s="802">
        <f>O78+O80+O81+O82+O83+O84</f>
        <v>1741</v>
      </c>
      <c r="P75" s="1053"/>
      <c r="Q75" s="849">
        <f>Q78+Q80+Q81+Q82+Q83+Q84</f>
        <v>28525.269480736337</v>
      </c>
      <c r="R75" s="1053"/>
      <c r="S75" s="1310">
        <f>IF(AND(Q75&lt;&gt;0,O75&lt;&gt;0),Q75*(1-D17-D18-D19)/(($D$25*1000000/$D$8)),0)</f>
        <v>44.047157729130824</v>
      </c>
      <c r="T75" s="1335" t="s">
        <v>448</v>
      </c>
      <c r="U75" s="1310">
        <f>U78+U80+U81+U82+U83+U84</f>
        <v>7888.0934178704319</v>
      </c>
      <c r="V75" s="1053" t="s">
        <v>449</v>
      </c>
      <c r="W75" s="131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3"/>
      <c r="O76" s="891" t="s">
        <v>455</v>
      </c>
      <c r="P76" s="1053"/>
      <c r="Q76" s="856">
        <v>0.75</v>
      </c>
      <c r="R76" s="1053"/>
      <c r="S76" s="1334"/>
      <c r="T76" s="1336"/>
      <c r="U76" s="1334"/>
      <c r="V76" s="1053"/>
      <c r="W76" s="1311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40.079999270398226</v>
      </c>
      <c r="K78" s="872">
        <f>$M$32*H78*$B$77*$C$77</f>
        <v>3.3399999391998523</v>
      </c>
      <c r="L78" s="871">
        <f>J78*$D$77</f>
        <v>50.09999908799778</v>
      </c>
      <c r="M78" s="872">
        <f>K78*$D$77</f>
        <v>4.174999923999815</v>
      </c>
      <c r="N78" s="1053"/>
      <c r="O78" s="873">
        <v>264</v>
      </c>
      <c r="P78" s="1053"/>
      <c r="Q78" s="874">
        <f>O78*$Q$76*M78+O78*(1-$Q$76)*K78</f>
        <v>1047.0899809391535</v>
      </c>
      <c r="R78" s="1053"/>
      <c r="S78" s="875">
        <f>IF(AND(Q78&lt;&gt;0,O78&lt;&gt;0),Q78*(1-D17-D18-D19)/O78/30/(($D$25*1000000/$D$8))*1000,0)</f>
        <v>0.20414885858885251</v>
      </c>
      <c r="T78" s="1053" t="s">
        <v>459</v>
      </c>
      <c r="U78" s="876">
        <f>S78*O78*30*$D$11*(1+$D$24)/1000</f>
        <v>289.5518162288368</v>
      </c>
      <c r="V78" s="1053" t="s">
        <v>460</v>
      </c>
      <c r="W78" s="876">
        <f>IF(O78&lt;&gt;0,U78/O78,0)</f>
        <v>1.096787182684988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146.95999732479348</v>
      </c>
      <c r="K80" s="872">
        <f>$M$32*(H78+(G80-F80)*H80)*$B$77*$C$77</f>
        <v>12.246666443732792</v>
      </c>
      <c r="L80" s="871">
        <f t="shared" ref="L80:M84" si="4">J80*$D$77</f>
        <v>183.69999665599184</v>
      </c>
      <c r="M80" s="872">
        <f t="shared" si="4"/>
        <v>15.30833305466599</v>
      </c>
      <c r="N80" s="1053"/>
      <c r="O80" s="873">
        <v>994</v>
      </c>
      <c r="P80" s="1053"/>
      <c r="Q80" s="874">
        <f>O80*$Q$76*M80+O80*(1-$Q$76)*K80</f>
        <v>14455.658903521095</v>
      </c>
      <c r="R80" s="1053"/>
      <c r="S80" s="875">
        <f>IF(AND(Q80&lt;&gt;0,O80&lt;&gt;0),Q80*(1-D17-D18-D19)/O80/30/(($D$25*1000000/$D$8))*1000,0)</f>
        <v>0.74854581482579274</v>
      </c>
      <c r="T80" s="1053" t="s">
        <v>459</v>
      </c>
      <c r="U80" s="876">
        <f>S80*O80*30*$D$11*(1+$D$24)/1000</f>
        <v>3997.4236851592191</v>
      </c>
      <c r="V80" s="1053" t="s">
        <v>460</v>
      </c>
      <c r="W80" s="876">
        <f>IF(O80&lt;&gt;0,U80/O80,0)</f>
        <v>4.0215530031782887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222.66666261332347</v>
      </c>
      <c r="K81" s="872">
        <f>$M$32*(H78+(G80-F80)*H80+(G81-F81)*H81)*$B$77*$C$77</f>
        <v>18.555555217776956</v>
      </c>
      <c r="L81" s="871">
        <f t="shared" si="4"/>
        <v>278.33332826665435</v>
      </c>
      <c r="M81" s="872">
        <f t="shared" si="4"/>
        <v>23.194444022221195</v>
      </c>
      <c r="N81" s="1053"/>
      <c r="O81" s="873">
        <v>183</v>
      </c>
      <c r="P81" s="1053"/>
      <c r="Q81" s="874">
        <f>O81*$Q$76*M81+O81*(1-$Q$76)*K81</f>
        <v>4032.3540932631545</v>
      </c>
      <c r="R81" s="1053"/>
      <c r="S81" s="875">
        <f>IF(AND(Q81&lt;&gt;0,O81&lt;&gt;0),Q81*(1-D17-D18-D19)/O81/30/(($D$25*1000000/$D$8))*1000,0)</f>
        <v>1.134160325493625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302.8266611541199</v>
      </c>
      <c r="K82" s="872">
        <f>$M$32*(H78+(G80-F80)*H80+(G81-F81)*H81+(G82-F82)*H82)*$B$77*$C$77</f>
        <v>25.235555096176657</v>
      </c>
      <c r="L82" s="871">
        <f t="shared" si="4"/>
        <v>378.53332644264987</v>
      </c>
      <c r="M82" s="872">
        <f t="shared" si="4"/>
        <v>31.544443870220821</v>
      </c>
      <c r="N82" s="1053"/>
      <c r="O82" s="873">
        <v>300</v>
      </c>
      <c r="P82" s="1053"/>
      <c r="Q82" s="874">
        <f>O82*$Q$76*M82+O82*(1-$Q$76)*K82</f>
        <v>8990.1665030129334</v>
      </c>
      <c r="R82" s="1053"/>
      <c r="S82" s="875">
        <f>IF(AND(Q82&lt;&gt;0,O82&lt;&gt;0),Q82*(1-D17-D18-D19)/O82/30/(($D$25*1000000/$D$8))*1000,0)</f>
        <v>1.5424580426713301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429.74665884371427</v>
      </c>
      <c r="K83" s="872">
        <f>$M$32*(H78+(G80-F80)*H80+(G81-F81)*H81+(G82-F82)*H82+(G83-F83)*H83)*$B$77*$C$77</f>
        <v>35.812221570309525</v>
      </c>
      <c r="L83" s="871">
        <f t="shared" si="4"/>
        <v>537.18332355464281</v>
      </c>
      <c r="M83" s="872">
        <f t="shared" si="4"/>
        <v>44.765276962886908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830.54665154769646</v>
      </c>
      <c r="K84" s="872">
        <f>$M$32*(H78+(G80-F80)*H80+(G81-F81)*H81+(G82-F82)*H82+(G83-F83)*H83+(G84-F84)*H84)*$B$77*$C$77</f>
        <v>69.212220962308038</v>
      </c>
      <c r="L84" s="871">
        <f t="shared" si="4"/>
        <v>1038.1833144346206</v>
      </c>
      <c r="M84" s="872">
        <f t="shared" si="4"/>
        <v>86.515276202885047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35.58607574109287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3"/>
      <c r="O88" s="877">
        <f>O91+O93+O94+O95+O96</f>
        <v>20</v>
      </c>
      <c r="P88" s="1053"/>
      <c r="Q88" s="849">
        <f>Q91+Q93+Q94+Q95+Q96</f>
        <v>711.72151482185734</v>
      </c>
      <c r="R88" s="1053"/>
      <c r="S88" s="1310">
        <f>IF(AND(Q88&lt;&gt;0,O88&lt;&gt;0),Q88*(1-D17-D18-D19)/(($D$25*1000000/$D$8)),0)</f>
        <v>1.0990013554033229</v>
      </c>
      <c r="T88" s="1335" t="s">
        <v>448</v>
      </c>
      <c r="U88" s="1310">
        <f>U91+U93+U94+U95+U96+Z97</f>
        <v>196.81236667069498</v>
      </c>
      <c r="V88" s="1053" t="s">
        <v>449</v>
      </c>
      <c r="W88" s="1310">
        <f>W91*O91+W93*O93+W94*O94+W95*O95+W96*O96</f>
        <v>196.81236667069501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3"/>
      <c r="O89" s="891" t="s">
        <v>455</v>
      </c>
      <c r="P89" s="1053"/>
      <c r="Q89" s="856">
        <v>0.75</v>
      </c>
      <c r="R89" s="1053"/>
      <c r="S89" s="1334"/>
      <c r="T89" s="1336"/>
      <c r="U89" s="1334"/>
      <c r="V89" s="1053"/>
      <c r="W89" s="1311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31.173332765865283</v>
      </c>
      <c r="K91" s="872">
        <f>$M$32*H91*$B$90*$C$90</f>
        <v>2.5977777304887737</v>
      </c>
      <c r="L91" s="871">
        <f>J91*$D$90</f>
        <v>38.9666659573316</v>
      </c>
      <c r="M91" s="872">
        <f>K91*$D$90</f>
        <v>3.2472221631109672</v>
      </c>
      <c r="N91" s="1053"/>
      <c r="O91" s="873">
        <v>1</v>
      </c>
      <c r="P91" s="1053"/>
      <c r="Q91" s="874">
        <f>O91*$Q$76*M91+O91*(1-$Q$76)*K91</f>
        <v>3.084861054955419</v>
      </c>
      <c r="R91" s="1053"/>
      <c r="S91" s="875">
        <f>IF(AND(Q91&lt;&gt;0,O91&lt;&gt;0),Q91*(1-D17-D18-D19)/O91/30/(($D$25*1000000/$D$8))*1000,0)</f>
        <v>0.15878244556910753</v>
      </c>
      <c r="T91" s="1053" t="s">
        <v>459</v>
      </c>
      <c r="U91" s="876">
        <f>S91*O91*30*$D$11*(1+$D$24)/1000</f>
        <v>0.85305669764387948</v>
      </c>
      <c r="V91" s="1053" t="s">
        <v>460</v>
      </c>
      <c r="W91" s="876">
        <f>IF(O91&lt;&gt;0,U91/O91,0)</f>
        <v>0.85305669764387948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97.973331549862337</v>
      </c>
      <c r="K93" s="872">
        <f>$M$32*(H91+(G93-F93)*H93)*$B$90*$C$90</f>
        <v>8.1644442958218608</v>
      </c>
      <c r="L93" s="871">
        <f t="shared" ref="L93:M96" si="5">J93*$D$90</f>
        <v>122.46666443732792</v>
      </c>
      <c r="M93" s="872">
        <f t="shared" si="5"/>
        <v>10.205555369777326</v>
      </c>
      <c r="N93" s="1053"/>
      <c r="O93" s="873">
        <v>2</v>
      </c>
      <c r="P93" s="1053"/>
      <c r="Q93" s="874">
        <f>O93*$Q$76*M93+O93*(1-$Q$76)*K93</f>
        <v>19.39055520257692</v>
      </c>
      <c r="R93" s="1053"/>
      <c r="S93" s="875">
        <f>IF(AND(Q93&lt;&gt;0,O93&lt;&gt;0),Q93*(1-D17-D18-D19)/O93/30/(($D$25*1000000/$D$8))*1000,0)</f>
        <v>0.49903054321719509</v>
      </c>
      <c r="T93" s="1053" t="s">
        <v>459</v>
      </c>
      <c r="U93" s="876">
        <f>S93*O93*30*$D$11*(1+$D$24)/1000</f>
        <v>5.3620706709043855</v>
      </c>
      <c r="V93" s="1053" t="s">
        <v>460</v>
      </c>
      <c r="W93" s="876">
        <f>IF(O93&lt;&gt;0,U93/O93,0)</f>
        <v>2.6810353354521927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409.70665920851513</v>
      </c>
      <c r="K94" s="872">
        <f>$M$32*(H91+(G93-F93)*H93+(G94-F94)*H94)*$B$90*$C$90</f>
        <v>34.142221600709597</v>
      </c>
      <c r="L94" s="871">
        <f t="shared" si="5"/>
        <v>512.13332401064395</v>
      </c>
      <c r="M94" s="872">
        <f t="shared" si="5"/>
        <v>42.677777000886998</v>
      </c>
      <c r="N94" s="1053"/>
      <c r="O94" s="873">
        <v>17</v>
      </c>
      <c r="P94" s="1053"/>
      <c r="Q94" s="874">
        <f>O94*$Q$76*M94+O94*(1-$Q$76)*K94</f>
        <v>689.24609856432505</v>
      </c>
      <c r="R94" s="1053"/>
      <c r="S94" s="875">
        <f>IF(AND(Q94&lt;&gt;0,O94&lt;&gt;0),Q94*(1-D17-D18-D19)/O94/30/(($D$25*1000000/$D$8))*1000,0)</f>
        <v>2.0868549989082701</v>
      </c>
      <c r="T94" s="1053" t="s">
        <v>459</v>
      </c>
      <c r="U94" s="876">
        <f>S94*O94*30*$D$11*(1+$D$24)/1000</f>
        <v>190.59723930214673</v>
      </c>
      <c r="V94" s="1053" t="s">
        <v>460</v>
      </c>
      <c r="W94" s="876">
        <f>IF(O94&lt;&gt;0,U94/O94,0)</f>
        <v>11.211602311890985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2369.173290205762</v>
      </c>
      <c r="K95" s="872">
        <f>$M$32*(H91+(G93-F93)*H93+(G94-F94)*H94+(G95-F95)*H95)*$B$90*$C$90</f>
        <v>197.43110751714681</v>
      </c>
      <c r="L95" s="871">
        <f t="shared" si="5"/>
        <v>2961.4666127572027</v>
      </c>
      <c r="M95" s="872">
        <f t="shared" si="5"/>
        <v>246.7888843964335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5041.1732415656434</v>
      </c>
      <c r="K96" s="872">
        <f>$M$32*(H91+(G93-F93)*H93+(G94-F94)*H94+(G95-F95)*H95+(G96-F96)*H96)*$B$90*$C$90</f>
        <v>420.09777013047028</v>
      </c>
      <c r="L96" s="871">
        <f t="shared" si="5"/>
        <v>6301.4665519570544</v>
      </c>
      <c r="M96" s="872">
        <f t="shared" si="5"/>
        <v>525.12221266308779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85" priority="17">
      <formula>OR(O36&lt;O35*99.75%,O36&gt;O35*100.25%)</formula>
    </cfRule>
  </conditionalFormatting>
  <conditionalFormatting sqref="O36">
    <cfRule type="expression" dxfId="384" priority="18">
      <formula>OR(O36&lt;O35*100.25%,O36&gt;O35*99.75%)</formula>
    </cfRule>
  </conditionalFormatting>
  <conditionalFormatting sqref="Y39">
    <cfRule type="expression" dxfId="383" priority="19">
      <formula>Y39="NOK"</formula>
    </cfRule>
  </conditionalFormatting>
  <conditionalFormatting sqref="Y39">
    <cfRule type="expression" dxfId="382" priority="20">
      <formula>Y39="OK"</formula>
    </cfRule>
  </conditionalFormatting>
  <conditionalFormatting sqref="Y41:Y45">
    <cfRule type="expression" dxfId="381" priority="21">
      <formula>Y41="NOK"</formula>
    </cfRule>
  </conditionalFormatting>
  <conditionalFormatting sqref="Y41:Y45">
    <cfRule type="expression" dxfId="380" priority="22">
      <formula>Y41="OK"</formula>
    </cfRule>
  </conditionalFormatting>
  <conditionalFormatting sqref="Y52">
    <cfRule type="expression" dxfId="379" priority="23">
      <formula>Y52="NOK"</formula>
    </cfRule>
  </conditionalFormatting>
  <conditionalFormatting sqref="Y52">
    <cfRule type="expression" dxfId="378" priority="24">
      <formula>Y52="OK"</formula>
    </cfRule>
  </conditionalFormatting>
  <conditionalFormatting sqref="Y54:Y58">
    <cfRule type="expression" dxfId="377" priority="25">
      <formula>Y54="NOK"</formula>
    </cfRule>
  </conditionalFormatting>
  <conditionalFormatting sqref="Y54:Y58">
    <cfRule type="expression" dxfId="376" priority="26">
      <formula>Y54="OK"</formula>
    </cfRule>
  </conditionalFormatting>
  <conditionalFormatting sqref="Y65">
    <cfRule type="expression" dxfId="375" priority="27">
      <formula>Y65="NOK"</formula>
    </cfRule>
  </conditionalFormatting>
  <conditionalFormatting sqref="Y65">
    <cfRule type="expression" dxfId="374" priority="28">
      <formula>Y65="OK"</formula>
    </cfRule>
  </conditionalFormatting>
  <conditionalFormatting sqref="Y67:Y71">
    <cfRule type="expression" dxfId="373" priority="29">
      <formula>Y67="NOK"</formula>
    </cfRule>
  </conditionalFormatting>
  <conditionalFormatting sqref="Y67:Y71">
    <cfRule type="expression" dxfId="372" priority="30">
      <formula>Y67="OK"</formula>
    </cfRule>
  </conditionalFormatting>
  <conditionalFormatting sqref="Y78">
    <cfRule type="expression" dxfId="371" priority="31">
      <formula>Y78="NOK"</formula>
    </cfRule>
  </conditionalFormatting>
  <conditionalFormatting sqref="Y78">
    <cfRule type="expression" dxfId="370" priority="32">
      <formula>Y78="OK"</formula>
    </cfRule>
  </conditionalFormatting>
  <conditionalFormatting sqref="Y80:Y84">
    <cfRule type="expression" dxfId="369" priority="33">
      <formula>Y80="NOK"</formula>
    </cfRule>
  </conditionalFormatting>
  <conditionalFormatting sqref="Y80:Y84">
    <cfRule type="expression" dxfId="368" priority="34">
      <formula>Y80="OK"</formula>
    </cfRule>
  </conditionalFormatting>
  <conditionalFormatting sqref="Y91">
    <cfRule type="expression" dxfId="367" priority="35">
      <formula>Y91="NOK"</formula>
    </cfRule>
  </conditionalFormatting>
  <conditionalFormatting sqref="Y91">
    <cfRule type="expression" dxfId="366" priority="36">
      <formula>Y91="OK"</formula>
    </cfRule>
  </conditionalFormatting>
  <conditionalFormatting sqref="Y93:Y96">
    <cfRule type="expression" dxfId="365" priority="37">
      <formula>Y93="NOK"</formula>
    </cfRule>
  </conditionalFormatting>
  <conditionalFormatting sqref="Y93:Y96">
    <cfRule type="expression" dxfId="364" priority="38">
      <formula>Y93="OK"</formula>
    </cfRule>
  </conditionalFormatting>
  <conditionalFormatting sqref="Y12">
    <cfRule type="expression" dxfId="363" priority="39">
      <formula>Y12&gt;20%</formula>
    </cfRule>
  </conditionalFormatting>
  <conditionalFormatting sqref="Y12">
    <cfRule type="expression" dxfId="362" priority="40">
      <formula>Y12&lt;=20%</formula>
    </cfRule>
  </conditionalFormatting>
  <conditionalFormatting sqref="O5">
    <cfRule type="expression" dxfId="361" priority="41">
      <formula>ABS(O8)&gt;=O7</formula>
    </cfRule>
    <cfRule type="expression" dxfId="360" priority="42">
      <formula>ABS(O8)&lt;O7</formula>
    </cfRule>
  </conditionalFormatting>
  <conditionalFormatting sqref="Q5">
    <cfRule type="expression" dxfId="359" priority="15">
      <formula>ABS(Q8)&gt;=Q7</formula>
    </cfRule>
    <cfRule type="expression" dxfId="358" priority="16">
      <formula>ABS(Q8)&lt;Q7</formula>
    </cfRule>
  </conditionalFormatting>
  <conditionalFormatting sqref="S5">
    <cfRule type="expression" dxfId="357" priority="13">
      <formula>ABS(S8)&gt;=S7</formula>
    </cfRule>
    <cfRule type="expression" dxfId="356" priority="14">
      <formula>ABS(S8)&lt;S7</formula>
    </cfRule>
  </conditionalFormatting>
  <conditionalFormatting sqref="U5">
    <cfRule type="expression" dxfId="355" priority="11">
      <formula>ABS(U8)&gt;=U7</formula>
    </cfRule>
    <cfRule type="expression" dxfId="354" priority="12">
      <formula>ABS(U8)&lt;U7</formula>
    </cfRule>
  </conditionalFormatting>
  <conditionalFormatting sqref="W5">
    <cfRule type="expression" dxfId="353" priority="9">
      <formula>ABS(W8)&gt;=W7</formula>
    </cfRule>
    <cfRule type="expression" dxfId="352" priority="10">
      <formula>ABS(W8)&lt;W7</formula>
    </cfRule>
  </conditionalFormatting>
  <conditionalFormatting sqref="Y5">
    <cfRule type="expression" dxfId="351" priority="7">
      <formula>ABS(Y12)&gt;=Y10</formula>
    </cfRule>
    <cfRule type="expression" dxfId="350" priority="8">
      <formula>ABS(Y12)&lt;Y10</formula>
    </cfRule>
  </conditionalFormatting>
  <conditionalFormatting sqref="O49 O62 O75 O88">
    <cfRule type="expression" dxfId="349" priority="1">
      <formula>OR(O49&lt;O48*99.75%,O49&gt;O48*100.25%)</formula>
    </cfRule>
  </conditionalFormatting>
  <conditionalFormatting sqref="O49 O62 O75 O88">
    <cfRule type="expression" dxfId="34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/>
    <col min="15" max="15" width="18.33203125" style="770" customWidth="1" outlineLevel="1"/>
    <col min="16" max="16" width="3.44140625" style="770" customWidth="1" outlineLevel="1"/>
    <col min="17" max="17" width="18.33203125" style="770" customWidth="1" outlineLevel="1"/>
    <col min="18" max="18" width="3.44140625" style="770" customWidth="1" outlineLevel="1"/>
    <col min="19" max="19" width="18.33203125" style="770" customWidth="1" outlineLevel="1"/>
    <col min="20" max="21" width="23.33203125" style="770" customWidth="1" outlineLevel="1"/>
    <col min="22" max="22" width="28.44140625" style="770" customWidth="1" outlineLevel="1"/>
    <col min="23" max="23" width="23.33203125" style="771" customWidth="1" outlineLevel="1"/>
    <col min="24" max="24" width="28.44140625" style="770" customWidth="1" outlineLevel="1"/>
    <col min="25" max="25" width="21.88671875" style="771" customWidth="1" outlineLevel="1"/>
    <col min="26" max="26" width="11.33203125" style="770" customWidth="1" outlineLevel="1"/>
    <col min="27" max="27" width="8.6640625" style="770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288" t="s">
        <v>549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4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4"/>
      <c r="M5" s="777"/>
      <c r="N5" s="1054"/>
      <c r="O5" s="1294" t="s">
        <v>378</v>
      </c>
      <c r="P5" s="1054"/>
      <c r="Q5" s="1294" t="s">
        <v>379</v>
      </c>
      <c r="R5" s="1054"/>
      <c r="S5" s="1294" t="s">
        <v>380</v>
      </c>
      <c r="T5" s="1054"/>
      <c r="U5" s="1294" t="s">
        <v>381</v>
      </c>
      <c r="V5" s="1054"/>
      <c r="W5" s="1294" t="s">
        <v>382</v>
      </c>
      <c r="X5" s="1054"/>
      <c r="Y5" s="1294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3.8459131570763696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4"/>
      <c r="M6" s="789"/>
      <c r="N6" s="790"/>
      <c r="O6" s="1295"/>
      <c r="P6" s="1054"/>
      <c r="Q6" s="1295"/>
      <c r="R6" s="1054"/>
      <c r="S6" s="1295"/>
      <c r="T6" s="1054"/>
      <c r="U6" s="1295"/>
      <c r="V6" s="1054"/>
      <c r="W6" s="1295"/>
      <c r="X6" s="1054"/>
      <c r="Y6" s="1295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'RT1C)BIODIG Gas Natural'!M22-'RT1C)BIODIG Gas Natural'!M8-'RT1C)BIODIG Gas Natural'!M9</f>
        <v>111.83791523975377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4"/>
      <c r="M8" s="789"/>
      <c r="N8" s="790"/>
      <c r="O8" s="796">
        <f>(O12-O10)/O10</f>
        <v>0</v>
      </c>
      <c r="P8" s="790"/>
      <c r="Q8" s="796">
        <f>(Q12-Q10)/Q10</f>
        <v>5.929292592874595E-3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4.1805556756564766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0.62450354372102768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4.2053434134582464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280"/>
      <c r="G16" s="1282"/>
      <c r="H16" s="1284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4.1805556756564766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0.67884315831905351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285" t="s">
        <v>419</v>
      </c>
      <c r="G23" s="1286"/>
      <c r="H23" s="1287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24.363774342507249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4.1805556756564766</v>
      </c>
      <c r="E25" s="1054"/>
      <c r="F25" s="835" t="s">
        <v>424</v>
      </c>
      <c r="G25" s="812" t="s">
        <v>425</v>
      </c>
      <c r="H25" s="838">
        <f>H24/12</f>
        <v>2.0303145285422706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0.67884315831905351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296" t="s">
        <v>427</v>
      </c>
      <c r="C29" s="1297"/>
      <c r="D29" s="1297"/>
      <c r="E29" s="1298"/>
      <c r="F29" s="1054"/>
      <c r="G29" s="1054"/>
      <c r="H29" s="777"/>
      <c r="I29" s="1054"/>
      <c r="J29" s="777"/>
      <c r="K29" s="1299" t="s">
        <v>428</v>
      </c>
      <c r="L29" s="1300"/>
      <c r="M29" s="1301"/>
      <c r="N29" s="1054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4"/>
      <c r="O31" s="1307" t="s">
        <v>433</v>
      </c>
      <c r="P31" s="1054"/>
      <c r="Q31" s="1307" t="s">
        <v>434</v>
      </c>
      <c r="R31" s="1054"/>
      <c r="S31" s="1307" t="s">
        <v>435</v>
      </c>
      <c r="T31" s="1054"/>
      <c r="U31" s="1307" t="s">
        <v>436</v>
      </c>
      <c r="V31" s="1054"/>
      <c r="W31" s="1307" t="s">
        <v>436</v>
      </c>
      <c r="X31" s="1054"/>
      <c r="Y31" s="1307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24.363774342507249</v>
      </c>
      <c r="M32" s="841">
        <f>H25</f>
        <v>2.0303145285422706</v>
      </c>
      <c r="N32" s="842"/>
      <c r="O32" s="1308"/>
      <c r="P32" s="842"/>
      <c r="Q32" s="1308"/>
      <c r="R32" s="842"/>
      <c r="S32" s="1308"/>
      <c r="T32" s="1054"/>
      <c r="U32" s="1308"/>
      <c r="V32" s="1054"/>
      <c r="W32" s="1308"/>
      <c r="X32" s="1054"/>
      <c r="Y32" s="1309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4.2053434134582464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20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21"/>
      <c r="Z34" s="1054"/>
      <c r="AA34" s="1054"/>
      <c r="AB34" s="773"/>
    </row>
    <row r="35" spans="1:28" s="774" customFormat="1" ht="25.2" customHeight="1" outlineLevel="1" x14ac:dyDescent="0.3">
      <c r="A35" s="1054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3.0288168689464579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4"/>
      <c r="O36" s="802">
        <f>O39+O41+O42+O43+O44+O45</f>
        <v>40</v>
      </c>
      <c r="P36" s="1054"/>
      <c r="Q36" s="849">
        <f>Q39+Q41+Q42+Q43+Q44+Q45</f>
        <v>121.15267475785831</v>
      </c>
      <c r="R36" s="1054"/>
      <c r="S36" s="1310">
        <f>IF(AND(Q36&lt;&gt;0,O36&lt;&gt;0),Q36*(1-D17-D18-D19)/(($D$25*1000000/$D$8)),0)</f>
        <v>0.91186490169687451</v>
      </c>
      <c r="T36" s="1335" t="s">
        <v>448</v>
      </c>
      <c r="U36" s="1310">
        <f>U39+U41+U42+U43+U44+U45</f>
        <v>163.29942497754257</v>
      </c>
      <c r="V36" s="1054" t="s">
        <v>449</v>
      </c>
      <c r="W36" s="1310">
        <f>W39*O39+W41*O41+W42*O42+W43*O43+W44*O44+W45*O45</f>
        <v>163.29942497754257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4"/>
      <c r="O37" s="855" t="s">
        <v>455</v>
      </c>
      <c r="P37" s="1054"/>
      <c r="Q37" s="856">
        <v>0.75</v>
      </c>
      <c r="R37" s="1054"/>
      <c r="S37" s="1334"/>
      <c r="T37" s="1336"/>
      <c r="U37" s="1334"/>
      <c r="V37" s="1054"/>
      <c r="W37" s="1311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6.0909435856268122</v>
      </c>
      <c r="K39" s="872">
        <f>$M$32*H39*$B$38*$C$38</f>
        <v>0.50757863213556764</v>
      </c>
      <c r="L39" s="871">
        <f>J39*$D$38</f>
        <v>7.6136794820335147</v>
      </c>
      <c r="M39" s="872">
        <f>K39*$D$38</f>
        <v>0.63447329016945953</v>
      </c>
      <c r="N39" s="1054"/>
      <c r="O39" s="873">
        <v>2</v>
      </c>
      <c r="P39" s="1054"/>
      <c r="Q39" s="874">
        <f>O39*$Q$37*M39+O39*(1-$Q$37)*K39</f>
        <v>1.2054992513219731</v>
      </c>
      <c r="R39" s="1054"/>
      <c r="S39" s="875">
        <f>IF(AND(Q39&lt;&gt;0,O39&lt;&gt;0),Q39*(1-D17-D18-D19)/O39/30/(($D$25*1000000/$D$8))*1000,0)</f>
        <v>0.15122137673248331</v>
      </c>
      <c r="T39" s="1054" t="s">
        <v>459</v>
      </c>
      <c r="U39" s="876">
        <f>S39*O39*30*$D$11*(1+$D$24)/1000</f>
        <v>1.6248699002740554</v>
      </c>
      <c r="V39" s="1054" t="s">
        <v>460</v>
      </c>
      <c r="W39" s="876">
        <f>IF(O39&lt;&gt;0,U39/O39,0)</f>
        <v>0.81243495013702771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17.663736398317756</v>
      </c>
      <c r="K41" s="872">
        <f>$M$32*(H39+(G41-F41)*H41)*$B$38*$C$38</f>
        <v>1.471978033193146</v>
      </c>
      <c r="L41" s="871">
        <f t="shared" ref="L41:M45" si="0">J41*$D$38</f>
        <v>22.079670497897194</v>
      </c>
      <c r="M41" s="872">
        <f t="shared" si="0"/>
        <v>1.8399725414914325</v>
      </c>
      <c r="N41" s="1054"/>
      <c r="O41" s="873">
        <v>2</v>
      </c>
      <c r="P41" s="1054"/>
      <c r="Q41" s="874">
        <f>O41*$Q$37*M41+O41*(1-$Q$37)*K41</f>
        <v>3.4959478288337218</v>
      </c>
      <c r="R41" s="1054"/>
      <c r="S41" s="875">
        <f>IF(AND(Q41&lt;&gt;0,O41&lt;&gt;0),Q41*(1-D17-D18-D19)/O41/30/(($D$25*1000000/$D$8))*1000,0)</f>
        <v>0.43854199252420156</v>
      </c>
      <c r="T41" s="1054" t="s">
        <v>459</v>
      </c>
      <c r="U41" s="876">
        <f>S41*O41*30*$D$11*(1+$D$24)/1000</f>
        <v>4.7121227107947607</v>
      </c>
      <c r="V41" s="1054" t="s">
        <v>460</v>
      </c>
      <c r="W41" s="876">
        <f>IF(O41&lt;&gt;0,U41/O41,0)</f>
        <v>2.3560613553973804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29.84562356957138</v>
      </c>
      <c r="K42" s="872">
        <f>$M$32*(H39+(G41-F41)*H41+(G42-F42)*H42)*$B$38*$C$38</f>
        <v>2.4871352974642815</v>
      </c>
      <c r="L42" s="871">
        <f t="shared" si="0"/>
        <v>37.307029461964227</v>
      </c>
      <c r="M42" s="872">
        <f t="shared" si="0"/>
        <v>3.1089191218303518</v>
      </c>
      <c r="N42" s="1054"/>
      <c r="O42" s="873">
        <v>28</v>
      </c>
      <c r="P42" s="1054"/>
      <c r="Q42" s="874">
        <f>O42*$Q$37*M42+O42*(1-$Q$37)*K42</f>
        <v>82.697248640687363</v>
      </c>
      <c r="R42" s="1054"/>
      <c r="S42" s="875">
        <f>IF(AND(Q42&lt;&gt;0,O42&lt;&gt;0),Q42*(1-D17-D18-D19)/O42/30/(($D$25*1000000/$D$8))*1000,0)</f>
        <v>0.74098474598916819</v>
      </c>
      <c r="T42" s="1054" t="s">
        <v>459</v>
      </c>
      <c r="U42" s="876">
        <f>S42*O42*30*$D$11*(1+$D$24)/1000</f>
        <v>111.46607515880019</v>
      </c>
      <c r="V42" s="1054" t="s">
        <v>460</v>
      </c>
      <c r="W42" s="876">
        <f>IF(O42&lt;&gt;0,U42/O42,0)</f>
        <v>3.9809312556714356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42.636605099387687</v>
      </c>
      <c r="K43" s="872">
        <f>$M$32*(H39+(G41-F41)*H41+(G42-F42)*H42+(G43-F43)*H43)*$B$38*$C$38</f>
        <v>3.5530504249489736</v>
      </c>
      <c r="L43" s="871">
        <f t="shared" si="0"/>
        <v>53.295756374234607</v>
      </c>
      <c r="M43" s="872">
        <f t="shared" si="0"/>
        <v>4.4413130311862172</v>
      </c>
      <c r="N43" s="1054"/>
      <c r="O43" s="873">
        <v>8</v>
      </c>
      <c r="P43" s="1054"/>
      <c r="Q43" s="874">
        <f>O43*$Q$37*M43+O43*(1-$Q$37)*K43</f>
        <v>33.753979037015249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62.736718931956169</v>
      </c>
      <c r="K44" s="872">
        <f>$M$32*(H39+(G41-F41)*H41+(G42-F42)*H42+(G43-F43)*H43+(G44-F44)*H44)*$B$38*$C$38</f>
        <v>5.2280599109963468</v>
      </c>
      <c r="L44" s="871">
        <f t="shared" si="0"/>
        <v>78.420898664945213</v>
      </c>
      <c r="M44" s="872">
        <f t="shared" si="0"/>
        <v>6.5350748887454335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132.7825701666645</v>
      </c>
      <c r="K45" s="872">
        <f>$M$32*(H39+(G41-F41)*H41+(G42-F42)*H42+(G43-F43)*H43+(G44-F44)*H44+(G45-F45)*H45)*$B$38*$C$38</f>
        <v>11.065214180555374</v>
      </c>
      <c r="L45" s="871">
        <f t="shared" si="0"/>
        <v>165.97821270833063</v>
      </c>
      <c r="M45" s="872">
        <f t="shared" si="0"/>
        <v>13.831517725694217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2.4204971662178876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4"/>
      <c r="O49" s="802">
        <f>O52+O54+O55+O56+O57+O58</f>
        <v>127341</v>
      </c>
      <c r="P49" s="1054"/>
      <c r="Q49" s="890">
        <f>Q52+Q54+Q55+Q56+Q57+Q58</f>
        <v>308228.52964335203</v>
      </c>
      <c r="R49" s="1054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415455.47180887184</v>
      </c>
      <c r="V49" s="1054" t="s">
        <v>449</v>
      </c>
      <c r="W49" s="1338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4"/>
      <c r="O50" s="891" t="s">
        <v>455</v>
      </c>
      <c r="P50" s="1054"/>
      <c r="Q50" s="856">
        <v>0.75</v>
      </c>
      <c r="R50" s="1054"/>
      <c r="S50" s="1334"/>
      <c r="T50" s="1336"/>
      <c r="U50" s="1334"/>
      <c r="V50" s="1054"/>
      <c r="W50" s="1339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8.5425483788416035</v>
      </c>
      <c r="K52" s="872">
        <f>$M$32*H52*$B$51*$C$51</f>
        <v>0.71187903157013366</v>
      </c>
      <c r="L52" s="871">
        <f>J52*$D$51</f>
        <v>10.678185473552004</v>
      </c>
      <c r="M52" s="872">
        <f>K52*$D$51</f>
        <v>0.8898487894626671</v>
      </c>
      <c r="N52" s="1054"/>
      <c r="O52" s="873">
        <v>62341</v>
      </c>
      <c r="P52" s="1054"/>
      <c r="Q52" s="874">
        <f>O52*$Q$50*M52+O52*(1-$Q$50)*K52</f>
        <v>52700.360214697524</v>
      </c>
      <c r="R52" s="1054"/>
      <c r="S52" s="875">
        <f>IF(AND(Q52&lt;&gt;0,O52&lt;&gt;0),Q52*(1-D17-D18-D19)/O52/30/(($D$25*1000000/$D$8))*1000,0)</f>
        <v>0.21208798086730787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27.18083575085965</v>
      </c>
      <c r="K54" s="872">
        <f>$M$32*(H52+(G54-F54)*H54)*$B$51*$C$51</f>
        <v>2.2650696459049704</v>
      </c>
      <c r="L54" s="871">
        <f t="shared" ref="L54:M58" si="1">J54*$D$51</f>
        <v>33.976044688574561</v>
      </c>
      <c r="M54" s="872">
        <f t="shared" si="1"/>
        <v>2.8313370573812131</v>
      </c>
      <c r="N54" s="1054"/>
      <c r="O54" s="873">
        <v>42500</v>
      </c>
      <c r="P54" s="1054"/>
      <c r="Q54" s="874">
        <f>O54*$Q$50*M54+O54*(1-$Q$50)*K54</f>
        <v>114315.23369176648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46.595718430045117</v>
      </c>
      <c r="K55" s="872">
        <f>$M$32*(H52+(G54-F54)*H54+(G55-F55)*H55)*$B$51*$C$51</f>
        <v>3.8829765358370927</v>
      </c>
      <c r="L55" s="871">
        <f t="shared" si="1"/>
        <v>58.244648037556395</v>
      </c>
      <c r="M55" s="872">
        <f t="shared" si="1"/>
        <v>4.853720669796366</v>
      </c>
      <c r="N55" s="1054"/>
      <c r="O55" s="873">
        <v>10000</v>
      </c>
      <c r="P55" s="1054"/>
      <c r="Q55" s="874">
        <f>O55*$Q$50*M55+O55*(1-$Q$50)*K55</f>
        <v>46110.346363065481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76.882935409574429</v>
      </c>
      <c r="K56" s="872">
        <f>$M$32*(H52+(G54-F54)*H54+(G55-F55)*H55+(G56-F56)*H56)*$B$51*$C$51</f>
        <v>6.4069112841312021</v>
      </c>
      <c r="L56" s="871">
        <f t="shared" si="1"/>
        <v>96.103669261968037</v>
      </c>
      <c r="M56" s="872">
        <f t="shared" si="1"/>
        <v>8.0086391051640025</v>
      </c>
      <c r="N56" s="1054"/>
      <c r="O56" s="873">
        <v>12500</v>
      </c>
      <c r="P56" s="1054"/>
      <c r="Q56" s="874">
        <f>O56*$Q$50*M56+O56*(1-$Q$50)*K56</f>
        <v>95102.589373822528</v>
      </c>
      <c r="R56" s="1054"/>
      <c r="S56" s="875">
        <f>IF(AND(Q56&lt;&gt;0,O56&lt;&gt;0),Q56*(1-D17-D18-D19)/O56/30/(($D$25*1000000/$D$8))*1000,0)</f>
        <v>1.9087918278057705</v>
      </c>
      <c r="T56" s="1054" t="s">
        <v>459</v>
      </c>
      <c r="U56" s="876">
        <f>S56*O56*30*$D$11*(1+$D$24)/1000</f>
        <v>128187.0019763079</v>
      </c>
      <c r="V56" s="1054" t="s">
        <v>460</v>
      </c>
      <c r="W56" s="895">
        <f>IF(O56&lt;&gt;0,U56/O56,0)</f>
        <v>10.254960158104632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158.42544266215336</v>
      </c>
      <c r="K57" s="872">
        <f>$M$32*(H52+(G54-F54)*H54+(G55-F55)*H55+(G56-F56)*H56+(G57-F57)*H57)*$B$51*$C$51</f>
        <v>13.202120221846112</v>
      </c>
      <c r="L57" s="871">
        <f t="shared" si="1"/>
        <v>198.0318033276917</v>
      </c>
      <c r="M57" s="872">
        <f t="shared" si="1"/>
        <v>16.502650277307641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333.15938677482256</v>
      </c>
      <c r="K58" s="872">
        <f>$M$32*(H52+(G54-F54)*H54+(G55-F55)*H55+(G56-F56)*H56+(G57-F57)*H57+(G58-F58)*H58)*$B$51*$C$51</f>
        <v>27.763282231235209</v>
      </c>
      <c r="L58" s="871">
        <f t="shared" si="1"/>
        <v>416.44923346852818</v>
      </c>
      <c r="M58" s="872">
        <f t="shared" si="1"/>
        <v>34.704102789044015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0.85041037940160435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4"/>
      <c r="O62" s="802">
        <f>O65+O67+O68+O69+O70+O71</f>
        <v>42447</v>
      </c>
      <c r="P62" s="1054"/>
      <c r="Q62" s="849">
        <f>Q65+Q67+Q68+Q69+Q70+Q71</f>
        <v>36097.3693744599</v>
      </c>
      <c r="R62" s="1054"/>
      <c r="S62" s="1310">
        <f>IF(AND(Q62&lt;&gt;0,O62&lt;&gt;0),Q62*(1-D17-D18-D19)/(H15)/(($D$25*1000000/$D$8)),0)</f>
        <v>543.37924015206477</v>
      </c>
      <c r="T62" s="1335" t="s">
        <v>448</v>
      </c>
      <c r="U62" s="1310">
        <f>U65+U67+U68+U69+U70+U71</f>
        <v>97309.938452991715</v>
      </c>
      <c r="V62" s="1054" t="s">
        <v>449</v>
      </c>
      <c r="W62" s="131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4"/>
      <c r="O63" s="891" t="s">
        <v>455</v>
      </c>
      <c r="P63" s="1054"/>
      <c r="Q63" s="856">
        <v>0.75</v>
      </c>
      <c r="R63" s="1054"/>
      <c r="S63" s="1334"/>
      <c r="T63" s="1336"/>
      <c r="U63" s="1334"/>
      <c r="V63" s="1054"/>
      <c r="W63" s="1311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4.2712741894208017</v>
      </c>
      <c r="K65" s="872">
        <f>$M$32*H65*$B$64*$C$64</f>
        <v>0.35593951578506683</v>
      </c>
      <c r="L65" s="871">
        <f>J65*$D$51</f>
        <v>5.3390927367760019</v>
      </c>
      <c r="M65" s="872">
        <f>K65*$D$51</f>
        <v>0.44492439473133355</v>
      </c>
      <c r="N65" s="1054"/>
      <c r="O65" s="873">
        <v>25947</v>
      </c>
      <c r="P65" s="1054"/>
      <c r="Q65" s="874">
        <f>O65*$Q$63*M65+O65*(1-$Q$63)*K65</f>
        <v>10967.230606589215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13.590417875429825</v>
      </c>
      <c r="K67" s="872">
        <f>$M$32*(H65+(G67-F67)*H67)*$B$64*$C$64</f>
        <v>1.1325348229524852</v>
      </c>
      <c r="L67" s="871">
        <f t="shared" ref="L67:M71" si="3">J67*$D$51</f>
        <v>16.98802234428728</v>
      </c>
      <c r="M67" s="872">
        <f t="shared" si="3"/>
        <v>1.4156685286906066</v>
      </c>
      <c r="N67" s="1054"/>
      <c r="O67" s="873">
        <v>15000</v>
      </c>
      <c r="P67" s="1054"/>
      <c r="Q67" s="874">
        <f>O67*$Q$63*M67+O67*(1-$Q$63)*K67</f>
        <v>20173.276533841145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23.297859215022559</v>
      </c>
      <c r="K68" s="872">
        <f>$M$32*(H65+(G67-F67)*H67+(G68-F68)*H68)*$B$64*$C$64</f>
        <v>1.9414882679185463</v>
      </c>
      <c r="L68" s="871">
        <f t="shared" si="3"/>
        <v>29.122324018778198</v>
      </c>
      <c r="M68" s="872">
        <f t="shared" si="3"/>
        <v>2.426860334898183</v>
      </c>
      <c r="N68" s="1054"/>
      <c r="O68" s="873">
        <v>500</v>
      </c>
      <c r="P68" s="1054"/>
      <c r="Q68" s="874">
        <f>O68*$Q$63*M68+O68*(1-$Q$63)*K68</f>
        <v>1152.7586590766368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38.441467704787215</v>
      </c>
      <c r="K69" s="872">
        <f>$M$32*(H65+(G67-F67)*H67+(G68-F68)*H68+(G69-F69)*H69)*$B$64*$C$64</f>
        <v>3.2034556420656011</v>
      </c>
      <c r="L69" s="871">
        <f t="shared" si="3"/>
        <v>48.051834630984018</v>
      </c>
      <c r="M69" s="872">
        <f t="shared" si="3"/>
        <v>4.0043195525820012</v>
      </c>
      <c r="N69" s="1054"/>
      <c r="O69" s="873">
        <v>1000</v>
      </c>
      <c r="P69" s="1054"/>
      <c r="Q69" s="874">
        <f>O69*$Q$63*M69+O69*(1-$Q$63)*K69</f>
        <v>3804.103574952901</v>
      </c>
      <c r="R69" s="1054"/>
      <c r="S69" s="875">
        <f>IF(AND(Q69&lt;&gt;0,O69&lt;&gt;0),Q69*(1-D17-D18-D19)/O69/30/(H15)/(($D$25*1000000/$D$8))*1000,0)</f>
        <v>1.9087918278057703</v>
      </c>
      <c r="T69" s="1054" t="s">
        <v>459</v>
      </c>
      <c r="U69" s="876">
        <f>S69*O69*30*$D$11*(1+$D$24)/1000</f>
        <v>10254.96015810463</v>
      </c>
      <c r="V69" s="1054" t="s">
        <v>460</v>
      </c>
      <c r="W69" s="876">
        <f>IF(O69&lt;&gt;0,U69/O69,0)</f>
        <v>10.25496015810463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79.212721331076679</v>
      </c>
      <c r="K70" s="872">
        <f>$M$32*(H65+(G67-F67)*H67+(G68-F68)*H68+(G69-F69)*H69+(G70-F70)*H70)*$B$64*$C$64</f>
        <v>6.601060110923056</v>
      </c>
      <c r="L70" s="871">
        <f t="shared" si="3"/>
        <v>99.015901663845852</v>
      </c>
      <c r="M70" s="872">
        <f t="shared" si="3"/>
        <v>8.2513251386538204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166.57969338741128</v>
      </c>
      <c r="K71" s="872">
        <f>$M$32*(H65+(G67-F67)*H67+(G68-F68)*H68+(G69-F69)*H69+(G70-F70)*H70+(G71-F71)*H71)*$B$64*$C$64</f>
        <v>13.881641115617604</v>
      </c>
      <c r="L71" s="871">
        <f t="shared" si="3"/>
        <v>208.22461673426409</v>
      </c>
      <c r="M71" s="872">
        <f t="shared" si="3"/>
        <v>17.352051394522007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3.3614110657482201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4"/>
      <c r="O75" s="802">
        <f>O78+O80+O81+O82+O83+O84</f>
        <v>1741</v>
      </c>
      <c r="P75" s="1054"/>
      <c r="Q75" s="849">
        <f>Q78+Q80+Q81+Q82+Q83+Q84</f>
        <v>5852.2166654676512</v>
      </c>
      <c r="R75" s="1054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7888.0934178704301</v>
      </c>
      <c r="V75" s="1054" t="s">
        <v>449</v>
      </c>
      <c r="W75" s="131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4"/>
      <c r="O76" s="891" t="s">
        <v>455</v>
      </c>
      <c r="P76" s="1054"/>
      <c r="Q76" s="856">
        <v>0.75</v>
      </c>
      <c r="R76" s="1054"/>
      <c r="S76" s="1334"/>
      <c r="T76" s="1336"/>
      <c r="U76" s="1334"/>
      <c r="V76" s="1054"/>
      <c r="W76" s="1311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8.2227738405961972</v>
      </c>
      <c r="K78" s="872">
        <f>$M$32*H78*$B$77*$C$77</f>
        <v>0.68523115338301632</v>
      </c>
      <c r="L78" s="871">
        <f>J78*$D$77</f>
        <v>10.278467300745247</v>
      </c>
      <c r="M78" s="872">
        <f>K78*$D$77</f>
        <v>0.85653894172877043</v>
      </c>
      <c r="N78" s="1054"/>
      <c r="O78" s="873">
        <v>264</v>
      </c>
      <c r="P78" s="1054"/>
      <c r="Q78" s="874">
        <f>O78*$Q$76*M78+O78*(1-$Q$76)*K78</f>
        <v>214.81996658557563</v>
      </c>
      <c r="R78" s="1054"/>
      <c r="S78" s="875">
        <f>IF(AND(Q78&lt;&gt;0,O78&lt;&gt;0),Q78*(1-D17-D18-D19)/O78/30/(($D$25*1000000/$D$8))*1000,0)</f>
        <v>0.20414885858885248</v>
      </c>
      <c r="T78" s="1054" t="s">
        <v>459</v>
      </c>
      <c r="U78" s="876">
        <f>S78*O78*30*$D$11*(1+$D$24)/1000</f>
        <v>289.55181622883674</v>
      </c>
      <c r="V78" s="1054" t="s">
        <v>460</v>
      </c>
      <c r="W78" s="876">
        <f>IF(O78&lt;&gt;0,U78/O78,0)</f>
        <v>1.0967871826849878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30.150170748852716</v>
      </c>
      <c r="K80" s="872">
        <f>$M$32*(H78+(G80-F80)*H80)*$B$77*$C$77</f>
        <v>2.5125142290710598</v>
      </c>
      <c r="L80" s="871">
        <f t="shared" ref="L80:M84" si="4">J80*$D$77</f>
        <v>37.687713436065891</v>
      </c>
      <c r="M80" s="872">
        <f t="shared" si="4"/>
        <v>3.1406427863388249</v>
      </c>
      <c r="N80" s="1054"/>
      <c r="O80" s="873">
        <v>994</v>
      </c>
      <c r="P80" s="1054"/>
      <c r="Q80" s="874">
        <f>O80*$Q$76*M80+O80*(1-$Q$76)*K80</f>
        <v>2965.7089831397525</v>
      </c>
      <c r="R80" s="1054"/>
      <c r="S80" s="875">
        <f>IF(AND(Q80&lt;&gt;0,O80&lt;&gt;0),Q80*(1-D17-D18-D19)/O80/30/(($D$25*1000000/$D$8))*1000,0)</f>
        <v>0.74854581482579241</v>
      </c>
      <c r="T80" s="1054" t="s">
        <v>459</v>
      </c>
      <c r="U80" s="876">
        <f>S80*O80*30*$D$11*(1+$D$24)/1000</f>
        <v>3997.4236851592173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45.682076892201088</v>
      </c>
      <c r="K81" s="872">
        <f>$M$32*(H78+(G80-F80)*H80+(G81-F81)*H81)*$B$77*$C$77</f>
        <v>3.8068397410167574</v>
      </c>
      <c r="L81" s="871">
        <f t="shared" si="4"/>
        <v>57.102596115251359</v>
      </c>
      <c r="M81" s="872">
        <f t="shared" si="4"/>
        <v>4.7585496762709472</v>
      </c>
      <c r="N81" s="1054"/>
      <c r="O81" s="873">
        <v>183</v>
      </c>
      <c r="P81" s="1054"/>
      <c r="Q81" s="874">
        <f>O81*$Q$76*M81+O81*(1-$Q$76)*K81</f>
        <v>827.27386121970414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62.127624573393483</v>
      </c>
      <c r="K82" s="872">
        <f>$M$32*(H78+(G80-F80)*H80+(G81-F81)*H81+(G82-F82)*H82)*$B$77*$C$77</f>
        <v>5.1773020477827902</v>
      </c>
      <c r="L82" s="871">
        <f t="shared" si="4"/>
        <v>77.659530716741855</v>
      </c>
      <c r="M82" s="872">
        <f t="shared" si="4"/>
        <v>6.4716275597284874</v>
      </c>
      <c r="N82" s="1054"/>
      <c r="O82" s="873">
        <v>300</v>
      </c>
      <c r="P82" s="1054"/>
      <c r="Q82" s="874">
        <f>O82*$Q$76*M82+O82*(1-$Q$76)*K82</f>
        <v>1844.413854522619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88.166408401948104</v>
      </c>
      <c r="K83" s="872">
        <f>$M$32*(H78+(G80-F80)*H80+(G81-F81)*H81+(G82-F82)*H82+(G83-F83)*H83)*$B$77*$C$77</f>
        <v>7.3472007001623423</v>
      </c>
      <c r="L83" s="871">
        <f t="shared" si="4"/>
        <v>110.20801050243513</v>
      </c>
      <c r="M83" s="872">
        <f t="shared" si="4"/>
        <v>9.1840008752029281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170.39414680791003</v>
      </c>
      <c r="K84" s="872">
        <f>$M$32*(H78+(G80-F80)*H80+(G81-F81)*H81+(G82-F82)*H82+(G83-F83)*H83+(G84-F84)*H84)*$B$77*$C$77</f>
        <v>14.199512233992504</v>
      </c>
      <c r="L84" s="871">
        <f t="shared" si="4"/>
        <v>212.99268350988754</v>
      </c>
      <c r="M84" s="872">
        <f t="shared" si="4"/>
        <v>17.749390292490631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7.3008048408186994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4"/>
      <c r="O88" s="877">
        <f>O91+O93+O94+O95+O96</f>
        <v>20</v>
      </c>
      <c r="P88" s="1054"/>
      <c r="Q88" s="849">
        <f>Q91+Q93+Q94+Q95+Q96</f>
        <v>146.01609681637399</v>
      </c>
      <c r="R88" s="1054"/>
      <c r="S88" s="1310">
        <f>IF(AND(Q88&lt;&gt;0,O88&lt;&gt;0),Q88*(1-D17-D18-D19)/(($D$25*1000000/$D$8)),0)</f>
        <v>1.0990013554033224</v>
      </c>
      <c r="T88" s="1335" t="s">
        <v>448</v>
      </c>
      <c r="U88" s="1310">
        <f>U91+U93+U94+U95+U96+Z97</f>
        <v>196.81236667069498</v>
      </c>
      <c r="V88" s="1054" t="s">
        <v>449</v>
      </c>
      <c r="W88" s="131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4"/>
      <c r="O89" s="891" t="s">
        <v>455</v>
      </c>
      <c r="P89" s="1054"/>
      <c r="Q89" s="856">
        <v>0.75</v>
      </c>
      <c r="R89" s="1054"/>
      <c r="S89" s="1334"/>
      <c r="T89" s="1336"/>
      <c r="U89" s="1334"/>
      <c r="V89" s="1054"/>
      <c r="W89" s="1311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6.3954907649081525</v>
      </c>
      <c r="K91" s="872">
        <f>$M$32*H91*$B$90*$C$90</f>
        <v>0.53295756374234593</v>
      </c>
      <c r="L91" s="871">
        <f>J91*$D$90</f>
        <v>7.9943634561351908</v>
      </c>
      <c r="M91" s="872">
        <f>K91*$D$90</f>
        <v>0.66619695467793238</v>
      </c>
      <c r="N91" s="1054"/>
      <c r="O91" s="873">
        <v>1</v>
      </c>
      <c r="P91" s="1054"/>
      <c r="Q91" s="874">
        <f>O91*$Q$76*M91+O91*(1-$Q$76)*K91</f>
        <v>0.63288710694403572</v>
      </c>
      <c r="R91" s="1054"/>
      <c r="S91" s="875">
        <f>IF(AND(Q91&lt;&gt;0,O91&lt;&gt;0),Q91*(1-D17-D18-D19)/O91/30/(($D$25*1000000/$D$8))*1000,0)</f>
        <v>0.15878244556910745</v>
      </c>
      <c r="T91" s="1054" t="s">
        <v>459</v>
      </c>
      <c r="U91" s="876">
        <f>S91*O91*30*$D$11*(1+$D$24)/1000</f>
        <v>0.85305669764387904</v>
      </c>
      <c r="V91" s="1054" t="s">
        <v>460</v>
      </c>
      <c r="W91" s="876">
        <f>IF(O91&lt;&gt;0,U91/O91,0)</f>
        <v>0.85305669764387904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20.100113832568482</v>
      </c>
      <c r="K93" s="872">
        <f>$M$32*(H91+(G93-F93)*H93)*$B$90*$C$90</f>
        <v>1.6750094860473732</v>
      </c>
      <c r="L93" s="871">
        <f t="shared" ref="L93:M96" si="5">J93*$D$90</f>
        <v>25.125142290710603</v>
      </c>
      <c r="M93" s="872">
        <f t="shared" si="5"/>
        <v>2.0937618575592163</v>
      </c>
      <c r="N93" s="1054"/>
      <c r="O93" s="873">
        <v>2</v>
      </c>
      <c r="P93" s="1054"/>
      <c r="Q93" s="874">
        <f>O93*$Q$76*M93+O93*(1-$Q$76)*K93</f>
        <v>3.978147529362511</v>
      </c>
      <c r="R93" s="1054"/>
      <c r="S93" s="875">
        <f>IF(AND(Q93&lt;&gt;0,O93&lt;&gt;0),Q93*(1-D17-D18-D19)/O93/30/(($D$25*1000000/$D$8))*1000,0)</f>
        <v>0.49903054321719487</v>
      </c>
      <c r="T93" s="1054" t="s">
        <v>459</v>
      </c>
      <c r="U93" s="876">
        <f>S93*O93*30*$D$11*(1+$D$24)/1000</f>
        <v>5.3620706709043828</v>
      </c>
      <c r="V93" s="1054" t="s">
        <v>460</v>
      </c>
      <c r="W93" s="876">
        <f>IF(O93&lt;&gt;0,U93/O93,0)</f>
        <v>2.6810353354521914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84.055021481650002</v>
      </c>
      <c r="K94" s="872">
        <f>$M$32*(H91+(G93-F93)*H93+(G94-F94)*H94)*$B$90*$C$90</f>
        <v>7.0045851234708323</v>
      </c>
      <c r="L94" s="871">
        <f t="shared" si="5"/>
        <v>105.0687768520625</v>
      </c>
      <c r="M94" s="872">
        <f t="shared" si="5"/>
        <v>8.7557314043385404</v>
      </c>
      <c r="N94" s="1054"/>
      <c r="O94" s="873">
        <v>17</v>
      </c>
      <c r="P94" s="1054"/>
      <c r="Q94" s="874">
        <f>O94*$Q$76*M94+O94*(1-$Q$76)*K94</f>
        <v>141.40506218006743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486.05729813301957</v>
      </c>
      <c r="K95" s="872">
        <f>$M$32*(H91+(G93-F93)*H93+(G94-F94)*H94+(G95-F95)*H95)*$B$90*$C$90</f>
        <v>40.5047748444183</v>
      </c>
      <c r="L95" s="871">
        <f t="shared" si="5"/>
        <v>607.57162266627449</v>
      </c>
      <c r="M95" s="872">
        <f t="shared" si="5"/>
        <v>50.630968555522877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1034.2422208394328</v>
      </c>
      <c r="K96" s="872">
        <f>$M$32*(H91+(G93-F93)*H93+(G94-F94)*H94+(G95-F95)*H95+(G96-F96)*H96)*$B$90*$C$90</f>
        <v>86.186851736619388</v>
      </c>
      <c r="L96" s="871">
        <f t="shared" si="5"/>
        <v>1292.802776049291</v>
      </c>
      <c r="M96" s="872">
        <f t="shared" si="5"/>
        <v>107.73356467077423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47" priority="17">
      <formula>OR(O36&lt;O35*99.75%,O36&gt;O35*100.25%)</formula>
    </cfRule>
  </conditionalFormatting>
  <conditionalFormatting sqref="O36">
    <cfRule type="expression" dxfId="346" priority="18">
      <formula>OR(O36&lt;O35*100.25%,O36&gt;O35*99.75%)</formula>
    </cfRule>
  </conditionalFormatting>
  <conditionalFormatting sqref="Y39">
    <cfRule type="expression" dxfId="345" priority="19">
      <formula>Y39="NOK"</formula>
    </cfRule>
  </conditionalFormatting>
  <conditionalFormatting sqref="Y39">
    <cfRule type="expression" dxfId="344" priority="20">
      <formula>Y39="OK"</formula>
    </cfRule>
  </conditionalFormatting>
  <conditionalFormatting sqref="Y41:Y45">
    <cfRule type="expression" dxfId="343" priority="21">
      <formula>Y41="NOK"</formula>
    </cfRule>
  </conditionalFormatting>
  <conditionalFormatting sqref="Y41:Y45">
    <cfRule type="expression" dxfId="342" priority="22">
      <formula>Y41="OK"</formula>
    </cfRule>
  </conditionalFormatting>
  <conditionalFormatting sqref="Y52">
    <cfRule type="expression" dxfId="341" priority="23">
      <formula>Y52="NOK"</formula>
    </cfRule>
  </conditionalFormatting>
  <conditionalFormatting sqref="Y52">
    <cfRule type="expression" dxfId="340" priority="24">
      <formula>Y52="OK"</formula>
    </cfRule>
  </conditionalFormatting>
  <conditionalFormatting sqref="Y54:Y58">
    <cfRule type="expression" dxfId="339" priority="25">
      <formula>Y54="NOK"</formula>
    </cfRule>
  </conditionalFormatting>
  <conditionalFormatting sqref="Y54:Y58">
    <cfRule type="expression" dxfId="338" priority="26">
      <formula>Y54="OK"</formula>
    </cfRule>
  </conditionalFormatting>
  <conditionalFormatting sqref="Y65">
    <cfRule type="expression" dxfId="337" priority="27">
      <formula>Y65="NOK"</formula>
    </cfRule>
  </conditionalFormatting>
  <conditionalFormatting sqref="Y65">
    <cfRule type="expression" dxfId="336" priority="28">
      <formula>Y65="OK"</formula>
    </cfRule>
  </conditionalFormatting>
  <conditionalFormatting sqref="Y67:Y71">
    <cfRule type="expression" dxfId="335" priority="29">
      <formula>Y67="NOK"</formula>
    </cfRule>
  </conditionalFormatting>
  <conditionalFormatting sqref="Y67:Y71">
    <cfRule type="expression" dxfId="334" priority="30">
      <formula>Y67="OK"</formula>
    </cfRule>
  </conditionalFormatting>
  <conditionalFormatting sqref="Y78">
    <cfRule type="expression" dxfId="333" priority="31">
      <formula>Y78="NOK"</formula>
    </cfRule>
  </conditionalFormatting>
  <conditionalFormatting sqref="Y78">
    <cfRule type="expression" dxfId="332" priority="32">
      <formula>Y78="OK"</formula>
    </cfRule>
  </conditionalFormatting>
  <conditionalFormatting sqref="Y80:Y84">
    <cfRule type="expression" dxfId="331" priority="33">
      <formula>Y80="NOK"</formula>
    </cfRule>
  </conditionalFormatting>
  <conditionalFormatting sqref="Y80:Y84">
    <cfRule type="expression" dxfId="330" priority="34">
      <formula>Y80="OK"</formula>
    </cfRule>
  </conditionalFormatting>
  <conditionalFormatting sqref="Y91">
    <cfRule type="expression" dxfId="329" priority="35">
      <formula>Y91="NOK"</formula>
    </cfRule>
  </conditionalFormatting>
  <conditionalFormatting sqref="Y91">
    <cfRule type="expression" dxfId="328" priority="36">
      <formula>Y91="OK"</formula>
    </cfRule>
  </conditionalFormatting>
  <conditionalFormatting sqref="Y93:Y96">
    <cfRule type="expression" dxfId="327" priority="37">
      <formula>Y93="NOK"</formula>
    </cfRule>
  </conditionalFormatting>
  <conditionalFormatting sqref="Y93:Y96">
    <cfRule type="expression" dxfId="326" priority="38">
      <formula>Y93="OK"</formula>
    </cfRule>
  </conditionalFormatting>
  <conditionalFormatting sqref="Y12">
    <cfRule type="expression" dxfId="325" priority="39">
      <formula>Y12&gt;20%</formula>
    </cfRule>
  </conditionalFormatting>
  <conditionalFormatting sqref="Y12">
    <cfRule type="expression" dxfId="324" priority="40">
      <formula>Y12&lt;=20%</formula>
    </cfRule>
  </conditionalFormatting>
  <conditionalFormatting sqref="O5">
    <cfRule type="expression" dxfId="323" priority="41">
      <formula>ABS(O8)&gt;=O7</formula>
    </cfRule>
    <cfRule type="expression" dxfId="322" priority="42">
      <formula>ABS(O8)&lt;O7</formula>
    </cfRule>
  </conditionalFormatting>
  <conditionalFormatting sqref="Q5">
    <cfRule type="expression" dxfId="321" priority="15">
      <formula>ABS(Q8)&gt;=Q7</formula>
    </cfRule>
    <cfRule type="expression" dxfId="320" priority="16">
      <formula>ABS(Q8)&lt;Q7</formula>
    </cfRule>
  </conditionalFormatting>
  <conditionalFormatting sqref="S5">
    <cfRule type="expression" dxfId="319" priority="13">
      <formula>ABS(S8)&gt;=S7</formula>
    </cfRule>
    <cfRule type="expression" dxfId="318" priority="14">
      <formula>ABS(S8)&lt;S7</formula>
    </cfRule>
  </conditionalFormatting>
  <conditionalFormatting sqref="U5">
    <cfRule type="expression" dxfId="317" priority="11">
      <formula>ABS(U8)&gt;=U7</formula>
    </cfRule>
    <cfRule type="expression" dxfId="316" priority="12">
      <formula>ABS(U8)&lt;U7</formula>
    </cfRule>
  </conditionalFormatting>
  <conditionalFormatting sqref="W5">
    <cfRule type="expression" dxfId="315" priority="9">
      <formula>ABS(W8)&gt;=W7</formula>
    </cfRule>
    <cfRule type="expression" dxfId="314" priority="10">
      <formula>ABS(W8)&lt;W7</formula>
    </cfRule>
  </conditionalFormatting>
  <conditionalFormatting sqref="Y5">
    <cfRule type="expression" dxfId="313" priority="7">
      <formula>ABS(Y12)&gt;=Y10</formula>
    </cfRule>
    <cfRule type="expression" dxfId="312" priority="8">
      <formula>ABS(Y12)&lt;Y10</formula>
    </cfRule>
  </conditionalFormatting>
  <conditionalFormatting sqref="O49 O62 O75 O88">
    <cfRule type="expression" dxfId="311" priority="1">
      <formula>OR(O49&lt;O48*99.75%,O49&gt;O48*100.25%)</formula>
    </cfRule>
  </conditionalFormatting>
  <conditionalFormatting sqref="O49 O62 O75 O88">
    <cfRule type="expression" dxfId="31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0" sqref="C20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2.44140625" style="21" customWidth="1"/>
    <col min="4" max="4" width="20.6640625" style="258" customWidth="1"/>
    <col min="5" max="5" width="3.33203125" style="1" customWidth="1"/>
    <col min="6" max="11" width="9.6640625" style="1" customWidth="1"/>
    <col min="12" max="16384" width="8.88671875" style="1"/>
  </cols>
  <sheetData>
    <row r="1" spans="2:12" ht="4.95" customHeight="1" thickBot="1" x14ac:dyDescent="0.35">
      <c r="D1" s="1"/>
    </row>
    <row r="2" spans="2:12" s="261" customFormat="1" ht="19.95" customHeight="1" thickTop="1" thickBot="1" x14ac:dyDescent="0.35">
      <c r="B2" s="1350" t="s">
        <v>347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3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3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3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5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3">
      <c r="B7" s="564" t="s">
        <v>122</v>
      </c>
      <c r="C7" s="577"/>
      <c r="D7" s="571"/>
    </row>
    <row r="8" spans="2:12" ht="15" customHeight="1" outlineLevel="1" x14ac:dyDescent="0.3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3">
      <c r="B9" s="566" t="s">
        <v>125</v>
      </c>
      <c r="C9" s="578"/>
      <c r="D9" s="514"/>
    </row>
    <row r="10" spans="2:12" ht="15" customHeight="1" outlineLevel="1" x14ac:dyDescent="0.3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3">
      <c r="B11" s="566" t="s">
        <v>126</v>
      </c>
      <c r="C11" s="579"/>
      <c r="D11" s="514"/>
    </row>
    <row r="12" spans="2:12" ht="15" customHeight="1" outlineLevel="1" x14ac:dyDescent="0.3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3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3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3">
      <c r="B15" s="567" t="s">
        <v>132</v>
      </c>
      <c r="C15" s="581">
        <f>C14*90%*45/100</f>
        <v>0.24392188122758082</v>
      </c>
      <c r="D15" s="500" t="s">
        <v>133</v>
      </c>
    </row>
    <row r="16" spans="2:12" ht="15" customHeight="1" outlineLevel="1" thickBot="1" x14ac:dyDescent="0.35">
      <c r="B16" s="568" t="s">
        <v>352</v>
      </c>
      <c r="C16" s="582">
        <f>'Demanda Preço &amp; Quantidade'!C24</f>
        <v>4</v>
      </c>
      <c r="D16" s="266" t="s">
        <v>133</v>
      </c>
    </row>
    <row r="17" spans="2:5" ht="4.95" customHeight="1" thickBot="1" x14ac:dyDescent="0.35">
      <c r="D17" s="1"/>
    </row>
    <row r="18" spans="2:5" ht="19.95" customHeight="1" thickTop="1" thickBot="1" x14ac:dyDescent="0.35">
      <c r="B18" s="1350" t="s">
        <v>350</v>
      </c>
      <c r="C18" s="1351"/>
      <c r="D18" s="1352"/>
    </row>
    <row r="19" spans="2:5" ht="15" customHeight="1" outlineLevel="1" x14ac:dyDescent="0.3">
      <c r="B19" s="569" t="s">
        <v>348</v>
      </c>
      <c r="C19" s="689">
        <f>'RT1C)BIODIG Gas Natural'!F16</f>
        <v>1043990.2486921826</v>
      </c>
      <c r="D19" s="572" t="s">
        <v>349</v>
      </c>
    </row>
    <row r="20" spans="2:5" outlineLevel="1" x14ac:dyDescent="0.3">
      <c r="B20" s="667" t="s">
        <v>346</v>
      </c>
      <c r="C20" s="595">
        <f>'Demanda Preço &amp; Quantidade'!I101</f>
        <v>25</v>
      </c>
      <c r="D20" s="262" t="s">
        <v>351</v>
      </c>
    </row>
    <row r="21" spans="2:5" outlineLevel="1" x14ac:dyDescent="0.3">
      <c r="B21" s="667" t="s">
        <v>342</v>
      </c>
      <c r="C21" s="574">
        <v>500000</v>
      </c>
      <c r="D21" s="262" t="s">
        <v>343</v>
      </c>
    </row>
    <row r="22" spans="2:5" x14ac:dyDescent="0.3">
      <c r="B22" s="561" t="s">
        <v>144</v>
      </c>
      <c r="C22" s="690">
        <f>C20*C21</f>
        <v>12500000</v>
      </c>
      <c r="D22" s="562" t="s">
        <v>6</v>
      </c>
    </row>
    <row r="23" spans="2:5" x14ac:dyDescent="0.3">
      <c r="B23" s="561" t="s">
        <v>51</v>
      </c>
      <c r="C23" s="597">
        <f>C22/(C19*(C16-C15))</f>
        <v>3.1877110998631144</v>
      </c>
      <c r="D23" s="562" t="s">
        <v>121</v>
      </c>
    </row>
    <row r="24" spans="2:5" s="2" customFormat="1" x14ac:dyDescent="0.3">
      <c r="B24" s="1345" t="s">
        <v>290</v>
      </c>
      <c r="C24" s="691">
        <f>C25/C6</f>
        <v>2723127.5278352033</v>
      </c>
      <c r="D24" s="449" t="s">
        <v>289</v>
      </c>
    </row>
    <row r="25" spans="2:5" s="2" customFormat="1" x14ac:dyDescent="0.3">
      <c r="B25" s="1346"/>
      <c r="C25" s="691">
        <f>(C19*(C16*(1-'C-Dados RT1 Simplif.'!$C$93)*(1-'C-Dados RT1 Simplif.'!$C$89)-C15))*C6-C22</f>
        <v>95309463.474232122</v>
      </c>
      <c r="D25" s="449" t="s">
        <v>353</v>
      </c>
    </row>
    <row r="26" spans="2:5" s="2" customFormat="1" ht="15" thickBot="1" x14ac:dyDescent="0.35">
      <c r="B26" s="1347"/>
      <c r="C26" s="598">
        <f>C24/C4</f>
        <v>79.187670965661937</v>
      </c>
      <c r="D26" s="593" t="s">
        <v>8</v>
      </c>
      <c r="E26" s="393"/>
    </row>
    <row r="27" spans="2:5" ht="4.95" customHeight="1" thickTop="1" x14ac:dyDescent="0.3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'[2]R&amp;C-Painel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'[2]R&amp;C-Painel de Controle'!D33</f>
        <v>237.54494967426146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'[2]R&amp;C-Painel de Controle'!H33</f>
        <v>254.60848243040007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'[2]R&amp;C-Painel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'[2]C-FCL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47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'[2]C-FCL Real'!B32</f>
        <v>Ano do Contrato</v>
      </c>
      <c r="C14" s="157"/>
      <c r="D14" s="158">
        <f>'[2]C-FCL Real'!C32</f>
        <v>0</v>
      </c>
      <c r="E14" s="156">
        <f>'[2]C-FCL Real'!D32</f>
        <v>1</v>
      </c>
      <c r="F14" s="156">
        <f>'[2]C-FCL Real'!E32</f>
        <v>2</v>
      </c>
      <c r="G14" s="156">
        <f>'[2]C-FCL Real'!F32</f>
        <v>3</v>
      </c>
      <c r="H14" s="156">
        <f>'[2]C-FCL Real'!G32</f>
        <v>4</v>
      </c>
      <c r="I14" s="156">
        <f>'[2]C-FCL Real'!H32</f>
        <v>5</v>
      </c>
      <c r="J14" s="156">
        <f>'[2]C-FCL Real'!I32</f>
        <v>6</v>
      </c>
      <c r="K14" s="156">
        <f>'[2]C-FCL Real'!J32</f>
        <v>7</v>
      </c>
      <c r="L14" s="156">
        <f>'[2]C-FCL Real'!K32</f>
        <v>8</v>
      </c>
      <c r="M14" s="156">
        <f>'[2]C-FCL Real'!L32</f>
        <v>9</v>
      </c>
      <c r="N14" s="156">
        <f>'[2]C-FCL Real'!M32</f>
        <v>10</v>
      </c>
      <c r="O14" s="156">
        <f>'[2]C-FCL Real'!N32</f>
        <v>11</v>
      </c>
      <c r="P14" s="156">
        <f>'[2]C-FCL Real'!O32</f>
        <v>12</v>
      </c>
      <c r="Q14" s="156">
        <f>'[2]C-FCL Real'!P32</f>
        <v>13</v>
      </c>
      <c r="R14" s="156">
        <f>'[2]C-FCL Real'!Q32</f>
        <v>14</v>
      </c>
      <c r="S14" s="156">
        <f>'[2]C-FCL Real'!R32</f>
        <v>15</v>
      </c>
      <c r="T14" s="156">
        <f>'[2]C-FCL Real'!S32</f>
        <v>16</v>
      </c>
      <c r="U14" s="156">
        <f>'[2]C-FCL Real'!T32</f>
        <v>17</v>
      </c>
      <c r="V14" s="156">
        <f>'[2]C-FCL Real'!U32</f>
        <v>18</v>
      </c>
      <c r="W14" s="156">
        <f>'[2]C-FCL Real'!V32</f>
        <v>19</v>
      </c>
      <c r="X14" s="156">
        <f>'[2]C-FCL Real'!W32</f>
        <v>20</v>
      </c>
      <c r="Y14" s="156">
        <f>'[2]C-FCL Real'!X32</f>
        <v>21</v>
      </c>
      <c r="Z14" s="156">
        <f>'[2]C-FCL Real'!Y32</f>
        <v>22</v>
      </c>
      <c r="AA14" s="156">
        <f>'[2]C-FCL Real'!Z32</f>
        <v>23</v>
      </c>
      <c r="AB14" s="156">
        <f>'[2]C-FCL Real'!AA32</f>
        <v>24</v>
      </c>
      <c r="AC14" s="156">
        <f>'[2]C-FCL Real'!AB32</f>
        <v>25</v>
      </c>
      <c r="AD14" s="156">
        <f>'[2]C-FCL Real'!AC32</f>
        <v>26</v>
      </c>
      <c r="AE14" s="156">
        <f>'[2]C-FCL Real'!AD32</f>
        <v>27</v>
      </c>
      <c r="AF14" s="156">
        <f>'[2]C-FCL Real'!AE32</f>
        <v>28</v>
      </c>
      <c r="AG14" s="156">
        <f>'[2]C-FCL Real'!AF32</f>
        <v>29</v>
      </c>
      <c r="AH14" s="156">
        <f>'[2]C-FCL Real'!AG32</f>
        <v>30</v>
      </c>
      <c r="AI14" s="156">
        <f>'[2]C-FCL Real'!AH32</f>
        <v>31</v>
      </c>
      <c r="AJ14" s="156">
        <f>'[2]C-FCL Real'!AI32</f>
        <v>32</v>
      </c>
      <c r="AK14" s="156">
        <f>'[2]C-FCL Real'!AJ32</f>
        <v>33</v>
      </c>
      <c r="AL14" s="156">
        <f>'[2]C-FCL Real'!AK32</f>
        <v>34</v>
      </c>
      <c r="AM14" s="156">
        <f>'[2]C-FCL Real'!AL32</f>
        <v>35</v>
      </c>
      <c r="AN14" s="156">
        <f>'[2]C-FCL Real'!AM32</f>
        <v>36</v>
      </c>
      <c r="AO14" s="156">
        <f>'[2]C-FCL Real'!AN32</f>
        <v>37</v>
      </c>
      <c r="AP14" s="156">
        <f>'[2]C-FCL Real'!AO32</f>
        <v>38</v>
      </c>
      <c r="AQ14" s="156">
        <f>'[2]C-FCL Real'!AP32</f>
        <v>39</v>
      </c>
      <c r="AR14" s="156">
        <f>'[2]C-FCL Real'!AQ32</f>
        <v>40</v>
      </c>
      <c r="AS14" s="156">
        <f>'[2]C-FCL Real'!AR32</f>
        <v>41</v>
      </c>
      <c r="AT14" s="156">
        <f>'[2]C-FCL Real'!AS32</f>
        <v>42</v>
      </c>
      <c r="AU14" s="156">
        <f>'[2]C-FCL Real'!AT32</f>
        <v>43</v>
      </c>
      <c r="AV14" s="156">
        <f>'[2]C-FCL Real'!AU32</f>
        <v>44</v>
      </c>
      <c r="AW14" s="156">
        <f>'[2]C-FCL Real'!AV32</f>
        <v>45</v>
      </c>
      <c r="AX14" s="156">
        <f>'[2]C-FCL Real'!AW32</f>
        <v>46</v>
      </c>
      <c r="AY14" s="156">
        <f>'[2]C-FCL Real'!AX32</f>
        <v>47</v>
      </c>
      <c r="AZ14" s="156">
        <f>'[2]C-FCL Real'!AY32</f>
        <v>48</v>
      </c>
      <c r="BA14" s="156">
        <f>'[2]C-FCL Real'!AZ32</f>
        <v>49</v>
      </c>
      <c r="BB14" s="156">
        <f>'[2]C-FCL Real'!BA32</f>
        <v>50</v>
      </c>
      <c r="BC14" s="156">
        <f>'[2]C-FCL Real'!BB32</f>
        <v>51</v>
      </c>
      <c r="BD14" s="156">
        <f>'[2]C-FCL Real'!BC32</f>
        <v>52</v>
      </c>
      <c r="BE14" s="156">
        <f>'[2]C-FCL Real'!BD32</f>
        <v>0</v>
      </c>
      <c r="BF14" s="156">
        <f>'[2]C-FCL Real'!BE32</f>
        <v>0</v>
      </c>
      <c r="BG14" s="156">
        <f>'[2]C-FCL Real'!BF32</f>
        <v>0</v>
      </c>
      <c r="BH14" s="156">
        <f>'[2]C-FCL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'[2]C-FCL Real'!C33</f>
        <v>1</v>
      </c>
      <c r="E15" s="162">
        <f>'[2]C-FCL Real'!D33</f>
        <v>1</v>
      </c>
      <c r="F15" s="162">
        <f>'[2]C-FCL Real'!E33</f>
        <v>1</v>
      </c>
      <c r="G15" s="162">
        <f>'[2]C-FCL Real'!F33</f>
        <v>1</v>
      </c>
      <c r="H15" s="162">
        <f>'[2]C-FCL Real'!G33</f>
        <v>1</v>
      </c>
      <c r="I15" s="162">
        <f>'[2]C-FCL Real'!H33</f>
        <v>1</v>
      </c>
      <c r="J15" s="162">
        <f>'[2]C-FCL Real'!I33</f>
        <v>1</v>
      </c>
      <c r="K15" s="162">
        <f>'[2]C-FCL Real'!J33</f>
        <v>1</v>
      </c>
      <c r="L15" s="162">
        <f>'[2]C-FCL Real'!K33</f>
        <v>1</v>
      </c>
      <c r="M15" s="162">
        <f>'[2]C-FCL Real'!L33</f>
        <v>1</v>
      </c>
      <c r="N15" s="162">
        <f>'[2]C-FCL Real'!M33</f>
        <v>1</v>
      </c>
      <c r="O15" s="162">
        <f>'[2]C-FCL Real'!N33</f>
        <v>1</v>
      </c>
      <c r="P15" s="162">
        <f>'[2]C-FCL Real'!O33</f>
        <v>1</v>
      </c>
      <c r="Q15" s="162">
        <f>'[2]C-FCL Real'!P33</f>
        <v>1</v>
      </c>
      <c r="R15" s="162">
        <f>'[2]C-FCL Real'!Q33</f>
        <v>1</v>
      </c>
      <c r="S15" s="162">
        <f>'[2]C-FCL Real'!R33</f>
        <v>1</v>
      </c>
      <c r="T15" s="162">
        <f>'[2]C-FCL Real'!S33</f>
        <v>1</v>
      </c>
      <c r="U15" s="162">
        <f>'[2]C-FCL Real'!T33</f>
        <v>1</v>
      </c>
      <c r="V15" s="162">
        <f>'[2]C-FCL Real'!U33</f>
        <v>1</v>
      </c>
      <c r="W15" s="162">
        <f>'[2]C-FCL Real'!V33</f>
        <v>1</v>
      </c>
      <c r="X15" s="162">
        <f>'[2]C-FCL Real'!W33</f>
        <v>1</v>
      </c>
      <c r="Y15" s="162">
        <f>'[2]C-FCL Real'!X33</f>
        <v>1</v>
      </c>
      <c r="Z15" s="162">
        <f>'[2]C-FCL Real'!Y33</f>
        <v>1</v>
      </c>
      <c r="AA15" s="162">
        <f>'[2]C-FCL Real'!Z33</f>
        <v>1</v>
      </c>
      <c r="AB15" s="162">
        <f>'[2]C-FCL Real'!AA33</f>
        <v>1</v>
      </c>
      <c r="AC15" s="162">
        <f>'[2]C-FCL Real'!AB33</f>
        <v>1</v>
      </c>
      <c r="AD15" s="162">
        <f>'[2]C-FCL Real'!AC33</f>
        <v>1</v>
      </c>
      <c r="AE15" s="162">
        <f>'[2]C-FCL Real'!AD33</f>
        <v>1</v>
      </c>
      <c r="AF15" s="162">
        <f>'[2]C-FCL Real'!AE33</f>
        <v>1</v>
      </c>
      <c r="AG15" s="162">
        <f>'[2]C-FCL Real'!AF33</f>
        <v>1</v>
      </c>
      <c r="AH15" s="162">
        <f>'[2]C-FCL Real'!AG33</f>
        <v>1</v>
      </c>
      <c r="AI15" s="162">
        <f>'[2]C-FCL Real'!AH33</f>
        <v>1</v>
      </c>
      <c r="AJ15" s="162">
        <f>'[2]C-FCL Real'!AI33</f>
        <v>1</v>
      </c>
      <c r="AK15" s="162">
        <f>'[2]C-FCL Real'!AJ33</f>
        <v>1</v>
      </c>
      <c r="AL15" s="162">
        <f>'[2]C-FCL Real'!AK33</f>
        <v>1</v>
      </c>
      <c r="AM15" s="162">
        <f>'[2]C-FCL Real'!AL33</f>
        <v>0</v>
      </c>
      <c r="AN15" s="162">
        <f>'[2]C-FCL Real'!AM33</f>
        <v>0</v>
      </c>
      <c r="AO15" s="162">
        <f>'[2]C-FCL Real'!AN33</f>
        <v>0</v>
      </c>
      <c r="AP15" s="162">
        <f>'[2]C-FCL Real'!AO33</f>
        <v>0</v>
      </c>
      <c r="AQ15" s="162">
        <f>'[2]C-FCL Real'!AP33</f>
        <v>0</v>
      </c>
      <c r="AR15" s="162">
        <f>'[2]C-FCL Real'!AQ33</f>
        <v>0</v>
      </c>
      <c r="AS15" s="162">
        <f>'[2]C-FCL Real'!AR33</f>
        <v>0</v>
      </c>
      <c r="AT15" s="162">
        <f>'[2]C-FCL Real'!AS33</f>
        <v>0</v>
      </c>
      <c r="AU15" s="162">
        <f>'[2]C-FCL Real'!AT33</f>
        <v>0</v>
      </c>
      <c r="AV15" s="162">
        <f>'[2]C-FCL Real'!AU33</f>
        <v>0</v>
      </c>
      <c r="AW15" s="162">
        <f>'[2]C-FCL Real'!AV33</f>
        <v>0</v>
      </c>
      <c r="AX15" s="162">
        <f>'[2]C-FCL Real'!AW33</f>
        <v>0</v>
      </c>
      <c r="AY15" s="162">
        <f>'[2]C-FCL Real'!AX33</f>
        <v>0</v>
      </c>
      <c r="AZ15" s="162">
        <f>'[2]C-FCL Real'!AY33</f>
        <v>0</v>
      </c>
      <c r="BA15" s="162">
        <f>'[2]C-FCL Real'!AZ33</f>
        <v>0</v>
      </c>
      <c r="BB15" s="162">
        <f>'[2]C-FCL Real'!BA33</f>
        <v>0</v>
      </c>
      <c r="BC15" s="162">
        <f>'[2]C-FCL Real'!BB33</f>
        <v>0</v>
      </c>
      <c r="BD15" s="162">
        <f>'[2]C-FCL Real'!BC33</f>
        <v>0</v>
      </c>
      <c r="BE15" s="162">
        <f>'[2]C-FCL Real'!BD33</f>
        <v>0</v>
      </c>
      <c r="BF15" s="162">
        <f>'[2]C-FCL Real'!BE33</f>
        <v>0</v>
      </c>
      <c r="BG15" s="162">
        <f>'[2]C-FCL Real'!BF33</f>
        <v>0</v>
      </c>
      <c r="BH15" s="163">
        <f>'[2]C-FCL Real'!BG33</f>
        <v>0</v>
      </c>
    </row>
    <row r="16" spans="1:60" s="168" customFormat="1" ht="15" hidden="1" customHeight="1" outlineLevel="1" x14ac:dyDescent="0.3">
      <c r="A16" s="1230"/>
      <c r="B16" s="141" t="str">
        <f>'[2]C-FCL Real'!B35</f>
        <v>Dados Quantitativos RSU</v>
      </c>
      <c r="C16" s="165">
        <f>SUMIF($D$15:$BG$15,1,D16:BG16)</f>
        <v>1193646.2820174235</v>
      </c>
      <c r="D16" s="166">
        <f>'[2]C-FCL Real'!C35</f>
        <v>31717.919999999998</v>
      </c>
      <c r="E16" s="167">
        <f>'[2]C-FCL Real'!D35</f>
        <v>31866.994223999995</v>
      </c>
      <c r="F16" s="167">
        <f>'[2]C-FCL Real'!E35</f>
        <v>32016.769096852793</v>
      </c>
      <c r="G16" s="167">
        <f>'[2]C-FCL Real'!F35</f>
        <v>32167.247911607999</v>
      </c>
      <c r="H16" s="167">
        <f>'[2]C-FCL Real'!G35</f>
        <v>32318.433976792556</v>
      </c>
      <c r="I16" s="167">
        <f>'[2]C-FCL Real'!H35</f>
        <v>32470.330616483479</v>
      </c>
      <c r="J16" s="167">
        <f>'[2]C-FCL Real'!I35</f>
        <v>32622.941170380949</v>
      </c>
      <c r="K16" s="167">
        <f>'[2]C-FCL Real'!J35</f>
        <v>32776.268993881735</v>
      </c>
      <c r="L16" s="167">
        <f>'[2]C-FCL Real'!K35</f>
        <v>32930.317458152975</v>
      </c>
      <c r="M16" s="167">
        <f>'[2]C-FCL Real'!L35</f>
        <v>33085.089950206289</v>
      </c>
      <c r="N16" s="167">
        <f>'[2]C-FCL Real'!M35</f>
        <v>33240.589872972254</v>
      </c>
      <c r="O16" s="167">
        <f>'[2]C-FCL Real'!N35</f>
        <v>33396.820645375221</v>
      </c>
      <c r="P16" s="167">
        <f>'[2]C-FCL Real'!O35</f>
        <v>33553.785702408481</v>
      </c>
      <c r="Q16" s="167">
        <f>'[2]C-FCL Real'!P35</f>
        <v>33711.4884952098</v>
      </c>
      <c r="R16" s="167">
        <f>'[2]C-FCL Real'!Q35</f>
        <v>33869.932491137282</v>
      </c>
      <c r="S16" s="167">
        <f>'[2]C-FCL Real'!O35</f>
        <v>33553.785702408481</v>
      </c>
      <c r="T16" s="167">
        <f>'[2]C-FCL Real'!P35</f>
        <v>33711.4884952098</v>
      </c>
      <c r="U16" s="167">
        <f>'[2]C-FCL Real'!Q35</f>
        <v>33869.932491137282</v>
      </c>
      <c r="V16" s="167">
        <f>'[2]C-FCL Real'!R35</f>
        <v>34029.121173845626</v>
      </c>
      <c r="W16" s="167">
        <f>'[2]C-FCL Real'!S35</f>
        <v>34189.058043362696</v>
      </c>
      <c r="X16" s="167">
        <f>'[2]C-FCL Real'!T35</f>
        <v>34349.7466161665</v>
      </c>
      <c r="Y16" s="167">
        <f>'[2]C-FCL Real'!U35</f>
        <v>34511.190425262481</v>
      </c>
      <c r="Z16" s="167">
        <f>'[2]C-FCL Real'!V35</f>
        <v>34673.39302026121</v>
      </c>
      <c r="AA16" s="167">
        <f>'[2]C-FCL Real'!W35</f>
        <v>34836.357967456432</v>
      </c>
      <c r="AB16" s="167">
        <f>'[2]C-FCL Real'!X35</f>
        <v>35000.088849903477</v>
      </c>
      <c r="AC16" s="167">
        <f>'[2]C-FCL Real'!Y35</f>
        <v>35164.58926749802</v>
      </c>
      <c r="AD16" s="167">
        <f>'[2]C-FCL Real'!Z35</f>
        <v>35329.862837055261</v>
      </c>
      <c r="AE16" s="167">
        <f>'[2]C-FCL Real'!AA35</f>
        <v>35495.913192389417</v>
      </c>
      <c r="AF16" s="167">
        <f>'[2]C-FCL Real'!AB35</f>
        <v>35662.743984393644</v>
      </c>
      <c r="AG16" s="167">
        <f>'[2]C-FCL Real'!AC35</f>
        <v>35830.358881120294</v>
      </c>
      <c r="AH16" s="167">
        <f>'[2]C-FCL Real'!AD35</f>
        <v>35998.761567861555</v>
      </c>
      <c r="AI16" s="167">
        <f>'[2]C-FCL Real'!AE35</f>
        <v>36167.955747230502</v>
      </c>
      <c r="AJ16" s="167">
        <f>'[2]C-FCL Real'!AF35</f>
        <v>36337.945139242482</v>
      </c>
      <c r="AK16" s="167">
        <f>'[2]C-FCL Real'!AG35</f>
        <v>36508.733481396921</v>
      </c>
      <c r="AL16" s="167">
        <f>'[2]C-FCL Real'!AH35</f>
        <v>36680.324528759484</v>
      </c>
      <c r="AM16" s="167">
        <f>'[2]C-FCL Real'!AI35</f>
        <v>36852.722054044651</v>
      </c>
      <c r="AN16" s="167">
        <f>'[2]C-FCL Real'!AJ35</f>
        <v>37025.929847698659</v>
      </c>
      <c r="AO16" s="167">
        <f>'[2]C-FCL Real'!AK35</f>
        <v>37199.95171798284</v>
      </c>
      <c r="AP16" s="167">
        <f>'[2]C-FCL Real'!AL35</f>
        <v>37374.79149105736</v>
      </c>
      <c r="AQ16" s="167">
        <f>'[2]C-FCL Real'!AM35</f>
        <v>37550.453011065329</v>
      </c>
      <c r="AR16" s="167">
        <f>'[2]C-FCL Real'!AN35</f>
        <v>37726.940140217332</v>
      </c>
      <c r="AS16" s="167">
        <f>'[2]C-FCL Real'!AO35</f>
        <v>37904.256758876349</v>
      </c>
      <c r="AT16" s="167">
        <f>'[2]C-FCL Real'!AP35</f>
        <v>38082.406765643063</v>
      </c>
      <c r="AU16" s="167">
        <f>'[2]C-FCL Real'!AQ35</f>
        <v>38261.394077441582</v>
      </c>
      <c r="AV16" s="167">
        <f>'[2]C-FCL Real'!AR35</f>
        <v>38441.222629605552</v>
      </c>
      <c r="AW16" s="167">
        <f>'[2]C-FCL Real'!AS35</f>
        <v>38621.896375964694</v>
      </c>
      <c r="AX16" s="167">
        <f>'[2]C-FCL Real'!AT35</f>
        <v>38803.419288931727</v>
      </c>
      <c r="AY16" s="167">
        <f>'[2]C-FCL Real'!AU35</f>
        <v>38985.795359589705</v>
      </c>
      <c r="AZ16" s="167">
        <f>'[2]C-FCL Real'!AV35</f>
        <v>39169.028597779776</v>
      </c>
      <c r="BA16" s="167">
        <f>'[2]C-FCL Real'!AW35</f>
        <v>39353.123032189338</v>
      </c>
      <c r="BB16" s="167">
        <f>'[2]C-FCL Real'!AX35</f>
        <v>39538.082710440627</v>
      </c>
      <c r="BC16" s="167">
        <f>'[2]C-FCL Real'!AY35</f>
        <v>39723.911699179698</v>
      </c>
      <c r="BD16" s="167">
        <f>'[2]C-FCL Real'!AZ35</f>
        <v>39910.614084165842</v>
      </c>
      <c r="BE16" s="167">
        <f>'[2]C-FCL Real'!BA35</f>
        <v>40098.193970361419</v>
      </c>
      <c r="BF16" s="167">
        <f>'[2]C-FCL Real'!BB35</f>
        <v>40286.655482022114</v>
      </c>
      <c r="BG16" s="167">
        <f>'[2]C-FCL Real'!BC35</f>
        <v>40476.002762787612</v>
      </c>
      <c r="BH16" s="167">
        <f>'[2]C-FCL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86.174216410433601</v>
      </c>
      <c r="B18" s="173" t="str">
        <f>'[2]C-FCL Real'!B63</f>
        <v>Dados de Capex</v>
      </c>
      <c r="C18" s="174">
        <f>SUMIF($D$15:$BG$15,1,D18:BG18)</f>
        <v>102.86153302407891</v>
      </c>
      <c r="D18" s="175">
        <f>'[2]C-FCL Real'!C63</f>
        <v>30.679994694602051</v>
      </c>
      <c r="E18" s="20">
        <f>'[2]C-FCL Real'!D63</f>
        <v>31.20722848041671</v>
      </c>
      <c r="F18" s="20">
        <f>'[2]C-FCL Real'!E63</f>
        <v>40.974309849060141</v>
      </c>
      <c r="G18" s="20">
        <f>'[2]C-FCL Real'!F63</f>
        <v>0</v>
      </c>
      <c r="H18" s="20">
        <f>'[2]C-FCL Real'!G63</f>
        <v>0</v>
      </c>
      <c r="I18" s="20">
        <f>'[2]C-FCL Real'!H63</f>
        <v>0</v>
      </c>
      <c r="J18" s="20">
        <f>'[2]C-FCL Real'!I63</f>
        <v>0</v>
      </c>
      <c r="K18" s="20">
        <f>'[2]C-FCL Real'!J63</f>
        <v>0</v>
      </c>
      <c r="L18" s="20">
        <f>'[2]C-FCL Real'!K63</f>
        <v>0</v>
      </c>
      <c r="M18" s="20">
        <f>'[2]C-FCL Real'!L63</f>
        <v>0</v>
      </c>
      <c r="N18" s="20">
        <f>'[2]C-FCL Real'!M63</f>
        <v>0</v>
      </c>
      <c r="O18" s="20">
        <f>'[2]C-FCL Real'!N63</f>
        <v>0</v>
      </c>
      <c r="P18" s="20">
        <f>'[2]C-FCL Real'!O63</f>
        <v>0</v>
      </c>
      <c r="Q18" s="20">
        <f>'[2]C-FCL Real'!P63</f>
        <v>0</v>
      </c>
      <c r="R18" s="20">
        <f>'[2]C-FCL Real'!Q63</f>
        <v>0</v>
      </c>
      <c r="S18" s="20">
        <f>'[2]C-FCL Real'!O63</f>
        <v>0</v>
      </c>
      <c r="T18" s="20">
        <f>'[2]C-FCL Real'!P63</f>
        <v>0</v>
      </c>
      <c r="U18" s="20">
        <f>'[2]C-FCL Real'!Q63</f>
        <v>0</v>
      </c>
      <c r="V18" s="20">
        <f>'[2]C-FCL Real'!R63</f>
        <v>0</v>
      </c>
      <c r="W18" s="20">
        <f>'[2]C-FCL Real'!S63</f>
        <v>0</v>
      </c>
      <c r="X18" s="20">
        <f>'[2]C-FCL Real'!T63</f>
        <v>0</v>
      </c>
      <c r="Y18" s="20">
        <f>'[2]C-FCL Real'!U63</f>
        <v>0</v>
      </c>
      <c r="Z18" s="20">
        <f>'[2]C-FCL Real'!V63</f>
        <v>0</v>
      </c>
      <c r="AA18" s="20">
        <f>'[2]C-FCL Real'!W63</f>
        <v>0</v>
      </c>
      <c r="AB18" s="20">
        <f>'[2]C-FCL Real'!X63</f>
        <v>0</v>
      </c>
      <c r="AC18" s="20">
        <f>'[2]C-FCL Real'!Y63</f>
        <v>0</v>
      </c>
      <c r="AD18" s="20">
        <f>'[2]C-FCL Real'!Z63</f>
        <v>0</v>
      </c>
      <c r="AE18" s="20">
        <f>'[2]C-FCL Real'!AA63</f>
        <v>0</v>
      </c>
      <c r="AF18" s="20">
        <f>'[2]C-FCL Real'!AB63</f>
        <v>0</v>
      </c>
      <c r="AG18" s="20">
        <f>'[2]C-FCL Real'!AC63</f>
        <v>0</v>
      </c>
      <c r="AH18" s="20">
        <f>'[2]C-FCL Real'!AD63</f>
        <v>0</v>
      </c>
      <c r="AI18" s="20">
        <f>'[2]C-FCL Real'!AE63</f>
        <v>0</v>
      </c>
      <c r="AJ18" s="20">
        <f>'[2]C-FCL Real'!AF63</f>
        <v>0</v>
      </c>
      <c r="AK18" s="20">
        <f>'[2]C-FCL Real'!AG63</f>
        <v>0</v>
      </c>
      <c r="AL18" s="20">
        <f>'[2]C-FCL Real'!AH63</f>
        <v>0</v>
      </c>
      <c r="AM18" s="20">
        <f>'[2]C-FCL Real'!AI63</f>
        <v>0</v>
      </c>
      <c r="AN18" s="20">
        <f>'[2]C-FCL Real'!AJ63</f>
        <v>0</v>
      </c>
      <c r="AO18" s="20">
        <f>'[2]C-FCL Real'!AK63</f>
        <v>0</v>
      </c>
      <c r="AP18" s="20">
        <f>'[2]C-FCL Real'!AL63</f>
        <v>0</v>
      </c>
      <c r="AQ18" s="20">
        <f>'[2]C-FCL Real'!AM63</f>
        <v>0</v>
      </c>
      <c r="AR18" s="20">
        <f>'[2]C-FCL Real'!AN63</f>
        <v>0</v>
      </c>
      <c r="AS18" s="20">
        <f>'[2]C-FCL Real'!AO63</f>
        <v>0</v>
      </c>
      <c r="AT18" s="20">
        <f>'[2]C-FCL Real'!AP63</f>
        <v>0</v>
      </c>
      <c r="AU18" s="20">
        <f>'[2]C-FCL Real'!AQ63</f>
        <v>0</v>
      </c>
      <c r="AV18" s="20">
        <f>'[2]C-FCL Real'!AR63</f>
        <v>0</v>
      </c>
      <c r="AW18" s="20">
        <f>'[2]C-FCL Real'!AS63</f>
        <v>0</v>
      </c>
      <c r="AX18" s="20">
        <f>'[2]C-FCL Real'!AT63</f>
        <v>0</v>
      </c>
      <c r="AY18" s="20">
        <f>'[2]C-FCL Real'!AU63</f>
        <v>0</v>
      </c>
      <c r="AZ18" s="20">
        <f>'[2]C-FCL Real'!AV63</f>
        <v>0</v>
      </c>
      <c r="BA18" s="20">
        <f>'[2]C-FCL Real'!AW63</f>
        <v>0</v>
      </c>
      <c r="BB18" s="20">
        <f>'[2]C-FCL Real'!AX63</f>
        <v>0</v>
      </c>
      <c r="BC18" s="20">
        <f>'[2]C-FCL Real'!AY63</f>
        <v>0</v>
      </c>
      <c r="BD18" s="20">
        <f>'[2]C-FCL Real'!AZ63</f>
        <v>0</v>
      </c>
      <c r="BE18" s="20">
        <f>'[2]C-FCL Real'!BA63</f>
        <v>0</v>
      </c>
      <c r="BF18" s="20">
        <f>'[2]C-FCL Real'!BB63</f>
        <v>0</v>
      </c>
      <c r="BG18" s="20">
        <f>'[2]C-FCL Real'!BC63</f>
        <v>0</v>
      </c>
      <c r="BH18" s="20">
        <f>'[2]C-FCL Real'!BD63</f>
        <v>0</v>
      </c>
    </row>
    <row r="19" spans="1:60" ht="15" hidden="1" customHeight="1" outlineLevel="1" x14ac:dyDescent="0.3">
      <c r="A19" s="172">
        <f>C19*1000000/$C$16</f>
        <v>78.618004175147632</v>
      </c>
      <c r="B19" s="176" t="s">
        <v>52</v>
      </c>
      <c r="C19" s="169">
        <f>SUMIF($D$15:$BG$15,1,D19:BG19)</f>
        <v>93.842088383295248</v>
      </c>
      <c r="D19" s="175">
        <f t="shared" ref="D19:AJ19" si="0">NPV($C$8,D18:D18)</f>
        <v>27.989810078524801</v>
      </c>
      <c r="E19" s="20">
        <f t="shared" si="0"/>
        <v>28.470813210332068</v>
      </c>
      <c r="F19" s="20">
        <f t="shared" si="0"/>
        <v>37.38146509443839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77">
        <f>C18*1000000/(C16/C43)</f>
        <v>3016.0975743651757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516.73456833404168</v>
      </c>
      <c r="B21" s="173" t="str">
        <f>'[2]C-FCL Real'!B119</f>
        <v>Dados de Opex + Gestão do Contrato</v>
      </c>
      <c r="C21" s="174">
        <f>SUMIF($D$15:$BG$15,1,D21:BG21)</f>
        <v>616.79829628180721</v>
      </c>
      <c r="D21" s="175">
        <f>'[2]C-FCL Real'!C119</f>
        <v>5.0090883972904399</v>
      </c>
      <c r="E21" s="20">
        <f>'[2]C-FCL Real'!D119</f>
        <v>5.0090883972904399</v>
      </c>
      <c r="F21" s="20">
        <f>'[2]C-FCL Real'!E119</f>
        <v>5.0090883972904399</v>
      </c>
      <c r="G21" s="20">
        <f>'[2]C-FCL Real'!F119</f>
        <v>18.805344721560498</v>
      </c>
      <c r="H21" s="20">
        <f>'[2]C-FCL Real'!G119</f>
        <v>18.805344721560498</v>
      </c>
      <c r="I21" s="20">
        <f>'[2]C-FCL Real'!H119</f>
        <v>18.805344721560498</v>
      </c>
      <c r="J21" s="20">
        <f>'[2]C-FCL Real'!I119</f>
        <v>18.805344721560498</v>
      </c>
      <c r="K21" s="20">
        <f>'[2]C-FCL Real'!J119</f>
        <v>18.805344721560498</v>
      </c>
      <c r="L21" s="20">
        <f>'[2]C-FCL Real'!K119</f>
        <v>18.805344721560498</v>
      </c>
      <c r="M21" s="20">
        <f>'[2]C-FCL Real'!L119</f>
        <v>18.805344721560498</v>
      </c>
      <c r="N21" s="20">
        <f>'[2]C-FCL Real'!M119</f>
        <v>18.805344721560498</v>
      </c>
      <c r="O21" s="20">
        <f>'[2]C-FCL Real'!N119</f>
        <v>18.805344721560498</v>
      </c>
      <c r="P21" s="20">
        <f>'[2]C-FCL Real'!O119</f>
        <v>18.805344721560498</v>
      </c>
      <c r="Q21" s="20">
        <f>'[2]C-FCL Real'!P119</f>
        <v>18.805344721560498</v>
      </c>
      <c r="R21" s="20">
        <f>'[2]C-FCL Real'!Q119</f>
        <v>18.805344721560498</v>
      </c>
      <c r="S21" s="20">
        <f>'[2]C-FCL Real'!O119</f>
        <v>18.805344721560498</v>
      </c>
      <c r="T21" s="20">
        <f>'[2]C-FCL Real'!P119</f>
        <v>18.805344721560498</v>
      </c>
      <c r="U21" s="20">
        <f>'[2]C-FCL Real'!Q119</f>
        <v>18.805344721560498</v>
      </c>
      <c r="V21" s="20">
        <f>'[2]C-FCL Real'!R119</f>
        <v>18.805344721560498</v>
      </c>
      <c r="W21" s="20">
        <f>'[2]C-FCL Real'!S119</f>
        <v>18.805344721560498</v>
      </c>
      <c r="X21" s="20">
        <f>'[2]C-FCL Real'!T119</f>
        <v>18.805344721560498</v>
      </c>
      <c r="Y21" s="20">
        <f>'[2]C-FCL Real'!U119</f>
        <v>18.805344721560498</v>
      </c>
      <c r="Z21" s="20">
        <f>'[2]C-FCL Real'!V119</f>
        <v>18.805344721560498</v>
      </c>
      <c r="AA21" s="20">
        <f>'[2]C-FCL Real'!W119</f>
        <v>18.805344721560498</v>
      </c>
      <c r="AB21" s="20">
        <f>'[2]C-FCL Real'!X119</f>
        <v>18.805344721560498</v>
      </c>
      <c r="AC21" s="20">
        <f>'[2]C-FCL Real'!Y119</f>
        <v>18.805344721560498</v>
      </c>
      <c r="AD21" s="20">
        <f>'[2]C-FCL Real'!Z119</f>
        <v>18.805344721560498</v>
      </c>
      <c r="AE21" s="20">
        <f>'[2]C-FCL Real'!AA119</f>
        <v>18.805344721560498</v>
      </c>
      <c r="AF21" s="20">
        <f>'[2]C-FCL Real'!AB119</f>
        <v>18.805344721560498</v>
      </c>
      <c r="AG21" s="20">
        <f>'[2]C-FCL Real'!AC119</f>
        <v>18.805344721560498</v>
      </c>
      <c r="AH21" s="20">
        <f>'[2]C-FCL Real'!AD119</f>
        <v>18.805344721560498</v>
      </c>
      <c r="AI21" s="20">
        <f>'[2]C-FCL Real'!AE119</f>
        <v>18.805344721560498</v>
      </c>
      <c r="AJ21" s="20">
        <f>'[2]C-FCL Real'!AF119</f>
        <v>18.805344721560498</v>
      </c>
      <c r="AK21" s="20">
        <f>'[2]C-FCL Real'!AG119</f>
        <v>18.805344721560498</v>
      </c>
      <c r="AL21" s="20">
        <f>'[2]C-FCL Real'!AH119</f>
        <v>18.805344721560498</v>
      </c>
      <c r="AM21" s="20">
        <f>'[2]C-FCL Real'!AI119</f>
        <v>18.805344721560498</v>
      </c>
      <c r="AN21" s="20">
        <f>'[2]C-FCL Real'!AJ119</f>
        <v>18.805344721560498</v>
      </c>
      <c r="AO21" s="20">
        <f>'[2]C-FCL Real'!AK119</f>
        <v>18.805344721560498</v>
      </c>
      <c r="AP21" s="20">
        <f>'[2]C-FCL Real'!AL119</f>
        <v>18.805344721560498</v>
      </c>
      <c r="AQ21" s="20">
        <f>'[2]C-FCL Real'!AM119</f>
        <v>18.805344721560498</v>
      </c>
      <c r="AR21" s="20">
        <f>'[2]C-FCL Real'!AN119</f>
        <v>18.805344721560498</v>
      </c>
      <c r="AS21" s="20">
        <f>'[2]C-FCL Real'!AO119</f>
        <v>18.805344721560498</v>
      </c>
      <c r="AT21" s="20">
        <f>'[2]C-FCL Real'!AP119</f>
        <v>18.805344721560498</v>
      </c>
      <c r="AU21" s="20">
        <f>'[2]C-FCL Real'!AQ119</f>
        <v>18.805344721560498</v>
      </c>
      <c r="AV21" s="20">
        <f>'[2]C-FCL Real'!AR119</f>
        <v>18.805344721560498</v>
      </c>
      <c r="AW21" s="20">
        <f>'[2]C-FCL Real'!AS119</f>
        <v>18.805344721560498</v>
      </c>
      <c r="AX21" s="20">
        <f>'[2]C-FCL Real'!AT119</f>
        <v>18.805344721560498</v>
      </c>
      <c r="AY21" s="20">
        <f>'[2]C-FCL Real'!AU119</f>
        <v>18.805344721560498</v>
      </c>
      <c r="AZ21" s="20">
        <f>'[2]C-FCL Real'!AV119</f>
        <v>18.805344721560498</v>
      </c>
      <c r="BA21" s="20">
        <f>'[2]C-FCL Real'!AW119</f>
        <v>18.805344721560498</v>
      </c>
      <c r="BB21" s="20">
        <f>'[2]C-FCL Real'!AX119</f>
        <v>18.805344721560498</v>
      </c>
      <c r="BC21" s="20">
        <f>'[2]C-FCL Real'!AY119</f>
        <v>18.805344721560498</v>
      </c>
      <c r="BD21" s="20">
        <f>'[2]C-FCL Real'!AZ119</f>
        <v>18.805344721560498</v>
      </c>
      <c r="BE21" s="20">
        <f>'[2]C-FCL Real'!BA119</f>
        <v>18.805344721560498</v>
      </c>
      <c r="BF21" s="20">
        <f>'[2]C-FCL Real'!BB119</f>
        <v>18.805344721560498</v>
      </c>
      <c r="BG21" s="20">
        <f>'[2]C-FCL Real'!BC119</f>
        <v>18.805344721560498</v>
      </c>
      <c r="BH21" s="20">
        <f>'[2]C-FCL Real'!BD119</f>
        <v>0</v>
      </c>
    </row>
    <row r="22" spans="1:60" ht="15" hidden="1" customHeight="1" outlineLevel="1" x14ac:dyDescent="0.3">
      <c r="A22" s="172">
        <f>C22*1000000/$C$16</f>
        <v>442.67834975761463</v>
      </c>
      <c r="B22" s="176" t="s">
        <v>53</v>
      </c>
      <c r="C22" s="169">
        <f>SUMIF($D$15:$BG$15,1,D22:BG22)</f>
        <v>528.40136631778535</v>
      </c>
      <c r="D22" s="175">
        <f t="shared" ref="D22:AJ22" si="1">NPV($C$8,D21:D21)</f>
        <v>4.5698649658296544</v>
      </c>
      <c r="E22" s="20">
        <f t="shared" si="1"/>
        <v>4.5698649658296544</v>
      </c>
      <c r="F22" s="20">
        <f t="shared" si="1"/>
        <v>4.5698649658296544</v>
      </c>
      <c r="G22" s="20">
        <f t="shared" si="1"/>
        <v>17.156392380676536</v>
      </c>
      <c r="H22" s="20">
        <f t="shared" si="1"/>
        <v>17.156392380676536</v>
      </c>
      <c r="I22" s="20">
        <f t="shared" si="1"/>
        <v>17.156392380676536</v>
      </c>
      <c r="J22" s="20">
        <f t="shared" si="1"/>
        <v>17.156392380676536</v>
      </c>
      <c r="K22" s="20">
        <f t="shared" si="1"/>
        <v>17.156392380676536</v>
      </c>
      <c r="L22" s="20">
        <f t="shared" si="1"/>
        <v>17.156392380676536</v>
      </c>
      <c r="M22" s="20">
        <f t="shared" si="1"/>
        <v>17.156392380676536</v>
      </c>
      <c r="N22" s="20">
        <f t="shared" si="1"/>
        <v>17.156392380676536</v>
      </c>
      <c r="O22" s="20">
        <f t="shared" si="1"/>
        <v>17.156392380676536</v>
      </c>
      <c r="P22" s="20">
        <f t="shared" si="1"/>
        <v>17.156392380676536</v>
      </c>
      <c r="Q22" s="20">
        <f t="shared" si="1"/>
        <v>17.156392380676536</v>
      </c>
      <c r="R22" s="20">
        <f t="shared" si="1"/>
        <v>17.156392380676536</v>
      </c>
      <c r="S22" s="20">
        <f t="shared" si="1"/>
        <v>17.156392380676536</v>
      </c>
      <c r="T22" s="20">
        <f t="shared" si="1"/>
        <v>17.156392380676536</v>
      </c>
      <c r="U22" s="20">
        <f t="shared" si="1"/>
        <v>17.156392380676536</v>
      </c>
      <c r="V22" s="20">
        <f t="shared" si="1"/>
        <v>17.156392380676536</v>
      </c>
      <c r="W22" s="20">
        <f t="shared" si="1"/>
        <v>17.156392380676536</v>
      </c>
      <c r="X22" s="20">
        <f t="shared" si="1"/>
        <v>17.156392380676536</v>
      </c>
      <c r="Y22" s="20">
        <f t="shared" si="1"/>
        <v>17.156392380676536</v>
      </c>
      <c r="Z22" s="20">
        <f t="shared" si="1"/>
        <v>17.156392380676536</v>
      </c>
      <c r="AA22" s="20">
        <f t="shared" si="1"/>
        <v>17.156392380676536</v>
      </c>
      <c r="AB22" s="20">
        <f t="shared" si="1"/>
        <v>17.156392380676536</v>
      </c>
      <c r="AC22" s="20">
        <f t="shared" si="1"/>
        <v>17.156392380676536</v>
      </c>
      <c r="AD22" s="20">
        <f t="shared" si="1"/>
        <v>17.156392380676536</v>
      </c>
      <c r="AE22" s="20">
        <f t="shared" si="1"/>
        <v>17.156392380676536</v>
      </c>
      <c r="AF22" s="20">
        <f t="shared" si="1"/>
        <v>17.156392380676536</v>
      </c>
      <c r="AG22" s="20">
        <f t="shared" si="1"/>
        <v>17.156392380676536</v>
      </c>
      <c r="AH22" s="20">
        <f t="shared" si="1"/>
        <v>17.156392380676536</v>
      </c>
      <c r="AI22" s="20">
        <f t="shared" si="1"/>
        <v>17.156392380676536</v>
      </c>
      <c r="AJ22" s="20">
        <f t="shared" si="1"/>
        <v>17.156392380676536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229">
        <f>C21*1000000/C16</f>
        <v>516.73456833404168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'[2]C-FCL Real'!C121</f>
        <v>0</v>
      </c>
      <c r="E24" s="20">
        <f>'[2]C-FCL Real'!D121</f>
        <v>0</v>
      </c>
      <c r="F24" s="20">
        <f>'[2]C-FCL Real'!E121</f>
        <v>0</v>
      </c>
      <c r="G24" s="20">
        <f>'[2]C-FCL Real'!F121</f>
        <v>0</v>
      </c>
      <c r="H24" s="20">
        <f>'[2]C-FCL Real'!G121</f>
        <v>0</v>
      </c>
      <c r="I24" s="20">
        <f>'[2]C-FCL Real'!H121</f>
        <v>0</v>
      </c>
      <c r="J24" s="20">
        <f>'[2]C-FCL Real'!I121</f>
        <v>0</v>
      </c>
      <c r="K24" s="20">
        <f>'[2]C-FCL Real'!J121</f>
        <v>0</v>
      </c>
      <c r="L24" s="20">
        <f>'[2]C-FCL Real'!K121</f>
        <v>0</v>
      </c>
      <c r="M24" s="20">
        <f>'[2]C-FCL Real'!L121</f>
        <v>0</v>
      </c>
      <c r="N24" s="20">
        <f>'[2]C-FCL Real'!M121</f>
        <v>0</v>
      </c>
      <c r="O24" s="20">
        <f>'[2]C-FCL Real'!N121</f>
        <v>0</v>
      </c>
      <c r="P24" s="20">
        <f>'[2]C-FCL Real'!O121</f>
        <v>0</v>
      </c>
      <c r="Q24" s="20">
        <f>'[2]C-FCL Real'!P121</f>
        <v>0</v>
      </c>
      <c r="R24" s="20">
        <f>'[2]C-FCL Real'!Q121</f>
        <v>0</v>
      </c>
      <c r="S24" s="20">
        <f>'[2]C-FCL Real'!O121</f>
        <v>0</v>
      </c>
      <c r="T24" s="20">
        <f>'[2]C-FCL Real'!P121</f>
        <v>0</v>
      </c>
      <c r="U24" s="20">
        <f>'[2]C-FCL Real'!Q121</f>
        <v>0</v>
      </c>
      <c r="V24" s="20">
        <f>'[2]C-FCL Real'!R121</f>
        <v>0</v>
      </c>
      <c r="W24" s="20">
        <f>'[2]C-FCL Real'!S121</f>
        <v>0</v>
      </c>
      <c r="X24" s="20">
        <f>'[2]C-FCL Real'!T121</f>
        <v>0</v>
      </c>
      <c r="Y24" s="20">
        <f>'[2]C-FCL Real'!U121</f>
        <v>0</v>
      </c>
      <c r="Z24" s="20">
        <f>'[2]C-FCL Real'!V121</f>
        <v>0</v>
      </c>
      <c r="AA24" s="20">
        <f>'[2]C-FCL Real'!W121</f>
        <v>0</v>
      </c>
      <c r="AB24" s="20">
        <f>'[2]C-FCL Real'!X121</f>
        <v>0</v>
      </c>
      <c r="AC24" s="20">
        <f>'[2]C-FCL Real'!Y121</f>
        <v>0</v>
      </c>
      <c r="AD24" s="20">
        <f>'[2]C-FCL Real'!Z121</f>
        <v>0</v>
      </c>
      <c r="AE24" s="20">
        <f>'[2]C-FCL Real'!AA121</f>
        <v>0</v>
      </c>
      <c r="AF24" s="20">
        <f>'[2]C-FCL Real'!AB121</f>
        <v>0</v>
      </c>
      <c r="AG24" s="20">
        <f>'[2]C-FCL Real'!AC121</f>
        <v>0</v>
      </c>
      <c r="AH24" s="20">
        <f>'[2]C-FCL Real'!AD121</f>
        <v>0</v>
      </c>
      <c r="AI24" s="20">
        <f>'[2]C-FCL Real'!AE121</f>
        <v>0</v>
      </c>
      <c r="AJ24" s="20">
        <f>'[2]C-FCL Real'!AF121</f>
        <v>0</v>
      </c>
      <c r="AK24" s="20">
        <f>'[2]C-FCL Real'!AG121</f>
        <v>0</v>
      </c>
      <c r="AL24" s="20">
        <f>'[2]C-FCL Real'!AH121</f>
        <v>0</v>
      </c>
      <c r="AM24" s="20">
        <f>'[2]C-FCL Real'!AI121</f>
        <v>0</v>
      </c>
      <c r="AN24" s="20">
        <f>'[2]C-FCL Real'!AJ121</f>
        <v>0</v>
      </c>
      <c r="AO24" s="20">
        <f>'[2]C-FCL Real'!AK121</f>
        <v>0</v>
      </c>
      <c r="AP24" s="20">
        <f>'[2]C-FCL Real'!AL121</f>
        <v>0</v>
      </c>
      <c r="AQ24" s="20">
        <f>'[2]C-FCL Real'!AM121</f>
        <v>0</v>
      </c>
      <c r="AR24" s="20">
        <f>'[2]C-FCL Real'!AN121</f>
        <v>0</v>
      </c>
      <c r="AS24" s="20">
        <f>'[2]C-FCL Real'!AO121</f>
        <v>0</v>
      </c>
      <c r="AT24" s="20">
        <f>'[2]C-FCL Real'!AP121</f>
        <v>0</v>
      </c>
      <c r="AU24" s="20">
        <f>'[2]C-FCL Real'!AQ121</f>
        <v>0</v>
      </c>
      <c r="AV24" s="20">
        <f>'[2]C-FCL Real'!AR121</f>
        <v>0</v>
      </c>
      <c r="AW24" s="20">
        <f>'[2]C-FCL Real'!AS121</f>
        <v>0</v>
      </c>
      <c r="AX24" s="20">
        <f>'[2]C-FCL Real'!AT121</f>
        <v>0</v>
      </c>
      <c r="AY24" s="20">
        <f>'[2]C-FCL Real'!AU121</f>
        <v>0</v>
      </c>
      <c r="AZ24" s="20">
        <f>'[2]C-FCL Real'!AV121</f>
        <v>0</v>
      </c>
      <c r="BA24" s="20">
        <f>'[2]C-FCL Real'!AW121</f>
        <v>0</v>
      </c>
      <c r="BB24" s="20">
        <f>'[2]C-FCL Real'!AX121</f>
        <v>0</v>
      </c>
      <c r="BC24" s="20">
        <f>'[2]C-FCL Real'!AY121</f>
        <v>0</v>
      </c>
      <c r="BD24" s="20">
        <f>'[2]C-FCL Real'!AZ121</f>
        <v>0</v>
      </c>
      <c r="BE24" s="20">
        <f>'[2]C-FCL Real'!BA121</f>
        <v>0</v>
      </c>
      <c r="BF24" s="20">
        <f>'[2]C-FCL Real'!BB121</f>
        <v>0</v>
      </c>
      <c r="BG24" s="20">
        <f>'[2]C-FCL Real'!BC121</f>
        <v>0</v>
      </c>
      <c r="BH24" s="20">
        <f>'[2]C-FCL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203.69479434567916</v>
      </c>
      <c r="B27" s="173" t="str">
        <f>'[2]C-FCL Real'!B148</f>
        <v>Dados de Receitas Diretas</v>
      </c>
      <c r="C27" s="174">
        <f>SUMIF($D$15:$BG$15,1,D27:BG27)</f>
        <v>243.13953393702363</v>
      </c>
      <c r="D27" s="175">
        <f>'[2]C-FCL Real'!C148-D30</f>
        <v>6.4607751914727043</v>
      </c>
      <c r="E27" s="20">
        <f>'[2]C-FCL Real'!D148-E30</f>
        <v>6.4911408348726258</v>
      </c>
      <c r="F27" s="20">
        <f>'[2]C-FCL Real'!E148-F30</f>
        <v>6.5216491967965275</v>
      </c>
      <c r="G27" s="20">
        <f>'[2]C-FCL Real'!F148-G30</f>
        <v>6.55230094802147</v>
      </c>
      <c r="H27" s="20">
        <f>'[2]C-FCL Real'!G148-H30</f>
        <v>6.5830967624771688</v>
      </c>
      <c r="I27" s="20">
        <f>'[2]C-FCL Real'!H148-I30</f>
        <v>6.614037317260812</v>
      </c>
      <c r="J27" s="20">
        <f>'[2]C-FCL Real'!I148-J30</f>
        <v>6.6451232926519381</v>
      </c>
      <c r="K27" s="20">
        <f>'[2]C-FCL Real'!J148-K30</f>
        <v>6.6763553721274018</v>
      </c>
      <c r="L27" s="20">
        <f>'[2]C-FCL Real'!K148-L30</f>
        <v>6.7077342423763993</v>
      </c>
      <c r="M27" s="20">
        <f>'[2]C-FCL Real'!L148-M30</f>
        <v>6.7392605933155663</v>
      </c>
      <c r="N27" s="20">
        <f>'[2]C-FCL Real'!M148-N30</f>
        <v>6.7709351181041484</v>
      </c>
      <c r="O27" s="20">
        <f>'[2]C-FCL Real'!N148-O30</f>
        <v>6.8027585131592385</v>
      </c>
      <c r="P27" s="20">
        <f>'[2]C-FCL Real'!O148-P30</f>
        <v>6.8347314781710846</v>
      </c>
      <c r="Q27" s="20">
        <f>'[2]C-FCL Real'!P148-Q30</f>
        <v>6.8668547161184907</v>
      </c>
      <c r="R27" s="20">
        <f>'[2]C-FCL Real'!Q148-R30</f>
        <v>6.8991289332842474</v>
      </c>
      <c r="S27" s="20">
        <f>'[2]C-FCL Real'!O148-S30</f>
        <v>6.8347314781710846</v>
      </c>
      <c r="T27" s="20">
        <f>'[2]C-FCL Real'!P148-T30</f>
        <v>6.8668547161184907</v>
      </c>
      <c r="U27" s="20">
        <f>'[2]C-FCL Real'!Q148-U30</f>
        <v>6.8991289332842474</v>
      </c>
      <c r="V27" s="20">
        <f>'[2]C-FCL Real'!R148-V30</f>
        <v>6.9315548392706825</v>
      </c>
      <c r="W27" s="20">
        <f>'[2]C-FCL Real'!S148-W30</f>
        <v>6.9641331470152537</v>
      </c>
      <c r="X27" s="20">
        <f>'[2]C-FCL Real'!T148-X30</f>
        <v>6.9968645728062242</v>
      </c>
      <c r="Y27" s="20">
        <f>'[2]C-FCL Real'!U148-Y30</f>
        <v>7.0297498362984143</v>
      </c>
      <c r="Z27" s="20">
        <f>'[2]C-FCL Real'!V148-Z30</f>
        <v>7.062789660529015</v>
      </c>
      <c r="AA27" s="20">
        <f>'[2]C-FCL Real'!W148-AA30</f>
        <v>7.0959847719334999</v>
      </c>
      <c r="AB27" s="20">
        <f>'[2]C-FCL Real'!X148-AB30</f>
        <v>7.1293359003615873</v>
      </c>
      <c r="AC27" s="20">
        <f>'[2]C-FCL Real'!Y148-AC30</f>
        <v>7.1628437790932873</v>
      </c>
      <c r="AD27" s="20">
        <f>'[2]C-FCL Real'!Z148-AD30</f>
        <v>7.1965091448550265</v>
      </c>
      <c r="AE27" s="20">
        <f>'[2]C-FCL Real'!AA148-AE30</f>
        <v>7.2303327378358428</v>
      </c>
      <c r="AF27" s="20">
        <f>'[2]C-FCL Real'!AB148-AF30</f>
        <v>7.2643153017036699</v>
      </c>
      <c r="AG27" s="20">
        <f>'[2]C-FCL Real'!AC148-AG30</f>
        <v>7.2984575836216772</v>
      </c>
      <c r="AH27" s="20">
        <f>'[2]C-FCL Real'!AD148-AH30</f>
        <v>7.3327603342646981</v>
      </c>
      <c r="AI27" s="20">
        <f>'[2]C-FCL Real'!AE148-AI30</f>
        <v>7.3672243078357429</v>
      </c>
      <c r="AJ27" s="20">
        <f>'[2]C-FCL Real'!AF148-AJ30</f>
        <v>7.4018502620825686</v>
      </c>
      <c r="AK27" s="20">
        <f>'[2]C-FCL Real'!AG148-AK30</f>
        <v>7.4366389583143571</v>
      </c>
      <c r="AL27" s="20">
        <f>'[2]C-FCL Real'!AH148-AL30</f>
        <v>7.4715911614184352</v>
      </c>
      <c r="AM27" s="20">
        <f>'[2]C-FCL Real'!AI148-AM30</f>
        <v>7.5067076398770993</v>
      </c>
      <c r="AN27" s="20">
        <f>'[2]C-FCL Real'!AJ148-AN30</f>
        <v>7.5419891657845222</v>
      </c>
      <c r="AO27" s="20">
        <f>'[2]C-FCL Real'!AK148-AO30</f>
        <v>7.5774365148637077</v>
      </c>
      <c r="AP27" s="20">
        <f>'[2]C-FCL Real'!AL148-AP30</f>
        <v>7.6130504664835703</v>
      </c>
      <c r="AQ27" s="20">
        <f>'[2]C-FCL Real'!AM148-AQ30</f>
        <v>7.6488318036760425</v>
      </c>
      <c r="AR27" s="20">
        <f>'[2]C-FCL Real'!AN148-AR30</f>
        <v>7.6847813131533185</v>
      </c>
      <c r="AS27" s="20">
        <f>'[2]C-FCL Real'!AO148-AS30</f>
        <v>7.7208997853251375</v>
      </c>
      <c r="AT27" s="20">
        <f>'[2]C-FCL Real'!AP148-AT30</f>
        <v>7.7571880143161662</v>
      </c>
      <c r="AU27" s="20">
        <f>'[2]C-FCL Real'!AQ148-AU30</f>
        <v>7.7936467979834507</v>
      </c>
      <c r="AV27" s="20">
        <f>'[2]C-FCL Real'!AR148-AV30</f>
        <v>7.8302769379339701</v>
      </c>
      <c r="AW27" s="20">
        <f>'[2]C-FCL Real'!AS148-AW30</f>
        <v>7.8670792395422602</v>
      </c>
      <c r="AX27" s="20">
        <f>'[2]C-FCL Real'!AT148-AX30</f>
        <v>7.9040545119681092</v>
      </c>
      <c r="AY27" s="20">
        <f>'[2]C-FCL Real'!AU148-AY30</f>
        <v>7.9412035681743589</v>
      </c>
      <c r="AZ27" s="20">
        <f>'[2]C-FCL Real'!AV148-AZ30</f>
        <v>7.978527224944779</v>
      </c>
      <c r="BA27" s="20">
        <f>'[2]C-FCL Real'!AW148-BA30</f>
        <v>8.0160263029020182</v>
      </c>
      <c r="BB27" s="20">
        <f>'[2]C-FCL Real'!AX148-BB30</f>
        <v>8.0537016265256565</v>
      </c>
      <c r="BC27" s="20">
        <f>'[2]C-FCL Real'!AY148-BC30</f>
        <v>8.0915540241703265</v>
      </c>
      <c r="BD27" s="20">
        <f>'[2]C-FCL Real'!AZ148-BD30</f>
        <v>8.1295843280839293</v>
      </c>
      <c r="BE27" s="20">
        <f>'[2]C-FCL Real'!BA148-BE30</f>
        <v>8.1677933744259228</v>
      </c>
      <c r="BF27" s="20">
        <f>'[2]C-FCL Real'!BB148-BF30</f>
        <v>8.2061820032857256</v>
      </c>
      <c r="BG27" s="20">
        <f>'[2]C-FCL Real'!BC148-BG30</f>
        <v>8.2447510587011656</v>
      </c>
      <c r="BH27" s="20">
        <f>'[2]C-FCL Real'!BD148-BH30</f>
        <v>0</v>
      </c>
    </row>
    <row r="28" spans="1:60" ht="15" hidden="1" customHeight="1" outlineLevel="1" x14ac:dyDescent="0.3">
      <c r="A28" s="172">
        <f>C28*1000000/$C$16</f>
        <v>174.43925896191777</v>
      </c>
      <c r="B28" s="176" t="s">
        <v>56</v>
      </c>
      <c r="C28" s="169">
        <f>SUMIF($D$15:$BG$15,1,D28:BG28)</f>
        <v>208.21877289776768</v>
      </c>
      <c r="D28" s="175">
        <f t="shared" ref="D28:AJ28" si="3">NPV($C$8,D27:D27)</f>
        <v>5.8942601643012216</v>
      </c>
      <c r="E28" s="20">
        <f t="shared" si="3"/>
        <v>5.9219631870734375</v>
      </c>
      <c r="F28" s="20">
        <f t="shared" si="3"/>
        <v>5.9497964140526829</v>
      </c>
      <c r="G28" s="20">
        <f t="shared" si="3"/>
        <v>5.9777604571987295</v>
      </c>
      <c r="H28" s="20">
        <f t="shared" si="3"/>
        <v>6.0058559313475612</v>
      </c>
      <c r="I28" s="20">
        <f t="shared" si="3"/>
        <v>6.0340834542248949</v>
      </c>
      <c r="J28" s="20">
        <f t="shared" si="3"/>
        <v>6.0624436464597524</v>
      </c>
      <c r="K28" s="20">
        <f t="shared" si="3"/>
        <v>6.0909371315981131</v>
      </c>
      <c r="L28" s="20">
        <f t="shared" si="3"/>
        <v>6.1195645361166227</v>
      </c>
      <c r="M28" s="20">
        <f t="shared" si="3"/>
        <v>6.1483264894363696</v>
      </c>
      <c r="N28" s="20">
        <f t="shared" si="3"/>
        <v>6.1772236239367189</v>
      </c>
      <c r="O28" s="20">
        <f t="shared" si="3"/>
        <v>6.2062565749692222</v>
      </c>
      <c r="P28" s="20">
        <f t="shared" si="3"/>
        <v>6.2354259808715753</v>
      </c>
      <c r="Q28" s="20">
        <f t="shared" si="3"/>
        <v>6.2647324829816737</v>
      </c>
      <c r="R28" s="20">
        <f t="shared" si="3"/>
        <v>6.2941767256516874</v>
      </c>
      <c r="S28" s="20">
        <f t="shared" si="3"/>
        <v>6.2354259808715753</v>
      </c>
      <c r="T28" s="20">
        <f t="shared" si="3"/>
        <v>6.2647324829816737</v>
      </c>
      <c r="U28" s="20">
        <f t="shared" si="3"/>
        <v>6.2941767256516874</v>
      </c>
      <c r="V28" s="20">
        <f t="shared" si="3"/>
        <v>6.3237593562622498</v>
      </c>
      <c r="W28" s="20">
        <f t="shared" si="3"/>
        <v>6.3534810252366816</v>
      </c>
      <c r="X28" s="20">
        <f t="shared" si="3"/>
        <v>6.3833423860552925</v>
      </c>
      <c r="Y28" s="20">
        <f t="shared" si="3"/>
        <v>6.4133440952697534</v>
      </c>
      <c r="Z28" s="20">
        <f t="shared" si="3"/>
        <v>6.4434868125175191</v>
      </c>
      <c r="AA28" s="20">
        <f t="shared" si="3"/>
        <v>6.4737712005363504</v>
      </c>
      <c r="AB28" s="20">
        <f t="shared" si="3"/>
        <v>6.5041979251788709</v>
      </c>
      <c r="AC28" s="20">
        <f t="shared" si="3"/>
        <v>6.5347676554272125</v>
      </c>
      <c r="AD28" s="20">
        <f t="shared" si="3"/>
        <v>6.565481063407721</v>
      </c>
      <c r="AE28" s="20">
        <f t="shared" si="3"/>
        <v>6.596338824405735</v>
      </c>
      <c r="AF28" s="20">
        <f t="shared" si="3"/>
        <v>6.6273416168804404</v>
      </c>
      <c r="AG28" s="20">
        <f t="shared" si="3"/>
        <v>6.6584901224797788</v>
      </c>
      <c r="AH28" s="20">
        <f t="shared" si="3"/>
        <v>6.689785026055433</v>
      </c>
      <c r="AI28" s="20">
        <f t="shared" si="3"/>
        <v>6.7212270156778944</v>
      </c>
      <c r="AJ28" s="20">
        <f t="shared" si="3"/>
        <v>6.7528167826515784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64.200735739506541</v>
      </c>
      <c r="B30" s="173" t="str">
        <f>'[2]C-FCL Real'!B149</f>
        <v>Receita do Ente Público pela disposição do RPU</v>
      </c>
      <c r="C30" s="174">
        <f>SUMIF($D$15:$BG$15,1,D30:BG30)</f>
        <v>76.632969518245105</v>
      </c>
      <c r="D30" s="175">
        <f>'[2]C-FCL Real'!C149</f>
        <v>2.0363138001268095</v>
      </c>
      <c r="E30" s="20">
        <f>'[2]C-FCL Real'!D149</f>
        <v>2.0458844749874054</v>
      </c>
      <c r="F30" s="20">
        <f>'[2]C-FCL Real'!E149</f>
        <v>2.055500132019846</v>
      </c>
      <c r="G30" s="20">
        <f>'[2]C-FCL Real'!F149</f>
        <v>2.065160982640339</v>
      </c>
      <c r="H30" s="20">
        <f>'[2]C-FCL Real'!G149</f>
        <v>2.0748672392587486</v>
      </c>
      <c r="I30" s="20">
        <f>'[2]C-FCL Real'!H149</f>
        <v>2.0846191152832647</v>
      </c>
      <c r="J30" s="20">
        <f>'[2]C-FCL Real'!I149</f>
        <v>2.0944168251250961</v>
      </c>
      <c r="K30" s="20">
        <f>'[2]C-FCL Real'!J149</f>
        <v>2.1042605842031841</v>
      </c>
      <c r="L30" s="20">
        <f>'[2]C-FCL Real'!K149</f>
        <v>2.1141506089489388</v>
      </c>
      <c r="M30" s="20">
        <f>'[2]C-FCL Real'!L149</f>
        <v>2.1240871168109985</v>
      </c>
      <c r="N30" s="20">
        <f>'[2]C-FCL Real'!M149</f>
        <v>2.13407032626001</v>
      </c>
      <c r="O30" s="20">
        <f>'[2]C-FCL Real'!N149</f>
        <v>2.1441004567934319</v>
      </c>
      <c r="P30" s="20">
        <f>'[2]C-FCL Real'!O149</f>
        <v>2.1541777289403607</v>
      </c>
      <c r="Q30" s="20">
        <f>'[2]C-FCL Real'!P149</f>
        <v>2.1643023642663803</v>
      </c>
      <c r="R30" s="20">
        <f>'[2]C-FCL Real'!Q149</f>
        <v>2.174474585378432</v>
      </c>
      <c r="S30" s="20">
        <f>'[2]C-FCL Real'!O149</f>
        <v>2.1541777289403607</v>
      </c>
      <c r="T30" s="20">
        <f>'[2]C-FCL Real'!P149</f>
        <v>2.1643023642663803</v>
      </c>
      <c r="U30" s="20">
        <f>'[2]C-FCL Real'!Q149</f>
        <v>2.174474585378432</v>
      </c>
      <c r="V30" s="20">
        <f>'[2]C-FCL Real'!R149</f>
        <v>2.1846946159297103</v>
      </c>
      <c r="W30" s="20">
        <f>'[2]C-FCL Real'!S149</f>
        <v>2.1949626806245797</v>
      </c>
      <c r="X30" s="20">
        <f>'[2]C-FCL Real'!T149</f>
        <v>2.2052790052235149</v>
      </c>
      <c r="Y30" s="20">
        <f>'[2]C-FCL Real'!U149</f>
        <v>2.2156438165480652</v>
      </c>
      <c r="Z30" s="20">
        <f>'[2]C-FCL Real'!V149</f>
        <v>2.226057342485841</v>
      </c>
      <c r="AA30" s="20">
        <f>'[2]C-FCL Real'!W149</f>
        <v>2.2365198119955241</v>
      </c>
      <c r="AB30" s="20">
        <f>'[2]C-FCL Real'!X149</f>
        <v>2.2470314551119031</v>
      </c>
      <c r="AC30" s="20">
        <f>'[2]C-FCL Real'!Y149</f>
        <v>2.2575925029509287</v>
      </c>
      <c r="AD30" s="20">
        <f>'[2]C-FCL Real'!Z149</f>
        <v>2.2682031877147981</v>
      </c>
      <c r="AE30" s="20">
        <f>'[2]C-FCL Real'!AA149</f>
        <v>2.2788637426970575</v>
      </c>
      <c r="AF30" s="20">
        <f>'[2]C-FCL Real'!AB149</f>
        <v>2.2895744022877333</v>
      </c>
      <c r="AG30" s="20">
        <f>'[2]C-FCL Real'!AC149</f>
        <v>2.3003354019784856</v>
      </c>
      <c r="AH30" s="20">
        <f>'[2]C-FCL Real'!AD149</f>
        <v>2.3111469783677845</v>
      </c>
      <c r="AI30" s="20">
        <f>'[2]C-FCL Real'!AE149</f>
        <v>2.3220093691661128</v>
      </c>
      <c r="AJ30" s="20">
        <f>'[2]C-FCL Real'!AF149</f>
        <v>2.3329228132011934</v>
      </c>
      <c r="AK30" s="20">
        <f>'[2]C-FCL Real'!AG149</f>
        <v>2.343887550423239</v>
      </c>
      <c r="AL30" s="20">
        <f>'[2]C-FCL Real'!AH149</f>
        <v>2.3549038219102281</v>
      </c>
      <c r="AM30" s="20">
        <f>'[2]C-FCL Real'!AI149</f>
        <v>2.365971869873206</v>
      </c>
      <c r="AN30" s="20">
        <f>'[2]C-FCL Real'!AJ149</f>
        <v>2.3770919376616098</v>
      </c>
      <c r="AO30" s="20">
        <f>'[2]C-FCL Real'!AK149</f>
        <v>2.3882642697686189</v>
      </c>
      <c r="AP30" s="20">
        <f>'[2]C-FCL Real'!AL149</f>
        <v>2.3994891118365311</v>
      </c>
      <c r="AQ30" s="20">
        <f>'[2]C-FCL Real'!AM149</f>
        <v>2.4107667106621626</v>
      </c>
      <c r="AR30" s="20">
        <f>'[2]C-FCL Real'!AN149</f>
        <v>2.4220973142022748</v>
      </c>
      <c r="AS30" s="20">
        <f>'[2]C-FCL Real'!AO149</f>
        <v>2.4334811715790252</v>
      </c>
      <c r="AT30" s="20">
        <f>'[2]C-FCL Real'!AP149</f>
        <v>2.4449185330854464</v>
      </c>
      <c r="AU30" s="20">
        <f>'[2]C-FCL Real'!AQ149</f>
        <v>2.4564096501909476</v>
      </c>
      <c r="AV30" s="20">
        <f>'[2]C-FCL Real'!AR149</f>
        <v>2.4679547755468447</v>
      </c>
      <c r="AW30" s="20">
        <f>'[2]C-FCL Real'!AS149</f>
        <v>2.4795541629919149</v>
      </c>
      <c r="AX30" s="20">
        <f>'[2]C-FCL Real'!AT149</f>
        <v>2.4912080675579769</v>
      </c>
      <c r="AY30" s="20">
        <f>'[2]C-FCL Real'!AU149</f>
        <v>2.502916745475499</v>
      </c>
      <c r="AZ30" s="20">
        <f>'[2]C-FCL Real'!AV149</f>
        <v>2.5146804541792336</v>
      </c>
      <c r="BA30" s="20">
        <f>'[2]C-FCL Real'!AW149</f>
        <v>2.526499452313876</v>
      </c>
      <c r="BB30" s="20">
        <f>'[2]C-FCL Real'!AX149</f>
        <v>2.538373999739751</v>
      </c>
      <c r="BC30" s="20">
        <f>'[2]C-FCL Real'!AY149</f>
        <v>2.5503043575385278</v>
      </c>
      <c r="BD30" s="20">
        <f>'[2]C-FCL Real'!AZ149</f>
        <v>2.5622907880189585</v>
      </c>
      <c r="BE30" s="20">
        <f>'[2]C-FCL Real'!BA149</f>
        <v>2.5743335547226476</v>
      </c>
      <c r="BF30" s="20">
        <f>'[2]C-FCL Real'!BB149</f>
        <v>2.5864329224298439</v>
      </c>
      <c r="BG30" s="20">
        <f>'[2]C-FCL Real'!BC149</f>
        <v>2.598589157165264</v>
      </c>
      <c r="BH30" s="20">
        <f>'[2]C-FCL Real'!BD149</f>
        <v>0</v>
      </c>
    </row>
    <row r="31" spans="1:60" ht="15" hidden="1" customHeight="1" outlineLevel="1" x14ac:dyDescent="0.3">
      <c r="A31" s="172">
        <f>C31*1000000/$C$16</f>
        <v>54.979945870408514</v>
      </c>
      <c r="B31" s="176" t="s">
        <v>57</v>
      </c>
      <c r="C31" s="169">
        <f>SUMIF($D$15:$BG$15,1,D31:BG31)</f>
        <v>65.62660797373232</v>
      </c>
      <c r="D31" s="175">
        <f t="shared" ref="D31:AJ31" si="4">NPV($C$8,D30:D30)</f>
        <v>1.857759008539092</v>
      </c>
      <c r="E31" s="20">
        <f t="shared" si="4"/>
        <v>1.8664904758792256</v>
      </c>
      <c r="F31" s="20">
        <f t="shared" si="4"/>
        <v>1.8752629811158579</v>
      </c>
      <c r="G31" s="20">
        <f t="shared" si="4"/>
        <v>1.884076717127102</v>
      </c>
      <c r="H31" s="20">
        <f t="shared" si="4"/>
        <v>1.8929318776975994</v>
      </c>
      <c r="I31" s="20">
        <f t="shared" si="4"/>
        <v>1.9018286575227781</v>
      </c>
      <c r="J31" s="20">
        <f t="shared" si="4"/>
        <v>1.9107672522131351</v>
      </c>
      <c r="K31" s="20">
        <f t="shared" si="4"/>
        <v>1.919747858298537</v>
      </c>
      <c r="L31" s="20">
        <f t="shared" si="4"/>
        <v>1.9287706732325398</v>
      </c>
      <c r="M31" s="20">
        <f t="shared" si="4"/>
        <v>1.9378358953967325</v>
      </c>
      <c r="N31" s="20">
        <f t="shared" si="4"/>
        <v>1.9469437241050971</v>
      </c>
      <c r="O31" s="20">
        <f t="shared" si="4"/>
        <v>1.9560943596083908</v>
      </c>
      <c r="P31" s="20">
        <f t="shared" si="4"/>
        <v>1.96528800309855</v>
      </c>
      <c r="Q31" s="20">
        <f t="shared" si="4"/>
        <v>1.9745248567131131</v>
      </c>
      <c r="R31" s="20">
        <f t="shared" si="4"/>
        <v>1.9838051235396643</v>
      </c>
      <c r="S31" s="20">
        <f t="shared" si="4"/>
        <v>1.96528800309855</v>
      </c>
      <c r="T31" s="20">
        <f t="shared" si="4"/>
        <v>1.9745248567131131</v>
      </c>
      <c r="U31" s="20">
        <f t="shared" si="4"/>
        <v>1.9838051235396643</v>
      </c>
      <c r="V31" s="20">
        <f t="shared" si="4"/>
        <v>1.9931290076203005</v>
      </c>
      <c r="W31" s="20">
        <f t="shared" si="4"/>
        <v>2.0024967139561158</v>
      </c>
      <c r="X31" s="20">
        <f t="shared" si="4"/>
        <v>2.0119084485117091</v>
      </c>
      <c r="Y31" s="20">
        <f t="shared" si="4"/>
        <v>2.0213644182197141</v>
      </c>
      <c r="Z31" s="20">
        <f t="shared" si="4"/>
        <v>2.0308648309853465</v>
      </c>
      <c r="AA31" s="20">
        <f t="shared" si="4"/>
        <v>2.0404098956909773</v>
      </c>
      <c r="AB31" s="20">
        <f t="shared" si="4"/>
        <v>2.049999822200725</v>
      </c>
      <c r="AC31" s="20">
        <f t="shared" si="4"/>
        <v>2.0596348213650684</v>
      </c>
      <c r="AD31" s="20">
        <f t="shared" si="4"/>
        <v>2.0693151050254839</v>
      </c>
      <c r="AE31" s="20">
        <f t="shared" si="4"/>
        <v>2.0790408860191034</v>
      </c>
      <c r="AF31" s="20">
        <f t="shared" si="4"/>
        <v>2.0888123781833929</v>
      </c>
      <c r="AG31" s="20">
        <f t="shared" si="4"/>
        <v>2.0986297963608549</v>
      </c>
      <c r="AH31" s="20">
        <f t="shared" si="4"/>
        <v>2.1084933564037511</v>
      </c>
      <c r="AI31" s="20">
        <f t="shared" si="4"/>
        <v>2.1184032751788484</v>
      </c>
      <c r="AJ31" s="20">
        <f t="shared" si="4"/>
        <v>2.1283597705721888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-335.01325465928954</v>
      </c>
      <c r="B33" s="173" t="s">
        <v>58</v>
      </c>
      <c r="C33" s="174">
        <f>SUMIF($D$15:$BG$15,1,D33:BG33)</f>
        <v>-399.88732585061723</v>
      </c>
      <c r="D33" s="175">
        <f>'[2]C-FCL Real'!C153</f>
        <v>-27.191994100292977</v>
      </c>
      <c r="E33" s="20">
        <f>'[2]C-FCL Real'!D153</f>
        <v>-27.67929156784712</v>
      </c>
      <c r="F33" s="20">
        <f>'[2]C-FCL Real'!E153</f>
        <v>-37.406248917534207</v>
      </c>
      <c r="G33" s="20">
        <f>'[2]C-FCL Real'!F153</f>
        <v>-10.187882790898689</v>
      </c>
      <c r="H33" s="20">
        <f>'[2]C-FCL Real'!G153</f>
        <v>-10.14738071982458</v>
      </c>
      <c r="I33" s="20">
        <f>'[2]C-FCL Real'!H153</f>
        <v>-10.106688289016422</v>
      </c>
      <c r="J33" s="20">
        <f>'[2]C-FCL Real'!I153</f>
        <v>-10.065804603783464</v>
      </c>
      <c r="K33" s="20">
        <f>'[2]C-FCL Real'!J153</f>
        <v>-10.024728765229913</v>
      </c>
      <c r="L33" s="20">
        <f>'[2]C-FCL Real'!K153</f>
        <v>-9.9834598702351602</v>
      </c>
      <c r="M33" s="20">
        <f>'[2]C-FCL Real'!L153</f>
        <v>-9.9419970114339336</v>
      </c>
      <c r="N33" s="20">
        <f>'[2]C-FCL Real'!M153</f>
        <v>-9.9003392771963394</v>
      </c>
      <c r="O33" s="20">
        <f>'[2]C-FCL Real'!N153</f>
        <v>-9.8584857516078284</v>
      </c>
      <c r="P33" s="20">
        <f>'[2]C-FCL Real'!O153</f>
        <v>-9.8164355144490525</v>
      </c>
      <c r="Q33" s="20">
        <f>'[2]C-FCL Real'!P153</f>
        <v>-9.7741876411756277</v>
      </c>
      <c r="R33" s="20">
        <f>'[2]C-FCL Real'!Q153</f>
        <v>-9.731741202897819</v>
      </c>
      <c r="S33" s="20">
        <f>'[2]C-FCL Real'!O153</f>
        <v>-9.8164355144490525</v>
      </c>
      <c r="T33" s="20">
        <f>'[2]C-FCL Real'!P153</f>
        <v>-9.7741876411756277</v>
      </c>
      <c r="U33" s="20">
        <f>'[2]C-FCL Real'!Q153</f>
        <v>-9.731741202897819</v>
      </c>
      <c r="V33" s="20">
        <f>'[2]C-FCL Real'!R153</f>
        <v>-9.6890952663601055</v>
      </c>
      <c r="W33" s="20">
        <f>'[2]C-FCL Real'!S153</f>
        <v>-9.6462488939206654</v>
      </c>
      <c r="X33" s="20">
        <f>'[2]C-FCL Real'!T153</f>
        <v>-9.6032011435307592</v>
      </c>
      <c r="Y33" s="20">
        <f>'[2]C-FCL Real'!U153</f>
        <v>-9.5599510687140192</v>
      </c>
      <c r="Z33" s="20">
        <f>'[2]C-FCL Real'!V153</f>
        <v>-9.5164977185456419</v>
      </c>
      <c r="AA33" s="20">
        <f>'[2]C-FCL Real'!W153</f>
        <v>-9.4728401376314739</v>
      </c>
      <c r="AB33" s="20">
        <f>'[2]C-FCL Real'!X153</f>
        <v>-9.4289773660870075</v>
      </c>
      <c r="AC33" s="20">
        <f>'[2]C-FCL Real'!Y153</f>
        <v>-9.3849084395162823</v>
      </c>
      <c r="AD33" s="20">
        <f>'[2]C-FCL Real'!Z153</f>
        <v>-9.3406323889906737</v>
      </c>
      <c r="AE33" s="20">
        <f>'[2]C-FCL Real'!AA153</f>
        <v>-9.2961482410275984</v>
      </c>
      <c r="AF33" s="20">
        <f>'[2]C-FCL Real'!AB153</f>
        <v>-9.2514550175690946</v>
      </c>
      <c r="AG33" s="20">
        <f>'[2]C-FCL Real'!AC153</f>
        <v>-9.2065517359603355</v>
      </c>
      <c r="AH33" s="20">
        <f>'[2]C-FCL Real'!AD153</f>
        <v>-9.1614374089280162</v>
      </c>
      <c r="AI33" s="20">
        <f>'[2]C-FCL Real'!AE153</f>
        <v>-9.1161110445586431</v>
      </c>
      <c r="AJ33" s="20">
        <f>'[2]C-FCL Real'!AF153</f>
        <v>-9.0705716462767363</v>
      </c>
      <c r="AK33" s="20">
        <f>'[2]C-FCL Real'!AG153</f>
        <v>-9.0248182128229022</v>
      </c>
      <c r="AL33" s="20">
        <f>'[2]C-FCL Real'!AH153</f>
        <v>-8.9788497382318351</v>
      </c>
      <c r="AM33" s="20">
        <f>'[2]C-FCL Real'!AI153</f>
        <v>-8.9326652118101926</v>
      </c>
      <c r="AN33" s="20">
        <f>'[2]C-FCL Real'!AJ153</f>
        <v>-8.8862636181143664</v>
      </c>
      <c r="AO33" s="20">
        <f>'[2]C-FCL Real'!AK153</f>
        <v>-8.8396439369281712</v>
      </c>
      <c r="AP33" s="20">
        <f>'[2]C-FCL Real'!AL153</f>
        <v>-8.7928051432403969</v>
      </c>
      <c r="AQ33" s="20">
        <f>'[2]C-FCL Real'!AM153</f>
        <v>-8.7457462072222931</v>
      </c>
      <c r="AR33" s="20">
        <f>'[2]C-FCL Real'!AN153</f>
        <v>-8.698466094204905</v>
      </c>
      <c r="AS33" s="20">
        <f>'[2]C-FCL Real'!AO153</f>
        <v>-8.6509637646563355</v>
      </c>
      <c r="AT33" s="20">
        <f>'[2]C-FCL Real'!AP153</f>
        <v>-8.6032381741588857</v>
      </c>
      <c r="AU33" s="20">
        <f>'[2]C-FCL Real'!AQ153</f>
        <v>-8.5552882733861004</v>
      </c>
      <c r="AV33" s="20">
        <f>'[2]C-FCL Real'!AR153</f>
        <v>-8.5071130080796831</v>
      </c>
      <c r="AW33" s="20">
        <f>'[2]C-FCL Real'!AS153</f>
        <v>-8.4587113190263228</v>
      </c>
      <c r="AX33" s="20">
        <f>'[2]C-FCL Real'!AT153</f>
        <v>-8.4100821420344118</v>
      </c>
      <c r="AY33" s="20">
        <f>'[2]C-FCL Real'!AU153</f>
        <v>-8.3612244079106404</v>
      </c>
      <c r="AZ33" s="20">
        <f>'[2]C-FCL Real'!AV153</f>
        <v>-8.3121370424364862</v>
      </c>
      <c r="BA33" s="20">
        <f>'[2]C-FCL Real'!AW153</f>
        <v>-8.2628189663446037</v>
      </c>
      <c r="BB33" s="20">
        <f>'[2]C-FCL Real'!AX153</f>
        <v>-8.2132690952950913</v>
      </c>
      <c r="BC33" s="20">
        <f>'[2]C-FCL Real'!AY153</f>
        <v>-8.1634863398516444</v>
      </c>
      <c r="BD33" s="20">
        <f>'[2]C-FCL Real'!AZ153</f>
        <v>-8.1134696054576096</v>
      </c>
      <c r="BE33" s="20">
        <f>'[2]C-FCL Real'!BA153</f>
        <v>-8.0632177924119279</v>
      </c>
      <c r="BF33" s="20">
        <f>'[2]C-FCL Real'!BB153</f>
        <v>-8.0127297958449297</v>
      </c>
      <c r="BG33" s="20">
        <f>'[2]C-FCL Real'!BC153</f>
        <v>-7.9620045056940683</v>
      </c>
      <c r="BH33" s="20">
        <f>'[2]C-FCL Real'!BD153</f>
        <v>0</v>
      </c>
    </row>
    <row r="34" spans="1:60" ht="15" hidden="1" customHeight="1" outlineLevel="1" x14ac:dyDescent="0.3">
      <c r="A34" s="172">
        <f>C34*1000000/$C$16</f>
        <v>-291.8771491004357</v>
      </c>
      <c r="B34" s="176" t="s">
        <v>59</v>
      </c>
      <c r="C34" s="169">
        <f>SUMIF($D$15:$BG$15,1,D34:BG34)</f>
        <v>-348.39807382958026</v>
      </c>
      <c r="D34" s="175">
        <f t="shared" ref="D34:AJ34" si="5">NPV($C$8,D33:D33)</f>
        <v>-24.80765587151414</v>
      </c>
      <c r="E34" s="20">
        <f t="shared" si="5"/>
        <v>-25.252224513209061</v>
      </c>
      <c r="F34" s="20">
        <f t="shared" si="5"/>
        <v>-34.126270665099504</v>
      </c>
      <c r="G34" s="20">
        <f t="shared" si="5"/>
        <v>-9.2945552063507044</v>
      </c>
      <c r="H34" s="20">
        <f t="shared" si="5"/>
        <v>-9.2576045716313757</v>
      </c>
      <c r="I34" s="20">
        <f t="shared" si="5"/>
        <v>-9.2204802689288634</v>
      </c>
      <c r="J34" s="20">
        <f t="shared" si="5"/>
        <v>-9.1831814820036488</v>
      </c>
      <c r="K34" s="20">
        <f t="shared" si="5"/>
        <v>-9.1457073907798865</v>
      </c>
      <c r="L34" s="20">
        <f t="shared" si="5"/>
        <v>-9.1080571713273741</v>
      </c>
      <c r="M34" s="20">
        <f t="shared" si="5"/>
        <v>-9.0702299958434338</v>
      </c>
      <c r="N34" s="20">
        <f t="shared" si="5"/>
        <v>-9.0322250326347202</v>
      </c>
      <c r="O34" s="20">
        <f t="shared" si="5"/>
        <v>-8.9940414460989242</v>
      </c>
      <c r="P34" s="20">
        <f t="shared" si="5"/>
        <v>-8.9556783967064106</v>
      </c>
      <c r="Q34" s="20">
        <f t="shared" si="5"/>
        <v>-8.9171350409817496</v>
      </c>
      <c r="R34" s="20">
        <f t="shared" si="5"/>
        <v>-8.8784105314851836</v>
      </c>
      <c r="S34" s="20">
        <f t="shared" si="5"/>
        <v>-8.9556783967064106</v>
      </c>
      <c r="T34" s="20">
        <f t="shared" si="5"/>
        <v>-8.9171350409817496</v>
      </c>
      <c r="U34" s="20">
        <f t="shared" si="5"/>
        <v>-8.8784105314851836</v>
      </c>
      <c r="V34" s="20">
        <f t="shared" si="5"/>
        <v>-8.8395040167939865</v>
      </c>
      <c r="W34" s="20">
        <f t="shared" si="5"/>
        <v>-8.800414641483739</v>
      </c>
      <c r="X34" s="20">
        <f t="shared" si="5"/>
        <v>-8.7611415461095348</v>
      </c>
      <c r="Y34" s="20">
        <f t="shared" si="5"/>
        <v>-8.7216838671870693</v>
      </c>
      <c r="Z34" s="20">
        <f t="shared" si="5"/>
        <v>-8.6820407371736703</v>
      </c>
      <c r="AA34" s="20">
        <f t="shared" si="5"/>
        <v>-8.6422112844492087</v>
      </c>
      <c r="AB34" s="20">
        <f t="shared" si="5"/>
        <v>-8.6021946332969392</v>
      </c>
      <c r="AC34" s="20">
        <f t="shared" si="5"/>
        <v>-8.5619899038842551</v>
      </c>
      <c r="AD34" s="20">
        <f t="shared" si="5"/>
        <v>-8.5215962122433311</v>
      </c>
      <c r="AE34" s="20">
        <f t="shared" si="5"/>
        <v>-8.4810126702516975</v>
      </c>
      <c r="AF34" s="20">
        <f t="shared" si="5"/>
        <v>-8.4402383856127017</v>
      </c>
      <c r="AG34" s="20">
        <f t="shared" si="5"/>
        <v>-8.3992724618359027</v>
      </c>
      <c r="AH34" s="20">
        <f t="shared" si="5"/>
        <v>-8.3581139982173518</v>
      </c>
      <c r="AI34" s="20">
        <f t="shared" si="5"/>
        <v>-8.3167620898197949</v>
      </c>
      <c r="AJ34" s="20">
        <f t="shared" si="5"/>
        <v>-8.2752158274527687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-335.01325465928954</v>
      </c>
      <c r="B39" s="173" t="s">
        <v>62</v>
      </c>
      <c r="C39" s="174">
        <f>SUMIF($D$15:$BG$15,1,D39:BG39)</f>
        <v>-399.88732585061723</v>
      </c>
      <c r="D39" s="175">
        <f>'[2]C-FCL Real'!C156</f>
        <v>-27.191994100292977</v>
      </c>
      <c r="E39" s="20">
        <f>'[2]C-FCL Real'!D156</f>
        <v>-27.67929156784712</v>
      </c>
      <c r="F39" s="20">
        <f>'[2]C-FCL Real'!E156</f>
        <v>-37.406248917534207</v>
      </c>
      <c r="G39" s="20">
        <f>'[2]C-FCL Real'!F156</f>
        <v>-10.187882790898689</v>
      </c>
      <c r="H39" s="20">
        <f>'[2]C-FCL Real'!G156</f>
        <v>-10.14738071982458</v>
      </c>
      <c r="I39" s="20">
        <f>'[2]C-FCL Real'!H156</f>
        <v>-10.106688289016422</v>
      </c>
      <c r="J39" s="20">
        <f>'[2]C-FCL Real'!I156</f>
        <v>-10.065804603783464</v>
      </c>
      <c r="K39" s="20">
        <f>'[2]C-FCL Real'!J156</f>
        <v>-10.024728765229913</v>
      </c>
      <c r="L39" s="20">
        <f>'[2]C-FCL Real'!K156</f>
        <v>-9.9834598702351602</v>
      </c>
      <c r="M39" s="20">
        <f>'[2]C-FCL Real'!L156</f>
        <v>-9.9419970114339336</v>
      </c>
      <c r="N39" s="20">
        <f>'[2]C-FCL Real'!M156</f>
        <v>-9.9003392771963394</v>
      </c>
      <c r="O39" s="20">
        <f>'[2]C-FCL Real'!N156</f>
        <v>-9.8584857516078284</v>
      </c>
      <c r="P39" s="20">
        <f>'[2]C-FCL Real'!O156</f>
        <v>-9.8164355144490525</v>
      </c>
      <c r="Q39" s="20">
        <f>'[2]C-FCL Real'!P156</f>
        <v>-9.7741876411756277</v>
      </c>
      <c r="R39" s="20">
        <f>'[2]C-FCL Real'!Q156</f>
        <v>-9.731741202897819</v>
      </c>
      <c r="S39" s="20">
        <f>'[2]C-FCL Real'!O156</f>
        <v>-9.8164355144490525</v>
      </c>
      <c r="T39" s="20">
        <f>'[2]C-FCL Real'!P156</f>
        <v>-9.7741876411756277</v>
      </c>
      <c r="U39" s="20">
        <f>'[2]C-FCL Real'!Q156</f>
        <v>-9.731741202897819</v>
      </c>
      <c r="V39" s="20">
        <f>'[2]C-FCL Real'!R156</f>
        <v>-9.6890952663601055</v>
      </c>
      <c r="W39" s="20">
        <f>'[2]C-FCL Real'!S156</f>
        <v>-9.6462488939206654</v>
      </c>
      <c r="X39" s="20">
        <f>'[2]C-FCL Real'!T156</f>
        <v>-9.6032011435307592</v>
      </c>
      <c r="Y39" s="20">
        <f>'[2]C-FCL Real'!U156</f>
        <v>-9.5599510687140192</v>
      </c>
      <c r="Z39" s="20">
        <f>'[2]C-FCL Real'!V156</f>
        <v>-9.5164977185456419</v>
      </c>
      <c r="AA39" s="20">
        <f>'[2]C-FCL Real'!W156</f>
        <v>-9.4728401376314739</v>
      </c>
      <c r="AB39" s="20">
        <f>'[2]C-FCL Real'!X156</f>
        <v>-9.4289773660870075</v>
      </c>
      <c r="AC39" s="20">
        <f>'[2]C-FCL Real'!Y156</f>
        <v>-9.3849084395162823</v>
      </c>
      <c r="AD39" s="20">
        <f>'[2]C-FCL Real'!Z156</f>
        <v>-9.3406323889906737</v>
      </c>
      <c r="AE39" s="20">
        <f>'[2]C-FCL Real'!AA156</f>
        <v>-9.2961482410275984</v>
      </c>
      <c r="AF39" s="20">
        <f>'[2]C-FCL Real'!AB156</f>
        <v>-9.2514550175690946</v>
      </c>
      <c r="AG39" s="20">
        <f>'[2]C-FCL Real'!AC156</f>
        <v>-9.2065517359603355</v>
      </c>
      <c r="AH39" s="20">
        <f>'[2]C-FCL Real'!AD156</f>
        <v>-9.1614374089280162</v>
      </c>
      <c r="AI39" s="20">
        <f>'[2]C-FCL Real'!AE156</f>
        <v>-9.1161110445586431</v>
      </c>
      <c r="AJ39" s="20">
        <f>'[2]C-FCL Real'!AF156</f>
        <v>-9.0705716462767363</v>
      </c>
      <c r="AK39" s="20">
        <f>'[2]C-FCL Real'!AG156</f>
        <v>-9.0248182128229022</v>
      </c>
      <c r="AL39" s="20">
        <f>'[2]C-FCL Real'!AH156</f>
        <v>-8.9788497382318351</v>
      </c>
      <c r="AM39" s="20">
        <f>'[2]C-FCL Real'!AI156</f>
        <v>-8.9326652118101926</v>
      </c>
      <c r="AN39" s="20">
        <f>'[2]C-FCL Real'!AJ156</f>
        <v>-8.8862636181143664</v>
      </c>
      <c r="AO39" s="20">
        <f>'[2]C-FCL Real'!AK156</f>
        <v>-8.8396439369281712</v>
      </c>
      <c r="AP39" s="20">
        <f>'[2]C-FCL Real'!AL156</f>
        <v>-8.7928051432403969</v>
      </c>
      <c r="AQ39" s="20">
        <f>'[2]C-FCL Real'!AM156</f>
        <v>-8.7457462072222931</v>
      </c>
      <c r="AR39" s="20">
        <f>'[2]C-FCL Real'!AN156</f>
        <v>-8.698466094204905</v>
      </c>
      <c r="AS39" s="20">
        <f>'[2]C-FCL Real'!AO156</f>
        <v>-8.6509637646563355</v>
      </c>
      <c r="AT39" s="20">
        <f>'[2]C-FCL Real'!AP156</f>
        <v>-8.6032381741588857</v>
      </c>
      <c r="AU39" s="20">
        <f>'[2]C-FCL Real'!AQ156</f>
        <v>-8.5552882733861004</v>
      </c>
      <c r="AV39" s="20">
        <f>'[2]C-FCL Real'!AR156</f>
        <v>-8.5071130080796831</v>
      </c>
      <c r="AW39" s="20">
        <f>'[2]C-FCL Real'!AS156</f>
        <v>-8.4587113190263228</v>
      </c>
      <c r="AX39" s="20">
        <f>'[2]C-FCL Real'!AT156</f>
        <v>-8.4100821420344118</v>
      </c>
      <c r="AY39" s="20">
        <f>'[2]C-FCL Real'!AU156</f>
        <v>-8.3612244079106404</v>
      </c>
      <c r="AZ39" s="20">
        <f>'[2]C-FCL Real'!AV156</f>
        <v>-8.3121370424364862</v>
      </c>
      <c r="BA39" s="20">
        <f>'[2]C-FCL Real'!AW156</f>
        <v>-8.2628189663446037</v>
      </c>
      <c r="BB39" s="20">
        <f>'[2]C-FCL Real'!AX156</f>
        <v>-8.2132690952950913</v>
      </c>
      <c r="BC39" s="20">
        <f>'[2]C-FCL Real'!AY156</f>
        <v>-8.1634863398516444</v>
      </c>
      <c r="BD39" s="20">
        <f>'[2]C-FCL Real'!AZ156</f>
        <v>-8.1134696054576096</v>
      </c>
      <c r="BE39" s="20">
        <f>'[2]C-FCL Real'!BA156</f>
        <v>-8.0632177924119279</v>
      </c>
      <c r="BF39" s="20">
        <f>'[2]C-FCL Real'!BB156</f>
        <v>-8.0127297958449297</v>
      </c>
      <c r="BG39" s="20">
        <f>'[2]C-FCL Real'!BC156</f>
        <v>-7.9620045056940683</v>
      </c>
      <c r="BH39" s="20">
        <f>'[2]C-FCL Real'!BD156</f>
        <v>0</v>
      </c>
    </row>
    <row r="40" spans="1:60" ht="15" hidden="1" customHeight="1" outlineLevel="1" x14ac:dyDescent="0.3">
      <c r="A40" s="172">
        <f>C40*1000000/$C$16</f>
        <v>-298.77489964990076</v>
      </c>
      <c r="B40" s="176" t="s">
        <v>63</v>
      </c>
      <c r="C40" s="169">
        <f>SUMIF($D$15:$BG$15,1,D40:BG40)</f>
        <v>-356.63154812723286</v>
      </c>
      <c r="D40" s="175">
        <f t="shared" ref="D40:AK40" si="8">NPV($C$8,D39:D39)</f>
        <v>-24.80765587151414</v>
      </c>
      <c r="E40" s="20">
        <f t="shared" si="8"/>
        <v>-25.252224513209061</v>
      </c>
      <c r="F40" s="20">
        <f t="shared" si="8"/>
        <v>-34.126270665099504</v>
      </c>
      <c r="G40" s="20">
        <f t="shared" si="8"/>
        <v>-9.2945552063507044</v>
      </c>
      <c r="H40" s="20">
        <f t="shared" si="8"/>
        <v>-9.2576045716313757</v>
      </c>
      <c r="I40" s="20">
        <f t="shared" si="8"/>
        <v>-9.2204802689288634</v>
      </c>
      <c r="J40" s="20">
        <f t="shared" si="8"/>
        <v>-9.1831814820036488</v>
      </c>
      <c r="K40" s="20">
        <f t="shared" si="8"/>
        <v>-9.1457073907798865</v>
      </c>
      <c r="L40" s="20">
        <f t="shared" si="8"/>
        <v>-9.1080571713273741</v>
      </c>
      <c r="M40" s="20">
        <f t="shared" si="8"/>
        <v>-9.0702299958434338</v>
      </c>
      <c r="N40" s="20">
        <f t="shared" si="8"/>
        <v>-9.0322250326347202</v>
      </c>
      <c r="O40" s="20">
        <f t="shared" si="8"/>
        <v>-8.9940414460989242</v>
      </c>
      <c r="P40" s="20">
        <f t="shared" si="8"/>
        <v>-8.9556783967064106</v>
      </c>
      <c r="Q40" s="20">
        <f t="shared" si="8"/>
        <v>-8.9171350409817496</v>
      </c>
      <c r="R40" s="20">
        <f t="shared" si="8"/>
        <v>-8.8784105314851836</v>
      </c>
      <c r="S40" s="20">
        <f t="shared" si="8"/>
        <v>-8.9556783967064106</v>
      </c>
      <c r="T40" s="20">
        <f t="shared" si="8"/>
        <v>-8.9171350409817496</v>
      </c>
      <c r="U40" s="20">
        <f t="shared" si="8"/>
        <v>-8.8784105314851836</v>
      </c>
      <c r="V40" s="20">
        <f t="shared" si="8"/>
        <v>-8.8395040167939865</v>
      </c>
      <c r="W40" s="20">
        <f t="shared" si="8"/>
        <v>-8.800414641483739</v>
      </c>
      <c r="X40" s="20">
        <f t="shared" si="8"/>
        <v>-8.7611415461095348</v>
      </c>
      <c r="Y40" s="20">
        <f t="shared" si="8"/>
        <v>-8.7216838671870693</v>
      </c>
      <c r="Z40" s="20">
        <f t="shared" si="8"/>
        <v>-8.6820407371736703</v>
      </c>
      <c r="AA40" s="20">
        <f t="shared" si="8"/>
        <v>-8.6422112844492087</v>
      </c>
      <c r="AB40" s="20">
        <f t="shared" si="8"/>
        <v>-8.6021946332969392</v>
      </c>
      <c r="AC40" s="20">
        <f t="shared" si="8"/>
        <v>-8.5619899038842551</v>
      </c>
      <c r="AD40" s="20">
        <f t="shared" si="8"/>
        <v>-8.5215962122433311</v>
      </c>
      <c r="AE40" s="20">
        <f t="shared" si="8"/>
        <v>-8.4810126702516975</v>
      </c>
      <c r="AF40" s="20">
        <f t="shared" si="8"/>
        <v>-8.4402383856127017</v>
      </c>
      <c r="AG40" s="20">
        <f t="shared" si="8"/>
        <v>-8.3992724618359027</v>
      </c>
      <c r="AH40" s="20">
        <f t="shared" si="8"/>
        <v>-8.3581139982173518</v>
      </c>
      <c r="AI40" s="20">
        <f t="shared" si="8"/>
        <v>-8.3167620898197949</v>
      </c>
      <c r="AJ40" s="20">
        <f t="shared" si="8"/>
        <v>-8.2752158274527687</v>
      </c>
      <c r="AK40" s="20">
        <f t="shared" si="8"/>
        <v>-8.2334742976526165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267.89553008518567</v>
      </c>
      <c r="B42" s="141" t="s">
        <v>64</v>
      </c>
      <c r="C42" s="169"/>
      <c r="D42" s="175">
        <f>'[2]C-FCL Real'!C157</f>
        <v>-27.191994100292977</v>
      </c>
      <c r="E42" s="20">
        <f>'[2]C-FCL Real'!D157</f>
        <v>-54.871285668140096</v>
      </c>
      <c r="F42" s="20">
        <f>'[2]C-FCL Real'!E157</f>
        <v>-92.277534585674303</v>
      </c>
      <c r="G42" s="20">
        <f>'[2]C-FCL Real'!F157</f>
        <v>-102.46541737657299</v>
      </c>
      <c r="H42" s="20">
        <f>'[2]C-FCL Real'!G157</f>
        <v>-112.61279809639757</v>
      </c>
      <c r="I42" s="20">
        <f>'[2]C-FCL Real'!H157</f>
        <v>-122.71948638541399</v>
      </c>
      <c r="J42" s="20">
        <f>'[2]C-FCL Real'!I157</f>
        <v>-132.78529098919745</v>
      </c>
      <c r="K42" s="20">
        <f>'[2]C-FCL Real'!J157</f>
        <v>-142.81001975442737</v>
      </c>
      <c r="L42" s="20">
        <f>'[2]C-FCL Real'!K157</f>
        <v>-152.79347962466252</v>
      </c>
      <c r="M42" s="20">
        <f>'[2]C-FCL Real'!L157</f>
        <v>-162.73547663609645</v>
      </c>
      <c r="N42" s="20">
        <f>'[2]C-FCL Real'!M157</f>
        <v>-172.63581591329279</v>
      </c>
      <c r="O42" s="20">
        <f>'[2]C-FCL Real'!N157</f>
        <v>-182.4943016649006</v>
      </c>
      <c r="P42" s="20">
        <f>'[2]C-FCL Real'!O157</f>
        <v>-192.31073717934964</v>
      </c>
      <c r="Q42" s="20">
        <f>'[2]C-FCL Real'!P157</f>
        <v>-202.08492482052526</v>
      </c>
      <c r="R42" s="20">
        <f>'[2]C-FCL Real'!Q157</f>
        <v>-211.81666602342307</v>
      </c>
      <c r="S42" s="20">
        <f>'[2]C-FCL Real'!O157</f>
        <v>-192.31073717934964</v>
      </c>
      <c r="T42" s="20">
        <f>'[2]C-FCL Real'!P157</f>
        <v>-202.08492482052526</v>
      </c>
      <c r="U42" s="20">
        <f>'[2]C-FCL Real'!Q157</f>
        <v>-211.81666602342307</v>
      </c>
      <c r="V42" s="20">
        <f>'[2]C-FCL Real'!R157</f>
        <v>-221.50576128978318</v>
      </c>
      <c r="W42" s="20">
        <f>'[2]C-FCL Real'!S157</f>
        <v>-231.15201018370385</v>
      </c>
      <c r="X42" s="20">
        <f>'[2]C-FCL Real'!T157</f>
        <v>-240.7552113272346</v>
      </c>
      <c r="Y42" s="20">
        <f>'[2]C-FCL Real'!U157</f>
        <v>-250.31516239594862</v>
      </c>
      <c r="Z42" s="20">
        <f>'[2]C-FCL Real'!V157</f>
        <v>-259.83166011449424</v>
      </c>
      <c r="AA42" s="20">
        <f>'[2]C-FCL Real'!W157</f>
        <v>-269.30450025212571</v>
      </c>
      <c r="AB42" s="20">
        <f>'[2]C-FCL Real'!X157</f>
        <v>-278.7334776182127</v>
      </c>
      <c r="AC42" s="20">
        <f>'[2]C-FCL Real'!Y157</f>
        <v>-288.11838605772897</v>
      </c>
      <c r="AD42" s="20">
        <f>'[2]C-FCL Real'!Z157</f>
        <v>-297.45901844671965</v>
      </c>
      <c r="AE42" s="20">
        <f>'[2]C-FCL Real'!AA157</f>
        <v>-306.75516668774725</v>
      </c>
      <c r="AF42" s="20">
        <f>'[2]C-FCL Real'!AB157</f>
        <v>-316.00662170531632</v>
      </c>
      <c r="AG42" s="20">
        <f>'[2]C-FCL Real'!AC157</f>
        <v>-325.21317344127664</v>
      </c>
      <c r="AH42" s="20">
        <f>'[2]C-FCL Real'!AD157</f>
        <v>-334.37461085020465</v>
      </c>
      <c r="AI42" s="20">
        <f>'[2]C-FCL Real'!AE157</f>
        <v>-343.49072189476328</v>
      </c>
      <c r="AJ42" s="20">
        <f>'[2]C-FCL Real'!AF157</f>
        <v>-352.56129354104002</v>
      </c>
      <c r="AK42" s="20">
        <f>'[2]C-FCL Real'!AG157</f>
        <v>-361.58611175386289</v>
      </c>
      <c r="AL42" s="20">
        <f>'[2]C-FCL Real'!AH157</f>
        <v>-370.56496149209471</v>
      </c>
      <c r="AM42" s="20">
        <f>'[2]C-FCL Real'!AI157</f>
        <v>-379.49762670390493</v>
      </c>
      <c r="AN42" s="20">
        <f>'[2]C-FCL Real'!AJ157</f>
        <v>-388.38389032201928</v>
      </c>
      <c r="AO42" s="20">
        <f>'[2]C-FCL Real'!AK157</f>
        <v>-397.22353425894744</v>
      </c>
      <c r="AP42" s="20">
        <f>'[2]C-FCL Real'!AL157</f>
        <v>-406.01633940218784</v>
      </c>
      <c r="AQ42" s="20">
        <f>'[2]C-FCL Real'!AM157</f>
        <v>-414.76208560941012</v>
      </c>
      <c r="AR42" s="20">
        <f>'[2]C-FCL Real'!AN157</f>
        <v>-423.46055170361501</v>
      </c>
      <c r="AS42" s="20">
        <f>'[2]C-FCL Real'!AO157</f>
        <v>-432.11151546827136</v>
      </c>
      <c r="AT42" s="20">
        <f>'[2]C-FCL Real'!AP157</f>
        <v>-440.71475364243025</v>
      </c>
      <c r="AU42" s="20">
        <f>'[2]C-FCL Real'!AQ157</f>
        <v>-449.27004191581636</v>
      </c>
      <c r="AV42" s="20">
        <f>'[2]C-FCL Real'!AR157</f>
        <v>-457.77715492389603</v>
      </c>
      <c r="AW42" s="20">
        <f>'[2]C-FCL Real'!AS157</f>
        <v>-466.23586624292238</v>
      </c>
      <c r="AX42" s="20">
        <f>'[2]C-FCL Real'!AT157</f>
        <v>-474.6459483849568</v>
      </c>
      <c r="AY42" s="20">
        <f>'[2]C-FCL Real'!AU157</f>
        <v>-483.00717279286744</v>
      </c>
      <c r="AZ42" s="20">
        <f>'[2]C-FCL Real'!AV157</f>
        <v>-491.3193098353039</v>
      </c>
      <c r="BA42" s="20">
        <f>'[2]C-FCL Real'!AW157</f>
        <v>-499.58212880164848</v>
      </c>
      <c r="BB42" s="20">
        <f>'[2]C-FCL Real'!AX157</f>
        <v>-507.7953978969436</v>
      </c>
      <c r="BC42" s="20">
        <f>'[2]C-FCL Real'!AY157</f>
        <v>-515.95888423679526</v>
      </c>
      <c r="BD42" s="20">
        <f>'[2]C-FCL Real'!AZ157</f>
        <v>-524.07235384225282</v>
      </c>
      <c r="BE42" s="20">
        <f>'[2]C-FCL Real'!BA157</f>
        <v>-532.13557163466476</v>
      </c>
      <c r="BF42" s="20">
        <f>'[2]C-FCL Real'!BB157</f>
        <v>-540.14830143050972</v>
      </c>
      <c r="BG42" s="20">
        <f>'[2]C-FCL Real'!BC157</f>
        <v>-548.11030593620376</v>
      </c>
      <c r="BH42" s="20">
        <f>'[2]C-FCL Real'!BD157</f>
        <v>0</v>
      </c>
    </row>
    <row r="43" spans="1:60" ht="15" hidden="1" customHeight="1" outlineLevel="1" x14ac:dyDescent="0.3">
      <c r="A43" s="172">
        <f>A18+A21+A36</f>
        <v>602.90878474447527</v>
      </c>
      <c r="B43" s="141" t="s">
        <v>65</v>
      </c>
      <c r="C43" s="177">
        <f>'[2]R&amp;C-Painel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-335.0132546592896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243.13953393702363</v>
      </c>
      <c r="D46" s="181" t="s">
        <v>67</v>
      </c>
      <c r="E46" s="181"/>
      <c r="F46" s="182">
        <f>A27</f>
        <v>203.69479434567916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76.632969518245105</v>
      </c>
      <c r="D48" s="181" t="s">
        <v>67</v>
      </c>
      <c r="E48" s="181"/>
      <c r="F48" s="182">
        <f>A30</f>
        <v>64.200735739506541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319.77250345526875</v>
      </c>
      <c r="D49" s="189" t="s">
        <v>67</v>
      </c>
      <c r="E49" s="189"/>
      <c r="F49" s="190">
        <f>F46+F47+F48</f>
        <v>267.89553008518567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719.65982930588598</v>
      </c>
      <c r="D50" s="185" t="s">
        <v>67</v>
      </c>
      <c r="E50" s="185"/>
      <c r="F50" s="186">
        <f>A18+A21</f>
        <v>602.90878474447527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-399.88732585061723</v>
      </c>
      <c r="D53" s="198" t="s">
        <v>67</v>
      </c>
      <c r="E53" s="198"/>
      <c r="F53" s="199">
        <f>F49-F50-F51</f>
        <v>-335.0132546592896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3065371.3463830012</v>
      </c>
      <c r="D57" s="207" t="s">
        <v>9</v>
      </c>
      <c r="E57" s="207"/>
      <c r="F57" s="208">
        <f>C57/'[2]R&amp;C-Painel de Controle'!$D$8</f>
        <v>96.644778295140455</v>
      </c>
      <c r="G57" s="207" t="s">
        <v>8</v>
      </c>
      <c r="H57" s="56">
        <f>F57/$F$99</f>
        <v>0.25905859684816251</v>
      </c>
    </row>
    <row r="58" spans="1:8" s="164" customFormat="1" ht="15" hidden="1" customHeight="1" outlineLevel="1" x14ac:dyDescent="0.3">
      <c r="B58" s="209" t="s">
        <v>76</v>
      </c>
      <c r="C58" s="210">
        <f>('[2]R&amp;C-Painel de Controle'!D8-'[2]R&amp;C-Painel de Controle'!D9)</f>
        <v>18917.360435999995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IF('[2]R-Definição'!E121="Novo",(('[2]R&amp;C-Painel de Controle'!L73*'[2]C-Dados RT Simplif.'!C105+'[2]R&amp;C-Painel de Controle'!P73*'[2]C-Dados RT Simplif.'!C105*'[2]C-Dados RT Simplif.'!C7)/('[2]C-Dados RT Simplif.'!C7*'[2]C-Dados RT Simplif.'!C105)),('[2]R&amp;C-Painel de Controle'!D88+'[2]R&amp;C-Painel de Controle'!D89))</f>
        <v>162.04011953747826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C61/'[2]R&amp;C-Painel de Controle'!$D$8</f>
        <v>77.861174682099431</v>
      </c>
      <c r="G61" s="220" t="s">
        <v>8</v>
      </c>
      <c r="H61" s="59">
        <f>F61/$F$99</f>
        <v>0.20870870643932748</v>
      </c>
    </row>
    <row r="62" spans="1:8" s="164" customFormat="1" ht="15" hidden="1" customHeight="1" outlineLevel="1" x14ac:dyDescent="0.3">
      <c r="B62" s="222" t="str">
        <f>'[2]R&amp;C-Painel de Controle'!J36</f>
        <v>Mat. Recicl.: Papel/Papelão — Triagem Mecanizada</v>
      </c>
      <c r="C62" s="223">
        <f>'[2]R&amp;C-Painel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'[2]R&amp;C-Painel de Controle'!J37</f>
        <v>Mat. Recicl.: Plástico Filme — Triagem Mecanizada</v>
      </c>
      <c r="C63" s="210">
        <f>'[2]R&amp;C-Painel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'[2]R&amp;C-Painel de Controle'!J38</f>
        <v>Mat. Recicl.: Plástico Rígido — Triagem Mecanizada</v>
      </c>
      <c r="C64" s="210">
        <f>'[2]R&amp;C-Painel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'[2]R&amp;C-Painel de Controle'!J39</f>
        <v>Mat. Recicl.: Vidros — Triagem Mecânica</v>
      </c>
      <c r="C65" s="210">
        <f>'[2]R&amp;C-Painel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'[2]R&amp;C-Painel de Controle'!J40</f>
        <v>Mat. Recicl.: Metais Não Ferrosos — Triagem Mecanizada</v>
      </c>
      <c r="C66" s="210">
        <f>'[2]R&amp;C-Painel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'[2]R&amp;C-Painel de Controle'!J41</f>
        <v>Mat. Recicl.: Metais Ferrosos — Triagem Mecanizada</v>
      </c>
      <c r="C67" s="210">
        <f>'[2]R&amp;C-Painel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'[2]R&amp;C-Painel de Controle'!B98</f>
        <v>Doação Receitas Venda Materiais Recicláveis</v>
      </c>
      <c r="C68" s="210" t="str">
        <f>'[2]R&amp;C-Painel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'[2]R&amp;C-Painel de Controle'!B99</f>
        <v>% Doação das Receitas aos Catadores</v>
      </c>
      <c r="C69" s="60">
        <f>'[2]R&amp;C-Painel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'[2]R&amp;C-Painel de Controle'!B100</f>
        <v>% Venda Matetriais Reciclávevis fora do Estado</v>
      </c>
      <c r="C70" s="60">
        <f>'[2]R&amp;C-Painel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'[2]R&amp;C-Painel de Controle'!B101</f>
        <v>Preço Médio Bruto — Venda (FOB): Papel/Papelão</v>
      </c>
      <c r="C71" s="210">
        <f>'[2]R&amp;C-Painel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'[2]R&amp;C-Painel de Controle'!B102</f>
        <v>Preço Médio Bruto — Venda (FOB): Plástico Filme</v>
      </c>
      <c r="C72" s="210">
        <f>'[2]R&amp;C-Painel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'[2]R&amp;C-Painel de Controle'!B103</f>
        <v>Preço Médio Bruto — Venda (FOB): Plástico Rígido</v>
      </c>
      <c r="C73" s="210">
        <f>'[2]R&amp;C-Painel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'[2]R&amp;C-Painel de Controle'!B104</f>
        <v>Preço Médio Bruto — Venda(FOB): Vidros</v>
      </c>
      <c r="C74" s="210">
        <f>'[2]R&amp;C-Painel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'[2]R&amp;C-Painel de Controle'!B105</f>
        <v>Preço Médio Bruto — Venda (FOB): Metais Ferrosos</v>
      </c>
      <c r="C75" s="210">
        <f>'[2]R&amp;C-Painel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'[2]R&amp;C-Painel de Controle'!B106</f>
        <v>Preço Médio Bruto — Venda (FOB): Metais Não Ferrosos</v>
      </c>
      <c r="C76" s="210">
        <f>'[2]R&amp;C-Painel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</f>
        <v>2107546.122801479</v>
      </c>
      <c r="D78" s="181" t="s">
        <v>9</v>
      </c>
      <c r="E78" s="181"/>
      <c r="F78" s="192">
        <f>C78/'[2]R&amp;C-Painel de Controle'!$D$8</f>
        <v>66.446542610659179</v>
      </c>
      <c r="G78" s="181" t="s">
        <v>8</v>
      </c>
      <c r="H78" s="61">
        <f>F78/$F$99</f>
        <v>0.17811151722611537</v>
      </c>
    </row>
    <row r="79" spans="2:8" ht="15" hidden="1" customHeight="1" outlineLevel="1" x14ac:dyDescent="0.3">
      <c r="B79" s="180" t="s">
        <v>81</v>
      </c>
      <c r="C79" s="219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Sanitário'!$U$26*1000000,0))))))/2.4*1.4</f>
        <v>2950564.5719220703</v>
      </c>
      <c r="D79" s="181" t="s">
        <v>9</v>
      </c>
      <c r="E79" s="181"/>
      <c r="F79" s="192">
        <f>C79/'[2]R&amp;C-Painel de Controle'!$D$8</f>
        <v>93.025159654922845</v>
      </c>
      <c r="G79" s="181" t="s">
        <v>8</v>
      </c>
      <c r="H79" s="61">
        <f>F79/$F$99</f>
        <v>0.2493561241165615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495457.0840582808</v>
      </c>
      <c r="D81" s="226" t="s">
        <v>9</v>
      </c>
      <c r="E81" s="226"/>
      <c r="F81" s="227">
        <f>C81/'[2]R&amp;C-Painel de Controle'!$D$8</f>
        <v>15.620730617211999</v>
      </c>
      <c r="G81" s="226" t="s">
        <v>8</v>
      </c>
      <c r="H81" s="62">
        <f>F81/$F$99</f>
        <v>4.1871735098610599E-2</v>
      </c>
    </row>
    <row r="82" spans="2:8" ht="15" hidden="1" customHeight="1" outlineLevel="1" x14ac:dyDescent="0.3">
      <c r="B82" s="228" t="s">
        <v>83</v>
      </c>
      <c r="C82" s="229">
        <f>'[2]R&amp;C-Painel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'[2]R&amp;C-Painel de Controle'!D33</f>
        <v>237.54494967426146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'[2]R&amp;C-Painel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'[2]R&amp;C-Painel de Controle'!H31</f>
        <v>150.7178199411884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'[2]C-FCL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C88/'[2]R&amp;C-Painel de Controle'!$D$8</f>
        <v>1.4901660226239126</v>
      </c>
      <c r="G88" s="226" t="s">
        <v>8</v>
      </c>
      <c r="H88" s="62">
        <f>F88/$F$99</f>
        <v>3.9944250036234924E-3</v>
      </c>
    </row>
    <row r="89" spans="2:8" ht="15" hidden="1" customHeight="1" outlineLevel="1" x14ac:dyDescent="0.3">
      <c r="B89" s="231" t="s">
        <v>89</v>
      </c>
      <c r="C89" s="64">
        <f>'[2]C-FCL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'[2]R&amp;C-Painel de Controle'!B100</f>
        <v>% Venda Matetriais Reciclávevis fora do Estado</v>
      </c>
      <c r="C90" s="64">
        <f>'[2]R&amp;C-Painel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'[2]R&amp;C-Painel de Controle'!D33*'[2]R&amp;C-Painel de Controle'!D8*(C93)+C36*1000000/'[2]R&amp;C-Painel de Controle'!D32</f>
        <v>696934.9331909332</v>
      </c>
      <c r="D92" s="226" t="s">
        <v>9</v>
      </c>
      <c r="E92" s="234"/>
      <c r="F92" s="235">
        <f>C92/'[2]R&amp;C-Painel de Controle'!$D$8</f>
        <v>21.972907844869184</v>
      </c>
      <c r="G92" s="234" t="s">
        <v>8</v>
      </c>
      <c r="H92" s="66">
        <f>F92/$F$99</f>
        <v>5.8898895267598908E-2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237.54494967426146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150.7178199411884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11832733.534720924</v>
      </c>
      <c r="D99" s="238" t="s">
        <v>9</v>
      </c>
      <c r="E99" s="239"/>
      <c r="F99" s="240">
        <f>C99/'[2]R&amp;C-Painel de Controle'!$D$8</f>
        <v>373.06145972752705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'[2]R&amp;C-Painel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'[2]R&amp;C-Painel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'[2]R&amp;C-Painel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'[2]R-Entrada'!E26/100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((IF('[2]C-Triagem Mec'!$E$7="SIM",'[2]C-Triagem Mec'!$E$33*'[2]C-Triagem Mec'!$H$2,IF('[2]C-Triagem Mec'!$I$7="SIM",'[2]C-Triagem Mec'!$I$33*'[2]C-Triagem Mec'!$H$2,IF('[2]C-Triagem Mec'!$M$7="SIM",'[2]C-Triagem Mec'!$M$33*'[2]C-Triagem Mec'!$H$2,IF('[2]C-Triagem Mec'!$Q$7="SIM",'[2]C-Triagem Mec'!$Q$33*'[2]C-Triagem Mec'!$H$2,IF('[2]C-Triagem Mec'!$U$7="SIM",'[2]C-Triagem Mec'!$U$33*'[2]C-Triagem Mec'!$H$2,0)))))+IF('[2]C-Produção CDR-TM'!$E$7="SIM",'[2]C-Produção CDR-TM'!$E$33*'[2]C-Produção CDR-TM'!$H$2,IF('[2]C-Produção CDR-TM'!$I$7="SIM",'[2]C-Produção CDR-TM'!$I$33*'[2]C-Produção CDR-TM'!$H$2,IF('[2]C-Produção CDR-TM'!$M$7="SIM",'[2]C-Produção CDR-TM'!$M$33*'[2]C-Produção CDR-TM'!$H$2,IF('[2]C-Produção CDR-TM'!$Q$7="SIM",'[2]C-Produção CDR-TM'!$Q$33*'[2]C-Produção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CDR-TMB'!$Q$33*'[2]C-Produção CDR-TMB'!$H$2,IF('[2]C-Produção CDR-TMB'!$U$7="SIM",'[2]C-Produção CDR-TMB'!$U$33*'[2]C-Produção CDR-TMB'!$H$2,0)))))+IF('[2]C-Biodigestão'!$E$7="SIM",'[2]C-Biodigestão'!$E$36*'[2]C-Biodigestão'!$H$2,IF('[2]C-Biodigestão'!$I$7="SIM",'[2]C-Biodigestão'!$I$36*'[2]C-Biodigestão'!$H$2,IF('[2]C-Biodigestão'!$M$7="SIM",'[2]C-Biodigestão'!$M$36*'[2]C-Biodigestão'!$H$2,IF('[2]C-Biodigestão'!$Q$7="SIM",'[2]C-Biodigestão'!$Q$36*'[2]C-Biodigestão'!$H$2,IF('[2]C-Biodigestão'!$U$7="SIM",'[2]C-Biodigestão'!$U$36*'[2]C-Biodigestão'!$H$2,0)))))+IF('[2]C-Compostagem'!$E$7="SIM",'[2]C-Compostagem'!$E$33*'[2]C-Compostagem'!$H$2,IF('[2]C-Compostagem'!$I$7="SIM",'[2]C-Compostagem'!$I$33*'[2]C-Compostagem'!$H$2,IF('[2]C-Compostagem'!$M$7="SIM",'[2]C-Compostagem'!$M$33*'[2]C-Compostagem'!$H$2,IF('[2]C-Compostagem'!$Q$7="SIM",'[2]C-Compostagem'!$Q$33*'[2]C-Compostagem'!$H$2,IF('[2]C-Compostagem'!$U$7="SIM",'[2]C-Compostagem'!$U$33*'[2]C-Compostagem'!$H$2,0)))))+IF('[2]C-Incineração'!$E$7="SIM",'[2]C-Incineração'!$E$35*'[2]C-Incineração'!$H$2,IF('[2]C-Incineração'!$I$7="SIM",'[2]C-Incineração'!$I$35*'[2]C-Incineração'!$H$2,IF('[2]C-Incineração'!$M$7="SIM",'[2]C-Incineração'!$M$35*'[2]C-Incineração'!$H$2,IF('[2]C-Incineração'!$Q$7="SIM",'[2]C-Incineração'!$Q$35*'[2]C-Incineração'!$H$2,IF('[2]C-Incineração'!$U$7="SIM",'[2]C-Incineração'!$U$35*'[2]C-Incineração'!$H$2,0)))))))/1000</f>
        <v>1138.1692238576566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'[2]R&amp;C-Painel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'[2]R-Resumo Bal. Massa'!G51</f>
        <v>14.285263199999997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4.832240619595094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'[2]R-Resumo Bal. Massa'!G49</f>
        <v>41.027434500000005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13.878248705188518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'[2]R-Resumo Bal. Massa'!G50</f>
        <v>46.34730230000001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15.677787216599075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'[2]R-Resumo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2.7424650541752689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'[2]R-Resumo Bal. Massa'!D73</f>
        <v>18.253052999999998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6.1744150530052604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'[2]R-Resumo Bal. Massa'!D69</f>
        <v>19.986864300000011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6.7609071094185476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IF('[2]R-Definição'!E112&gt;0,'[2]R-Definição'!O111/'[2]R-Definição'!E112,0)</f>
        <v>0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IF(AND('[2]R-Definição'!O62&gt;0,'[2]R-Definição'!J65&gt;0),('[2]R-Definição'!O69/('[2]R-Definição'!O62*'[2]R-Definição'!J65/100)),0)</f>
        <v>0</v>
      </c>
      <c r="D133" s="164" t="s">
        <v>155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IF(AND('[2]R-Definição'!O62&gt;0,'[2]R-Definição'!J64&gt;0),('[2]R-Definição'!O70/('[2]R-Definição'!O62*'[2]R-Definição'!J64/100)),0)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61" t="s">
        <v>26</v>
      </c>
      <c r="C3" s="1261"/>
      <c r="D3" s="1261"/>
      <c r="E3" s="1261"/>
      <c r="F3" s="1261"/>
      <c r="G3" s="1261"/>
      <c r="H3" s="1261"/>
      <c r="L3" s="1262" t="s">
        <v>159</v>
      </c>
      <c r="M3" s="1263"/>
      <c r="N3" s="301"/>
      <c r="O3" s="1264" t="s">
        <v>169</v>
      </c>
      <c r="P3" s="1264"/>
      <c r="Q3" s="1264"/>
      <c r="R3" s="1264"/>
      <c r="S3" s="1264"/>
      <c r="T3" s="1264"/>
      <c r="U3" s="1264"/>
      <c r="V3" s="1264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65" t="s">
        <v>106</v>
      </c>
      <c r="C5" s="1265"/>
      <c r="D5" s="86"/>
      <c r="E5" s="86"/>
      <c r="F5" s="910"/>
      <c r="G5" s="86"/>
      <c r="H5" s="910"/>
      <c r="L5" s="1266" t="s">
        <v>171</v>
      </c>
      <c r="M5" s="1267"/>
      <c r="N5"/>
      <c r="O5" s="1270" t="s">
        <v>158</v>
      </c>
      <c r="P5" s="1271"/>
      <c r="Q5" s="1271"/>
      <c r="R5" s="1271"/>
      <c r="S5" s="1271"/>
      <c r="T5" s="1271"/>
      <c r="U5" s="1271"/>
      <c r="V5" s="1272"/>
    </row>
    <row r="6" spans="2:22" s="90" customFormat="1" ht="15" customHeight="1" outlineLevel="1" thickTop="1" thickBot="1" x14ac:dyDescent="0.35">
      <c r="B6" s="1265"/>
      <c r="C6" s="1265"/>
      <c r="D6" s="87"/>
      <c r="E6" s="89"/>
      <c r="F6" s="913" t="s">
        <v>10</v>
      </c>
      <c r="G6" s="89"/>
      <c r="H6" s="913" t="s">
        <v>10</v>
      </c>
      <c r="L6" s="1268"/>
      <c r="M6" s="1269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267.44890097890908</v>
      </c>
      <c r="N7" s="272"/>
      <c r="O7" s="275">
        <f>M7</f>
        <v>267.44890097890908</v>
      </c>
      <c r="P7" s="276"/>
      <c r="Q7" s="277">
        <f>M7</f>
        <v>267.44890097890908</v>
      </c>
      <c r="R7" s="277"/>
      <c r="S7" s="277"/>
      <c r="T7" s="277"/>
      <c r="U7" s="277"/>
      <c r="V7" s="278">
        <f>Q7</f>
        <v>267.44890097890908</v>
      </c>
    </row>
    <row r="8" spans="2:22" s="84" customFormat="1" ht="15" customHeight="1" outlineLevel="1" x14ac:dyDescent="0.3">
      <c r="C8" s="91"/>
      <c r="D8" s="78"/>
      <c r="E8" s="93"/>
      <c r="F8" s="315"/>
      <c r="G8" s="316"/>
      <c r="H8" s="315"/>
      <c r="I8" s="91"/>
      <c r="L8" s="1025" t="s">
        <v>494</v>
      </c>
      <c r="M8" s="294">
        <f>'RESUMO GERAL Valoriz. RT´s'!F29+'RESUMO GERAL Valoriz. RT´s'!F30</f>
        <v>432.58</v>
      </c>
      <c r="N8" s="274"/>
      <c r="O8" s="279"/>
      <c r="P8" s="280"/>
      <c r="Q8" s="281">
        <f>Q7+M8</f>
        <v>700.02890097890906</v>
      </c>
      <c r="R8" s="281">
        <f>M7</f>
        <v>267.44890097890908</v>
      </c>
      <c r="S8" s="281">
        <f>IF(R8&gt;=0,IF(M8&gt;=0,Q7,Q8),IF(M8&gt;=0,S7,Q8))</f>
        <v>267.44890097890908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73" t="s">
        <v>107</v>
      </c>
      <c r="C9" s="84" t="s">
        <v>4</v>
      </c>
      <c r="D9" s="78" t="s">
        <v>33</v>
      </c>
      <c r="E9" s="97"/>
      <c r="F9" s="96">
        <f>'C-Dados RT2 Simplif.'!C108</f>
        <v>1138.1692238576566</v>
      </c>
      <c r="G9" s="97"/>
      <c r="H9" s="96">
        <f>'Demanda Preço &amp; Quantidade'!C42</f>
        <v>500</v>
      </c>
      <c r="L9" s="1025" t="s">
        <v>495</v>
      </c>
      <c r="M9" s="294">
        <f>'RESUMO GERAL Valoriz. RT´s'!F31</f>
        <v>0.71</v>
      </c>
      <c r="N9" s="274"/>
      <c r="O9" s="279"/>
      <c r="P9" s="280"/>
      <c r="Q9" s="281">
        <f>Q8+M9</f>
        <v>700.7389009789091</v>
      </c>
      <c r="R9" s="281">
        <f>M8</f>
        <v>432.58</v>
      </c>
      <c r="S9" s="281">
        <f>IF(R9&gt;=0,IF(M9&gt;=0,Q8,Q9),IF(M9&gt;=0,S8,Q9))</f>
        <v>700.02890097890906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73"/>
      <c r="C10" s="98" t="s">
        <v>40</v>
      </c>
      <c r="D10" s="78" t="s">
        <v>41</v>
      </c>
      <c r="E10" s="97"/>
      <c r="F10" s="426">
        <v>0</v>
      </c>
      <c r="G10" s="97"/>
      <c r="H10" s="426">
        <v>0</v>
      </c>
      <c r="L10" s="287" t="s">
        <v>493</v>
      </c>
      <c r="M10" s="295">
        <f>SUM(M7:M9)</f>
        <v>700.7389009789091</v>
      </c>
      <c r="N10" s="272"/>
      <c r="O10" s="275">
        <f>M10</f>
        <v>700.7389009789091</v>
      </c>
      <c r="P10" s="276"/>
      <c r="Q10" s="277">
        <f>M10</f>
        <v>700.7389009789091</v>
      </c>
      <c r="R10" s="277"/>
      <c r="S10" s="277"/>
      <c r="T10" s="277"/>
      <c r="U10" s="277"/>
      <c r="V10" s="278">
        <f>Q10</f>
        <v>700.7389009789091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12.840418548508994</v>
      </c>
      <c r="N11" s="274"/>
      <c r="O11" s="279"/>
      <c r="P11" s="280"/>
      <c r="Q11" s="281">
        <f>Q10+M11</f>
        <v>713.57931952741808</v>
      </c>
      <c r="R11" s="281">
        <f t="shared" ref="R11:R21" si="0">M10</f>
        <v>700.7389009789091</v>
      </c>
      <c r="S11" s="281">
        <f>IF(R11&gt;=0,IF(M11&gt;=0,Q10,Q11),IF(M11&gt;=0,S10,Q11))</f>
        <v>700.7389009789091</v>
      </c>
      <c r="T11" s="281">
        <f>IF(M11&gt;=0,M11,0)</f>
        <v>12.840418548508994</v>
      </c>
      <c r="U11" s="281">
        <f t="shared" ref="U11:U22" si="1">IF(M11&lt;0,M11*-1,0)</f>
        <v>0</v>
      </c>
      <c r="V11" s="282">
        <f>SUM(T11:U11)</f>
        <v>12.840418548508994</v>
      </c>
    </row>
    <row r="12" spans="2:22" s="84" customFormat="1" ht="15" customHeight="1" outlineLevel="1" x14ac:dyDescent="0.3">
      <c r="B12" s="1273" t="s">
        <v>108</v>
      </c>
      <c r="C12" s="84" t="s">
        <v>4</v>
      </c>
      <c r="D12" s="78" t="s">
        <v>33</v>
      </c>
      <c r="E12" s="97"/>
      <c r="F12" s="643">
        <v>0</v>
      </c>
      <c r="G12" s="97"/>
      <c r="H12" s="643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713.57931952741808</v>
      </c>
      <c r="R12" s="281">
        <f t="shared" si="0"/>
        <v>12.840418548508994</v>
      </c>
      <c r="S12" s="281">
        <f>IF(R12&gt;=0,IF(M12&gt;=0,Q11,Q12),IF(M12&gt;=0,S11,Q12))</f>
        <v>713.57931952741808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73"/>
      <c r="C13" s="98" t="s">
        <v>40</v>
      </c>
      <c r="D13" s="78" t="s">
        <v>41</v>
      </c>
      <c r="E13" s="97"/>
      <c r="F13" s="426">
        <v>0</v>
      </c>
      <c r="G13" s="97"/>
      <c r="H13" s="426">
        <v>0</v>
      </c>
      <c r="L13" s="288" t="s">
        <v>170</v>
      </c>
      <c r="M13" s="295">
        <f>SUM(M10:M12)</f>
        <v>713.57931952741808</v>
      </c>
      <c r="N13" s="272"/>
      <c r="O13" s="283">
        <f>M13</f>
        <v>713.57931952741808</v>
      </c>
      <c r="P13" s="284"/>
      <c r="Q13" s="285">
        <f>Q12+M13-O13</f>
        <v>713.57931952741808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713.57931952741808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713.57931952741808</v>
      </c>
      <c r="R14" s="281">
        <f t="shared" si="0"/>
        <v>713.57931952741808</v>
      </c>
      <c r="S14" s="281">
        <f>IF(R14&gt;=0,IF(M14&gt;=0,Q13,Q14),IF(M14&gt;=0,S13,Q14))</f>
        <v>713.57931952741808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73" t="s">
        <v>109</v>
      </c>
      <c r="C15" s="84" t="s">
        <v>4</v>
      </c>
      <c r="D15" s="78" t="s">
        <v>33</v>
      </c>
      <c r="E15" s="103"/>
      <c r="F15" s="643">
        <v>0</v>
      </c>
      <c r="G15" s="97"/>
      <c r="H15" s="643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713.57931952741808</v>
      </c>
      <c r="R15" s="281">
        <f t="shared" si="0"/>
        <v>0</v>
      </c>
      <c r="S15" s="281">
        <f>IF(R15&gt;=0,IF(M15&gt;=0,Q14,Q15),IF(M15&gt;=0,S14,Q15))</f>
        <v>713.57931952741808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73"/>
      <c r="C16" s="98" t="s">
        <v>40</v>
      </c>
      <c r="D16" s="78" t="s">
        <v>41</v>
      </c>
      <c r="E16" s="103"/>
      <c r="F16" s="426">
        <v>0</v>
      </c>
      <c r="G16" s="97"/>
      <c r="H16" s="426">
        <v>0</v>
      </c>
      <c r="L16" s="288" t="s">
        <v>167</v>
      </c>
      <c r="M16" s="296">
        <f>SUM(M13:M15)</f>
        <v>713.57931952741808</v>
      </c>
      <c r="N16" s="272"/>
      <c r="O16" s="283">
        <f>M16</f>
        <v>713.57931952741808</v>
      </c>
      <c r="P16" s="284"/>
      <c r="Q16" s="285">
        <f>Q15+M16-O16</f>
        <v>713.57931952741808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713.57931952741808</v>
      </c>
    </row>
    <row r="17" spans="2:22" s="84" customFormat="1" ht="15" customHeight="1" outlineLevel="1" x14ac:dyDescent="0.3">
      <c r="B17" s="1273"/>
      <c r="C17" s="84" t="s">
        <v>25</v>
      </c>
      <c r="D17" s="78" t="s">
        <v>32</v>
      </c>
      <c r="E17" s="103"/>
      <c r="F17" s="99">
        <f>F23</f>
        <v>6.1744150530052604</v>
      </c>
      <c r="G17" s="10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713.57931952741808</v>
      </c>
      <c r="R17" s="281">
        <f t="shared" si="0"/>
        <v>713.57931952741808</v>
      </c>
      <c r="S17" s="281">
        <f>IF(R17&gt;=0,IF(M17&gt;=0,Q16,Q17),IF(M17&gt;=0,S16,Q17))</f>
        <v>713.57931952741808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73"/>
      <c r="C18" s="84" t="s">
        <v>11</v>
      </c>
      <c r="D18" s="78" t="s">
        <v>32</v>
      </c>
      <c r="E18" s="103"/>
      <c r="F18" s="99">
        <f>F24</f>
        <v>6.7609071094185476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713.57931952741808</v>
      </c>
      <c r="R18" s="281">
        <f t="shared" si="0"/>
        <v>0</v>
      </c>
      <c r="S18" s="281">
        <f>IF(R18&gt;=0,IF(M18&gt;=0,Q17,Q18),IF(M18&gt;=0,S17,Q18))</f>
        <v>713.57931952741808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911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694.22185447741811</v>
      </c>
      <c r="R19" s="281">
        <f t="shared" si="0"/>
        <v>0</v>
      </c>
      <c r="S19" s="281">
        <f>IF(R19&gt;=0,IF(M19&gt;=0,Q18,Q19),IF(M19&gt;=0,S18,Q19))</f>
        <v>694.22185447741811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694.22185447741811</v>
      </c>
      <c r="R20" s="281">
        <f t="shared" si="0"/>
        <v>-19.357465049999998</v>
      </c>
      <c r="S20" s="281">
        <f>IF(R20&gt;=0,IF(M20&gt;=0,Q19,Q20),IF(M20&gt;=0,S19,Q20))</f>
        <v>694.22185447741811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73" t="s">
        <v>110</v>
      </c>
      <c r="C21" s="91" t="s">
        <v>37</v>
      </c>
      <c r="D21" s="78" t="s">
        <v>33</v>
      </c>
      <c r="F21" s="643">
        <v>0</v>
      </c>
      <c r="H21" s="106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592.76108572741816</v>
      </c>
      <c r="R21" s="281">
        <f t="shared" si="0"/>
        <v>0</v>
      </c>
      <c r="S21" s="281">
        <f>IF(R21&gt;=0,IF(M21&gt;=0,Q20,Q21),IF(M21&gt;=0,S20,Q21))</f>
        <v>592.76108572741816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73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592.76108572741816</v>
      </c>
      <c r="N22" s="272"/>
      <c r="O22" s="289">
        <f>M22</f>
        <v>592.76108572741816</v>
      </c>
      <c r="P22" s="290"/>
      <c r="Q22" s="291">
        <f>Q21+M22-O22</f>
        <v>592.76108572741816</v>
      </c>
      <c r="R22" s="291">
        <f>M21</f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592.76108572741816</v>
      </c>
    </row>
    <row r="23" spans="2:22" ht="15" customHeight="1" outlineLevel="1" thickTop="1" x14ac:dyDescent="0.3">
      <c r="B23" s="1273"/>
      <c r="C23" s="91" t="s">
        <v>39</v>
      </c>
      <c r="D23" s="78" t="s">
        <v>32</v>
      </c>
      <c r="F23" s="99">
        <f>'C-Dados RT2 Simplif.'!C126</f>
        <v>6.1744150530052604</v>
      </c>
      <c r="H23" s="107"/>
    </row>
    <row r="24" spans="2:22" ht="15" customHeight="1" outlineLevel="1" x14ac:dyDescent="0.3">
      <c r="B24" s="1273"/>
      <c r="C24" s="91" t="s">
        <v>111</v>
      </c>
      <c r="D24" s="78" t="s">
        <v>32</v>
      </c>
      <c r="F24" s="99">
        <f>'C-Dados RT2 Simplif.'!C129</f>
        <v>6.7609071094185476</v>
      </c>
      <c r="H24" s="106"/>
    </row>
    <row r="25" spans="2:22" outlineLevel="1" x14ac:dyDescent="0.3">
      <c r="B25" s="1273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</row>
    <row r="28" spans="2:22" s="84" customFormat="1" ht="40.200000000000003" customHeight="1" collapsed="1" x14ac:dyDescent="0.3">
      <c r="B28" s="1274" t="s">
        <v>112</v>
      </c>
      <c r="C28" s="1274"/>
      <c r="D28" s="1274"/>
      <c r="E28" s="1274"/>
      <c r="F28" s="1274"/>
      <c r="G28" s="1274"/>
      <c r="H28" s="1274"/>
      <c r="I28" s="1274"/>
      <c r="J28" s="1274"/>
      <c r="K28" s="1274"/>
    </row>
    <row r="29" spans="2:22" s="84" customFormat="1" ht="4.95" hidden="1" customHeight="1" outlineLevel="1" x14ac:dyDescent="0.3">
      <c r="D29" s="78"/>
    </row>
    <row r="30" spans="2:22" s="111" customFormat="1" ht="18" hidden="1" outlineLevel="1" x14ac:dyDescent="0.35">
      <c r="B30" s="1260" t="s">
        <v>30</v>
      </c>
      <c r="C30" s="1260"/>
      <c r="D30" s="110"/>
      <c r="F30" s="355"/>
      <c r="H30" s="355"/>
      <c r="J30" s="355"/>
    </row>
    <row r="31" spans="2:22" s="110" customFormat="1" ht="15.6" hidden="1" outlineLevel="1" x14ac:dyDescent="0.3">
      <c r="B31" s="1260"/>
      <c r="C31" s="1260"/>
      <c r="F31" s="112" t="s">
        <v>10</v>
      </c>
      <c r="H31" s="112" t="s">
        <v>10</v>
      </c>
      <c r="J31" s="112" t="s">
        <v>10</v>
      </c>
    </row>
    <row r="32" spans="2:22" ht="4.95" hidden="1" customHeight="1" outlineLevel="1" x14ac:dyDescent="0.3"/>
    <row r="33" spans="2:11" hidden="1" outlineLevel="1" x14ac:dyDescent="0.3">
      <c r="B33" s="1255" t="s">
        <v>27</v>
      </c>
      <c r="C33" s="98" t="s">
        <v>4</v>
      </c>
      <c r="D33" s="113" t="s">
        <v>33</v>
      </c>
      <c r="E33" s="103"/>
      <c r="F33" s="114">
        <f>'C-Dados RT2 Simplif.'!C108</f>
        <v>1138.1692238576566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12.840418548508994</v>
      </c>
      <c r="K33" s="115"/>
    </row>
    <row r="34" spans="2:11" hidden="1" outlineLevel="1" x14ac:dyDescent="0.3">
      <c r="B34" s="1255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55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3">
      <c r="B37" s="1255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55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3">
      <c r="B40" s="1255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3">
      <c r="B41" s="1255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RT2 Simplif.'!$C$93)*(1-'C-Dados RT2 Simplif.'!$C$89)/'C-Dados RT2 Simplif.'!$C$105*27/30</f>
        <v>-19.357465049999998</v>
      </c>
      <c r="K41" s="115"/>
    </row>
    <row r="42" spans="2:11" hidden="1" outlineLevel="1" x14ac:dyDescent="0.3">
      <c r="B42" s="1255"/>
      <c r="C42" s="98" t="s">
        <v>11</v>
      </c>
      <c r="D42" s="117" t="s">
        <v>32</v>
      </c>
      <c r="E42" s="103"/>
      <c r="F42" s="118">
        <f t="shared" si="2"/>
        <v>6.7609071094185476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3">
      <c r="B43" s="912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-101.46076874999997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3">
      <c r="B47" s="632"/>
      <c r="C47" s="633"/>
      <c r="D47" s="633"/>
      <c r="E47" s="633"/>
      <c r="F47" s="633"/>
      <c r="G47" s="633"/>
      <c r="H47" s="633"/>
      <c r="I47" s="86"/>
      <c r="J47" s="913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D49" s="418"/>
      <c r="E49" s="127"/>
      <c r="F49" s="85"/>
      <c r="H49" s="418"/>
      <c r="I49" s="126"/>
      <c r="J49" s="128">
        <f>SUM(J33:J37)+SUM(J39:J43)*C53</f>
        <v>-107.97781525149098</v>
      </c>
      <c r="K49" s="86"/>
    </row>
    <row r="50" spans="2:11" ht="4.95" customHeight="1" x14ac:dyDescent="0.3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D51" s="420"/>
      <c r="E51" s="127"/>
      <c r="F51" s="85"/>
      <c r="H51" s="420"/>
      <c r="I51" s="126"/>
      <c r="J51" s="351">
        <f>'C-Dados RT2 Simplif.'!C6+J33</f>
        <v>267.44890097890908</v>
      </c>
      <c r="K51" s="86"/>
    </row>
    <row r="52" spans="2:11" ht="4.95" customHeight="1" x14ac:dyDescent="0.3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2" customHeight="1" x14ac:dyDescent="0.3">
      <c r="B53" s="421" t="s">
        <v>116</v>
      </c>
      <c r="C53" s="656">
        <f>'Demanda Preço &amp; Quantidade'!D10</f>
        <v>1</v>
      </c>
      <c r="D53" s="422"/>
      <c r="E53" s="127"/>
      <c r="H53" s="423"/>
      <c r="I53" s="126"/>
      <c r="J53" s="1254"/>
      <c r="K53" s="1254"/>
    </row>
    <row r="54" spans="2:11" ht="4.95" customHeight="1" x14ac:dyDescent="0.3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D55" s="425"/>
      <c r="E55" s="127"/>
      <c r="F55" s="85"/>
      <c r="H55" s="425"/>
      <c r="I55" s="86"/>
      <c r="J55" s="136">
        <f>$J$51+J49</f>
        <v>159.47108572741809</v>
      </c>
      <c r="K55" s="137"/>
    </row>
    <row r="56" spans="2:11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8:K28"/>
    <mergeCell ref="B21:B25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288" t="s">
        <v>473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3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3"/>
      <c r="M5" s="777"/>
      <c r="N5" s="1053"/>
      <c r="O5" s="1294" t="s">
        <v>378</v>
      </c>
      <c r="P5" s="1053"/>
      <c r="Q5" s="1294" t="s">
        <v>379</v>
      </c>
      <c r="R5" s="1053"/>
      <c r="S5" s="1294" t="s">
        <v>380</v>
      </c>
      <c r="T5" s="1053"/>
      <c r="U5" s="1294" t="s">
        <v>381</v>
      </c>
      <c r="V5" s="1053"/>
      <c r="W5" s="1294" t="s">
        <v>382</v>
      </c>
      <c r="X5" s="1053"/>
      <c r="Y5" s="1294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20.384032138964706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3"/>
      <c r="M6" s="789"/>
      <c r="N6" s="790"/>
      <c r="O6" s="1295"/>
      <c r="P6" s="1053"/>
      <c r="Q6" s="1295"/>
      <c r="R6" s="1053"/>
      <c r="S6" s="1295"/>
      <c r="T6" s="1053"/>
      <c r="U6" s="1295"/>
      <c r="V6" s="1053"/>
      <c r="W6" s="1295"/>
      <c r="X6" s="1053"/>
      <c r="Y6" s="1295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'2)Compostagem CDR Comp Org'!M22</f>
        <v>592.76108572741816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RT2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3"/>
      <c r="M8" s="789"/>
      <c r="N8" s="790"/>
      <c r="O8" s="796">
        <f>(O12-O10)/O10</f>
        <v>0</v>
      </c>
      <c r="P8" s="790"/>
      <c r="Q8" s="796">
        <f>(Q12-Q10)/Q10</f>
        <v>3.6332445006673647E-3</v>
      </c>
      <c r="R8" s="790"/>
      <c r="S8" s="796">
        <f>(S12-S10)/S10</f>
        <v>1.1335820354660978E-2</v>
      </c>
      <c r="T8" s="1053"/>
      <c r="U8" s="796">
        <f>(U12-U10)/U10</f>
        <v>1.1335820354660905E-2</v>
      </c>
      <c r="V8" s="1053"/>
      <c r="W8" s="796">
        <f>(W12-W10)/W10</f>
        <v>1.1335820354660754E-2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RT2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22.15769773545637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3.309981215432316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22.238202068901167</v>
      </c>
      <c r="R12" s="790"/>
      <c r="S12" s="802">
        <f>S33</f>
        <v>34778.095866562202</v>
      </c>
      <c r="T12" s="1053"/>
      <c r="U12" s="802">
        <f>U33</f>
        <v>6228162.7972027957</v>
      </c>
      <c r="V12" s="1053"/>
      <c r="W12" s="802">
        <f>W33</f>
        <v>6228162.7972027948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280"/>
      <c r="G16" s="1282"/>
      <c r="H16" s="1284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22.15769773545637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3.5979909559401202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285" t="s">
        <v>419</v>
      </c>
      <c r="G23" s="1286"/>
      <c r="H23" s="1287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129.13239039481766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22.15769773545637</v>
      </c>
      <c r="E25" s="1053"/>
      <c r="F25" s="835" t="s">
        <v>424</v>
      </c>
      <c r="G25" s="812" t="s">
        <v>425</v>
      </c>
      <c r="H25" s="838">
        <f>H24/12</f>
        <v>10.761032532901472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3.5979909559401202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296" t="s">
        <v>427</v>
      </c>
      <c r="C29" s="1297"/>
      <c r="D29" s="1297"/>
      <c r="E29" s="1298"/>
      <c r="F29" s="1053"/>
      <c r="G29" s="1053"/>
      <c r="H29" s="777"/>
      <c r="I29" s="1053"/>
      <c r="J29" s="777"/>
      <c r="K29" s="1299" t="s">
        <v>428</v>
      </c>
      <c r="L29" s="1300"/>
      <c r="M29" s="1301"/>
      <c r="N29" s="1053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3"/>
      <c r="O31" s="1307" t="s">
        <v>433</v>
      </c>
      <c r="P31" s="1053"/>
      <c r="Q31" s="1307" t="s">
        <v>434</v>
      </c>
      <c r="R31" s="1053"/>
      <c r="S31" s="1307" t="s">
        <v>435</v>
      </c>
      <c r="T31" s="1053"/>
      <c r="U31" s="1307" t="s">
        <v>436</v>
      </c>
      <c r="V31" s="1053"/>
      <c r="W31" s="1307" t="s">
        <v>436</v>
      </c>
      <c r="X31" s="1053"/>
      <c r="Y31" s="1307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129.13239039481766</v>
      </c>
      <c r="M32" s="841">
        <f>H25</f>
        <v>10.761032532901472</v>
      </c>
      <c r="N32" s="842"/>
      <c r="O32" s="1308"/>
      <c r="P32" s="842"/>
      <c r="Q32" s="1308"/>
      <c r="R32" s="842"/>
      <c r="S32" s="1308"/>
      <c r="T32" s="1053"/>
      <c r="U32" s="1308"/>
      <c r="V32" s="1053"/>
      <c r="W32" s="1308"/>
      <c r="X32" s="1053"/>
      <c r="Y32" s="1309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22.238202068901167</v>
      </c>
      <c r="R33" s="1053"/>
      <c r="S33" s="802">
        <f>12*S34</f>
        <v>34778.095866562202</v>
      </c>
      <c r="T33" s="1053" t="s">
        <v>438</v>
      </c>
      <c r="U33" s="802">
        <f>12*U34</f>
        <v>6228162.7972027957</v>
      </c>
      <c r="V33" s="1053" t="s">
        <v>439</v>
      </c>
      <c r="W33" s="802">
        <f>12*W34</f>
        <v>6228162.7972027948</v>
      </c>
      <c r="X33" s="1053" t="s">
        <v>439</v>
      </c>
      <c r="Y33" s="1320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2898.1746555468499</v>
      </c>
      <c r="T34" s="1053" t="s">
        <v>441</v>
      </c>
      <c r="U34" s="802">
        <f>U36+U49+U62+U75+U88</f>
        <v>519013.56643356633</v>
      </c>
      <c r="V34" s="1053" t="s">
        <v>442</v>
      </c>
      <c r="W34" s="802">
        <f>W36+W49+W62+W75+W88</f>
        <v>519013.56643356621</v>
      </c>
      <c r="X34" s="1053" t="s">
        <v>442</v>
      </c>
      <c r="Y34" s="1321"/>
      <c r="Z34" s="1053"/>
      <c r="AA34" s="1053"/>
      <c r="AB34" s="773"/>
    </row>
    <row r="35" spans="1:28" s="774" customFormat="1" ht="25.2" customHeight="1" outlineLevel="1" x14ac:dyDescent="0.3">
      <c r="A35" s="1053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15.749107394167959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3"/>
      <c r="O36" s="802">
        <f>O39+O41+O42+O43+O44+O45</f>
        <v>40</v>
      </c>
      <c r="P36" s="1053"/>
      <c r="Q36" s="849">
        <f>Q39+Q41+Q42+Q43+Q44+Q45</f>
        <v>629.96429576671835</v>
      </c>
      <c r="R36" s="1053"/>
      <c r="S36" s="1310">
        <f>IF(AND(Q36&lt;&gt;0,O36&lt;&gt;0),Q36*(1-D17-D18-D19)/(($D$25*1000000/$D$8)),0)</f>
        <v>0.89458746145419688</v>
      </c>
      <c r="T36" s="1335" t="s">
        <v>448</v>
      </c>
      <c r="U36" s="1310">
        <f>U39+U41+U42+U43+U44+U45</f>
        <v>160.20533060954708</v>
      </c>
      <c r="V36" s="1053" t="s">
        <v>449</v>
      </c>
      <c r="W36" s="1310">
        <f>W39*O39+W41*O41+W42*O42+W43*O43+W44*O44+W45*O45</f>
        <v>160.20533060954708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3"/>
      <c r="O37" s="855" t="s">
        <v>455</v>
      </c>
      <c r="P37" s="1053"/>
      <c r="Q37" s="856">
        <v>0.66</v>
      </c>
      <c r="R37" s="1053"/>
      <c r="S37" s="1334"/>
      <c r="T37" s="1336"/>
      <c r="U37" s="1334"/>
      <c r="V37" s="1053"/>
      <c r="W37" s="1311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32.283097598704416</v>
      </c>
      <c r="K39" s="872">
        <f>$M$32*H39*$B$38*$C$38</f>
        <v>2.6902581332253681</v>
      </c>
      <c r="L39" s="871">
        <f>J39*$D$38</f>
        <v>40.353871998380519</v>
      </c>
      <c r="M39" s="872">
        <f>K39*$D$38</f>
        <v>3.3628226665317102</v>
      </c>
      <c r="N39" s="1053"/>
      <c r="O39" s="873">
        <v>2</v>
      </c>
      <c r="P39" s="1053"/>
      <c r="Q39" s="874">
        <f>O39*$Q$37*M39+O39*(1-$Q$37)*K39</f>
        <v>6.268301450415108</v>
      </c>
      <c r="R39" s="1053"/>
      <c r="S39" s="875">
        <f>IF(AND(Q39&lt;&gt;0,O39&lt;&gt;0),Q39*(1-D17-D18-D19)/O39/30/(($D$25*1000000/$D$8))*1000,0)</f>
        <v>0.14835612959439418</v>
      </c>
      <c r="T39" s="1053" t="s">
        <v>459</v>
      </c>
      <c r="U39" s="876">
        <f>S39*O39*30*$D$11*(1+$D$24)/1000</f>
        <v>1.5940828916372842</v>
      </c>
      <c r="V39" s="1053" t="s">
        <v>460</v>
      </c>
      <c r="W39" s="876">
        <f>IF(O39&lt;&gt;0,U39/O39,0)</f>
        <v>0.79704144581864211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93.620983036242805</v>
      </c>
      <c r="K41" s="872">
        <f>$M$32*(H39+(G41-F41)*H41)*$B$38*$C$38</f>
        <v>7.8017485863535674</v>
      </c>
      <c r="L41" s="871">
        <f t="shared" ref="L41:M45" si="0">J41*$D$38</f>
        <v>117.02622879530351</v>
      </c>
      <c r="M41" s="872">
        <f t="shared" si="0"/>
        <v>9.7521857329419586</v>
      </c>
      <c r="N41" s="1053"/>
      <c r="O41" s="873">
        <v>2</v>
      </c>
      <c r="P41" s="1053"/>
      <c r="Q41" s="874">
        <f>O41*$Q$37*M41+O41*(1-$Q$37)*K41</f>
        <v>18.17807420620381</v>
      </c>
      <c r="R41" s="1053"/>
      <c r="S41" s="875">
        <f>IF(AND(Q41&lt;&gt;0,O41&lt;&gt;0),Q41*(1-D17-D18-D19)/O41/30/(($D$25*1000000/$D$8))*1000,0)</f>
        <v>0.43023277582374297</v>
      </c>
      <c r="T41" s="1053" t="s">
        <v>459</v>
      </c>
      <c r="U41" s="876">
        <f>S41*O41*30*$D$11*(1+$D$24)/1000</f>
        <v>4.6228403857481224</v>
      </c>
      <c r="V41" s="1053" t="s">
        <v>460</v>
      </c>
      <c r="W41" s="876">
        <f>IF(O41&lt;&gt;0,U41/O41,0)</f>
        <v>2.3114201928740612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158.18717823365165</v>
      </c>
      <c r="K42" s="872">
        <f>$M$32*(H39+(G41-F41)*H41+(G42-F42)*H42)*$B$38*$C$38</f>
        <v>13.182264852804305</v>
      </c>
      <c r="L42" s="871">
        <f t="shared" si="0"/>
        <v>197.73397279206455</v>
      </c>
      <c r="M42" s="872">
        <f t="shared" si="0"/>
        <v>16.477831066005383</v>
      </c>
      <c r="N42" s="1053"/>
      <c r="O42" s="873">
        <v>28</v>
      </c>
      <c r="P42" s="1053"/>
      <c r="Q42" s="874">
        <f>O42*$Q$37*M42+O42*(1-$Q$37)*K42</f>
        <v>430.00547949847646</v>
      </c>
      <c r="R42" s="1053"/>
      <c r="S42" s="875">
        <f>IF(AND(Q42&lt;&gt;0,O42&lt;&gt;0),Q42*(1-D17-D18-D19)/O42/30/(($D$25*1000000/$D$8))*1000,0)</f>
        <v>0.72694503501253149</v>
      </c>
      <c r="T42" s="1053" t="s">
        <v>459</v>
      </c>
      <c r="U42" s="876">
        <f>S42*O42*30*$D$11*(1+$D$24)/1000</f>
        <v>109.3540863663177</v>
      </c>
      <c r="V42" s="1053" t="s">
        <v>460</v>
      </c>
      <c r="W42" s="876">
        <f>IF(O42&lt;&gt;0,U42/O42,0)</f>
        <v>3.9055030845113463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225.98168319093091</v>
      </c>
      <c r="K43" s="872">
        <f>$M$32*(H39+(G41-F41)*H41+(G42-F42)*H42+(G43-F43)*H43)*$B$38*$C$38</f>
        <v>18.831806932577578</v>
      </c>
      <c r="L43" s="871">
        <f t="shared" si="0"/>
        <v>282.47710398866366</v>
      </c>
      <c r="M43" s="872">
        <f t="shared" si="0"/>
        <v>23.539758665721973</v>
      </c>
      <c r="N43" s="1053"/>
      <c r="O43" s="873">
        <v>8</v>
      </c>
      <c r="P43" s="1053"/>
      <c r="Q43" s="874">
        <f>O43*$Q$37*M43+O43*(1-$Q$37)*K43</f>
        <v>175.51244061162302</v>
      </c>
      <c r="R43" s="1053"/>
      <c r="S43" s="875">
        <f>IF(AND(Q43&lt;&gt;0,O43&lt;&gt;0),Q43*(1-D17-D18-D19)/O43/30/(($D$25*1000000/$D$8))*1000,0)</f>
        <v>1.0384929071607594</v>
      </c>
      <c r="T43" s="1053" t="s">
        <v>459</v>
      </c>
      <c r="U43" s="876">
        <f>S43*O43*30*$D$11*(1+$D$24)/1000</f>
        <v>44.634320965843969</v>
      </c>
      <c r="V43" s="1053" t="s">
        <v>460</v>
      </c>
      <c r="W43" s="876">
        <f>IF(O43&lt;&gt;0,U43/O43,0)</f>
        <v>5.5792901207304961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332.51590526665552</v>
      </c>
      <c r="K44" s="872">
        <f>$M$32*(H39+(G41-F41)*H41+(G42-F42)*H42+(G43-F43)*H43+(G44-F44)*H44)*$B$38*$C$38</f>
        <v>27.709658772221292</v>
      </c>
      <c r="L44" s="871">
        <f t="shared" si="0"/>
        <v>415.64488158331937</v>
      </c>
      <c r="M44" s="872">
        <f t="shared" si="0"/>
        <v>34.637073465276615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703.77152765175629</v>
      </c>
      <c r="K45" s="872">
        <f>$M$32*(H39+(G41-F41)*H41+(G42-F42)*H42+(G43-F43)*H43+(G44-F44)*H44+(G45-F45)*H45)*$B$38*$C$38</f>
        <v>58.647627304313026</v>
      </c>
      <c r="L45" s="871">
        <f t="shared" si="0"/>
        <v>879.71440956469542</v>
      </c>
      <c r="M45" s="872">
        <f t="shared" si="0"/>
        <v>73.309534130391285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12.829070759872769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3"/>
      <c r="O49" s="802">
        <f>O52+O54+O55+O56+O57+O58</f>
        <v>127341</v>
      </c>
      <c r="P49" s="1053"/>
      <c r="Q49" s="890">
        <f>Q52+Q54+Q55+Q56+Q57+Q58</f>
        <v>1633666.6996329583</v>
      </c>
      <c r="R49" s="1053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415455.47180887189</v>
      </c>
      <c r="V49" s="1053" t="s">
        <v>449</v>
      </c>
      <c r="W49" s="1338">
        <f>W52*O52+W54*O54+W55*O55+W56*O56+W57*O57+W58*O58</f>
        <v>415455.47180887184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3"/>
      <c r="O50" s="891" t="s">
        <v>455</v>
      </c>
      <c r="P50" s="1053"/>
      <c r="Q50" s="856">
        <v>0.75</v>
      </c>
      <c r="R50" s="1053"/>
      <c r="S50" s="1334"/>
      <c r="T50" s="1336"/>
      <c r="U50" s="1334"/>
      <c r="V50" s="1053"/>
      <c r="W50" s="1339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45.277044382182943</v>
      </c>
      <c r="K52" s="872">
        <f>$M$32*H52*$B$51*$C$51</f>
        <v>3.7730870318485787</v>
      </c>
      <c r="L52" s="871">
        <f>J52*$D$51</f>
        <v>56.596305477728677</v>
      </c>
      <c r="M52" s="872">
        <f>K52*$D$51</f>
        <v>4.7163587898107231</v>
      </c>
      <c r="N52" s="1053"/>
      <c r="O52" s="873">
        <v>62341</v>
      </c>
      <c r="P52" s="1053"/>
      <c r="Q52" s="874">
        <f>O52*$Q$50*M52+O52*(1-$Q$50)*K52</f>
        <v>279321.3971498108</v>
      </c>
      <c r="R52" s="1053"/>
      <c r="S52" s="875">
        <f>IF(AND(Q52&lt;&gt;0,O52&lt;&gt;0),Q52*(1-D17-D18-D19)/O52/30/(($D$25*1000000/$D$8))*1000,0)</f>
        <v>0.21208798086730785</v>
      </c>
      <c r="T52" s="1053" t="s">
        <v>459</v>
      </c>
      <c r="U52" s="876">
        <f>S52*O52*30*$D$11*(1+$D$24)/1000</f>
        <v>71033.830135155658</v>
      </c>
      <c r="V52" s="1053" t="s">
        <v>460</v>
      </c>
      <c r="W52" s="876">
        <f>IF(O52&lt;&gt;0,U52/O52,0)</f>
        <v>1.1394400175671815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144.06332303421846</v>
      </c>
      <c r="K54" s="872">
        <f>$M$32*(H52+(G54-F54)*H54)*$B$51*$C$51</f>
        <v>12.005276919518206</v>
      </c>
      <c r="L54" s="871">
        <f t="shared" ref="L54:M58" si="1">J54*$D$51</f>
        <v>180.07915379277307</v>
      </c>
      <c r="M54" s="872">
        <f t="shared" si="1"/>
        <v>15.006596149397758</v>
      </c>
      <c r="N54" s="1053"/>
      <c r="O54" s="873">
        <v>42500</v>
      </c>
      <c r="P54" s="1053"/>
      <c r="Q54" s="874">
        <f>O54*$Q$50*M54+O54*(1-$Q$50)*K54</f>
        <v>605891.31953193445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246.96569663008876</v>
      </c>
      <c r="K55" s="872">
        <f>$M$32*(H52+(G54-F54)*H54+(G55-F55)*H55)*$B$51*$C$51</f>
        <v>20.580474719174063</v>
      </c>
      <c r="L55" s="871">
        <f t="shared" si="1"/>
        <v>308.70712078761096</v>
      </c>
      <c r="M55" s="872">
        <f t="shared" si="1"/>
        <v>25.725593398967579</v>
      </c>
      <c r="N55" s="1053"/>
      <c r="O55" s="873">
        <v>10000</v>
      </c>
      <c r="P55" s="1053"/>
      <c r="Q55" s="874">
        <f>O55*$Q$50*M55+O55*(1-$Q$50)*K55</f>
        <v>244393.13729019201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407.49339943964645</v>
      </c>
      <c r="K56" s="872">
        <f>$M$32*(H52+(G54-F54)*H54+(G55-F55)*H55+(G56-F56)*H56)*$B$51*$C$51</f>
        <v>33.957783286637209</v>
      </c>
      <c r="L56" s="871">
        <f t="shared" si="1"/>
        <v>509.36674929955808</v>
      </c>
      <c r="M56" s="872">
        <f t="shared" si="1"/>
        <v>42.447229108296511</v>
      </c>
      <c r="N56" s="1053"/>
      <c r="O56" s="873">
        <v>12500</v>
      </c>
      <c r="P56" s="1053"/>
      <c r="Q56" s="874">
        <f>O56*$Q$50*M56+O56*(1-$Q$50)*K56</f>
        <v>504060.84566102107</v>
      </c>
      <c r="R56" s="1053"/>
      <c r="S56" s="875">
        <f>IF(AND(Q56&lt;&gt;0,O56&lt;&gt;0),Q56*(1-D17-D18-D19)/O56/30/(($D$25*1000000/$D$8))*1000,0)</f>
        <v>1.9087918278057707</v>
      </c>
      <c r="T56" s="1053" t="s">
        <v>459</v>
      </c>
      <c r="U56" s="876">
        <f>S56*O56*30*$D$11*(1+$D$24)/1000</f>
        <v>128187.00197630793</v>
      </c>
      <c r="V56" s="1053" t="s">
        <v>460</v>
      </c>
      <c r="W56" s="895">
        <f>IF(O56&lt;&gt;0,U56/O56,0)</f>
        <v>10.254960158104634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839.68336854230176</v>
      </c>
      <c r="K57" s="872">
        <f>$M$32*(H52+(G54-F54)*H54+(G55-F55)*H55+(G56-F56)*H56+(G57-F57)*H57)*$B$51*$C$51</f>
        <v>69.973614045191809</v>
      </c>
      <c r="L57" s="871">
        <f t="shared" si="1"/>
        <v>1049.6042106778773</v>
      </c>
      <c r="M57" s="872">
        <f t="shared" si="1"/>
        <v>87.467017556489765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1765.8047309051344</v>
      </c>
      <c r="K58" s="872">
        <f>$M$32*(H52+(G54-F54)*H54+(G55-F55)*H55+(G56-F56)*H56+(G57-F57)*H57+(G58-F58)*H58)*$B$51*$C$51</f>
        <v>147.15039424209456</v>
      </c>
      <c r="L58" s="871">
        <f t="shared" si="1"/>
        <v>2207.255913631418</v>
      </c>
      <c r="M58" s="872">
        <f t="shared" si="1"/>
        <v>183.9379928026182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4.4219261097055602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3"/>
      <c r="O62" s="802">
        <f>O65+O67+O68+O69+O70+O71</f>
        <v>42447</v>
      </c>
      <c r="P62" s="1053"/>
      <c r="Q62" s="849">
        <f>Q65+Q67+Q68+Q69+Q70+Q71</f>
        <v>187697.49757867193</v>
      </c>
      <c r="R62" s="1053"/>
      <c r="S62" s="1310">
        <f>IF(AND(Q62&lt;&gt;0,O62&lt;&gt;0),Q62*(1-D17-D18-D19)/(H15)/(($D$25*1000000/$D$8)),0)</f>
        <v>533.08363349655201</v>
      </c>
      <c r="T62" s="1335" t="s">
        <v>448</v>
      </c>
      <c r="U62" s="1310">
        <f>U65+U67+U68+U69+U70+U71</f>
        <v>95466.171198092954</v>
      </c>
      <c r="V62" s="1053" t="s">
        <v>449</v>
      </c>
      <c r="W62" s="1310">
        <f>W65*O65+W67*O67+W68*O68+W69*O69+W70*O70+W71*O71</f>
        <v>95466.171198092954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3"/>
      <c r="O63" s="891" t="s">
        <v>455</v>
      </c>
      <c r="P63" s="1053"/>
      <c r="Q63" s="856">
        <v>0.66</v>
      </c>
      <c r="R63" s="1053"/>
      <c r="S63" s="1334"/>
      <c r="T63" s="1336"/>
      <c r="U63" s="1334"/>
      <c r="V63" s="1053"/>
      <c r="W63" s="1311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22.638522191091472</v>
      </c>
      <c r="K65" s="872">
        <f>$M$32*H65*$B$64*$C$64</f>
        <v>1.8865435159242894</v>
      </c>
      <c r="L65" s="871">
        <f>J65*$D$51</f>
        <v>28.298152738864339</v>
      </c>
      <c r="M65" s="872">
        <f>K65*$D$51</f>
        <v>2.3581793949053615</v>
      </c>
      <c r="N65" s="1053"/>
      <c r="O65" s="873">
        <v>25947</v>
      </c>
      <c r="P65" s="1053"/>
      <c r="Q65" s="874">
        <f>O65*$Q$63*M65+O65*(1-$Q$63)*K65</f>
        <v>57026.918467955977</v>
      </c>
      <c r="R65" s="1053"/>
      <c r="S65" s="875">
        <f>IF(AND(Q65&lt;&gt;0,O65&lt;&gt;0),Q65*(1-D17-D18-D19)/(H15)/O65/30/(($D$25*1000000/$D$8))*1000,0)</f>
        <v>0.20806947175613785</v>
      </c>
      <c r="T65" s="1053" t="s">
        <v>459</v>
      </c>
      <c r="U65" s="876">
        <f>S65*O65*30*$D$11*(1+$D$24)/1000</f>
        <v>29004.870238505475</v>
      </c>
      <c r="V65" s="1053" t="s">
        <v>460</v>
      </c>
      <c r="W65" s="876">
        <f>IF(O65&lt;&gt;0,U65/O65,0)</f>
        <v>1.1178506277606457</v>
      </c>
      <c r="X65" s="1053" t="s">
        <v>461</v>
      </c>
      <c r="Y65" s="877" t="str">
        <f>IF(O65=0,"-", IF(W65&lt;=(G65*(1+$Y$63)),"OK", "NOK"))</f>
        <v>OK</v>
      </c>
      <c r="Z65" s="893">
        <f>W65</f>
        <v>1.1178506277606457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72.031661517109228</v>
      </c>
      <c r="K67" s="872">
        <f>$M$32*(H65+(G67-F67)*H67)*$B$64*$C$64</f>
        <v>6.0026384597591029</v>
      </c>
      <c r="L67" s="871">
        <f t="shared" ref="L67:M71" si="3">J67*$D$51</f>
        <v>90.039576896386535</v>
      </c>
      <c r="M67" s="872">
        <f t="shared" si="3"/>
        <v>7.5032980746988791</v>
      </c>
      <c r="N67" s="1053"/>
      <c r="O67" s="873">
        <v>15000</v>
      </c>
      <c r="P67" s="1053"/>
      <c r="Q67" s="874">
        <f>O67*$Q$63*M67+O67*(1-$Q$63)*K67</f>
        <v>104896.10708429033</v>
      </c>
      <c r="R67" s="1053"/>
      <c r="S67" s="875">
        <f>IF(AND(Q67&lt;&gt;0,O67&lt;&gt;0),Q67*(1-D17-D18-D19)/O67/30/(H15)/(($D$25*1000000/$D$8))*1000,0)</f>
        <v>0.66203922831498396</v>
      </c>
      <c r="T67" s="1053" t="s">
        <v>459</v>
      </c>
      <c r="U67" s="876">
        <f>S67*O67*30*$D$11*(1+$D$24)/1000</f>
        <v>53351.961779485355</v>
      </c>
      <c r="V67" s="1053" t="s">
        <v>460</v>
      </c>
      <c r="W67" s="876">
        <f>IF(O67&lt;&gt;0,U67/O67,0)</f>
        <v>3.5567974519656902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3.5567974519656902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123.48284831504438</v>
      </c>
      <c r="K68" s="872">
        <f>$M$32*(H65+(G67-F67)*H67+(G68-F68)*H68)*$B$64*$C$64</f>
        <v>10.290237359587032</v>
      </c>
      <c r="L68" s="871">
        <f t="shared" si="3"/>
        <v>154.35356039380548</v>
      </c>
      <c r="M68" s="872">
        <f t="shared" si="3"/>
        <v>12.862796699483789</v>
      </c>
      <c r="N68" s="1053"/>
      <c r="O68" s="873">
        <v>500</v>
      </c>
      <c r="P68" s="1053"/>
      <c r="Q68" s="874">
        <f>O68*$Q$63*M68+O68*(1-$Q$63)*K68</f>
        <v>5994.0632619594453</v>
      </c>
      <c r="R68" s="1053"/>
      <c r="S68" s="875">
        <f>IF(AND(Q68&lt;&gt;0,O68&lt;&gt;0),Q68*(1-D17-D18-D19)/O68/30/(H15)/(($D$25*1000000/$D$8))*1000,0)</f>
        <v>1.1349243913971152</v>
      </c>
      <c r="T68" s="1053" t="s">
        <v>459</v>
      </c>
      <c r="U68" s="876">
        <f>S68*O68*30*$D$11*(1+$D$24)/1000</f>
        <v>3048.6835302563054</v>
      </c>
      <c r="V68" s="1053" t="s">
        <v>460</v>
      </c>
      <c r="W68" s="876">
        <f>IF(O68&lt;&gt;0,U68/O68,0)</f>
        <v>6.0973670605126111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12.194734121025222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203.74669971982323</v>
      </c>
      <c r="K69" s="872">
        <f>$M$32*(H65+(G67-F67)*H67+(G68-F68)*H68+(G69-F69)*H69)*$B$64*$C$64</f>
        <v>16.978891643318605</v>
      </c>
      <c r="L69" s="871">
        <f t="shared" si="3"/>
        <v>254.68337464977904</v>
      </c>
      <c r="M69" s="872">
        <f t="shared" si="3"/>
        <v>21.223614554148256</v>
      </c>
      <c r="N69" s="1053"/>
      <c r="O69" s="873">
        <v>1000</v>
      </c>
      <c r="P69" s="1053"/>
      <c r="Q69" s="874">
        <f>O69*$Q$63*M69+O69*(1-$Q$63)*K69</f>
        <v>19780.408764466174</v>
      </c>
      <c r="R69" s="1053"/>
      <c r="S69" s="875">
        <f>IF(AND(Q69&lt;&gt;0,O69&lt;&gt;0),Q69*(1-D17-D18-D19)/O69/30/(H15)/(($D$25*1000000/$D$8))*1000,0)</f>
        <v>1.8726252458052404</v>
      </c>
      <c r="T69" s="1053" t="s">
        <v>459</v>
      </c>
      <c r="U69" s="876">
        <f>S69*O69*30*$D$11*(1+$D$24)/1000</f>
        <v>10060.655649845809</v>
      </c>
      <c r="V69" s="1053" t="s">
        <v>460</v>
      </c>
      <c r="W69" s="876">
        <f>IF(O69&lt;&gt;0,U69/O69,0)</f>
        <v>10.060655649845808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20.121311299691616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419.84168427115088</v>
      </c>
      <c r="K70" s="872">
        <f>$M$32*(H65+(G67-F67)*H67+(G68-F68)*H68+(G69-F69)*H69+(G70-F70)*H70)*$B$64*$C$64</f>
        <v>34.986807022595904</v>
      </c>
      <c r="L70" s="871">
        <f t="shared" si="3"/>
        <v>524.80210533893865</v>
      </c>
      <c r="M70" s="872">
        <f t="shared" si="3"/>
        <v>43.733508778244882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882.90236545256721</v>
      </c>
      <c r="K71" s="872">
        <f>$M$32*(H65+(G67-F67)*H67+(G68-F68)*H68+(G69-F69)*H69+(G70-F70)*H70+(G71-F71)*H71)*$B$64*$C$64</f>
        <v>73.575197121047282</v>
      </c>
      <c r="L71" s="871">
        <f t="shared" si="3"/>
        <v>1103.627956815709</v>
      </c>
      <c r="M71" s="872">
        <f t="shared" si="3"/>
        <v>91.968996401309099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17.478515922564721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3"/>
      <c r="O75" s="802">
        <f>O78+O80+O81+O82+O83+O84</f>
        <v>1741</v>
      </c>
      <c r="P75" s="1053"/>
      <c r="Q75" s="849">
        <f>Q78+Q80+Q81+Q82+Q83+Q84</f>
        <v>30430.09622118518</v>
      </c>
      <c r="R75" s="1053"/>
      <c r="S75" s="1310">
        <f>IF(AND(Q75&lt;&gt;0,O75&lt;&gt;0),Q75*(1-D17-D18-D19)/(($D$25*1000000/$D$8)),0)</f>
        <v>43.212580003736754</v>
      </c>
      <c r="T75" s="1335" t="s">
        <v>448</v>
      </c>
      <c r="U75" s="1310">
        <f>U78+U80+U81+U82+U83+U84</f>
        <v>7738.6348057423584</v>
      </c>
      <c r="V75" s="1053" t="s">
        <v>449</v>
      </c>
      <c r="W75" s="1310">
        <f>W78*O78+W80*O80+W81*O81+W82*O82+W83*O83+W84*O84</f>
        <v>7738.6348057423584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3"/>
      <c r="O76" s="891" t="s">
        <v>455</v>
      </c>
      <c r="P76" s="1053"/>
      <c r="Q76" s="856">
        <v>0.66</v>
      </c>
      <c r="R76" s="1053"/>
      <c r="S76" s="1334"/>
      <c r="T76" s="1336"/>
      <c r="U76" s="1334"/>
      <c r="V76" s="1053"/>
      <c r="W76" s="1311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43.582181758250961</v>
      </c>
      <c r="K78" s="872">
        <f>$M$32*H78*$B$77*$C$77</f>
        <v>3.6318484798542467</v>
      </c>
      <c r="L78" s="871">
        <f>J78*$D$77</f>
        <v>54.477727197813699</v>
      </c>
      <c r="M78" s="872">
        <f>K78*$D$77</f>
        <v>4.5398105998178089</v>
      </c>
      <c r="N78" s="1053"/>
      <c r="O78" s="873">
        <v>264</v>
      </c>
      <c r="P78" s="1053"/>
      <c r="Q78" s="874">
        <f>O78*$Q$76*M78+O78*(1-$Q$76)*K78</f>
        <v>1117.0113184639722</v>
      </c>
      <c r="R78" s="1053"/>
      <c r="S78" s="875">
        <f>IF(AND(Q78&lt;&gt;0,O78&lt;&gt;0),Q78*(1-D17-D18-D19)/O78/30/(($D$25*1000000/$D$8))*1000,0)</f>
        <v>0.20028077495243213</v>
      </c>
      <c r="T78" s="1053" t="s">
        <v>459</v>
      </c>
      <c r="U78" s="876">
        <f>S78*O78*30*$D$11*(1+$D$24)/1000</f>
        <v>284.06557128976402</v>
      </c>
      <c r="V78" s="1053" t="s">
        <v>460</v>
      </c>
      <c r="W78" s="876">
        <f>IF(O78&lt;&gt;0,U78/O78,0)</f>
        <v>1.0760059518551668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159.80133311358685</v>
      </c>
      <c r="K80" s="872">
        <f>$M$32*(H78+(G80-F80)*H80)*$B$77*$C$77</f>
        <v>13.316777759465571</v>
      </c>
      <c r="L80" s="871">
        <f t="shared" ref="L80:M84" si="4">J80*$D$77</f>
        <v>199.75166639198358</v>
      </c>
      <c r="M80" s="872">
        <f t="shared" si="4"/>
        <v>16.645972199331965</v>
      </c>
      <c r="N80" s="1053"/>
      <c r="O80" s="873">
        <v>994</v>
      </c>
      <c r="P80" s="1053"/>
      <c r="Q80" s="874">
        <f>O80*$Q$76*M80+O80*(1-$Q$76)*K80</f>
        <v>15420.961813238728</v>
      </c>
      <c r="R80" s="1053"/>
      <c r="S80" s="875">
        <f>IF(AND(Q80&lt;&gt;0,O80&lt;&gt;0),Q80*(1-D17-D18-D19)/O80/30/(($D$25*1000000/$D$8))*1000,0)</f>
        <v>0.73436284149225106</v>
      </c>
      <c r="T80" s="1053" t="s">
        <v>459</v>
      </c>
      <c r="U80" s="876">
        <f>S80*O80*30*$D$11*(1+$D$24)/1000</f>
        <v>3921.6830258614636</v>
      </c>
      <c r="V80" s="1053" t="s">
        <v>460</v>
      </c>
      <c r="W80" s="876">
        <f>IF(O80&lt;&gt;0,U80/O80,0)</f>
        <v>3.9453551568022771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242.1232319902831</v>
      </c>
      <c r="K81" s="872">
        <f>$M$32*(H78+(G80-F80)*H80+(G81-F81)*H81)*$B$77*$C$77</f>
        <v>20.176935999190263</v>
      </c>
      <c r="L81" s="871">
        <f t="shared" si="4"/>
        <v>302.65403998785388</v>
      </c>
      <c r="M81" s="872">
        <f t="shared" si="4"/>
        <v>25.221169998987829</v>
      </c>
      <c r="N81" s="1053"/>
      <c r="O81" s="873">
        <v>183</v>
      </c>
      <c r="P81" s="1053"/>
      <c r="Q81" s="874">
        <f>O81*$Q$76*M81+O81*(1-$Q$76)*K81</f>
        <v>4301.6218703473678</v>
      </c>
      <c r="R81" s="1053"/>
      <c r="S81" s="875">
        <f>IF(AND(Q81&lt;&gt;0,O81&lt;&gt;0),Q81*(1-D17-D18-D19)/O81/30/(($D$25*1000000/$D$8))*1000,0)</f>
        <v>1.1126709719579564</v>
      </c>
      <c r="T81" s="1053" t="s">
        <v>459</v>
      </c>
      <c r="U81" s="876">
        <f>S81*O81*30*$D$11*(1+$D$24)/1000</f>
        <v>1093.9393843860864</v>
      </c>
      <c r="V81" s="1053" t="s">
        <v>460</v>
      </c>
      <c r="W81" s="876">
        <f>IF(O81&lt;&gt;0,U81/O81,0)</f>
        <v>5.9778108436398165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329.28759550678501</v>
      </c>
      <c r="K82" s="872">
        <f>$M$32*(H78+(G80-F80)*H80+(G81-F81)*H81+(G82-F82)*H82)*$B$77*$C$77</f>
        <v>27.440632958898753</v>
      </c>
      <c r="L82" s="871">
        <f t="shared" si="4"/>
        <v>411.60949438348126</v>
      </c>
      <c r="M82" s="872">
        <f t="shared" si="4"/>
        <v>34.300791198623443</v>
      </c>
      <c r="N82" s="1053"/>
      <c r="O82" s="873">
        <v>300</v>
      </c>
      <c r="P82" s="1053"/>
      <c r="Q82" s="874">
        <f>O82*$Q$76*M82+O82*(1-$Q$76)*K82</f>
        <v>9590.5012191351143</v>
      </c>
      <c r="R82" s="1053"/>
      <c r="S82" s="875">
        <f>IF(AND(Q82&lt;&gt;0,O82&lt;&gt;0),Q82*(1-D17-D18-D19)/O82/30/(($D$25*1000000/$D$8))*1000,0)</f>
        <v>1.5132325218628204</v>
      </c>
      <c r="T82" s="1053" t="s">
        <v>459</v>
      </c>
      <c r="U82" s="876">
        <f>S82*O82*30*$D$11*(1+$D$24)/1000</f>
        <v>2438.9468242050448</v>
      </c>
      <c r="V82" s="1053" t="s">
        <v>460</v>
      </c>
      <c r="W82" s="876">
        <f>IF(O82&lt;&gt;0,U82/O82,0)</f>
        <v>8.1298227473501488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467.29783774124644</v>
      </c>
      <c r="K83" s="872">
        <f>$M$32*(H78+(G80-F80)*H80+(G81-F81)*H81+(G82-F82)*H82+(G83-F83)*H83)*$B$77*$C$77</f>
        <v>38.941486478437206</v>
      </c>
      <c r="L83" s="871">
        <f t="shared" si="4"/>
        <v>584.12229717655805</v>
      </c>
      <c r="M83" s="872">
        <f t="shared" si="4"/>
        <v>48.676858098046509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903.11965532375598</v>
      </c>
      <c r="K84" s="872">
        <f>$M$32*(H78+(G80-F80)*H80+(G81-F81)*H81+(G82-F82)*H82+(G83-F83)*H83+(G84-F84)*H84)*$B$77*$C$77</f>
        <v>75.259971276979655</v>
      </c>
      <c r="L84" s="871">
        <f t="shared" si="4"/>
        <v>1128.899569154695</v>
      </c>
      <c r="M84" s="872">
        <f t="shared" si="4"/>
        <v>94.074964096224562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37.962400659076494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3"/>
      <c r="O88" s="877">
        <f>O91+O93+O94+O95+O96</f>
        <v>20</v>
      </c>
      <c r="P88" s="1053"/>
      <c r="Q88" s="849">
        <f>Q91+Q93+Q94+Q95+Q96</f>
        <v>759.24801318152981</v>
      </c>
      <c r="R88" s="1053"/>
      <c r="S88" s="1310">
        <f>IF(AND(Q88&lt;&gt;0,O88&lt;&gt;0),Q88*(1-D17-D18-D19)/(($D$25*1000000/$D$8)),0)</f>
        <v>1.0781781718272594</v>
      </c>
      <c r="T88" s="1335" t="s">
        <v>448</v>
      </c>
      <c r="U88" s="1310">
        <f>U91+U93+U94+U95+U96+Z97</f>
        <v>193.08329024956601</v>
      </c>
      <c r="V88" s="1053" t="s">
        <v>449</v>
      </c>
      <c r="W88" s="1310">
        <f>W91*O91+W93*O93+W94*O94+W95*O95+W96*O96</f>
        <v>193.08329024956606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3"/>
      <c r="O89" s="891" t="s">
        <v>455</v>
      </c>
      <c r="P89" s="1053"/>
      <c r="Q89" s="856">
        <v>0.66</v>
      </c>
      <c r="R89" s="1053"/>
      <c r="S89" s="1334"/>
      <c r="T89" s="1336"/>
      <c r="U89" s="1334"/>
      <c r="V89" s="1053"/>
      <c r="W89" s="1311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33.897252478639636</v>
      </c>
      <c r="K91" s="872">
        <f>$M$32*H91*$B$90*$C$90</f>
        <v>2.8247710398866364</v>
      </c>
      <c r="L91" s="871">
        <f>J91*$D$90</f>
        <v>42.371565598299547</v>
      </c>
      <c r="M91" s="872">
        <f>K91*$D$90</f>
        <v>3.5309637998582954</v>
      </c>
      <c r="N91" s="1053"/>
      <c r="O91" s="873">
        <v>1</v>
      </c>
      <c r="P91" s="1053"/>
      <c r="Q91" s="874">
        <f>O91*$Q$76*M91+O91*(1-$Q$76)*K91</f>
        <v>3.2908582614679314</v>
      </c>
      <c r="R91" s="1053"/>
      <c r="S91" s="875">
        <f>IF(AND(Q91&lt;&gt;0,O91&lt;&gt;0),Q91*(1-D17-D18-D19)/O91/30/(($D$25*1000000/$D$8))*1000,0)</f>
        <v>0.15577393607411386</v>
      </c>
      <c r="T91" s="1053" t="s">
        <v>459</v>
      </c>
      <c r="U91" s="876">
        <f>S91*O91*30*$D$11*(1+$D$24)/1000</f>
        <v>0.83689351810957402</v>
      </c>
      <c r="V91" s="1053" t="s">
        <v>460</v>
      </c>
      <c r="W91" s="876">
        <f>IF(O91&lt;&gt;0,U91/O91,0)</f>
        <v>0.83689351810957402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106.53422207572457</v>
      </c>
      <c r="K93" s="872">
        <f>$M$32*(H91+(G93-F93)*H93)*$B$90*$C$90</f>
        <v>8.8778518396437143</v>
      </c>
      <c r="L93" s="871">
        <f t="shared" ref="L93:M96" si="5">J93*$D$90</f>
        <v>133.16777759465572</v>
      </c>
      <c r="M93" s="872">
        <f t="shared" si="5"/>
        <v>11.097314799554642</v>
      </c>
      <c r="N93" s="1053"/>
      <c r="O93" s="873">
        <v>2</v>
      </c>
      <c r="P93" s="1053"/>
      <c r="Q93" s="874">
        <f>O93*$Q$76*M93+O93*(1-$Q$76)*K93</f>
        <v>20.685394786369852</v>
      </c>
      <c r="R93" s="1053"/>
      <c r="S93" s="875">
        <f>IF(AND(Q93&lt;&gt;0,O93&lt;&gt;0),Q93*(1-D17-D18-D19)/O93/30/(($D$25*1000000/$D$8))*1000,0)</f>
        <v>0.48957522766150069</v>
      </c>
      <c r="T93" s="1053" t="s">
        <v>459</v>
      </c>
      <c r="U93" s="876">
        <f>S93*O93*30*$D$11*(1+$D$24)/1000</f>
        <v>5.2604735424030364</v>
      </c>
      <c r="V93" s="1053" t="s">
        <v>460</v>
      </c>
      <c r="W93" s="876">
        <f>IF(O93&lt;&gt;0,U93/O93,0)</f>
        <v>2.6302367712015182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445.50674686212096</v>
      </c>
      <c r="K94" s="872">
        <f>$M$32*(H91+(G93-F93)*H93+(G94-F94)*H94)*$B$90*$C$90</f>
        <v>37.125562238510078</v>
      </c>
      <c r="L94" s="871">
        <f t="shared" si="5"/>
        <v>556.8834335776512</v>
      </c>
      <c r="M94" s="872">
        <f t="shared" si="5"/>
        <v>46.406952798137596</v>
      </c>
      <c r="N94" s="1053"/>
      <c r="O94" s="873">
        <v>17</v>
      </c>
      <c r="P94" s="1053"/>
      <c r="Q94" s="874">
        <f>O94*$Q$76*M94+O94*(1-$Q$76)*K94</f>
        <v>735.27176013369206</v>
      </c>
      <c r="R94" s="1053"/>
      <c r="S94" s="875">
        <f>IF(AND(Q94&lt;&gt;0,O94&lt;&gt;0),Q94*(1-D17-D18-D19)/O94/30/(($D$25*1000000/$D$8))*1000,0)</f>
        <v>2.0473145884026391</v>
      </c>
      <c r="T94" s="1053" t="s">
        <v>459</v>
      </c>
      <c r="U94" s="876">
        <f>S94*O94*30*$D$11*(1+$D$24)/1000</f>
        <v>186.98592318905341</v>
      </c>
      <c r="V94" s="1053" t="s">
        <v>460</v>
      </c>
      <c r="W94" s="876">
        <f>IF(O94&lt;&gt;0,U94/O94,0)</f>
        <v>10.99917195229726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2576.1911883766124</v>
      </c>
      <c r="K95" s="872">
        <f>$M$32*(H91+(G93-F93)*H93+(G94-F94)*H94+(G95-F95)*H95)*$B$90*$C$90</f>
        <v>214.6825990313844</v>
      </c>
      <c r="L95" s="871">
        <f t="shared" si="5"/>
        <v>3220.2389854707653</v>
      </c>
      <c r="M95" s="872">
        <f t="shared" si="5"/>
        <v>268.35324878923052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5481.6699722600097</v>
      </c>
      <c r="K96" s="872">
        <f>$M$32*(H91+(G93-F93)*H93+(G94-F94)*H94+(G95-F95)*H95+(G96-F96)*H96)*$B$90*$C$90</f>
        <v>456.80583102166759</v>
      </c>
      <c r="L96" s="871">
        <f t="shared" si="5"/>
        <v>6852.0874653250121</v>
      </c>
      <c r="M96" s="872">
        <f t="shared" si="5"/>
        <v>571.00728877708445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09" priority="17">
      <formula>OR(O36&lt;O35*99.75%,O36&gt;O35*100.25%)</formula>
    </cfRule>
  </conditionalFormatting>
  <conditionalFormatting sqref="O36">
    <cfRule type="expression" dxfId="308" priority="18">
      <formula>OR(O36&lt;O35*100.25%,O36&gt;O35*99.75%)</formula>
    </cfRule>
  </conditionalFormatting>
  <conditionalFormatting sqref="Y39">
    <cfRule type="expression" dxfId="307" priority="19">
      <formula>Y39="NOK"</formula>
    </cfRule>
  </conditionalFormatting>
  <conditionalFormatting sqref="Y39">
    <cfRule type="expression" dxfId="306" priority="20">
      <formula>Y39="OK"</formula>
    </cfRule>
  </conditionalFormatting>
  <conditionalFormatting sqref="Y41:Y45">
    <cfRule type="expression" dxfId="305" priority="21">
      <formula>Y41="NOK"</formula>
    </cfRule>
  </conditionalFormatting>
  <conditionalFormatting sqref="Y41:Y45">
    <cfRule type="expression" dxfId="304" priority="22">
      <formula>Y41="OK"</formula>
    </cfRule>
  </conditionalFormatting>
  <conditionalFormatting sqref="Y52">
    <cfRule type="expression" dxfId="303" priority="23">
      <formula>Y52="NOK"</formula>
    </cfRule>
  </conditionalFormatting>
  <conditionalFormatting sqref="Y52">
    <cfRule type="expression" dxfId="302" priority="24">
      <formula>Y52="OK"</formula>
    </cfRule>
  </conditionalFormatting>
  <conditionalFormatting sqref="Y54:Y58">
    <cfRule type="expression" dxfId="301" priority="25">
      <formula>Y54="NOK"</formula>
    </cfRule>
  </conditionalFormatting>
  <conditionalFormatting sqref="Y54:Y58">
    <cfRule type="expression" dxfId="300" priority="26">
      <formula>Y54="OK"</formula>
    </cfRule>
  </conditionalFormatting>
  <conditionalFormatting sqref="Y65">
    <cfRule type="expression" dxfId="299" priority="27">
      <formula>Y65="NOK"</formula>
    </cfRule>
  </conditionalFormatting>
  <conditionalFormatting sqref="Y65">
    <cfRule type="expression" dxfId="298" priority="28">
      <formula>Y65="OK"</formula>
    </cfRule>
  </conditionalFormatting>
  <conditionalFormatting sqref="Y67:Y71">
    <cfRule type="expression" dxfId="297" priority="29">
      <formula>Y67="NOK"</formula>
    </cfRule>
  </conditionalFormatting>
  <conditionalFormatting sqref="Y67:Y71">
    <cfRule type="expression" dxfId="296" priority="30">
      <formula>Y67="OK"</formula>
    </cfRule>
  </conditionalFormatting>
  <conditionalFormatting sqref="Y78">
    <cfRule type="expression" dxfId="295" priority="31">
      <formula>Y78="NOK"</formula>
    </cfRule>
  </conditionalFormatting>
  <conditionalFormatting sqref="Y78">
    <cfRule type="expression" dxfId="294" priority="32">
      <formula>Y78="OK"</formula>
    </cfRule>
  </conditionalFormatting>
  <conditionalFormatting sqref="Y80:Y84">
    <cfRule type="expression" dxfId="293" priority="33">
      <formula>Y80="NOK"</formula>
    </cfRule>
  </conditionalFormatting>
  <conditionalFormatting sqref="Y80:Y84">
    <cfRule type="expression" dxfId="292" priority="34">
      <formula>Y80="OK"</formula>
    </cfRule>
  </conditionalFormatting>
  <conditionalFormatting sqref="Y91">
    <cfRule type="expression" dxfId="291" priority="35">
      <formula>Y91="NOK"</formula>
    </cfRule>
  </conditionalFormatting>
  <conditionalFormatting sqref="Y91">
    <cfRule type="expression" dxfId="290" priority="36">
      <formula>Y91="OK"</formula>
    </cfRule>
  </conditionalFormatting>
  <conditionalFormatting sqref="Y93:Y96">
    <cfRule type="expression" dxfId="289" priority="37">
      <formula>Y93="NOK"</formula>
    </cfRule>
  </conditionalFormatting>
  <conditionalFormatting sqref="Y93:Y96">
    <cfRule type="expression" dxfId="288" priority="38">
      <formula>Y93="OK"</formula>
    </cfRule>
  </conditionalFormatting>
  <conditionalFormatting sqref="Y12">
    <cfRule type="expression" dxfId="287" priority="39">
      <formula>Y12&gt;20%</formula>
    </cfRule>
  </conditionalFormatting>
  <conditionalFormatting sqref="Y12">
    <cfRule type="expression" dxfId="286" priority="40">
      <formula>Y12&lt;=20%</formula>
    </cfRule>
  </conditionalFormatting>
  <conditionalFormatting sqref="O5">
    <cfRule type="expression" dxfId="285" priority="41">
      <formula>ABS(O8)&gt;=O7</formula>
    </cfRule>
    <cfRule type="expression" dxfId="284" priority="42">
      <formula>ABS(O8)&lt;O7</formula>
    </cfRule>
  </conditionalFormatting>
  <conditionalFormatting sqref="Q5">
    <cfRule type="expression" dxfId="283" priority="15">
      <formula>ABS(Q8)&gt;=Q7</formula>
    </cfRule>
    <cfRule type="expression" dxfId="282" priority="16">
      <formula>ABS(Q8)&lt;Q7</formula>
    </cfRule>
  </conditionalFormatting>
  <conditionalFormatting sqref="S5">
    <cfRule type="expression" dxfId="281" priority="13">
      <formula>ABS(S8)&gt;=S7</formula>
    </cfRule>
    <cfRule type="expression" dxfId="280" priority="14">
      <formula>ABS(S8)&lt;S7</formula>
    </cfRule>
  </conditionalFormatting>
  <conditionalFormatting sqref="U5">
    <cfRule type="expression" dxfId="279" priority="11">
      <formula>ABS(U8)&gt;=U7</formula>
    </cfRule>
    <cfRule type="expression" dxfId="278" priority="12">
      <formula>ABS(U8)&lt;U7</formula>
    </cfRule>
  </conditionalFormatting>
  <conditionalFormatting sqref="W5">
    <cfRule type="expression" dxfId="277" priority="9">
      <formula>ABS(W8)&gt;=W7</formula>
    </cfRule>
    <cfRule type="expression" dxfId="276" priority="10">
      <formula>ABS(W8)&lt;W7</formula>
    </cfRule>
  </conditionalFormatting>
  <conditionalFormatting sqref="Y5">
    <cfRule type="expression" dxfId="275" priority="7">
      <formula>ABS(Y12)&gt;=Y10</formula>
    </cfRule>
    <cfRule type="expression" dxfId="274" priority="8">
      <formula>ABS(Y12)&lt;Y10</formula>
    </cfRule>
  </conditionalFormatting>
  <conditionalFormatting sqref="O49 O62 O75 O88">
    <cfRule type="expression" dxfId="273" priority="1">
      <formula>OR(O49&lt;O48*99.75%,O49&gt;O48*100.25%)</formula>
    </cfRule>
  </conditionalFormatting>
  <conditionalFormatting sqref="O49 O62 O75 O88">
    <cfRule type="expression" dxfId="27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288" t="s">
        <v>473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4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4"/>
      <c r="M5" s="777"/>
      <c r="N5" s="1054"/>
      <c r="O5" s="1294" t="s">
        <v>378</v>
      </c>
      <c r="P5" s="1054"/>
      <c r="Q5" s="1294" t="s">
        <v>379</v>
      </c>
      <c r="R5" s="1054"/>
      <c r="S5" s="1294" t="s">
        <v>380</v>
      </c>
      <c r="T5" s="1054"/>
      <c r="U5" s="1294" t="s">
        <v>381</v>
      </c>
      <c r="V5" s="1054"/>
      <c r="W5" s="1294" t="s">
        <v>382</v>
      </c>
      <c r="X5" s="1054"/>
      <c r="Y5" s="1294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5.4839357963490007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4"/>
      <c r="M6" s="789"/>
      <c r="N6" s="790"/>
      <c r="O6" s="1295"/>
      <c r="P6" s="1054"/>
      <c r="Q6" s="1295"/>
      <c r="R6" s="1054"/>
      <c r="S6" s="1295"/>
      <c r="T6" s="1054"/>
      <c r="U6" s="1295"/>
      <c r="V6" s="1054"/>
      <c r="W6" s="1295"/>
      <c r="X6" s="1054"/>
      <c r="Y6" s="1295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'2)Compostagem CDR Comp Org'!M22-'2)Compostagem CDR Comp Org'!M8-'2)Compostagem CDR Comp Org'!M9</f>
        <v>159.47108572741817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RT2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4"/>
      <c r="M8" s="789"/>
      <c r="N8" s="790"/>
      <c r="O8" s="796">
        <f>(O12-O10)/O10</f>
        <v>0</v>
      </c>
      <c r="P8" s="790"/>
      <c r="Q8" s="796">
        <f>(Q12-Q10)/Q10</f>
        <v>5.9292925928747693E-3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RT2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5.9611067598288185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0.89048743392895624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5.9964519059852073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280"/>
      <c r="G16" s="1282"/>
      <c r="H16" s="1284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5.9611067598288185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0.96797097177369962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285" t="s">
        <v>419</v>
      </c>
      <c r="G23" s="1286"/>
      <c r="H23" s="1287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34.740611343552438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5.9611067598288185</v>
      </c>
      <c r="E25" s="1054"/>
      <c r="F25" s="835" t="s">
        <v>424</v>
      </c>
      <c r="G25" s="812" t="s">
        <v>425</v>
      </c>
      <c r="H25" s="838">
        <f>H24/12</f>
        <v>2.8950509452960365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0.96797097177369962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296" t="s">
        <v>427</v>
      </c>
      <c r="C29" s="1297"/>
      <c r="D29" s="1297"/>
      <c r="E29" s="1298"/>
      <c r="F29" s="1054"/>
      <c r="G29" s="1054"/>
      <c r="H29" s="777"/>
      <c r="I29" s="1054"/>
      <c r="J29" s="777"/>
      <c r="K29" s="1299" t="s">
        <v>428</v>
      </c>
      <c r="L29" s="1300"/>
      <c r="M29" s="1301"/>
      <c r="N29" s="1054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4"/>
      <c r="O31" s="1307" t="s">
        <v>433</v>
      </c>
      <c r="P31" s="1054"/>
      <c r="Q31" s="1307" t="s">
        <v>434</v>
      </c>
      <c r="R31" s="1054"/>
      <c r="S31" s="1307" t="s">
        <v>435</v>
      </c>
      <c r="T31" s="1054"/>
      <c r="U31" s="1307" t="s">
        <v>436</v>
      </c>
      <c r="V31" s="1054"/>
      <c r="W31" s="1307" t="s">
        <v>436</v>
      </c>
      <c r="X31" s="1054"/>
      <c r="Y31" s="1307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34.740611343552438</v>
      </c>
      <c r="M32" s="841">
        <f>H25</f>
        <v>2.8950509452960365</v>
      </c>
      <c r="N32" s="842"/>
      <c r="O32" s="1308"/>
      <c r="P32" s="842"/>
      <c r="Q32" s="1308"/>
      <c r="R32" s="842"/>
      <c r="S32" s="1308"/>
      <c r="T32" s="1054"/>
      <c r="U32" s="1308"/>
      <c r="V32" s="1054"/>
      <c r="W32" s="1308"/>
      <c r="X32" s="1054"/>
      <c r="Y32" s="1309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5.9964519059852073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20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21"/>
      <c r="Z34" s="1054"/>
      <c r="AA34" s="1054"/>
      <c r="AB34" s="773"/>
    </row>
    <row r="35" spans="1:28" s="774" customFormat="1" ht="25.2" customHeight="1" outlineLevel="1" x14ac:dyDescent="0.3">
      <c r="A35" s="1054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4.3188279531584239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4"/>
      <c r="O36" s="802">
        <f>O39+O41+O42+O43+O44+O45</f>
        <v>40</v>
      </c>
      <c r="P36" s="1054"/>
      <c r="Q36" s="849">
        <f>Q39+Q41+Q42+Q43+Q44+Q45</f>
        <v>172.75311812633694</v>
      </c>
      <c r="R36" s="1054"/>
      <c r="S36" s="1310">
        <f>IF(AND(Q36&lt;&gt;0,O36&lt;&gt;0),Q36*(1-D17-D18-D19)/(($D$25*1000000/$D$8)),0)</f>
        <v>0.91186490169687473</v>
      </c>
      <c r="T36" s="1335" t="s">
        <v>448</v>
      </c>
      <c r="U36" s="1310">
        <f>U39+U41+U42+U43+U44+U45</f>
        <v>163.29942497754269</v>
      </c>
      <c r="V36" s="1054" t="s">
        <v>449</v>
      </c>
      <c r="W36" s="1310">
        <f>W39*O39+W41*O41+W42*O42+W43*O43+W44*O44+W45*O45</f>
        <v>163.29942497754269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4"/>
      <c r="O37" s="855" t="s">
        <v>455</v>
      </c>
      <c r="P37" s="1054"/>
      <c r="Q37" s="856">
        <v>0.75</v>
      </c>
      <c r="R37" s="1054"/>
      <c r="S37" s="1334"/>
      <c r="T37" s="1336"/>
      <c r="U37" s="1334"/>
      <c r="V37" s="1054"/>
      <c r="W37" s="1311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8.6851528358881094</v>
      </c>
      <c r="K39" s="872">
        <f>$M$32*H39*$B$38*$C$38</f>
        <v>0.72376273632400911</v>
      </c>
      <c r="L39" s="871">
        <f>J39*$D$38</f>
        <v>10.856441044860137</v>
      </c>
      <c r="M39" s="872">
        <f>K39*$D$38</f>
        <v>0.90470342040501139</v>
      </c>
      <c r="N39" s="1054"/>
      <c r="O39" s="873">
        <v>2</v>
      </c>
      <c r="P39" s="1054"/>
      <c r="Q39" s="874">
        <f>O39*$Q$37*M39+O39*(1-$Q$37)*K39</f>
        <v>1.7189364987695217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25.186943224075517</v>
      </c>
      <c r="K41" s="872">
        <f>$M$32*(H39+(G41-F41)*H41)*$B$38*$C$38</f>
        <v>2.0989119353396264</v>
      </c>
      <c r="L41" s="871">
        <f t="shared" ref="L41:M45" si="0">J41*$D$38</f>
        <v>31.483679030094397</v>
      </c>
      <c r="M41" s="872">
        <f t="shared" si="0"/>
        <v>2.6236399191745328</v>
      </c>
      <c r="N41" s="1054"/>
      <c r="O41" s="873">
        <v>2</v>
      </c>
      <c r="P41" s="1054"/>
      <c r="Q41" s="874">
        <f>O41*$Q$37*M41+O41*(1-$Q$37)*K41</f>
        <v>4.9849158464316119</v>
      </c>
      <c r="R41" s="1054"/>
      <c r="S41" s="875">
        <f>IF(AND(Q41&lt;&gt;0,O41&lt;&gt;0),Q41*(1-D17-D18-D19)/O41/30/(($D$25*1000000/$D$8))*1000,0)</f>
        <v>0.43854199252420156</v>
      </c>
      <c r="T41" s="1054" t="s">
        <v>459</v>
      </c>
      <c r="U41" s="876">
        <f>S41*O41*30*$D$11*(1+$D$24)/1000</f>
        <v>4.7121227107947607</v>
      </c>
      <c r="V41" s="1054" t="s">
        <v>460</v>
      </c>
      <c r="W41" s="876">
        <f>IF(O41&lt;&gt;0,U41/O41,0)</f>
        <v>2.3560613553973804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42.557248895851743</v>
      </c>
      <c r="K42" s="872">
        <f>$M$32*(H39+(G41-F41)*H41+(G42-F42)*H42)*$B$38*$C$38</f>
        <v>3.5464374079876451</v>
      </c>
      <c r="L42" s="871">
        <f t="shared" si="0"/>
        <v>53.196561119814675</v>
      </c>
      <c r="M42" s="872">
        <f t="shared" si="0"/>
        <v>4.4330467599845562</v>
      </c>
      <c r="N42" s="1054"/>
      <c r="O42" s="873">
        <v>28</v>
      </c>
      <c r="P42" s="1054"/>
      <c r="Q42" s="874">
        <f>O42*$Q$37*M42+O42*(1-$Q$37)*K42</f>
        <v>117.91904381558921</v>
      </c>
      <c r="R42" s="1054"/>
      <c r="S42" s="875">
        <f>IF(AND(Q42&lt;&gt;0,O42&lt;&gt;0),Q42*(1-D17-D18-D19)/O42/30/(($D$25*1000000/$D$8))*1000,0)</f>
        <v>0.74098474598916853</v>
      </c>
      <c r="T42" s="1054" t="s">
        <v>459</v>
      </c>
      <c r="U42" s="876">
        <f>S42*O42*30*$D$11*(1+$D$24)/1000</f>
        <v>111.46607515880027</v>
      </c>
      <c r="V42" s="1054" t="s">
        <v>460</v>
      </c>
      <c r="W42" s="876">
        <f>IF(O42&lt;&gt;0,U42/O42,0)</f>
        <v>3.9809312556714382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60.796069851216764</v>
      </c>
      <c r="K43" s="872">
        <f>$M$32*(H39+(G41-F41)*H41+(G42-F42)*H42+(G43-F43)*H43)*$B$38*$C$38</f>
        <v>5.0663391542680642</v>
      </c>
      <c r="L43" s="871">
        <f t="shared" si="0"/>
        <v>75.99508731402095</v>
      </c>
      <c r="M43" s="872">
        <f t="shared" si="0"/>
        <v>6.3329239428350803</v>
      </c>
      <c r="N43" s="1054"/>
      <c r="O43" s="873">
        <v>8</v>
      </c>
      <c r="P43" s="1054"/>
      <c r="Q43" s="874">
        <f>O43*$Q$37*M43+O43*(1-$Q$37)*K43</f>
        <v>48.13022196554661</v>
      </c>
      <c r="R43" s="1054"/>
      <c r="S43" s="875">
        <f>IF(AND(Q43&lt;&gt;0,O43&lt;&gt;0),Q43*(1-D17-D18-D19)/O43/30/(($D$25*1000000/$D$8))*1000,0)</f>
        <v>1.0585496371273837</v>
      </c>
      <c r="T43" s="1054" t="s">
        <v>459</v>
      </c>
      <c r="U43" s="876">
        <f>S43*O43*30*$D$11*(1+$D$24)/1000</f>
        <v>45.496357207673583</v>
      </c>
      <c r="V43" s="1054" t="s">
        <v>460</v>
      </c>
      <c r="W43" s="876">
        <f>IF(O43&lt;&gt;0,U43/O43,0)</f>
        <v>5.6870446509591979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89.45707420964753</v>
      </c>
      <c r="K44" s="872">
        <f>$M$32*(H39+(G41-F41)*H41+(G42-F42)*H42+(G43-F43)*H43+(G44-F44)*H44)*$B$38*$C$38</f>
        <v>7.4547561841372945</v>
      </c>
      <c r="L44" s="871">
        <f t="shared" si="0"/>
        <v>111.82134276205942</v>
      </c>
      <c r="M44" s="872">
        <f t="shared" si="0"/>
        <v>9.3184452301716174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189.33633182236079</v>
      </c>
      <c r="K45" s="872">
        <f>$M$32*(H39+(G41-F41)*H41+(G42-F42)*H42+(G43-F43)*H43+(G44-F44)*H44+(G45-F45)*H45)*$B$38*$C$38</f>
        <v>15.778027651863399</v>
      </c>
      <c r="L45" s="871">
        <f t="shared" si="0"/>
        <v>236.67041477795098</v>
      </c>
      <c r="M45" s="872">
        <f t="shared" si="0"/>
        <v>19.72253456482925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3.4514172610372373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4"/>
      <c r="O49" s="802">
        <f>O52+O54+O55+O56+O57+O58</f>
        <v>127341</v>
      </c>
      <c r="P49" s="1054"/>
      <c r="Q49" s="890">
        <f>Q52+Q54+Q55+Q56+Q57+Q58</f>
        <v>439506.92543774284</v>
      </c>
      <c r="R49" s="1054"/>
      <c r="S49" s="1337">
        <f>IF(AND(Q49&lt;&gt;0,O49&lt;&gt;0),Q49*(1-D17-D18-D19)/(($D$25*1000000/$D$8)),0)</f>
        <v>2319.9056764132802</v>
      </c>
      <c r="T49" s="1335" t="s">
        <v>448</v>
      </c>
      <c r="U49" s="1310">
        <f>U52+U54+U55+U56+U57+U58</f>
        <v>415455.47180887184</v>
      </c>
      <c r="V49" s="1054" t="s">
        <v>449</v>
      </c>
      <c r="W49" s="1338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4"/>
      <c r="O50" s="891" t="s">
        <v>455</v>
      </c>
      <c r="P50" s="1054"/>
      <c r="Q50" s="856">
        <v>0.75</v>
      </c>
      <c r="R50" s="1054"/>
      <c r="S50" s="1334"/>
      <c r="T50" s="1336"/>
      <c r="U50" s="1334"/>
      <c r="V50" s="1054"/>
      <c r="W50" s="1339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12.180926852333073</v>
      </c>
      <c r="K52" s="872">
        <f>$M$32*H52*$B$51*$C$51</f>
        <v>1.0150772376944228</v>
      </c>
      <c r="L52" s="871">
        <f>J52*$D$51</f>
        <v>15.226158565416341</v>
      </c>
      <c r="M52" s="872">
        <f>K52*$D$51</f>
        <v>1.2688465471180286</v>
      </c>
      <c r="N52" s="1054"/>
      <c r="O52" s="873">
        <v>62341</v>
      </c>
      <c r="P52" s="1054"/>
      <c r="Q52" s="874">
        <f>O52*$Q$50*M52+O52*(1-$Q$50)*K52</f>
        <v>75146.104464190779</v>
      </c>
      <c r="R52" s="1054"/>
      <c r="S52" s="875">
        <f>IF(AND(Q52&lt;&gt;0,O52&lt;&gt;0),Q52*(1-D17-D18-D19)/O52/30/(($D$25*1000000/$D$8))*1000,0)</f>
        <v>0.21208798086730793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38.757494530150687</v>
      </c>
      <c r="K54" s="872">
        <f>$M$32*(H52+(G54-F54)*H54)*$B$51*$C$51</f>
        <v>3.2297912108458906</v>
      </c>
      <c r="L54" s="871">
        <f t="shared" ref="L54:M58" si="1">J54*$D$51</f>
        <v>48.446868162688361</v>
      </c>
      <c r="M54" s="872">
        <f t="shared" si="1"/>
        <v>4.0372390135573628</v>
      </c>
      <c r="N54" s="1054"/>
      <c r="O54" s="873">
        <v>42500</v>
      </c>
      <c r="P54" s="1054"/>
      <c r="Q54" s="874">
        <f>O54*$Q$50*M54+O54*(1-$Q$50)*K54</f>
        <v>163003.52517237852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66.441419194544025</v>
      </c>
      <c r="K55" s="872">
        <f>$M$32*(H52+(G54-F54)*H54+(G55-F55)*H55)*$B$51*$C$51</f>
        <v>5.5367849328786694</v>
      </c>
      <c r="L55" s="871">
        <f t="shared" si="1"/>
        <v>83.051773993180035</v>
      </c>
      <c r="M55" s="872">
        <f t="shared" si="1"/>
        <v>6.9209811660983362</v>
      </c>
      <c r="N55" s="1054"/>
      <c r="O55" s="873">
        <v>10000</v>
      </c>
      <c r="P55" s="1054"/>
      <c r="Q55" s="874">
        <f>O55*$Q$50*M55+O55*(1-$Q$50)*K55</f>
        <v>65749.321077934204</v>
      </c>
      <c r="R55" s="1054"/>
      <c r="S55" s="875">
        <f>IF(AND(Q55&lt;&gt;0,O55&lt;&gt;0),Q55*(1-D17-D18-D19)/O55/30/(($D$25*1000000/$D$8))*1000,0)</f>
        <v>1.1568435320034978</v>
      </c>
      <c r="T55" s="1054" t="s">
        <v>459</v>
      </c>
      <c r="U55" s="876">
        <f>S55*O55*30*$D$11*(1+$D$24)/1000</f>
        <v>62151.273685482651</v>
      </c>
      <c r="V55" s="1054" t="s">
        <v>460</v>
      </c>
      <c r="W55" s="895">
        <f>IF(O55&lt;&gt;0,U55/O55,0)</f>
        <v>6.2151273685482646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109.62834167099767</v>
      </c>
      <c r="K56" s="872">
        <f>$M$32*(H52+(G54-F54)*H54+(G55-F55)*H55+(G56-F56)*H56)*$B$51*$C$51</f>
        <v>9.1356951392498047</v>
      </c>
      <c r="L56" s="871">
        <f t="shared" si="1"/>
        <v>137.0354270887471</v>
      </c>
      <c r="M56" s="872">
        <f t="shared" si="1"/>
        <v>11.419618924062256</v>
      </c>
      <c r="N56" s="1054"/>
      <c r="O56" s="873">
        <v>12500</v>
      </c>
      <c r="P56" s="1054"/>
      <c r="Q56" s="874">
        <f>O56*$Q$50*M56+O56*(1-$Q$50)*K56</f>
        <v>135607.97472323928</v>
      </c>
      <c r="R56" s="1054"/>
      <c r="S56" s="875">
        <f>IF(AND(Q56&lt;&gt;0,O56&lt;&gt;0),Q56*(1-D17-D18-D19)/O56/30/(($D$25*1000000/$D$8))*1000,0)</f>
        <v>1.9087918278057705</v>
      </c>
      <c r="T56" s="1054" t="s">
        <v>459</v>
      </c>
      <c r="U56" s="876">
        <f>S56*O56*30*$D$11*(1+$D$24)/1000</f>
        <v>128187.0019763079</v>
      </c>
      <c r="V56" s="1054" t="s">
        <v>460</v>
      </c>
      <c r="W56" s="895">
        <f>IF(O56&lt;&gt;0,U56/O56,0)</f>
        <v>10.254960158104632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225.90082526144968</v>
      </c>
      <c r="K57" s="872">
        <f>$M$32*(H52+(G54-F54)*H54+(G55-F55)*H55+(G56-F56)*H56+(G57-F57)*H57)*$B$51*$C$51</f>
        <v>18.825068771787475</v>
      </c>
      <c r="L57" s="871">
        <f t="shared" si="1"/>
        <v>282.37603157681212</v>
      </c>
      <c r="M57" s="872">
        <f t="shared" si="1"/>
        <v>23.531335964734343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475.05614724098979</v>
      </c>
      <c r="K58" s="872">
        <f>$M$32*(H52+(G54-F54)*H54+(G55-F55)*H55+(G56-F56)*H56+(G57-F57)*H57+(G58-F58)*H58)*$B$51*$C$51</f>
        <v>39.588012270082487</v>
      </c>
      <c r="L58" s="871">
        <f t="shared" si="1"/>
        <v>593.82018405123722</v>
      </c>
      <c r="M58" s="872">
        <f t="shared" si="1"/>
        <v>49.485015337603109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1.2126108236755977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4"/>
      <c r="O62" s="802">
        <f>O65+O67+O68+O69+O70+O71</f>
        <v>42447</v>
      </c>
      <c r="P62" s="1054"/>
      <c r="Q62" s="849">
        <f>Q65+Q67+Q68+Q69+Q70+Q71</f>
        <v>51471.691632558097</v>
      </c>
      <c r="R62" s="1054"/>
      <c r="S62" s="1310">
        <f>IF(AND(Q62&lt;&gt;0,O62&lt;&gt;0),Q62*(1-D17-D18-D19)/(H15)/(($D$25*1000000/$D$8)),0)</f>
        <v>543.37924015206477</v>
      </c>
      <c r="T62" s="1335" t="s">
        <v>448</v>
      </c>
      <c r="U62" s="1310">
        <f>U65+U67+U68+U69+U70+U71</f>
        <v>97309.938452991715</v>
      </c>
      <c r="V62" s="1054" t="s">
        <v>449</v>
      </c>
      <c r="W62" s="131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4"/>
      <c r="O63" s="891" t="s">
        <v>455</v>
      </c>
      <c r="P63" s="1054"/>
      <c r="Q63" s="856">
        <v>0.75</v>
      </c>
      <c r="R63" s="1054"/>
      <c r="S63" s="1334"/>
      <c r="T63" s="1336"/>
      <c r="U63" s="1334"/>
      <c r="V63" s="1054"/>
      <c r="W63" s="1311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6.0904634261665365</v>
      </c>
      <c r="K65" s="872">
        <f>$M$32*H65*$B$64*$C$64</f>
        <v>0.50753861884721141</v>
      </c>
      <c r="L65" s="871">
        <f>J65*$D$51</f>
        <v>7.6130792827081706</v>
      </c>
      <c r="M65" s="872">
        <f>K65*$D$51</f>
        <v>0.63442327355901429</v>
      </c>
      <c r="N65" s="1054"/>
      <c r="O65" s="873">
        <v>25947</v>
      </c>
      <c r="P65" s="1054"/>
      <c r="Q65" s="874">
        <f>O65*$Q$63*M65+O65*(1-$Q$63)*K65</f>
        <v>15638.311645083955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19.378747265075344</v>
      </c>
      <c r="K67" s="872">
        <f>$M$32*(H65+(G67-F67)*H67)*$B$64*$C$64</f>
        <v>1.6148956054229453</v>
      </c>
      <c r="L67" s="871">
        <f t="shared" ref="L67:M71" si="3">J67*$D$51</f>
        <v>24.22343408134418</v>
      </c>
      <c r="M67" s="872">
        <f t="shared" si="3"/>
        <v>2.0186195067786814</v>
      </c>
      <c r="N67" s="1054"/>
      <c r="O67" s="873">
        <v>15000</v>
      </c>
      <c r="P67" s="1054"/>
      <c r="Q67" s="874">
        <f>O67*$Q$63*M67+O67*(1-$Q$63)*K67</f>
        <v>28765.327971596213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33.220709597272013</v>
      </c>
      <c r="K68" s="872">
        <f>$M$32*(H65+(G67-F67)*H67+(G68-F68)*H68)*$B$64*$C$64</f>
        <v>2.7683924664393347</v>
      </c>
      <c r="L68" s="871">
        <f t="shared" si="3"/>
        <v>41.525886996590017</v>
      </c>
      <c r="M68" s="872">
        <f t="shared" si="3"/>
        <v>3.4604905830491681</v>
      </c>
      <c r="N68" s="1054"/>
      <c r="O68" s="873">
        <v>500</v>
      </c>
      <c r="P68" s="1054"/>
      <c r="Q68" s="874">
        <f>O68*$Q$63*M68+O68*(1-$Q$63)*K68</f>
        <v>1643.7330269483548</v>
      </c>
      <c r="R68" s="1054"/>
      <c r="S68" s="875">
        <f>IF(AND(Q68&lt;&gt;0,O68&lt;&gt;0),Q68*(1-D17-D18-D19)/O68/30/(H15)/(($D$25*1000000/$D$8))*1000,0)</f>
        <v>1.1568435320034973</v>
      </c>
      <c r="T68" s="1054" t="s">
        <v>459</v>
      </c>
      <c r="U68" s="876">
        <f>S68*O68*30*$D$11*(1+$D$24)/1000</f>
        <v>3107.563684274131</v>
      </c>
      <c r="V68" s="1054" t="s">
        <v>460</v>
      </c>
      <c r="W68" s="876">
        <f>IF(O68&lt;&gt;0,U68/O68,0)</f>
        <v>6.215127368548262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54.814170835498835</v>
      </c>
      <c r="K69" s="872">
        <f>$M$32*(H65+(G67-F67)*H67+(G68-F68)*H68+(G69-F69)*H69)*$B$64*$C$64</f>
        <v>4.5678475696249023</v>
      </c>
      <c r="L69" s="871">
        <f t="shared" si="3"/>
        <v>68.517713544373549</v>
      </c>
      <c r="M69" s="872">
        <f t="shared" si="3"/>
        <v>5.7098094620311279</v>
      </c>
      <c r="N69" s="1054"/>
      <c r="O69" s="873">
        <v>1000</v>
      </c>
      <c r="P69" s="1054"/>
      <c r="Q69" s="874">
        <f>O69*$Q$63*M69+O69*(1-$Q$63)*K69</f>
        <v>5424.3189889295718</v>
      </c>
      <c r="R69" s="1054"/>
      <c r="S69" s="875">
        <f>IF(AND(Q69&lt;&gt;0,O69&lt;&gt;0),Q69*(1-D17-D18-D19)/O69/30/(H15)/(($D$25*1000000/$D$8))*1000,0)</f>
        <v>1.9087918278057709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112.95041263072484</v>
      </c>
      <c r="K70" s="872">
        <f>$M$32*(H65+(G67-F67)*H67+(G68-F68)*H68+(G69-F69)*H69+(G70-F70)*H70)*$B$64*$C$64</f>
        <v>9.4125343858937374</v>
      </c>
      <c r="L70" s="871">
        <f t="shared" si="3"/>
        <v>141.18801578840606</v>
      </c>
      <c r="M70" s="872">
        <f t="shared" si="3"/>
        <v>11.765667982367171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237.52807362049489</v>
      </c>
      <c r="K71" s="872">
        <f>$M$32*(H65+(G67-F67)*H67+(G68-F68)*H68+(G69-F69)*H69+(G70-F70)*H70+(G71-F71)*H71)*$B$64*$C$64</f>
        <v>19.794006135041244</v>
      </c>
      <c r="L71" s="871">
        <f t="shared" si="3"/>
        <v>296.91009202561861</v>
      </c>
      <c r="M71" s="872">
        <f t="shared" si="3"/>
        <v>24.742507668801554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4.7930781889296492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4"/>
      <c r="O75" s="802">
        <f>O78+O80+O81+O82+O83+O84</f>
        <v>1741</v>
      </c>
      <c r="P75" s="1054"/>
      <c r="Q75" s="849">
        <f>Q78+Q80+Q81+Q82+Q83+Q84</f>
        <v>8344.7491269265192</v>
      </c>
      <c r="R75" s="1054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7888.0934178704319</v>
      </c>
      <c r="V75" s="1054" t="s">
        <v>449</v>
      </c>
      <c r="W75" s="1310">
        <f>W78*O78+W80*O80+W81*O81+W82*O82+W83*O83+W84*O84</f>
        <v>7888.0934178704319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4"/>
      <c r="O76" s="891" t="s">
        <v>455</v>
      </c>
      <c r="P76" s="1054"/>
      <c r="Q76" s="856">
        <v>0.75</v>
      </c>
      <c r="R76" s="1054"/>
      <c r="S76" s="1334"/>
      <c r="T76" s="1336"/>
      <c r="U76" s="1334"/>
      <c r="V76" s="1054"/>
      <c r="W76" s="1311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11.724956328448949</v>
      </c>
      <c r="K78" s="872">
        <f>$M$32*H78*$B$77*$C$77</f>
        <v>0.97707969403741246</v>
      </c>
      <c r="L78" s="871">
        <f>J78*$D$77</f>
        <v>14.656195410561185</v>
      </c>
      <c r="M78" s="872">
        <f>K78*$D$77</f>
        <v>1.2213496175467655</v>
      </c>
      <c r="N78" s="1054"/>
      <c r="O78" s="873">
        <v>264</v>
      </c>
      <c r="P78" s="1054"/>
      <c r="Q78" s="874">
        <f>O78*$Q$76*M78+O78*(1-$Q$76)*K78</f>
        <v>306.31448408072879</v>
      </c>
      <c r="R78" s="1054"/>
      <c r="S78" s="875">
        <f>IF(AND(Q78&lt;&gt;0,O78&lt;&gt;0),Q78*(1-D17-D18-D19)/O78/30/(($D$25*1000000/$D$8))*1000,0)</f>
        <v>0.20414885858885251</v>
      </c>
      <c r="T78" s="1054" t="s">
        <v>459</v>
      </c>
      <c r="U78" s="876">
        <f>S78*O78*30*$D$11*(1+$D$24)/1000</f>
        <v>289.5518162288368</v>
      </c>
      <c r="V78" s="1054" t="s">
        <v>460</v>
      </c>
      <c r="W78" s="876">
        <f>IF(O78&lt;&gt;0,U78/O78,0)</f>
        <v>1.096787182684988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42.991506537646138</v>
      </c>
      <c r="K80" s="872">
        <f>$M$32*(H78+(G80-F80)*H80)*$B$77*$C$77</f>
        <v>3.5826255448038449</v>
      </c>
      <c r="L80" s="871">
        <f t="shared" ref="L80:M84" si="4">J80*$D$77</f>
        <v>53.739383172057671</v>
      </c>
      <c r="M80" s="872">
        <f t="shared" si="4"/>
        <v>4.4782819310048065</v>
      </c>
      <c r="N80" s="1054"/>
      <c r="O80" s="873">
        <v>994</v>
      </c>
      <c r="P80" s="1054"/>
      <c r="Q80" s="874">
        <f>O80*$Q$76*M80+O80*(1-$Q$76)*K80</f>
        <v>4228.8416274478386</v>
      </c>
      <c r="R80" s="1054"/>
      <c r="S80" s="875">
        <f>IF(AND(Q80&lt;&gt;0,O80&lt;&gt;0),Q80*(1-D17-D18-D19)/O80/30/(($D$25*1000000/$D$8))*1000,0)</f>
        <v>0.74854581482579252</v>
      </c>
      <c r="T80" s="1054" t="s">
        <v>459</v>
      </c>
      <c r="U80" s="876">
        <f>S80*O80*30*$D$11*(1+$D$24)/1000</f>
        <v>3997.4236851592182</v>
      </c>
      <c r="V80" s="1054" t="s">
        <v>460</v>
      </c>
      <c r="W80" s="876">
        <f>IF(O80&lt;&gt;0,U80/O80,0)</f>
        <v>4.0215530031782878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65.13864626916083</v>
      </c>
      <c r="K81" s="872">
        <f>$M$32*(H78+(G80-F80)*H80+(G81-F81)*H81)*$B$77*$C$77</f>
        <v>5.4282205224300686</v>
      </c>
      <c r="L81" s="871">
        <f t="shared" si="4"/>
        <v>81.423307836451045</v>
      </c>
      <c r="M81" s="872">
        <f t="shared" si="4"/>
        <v>6.7852756530375853</v>
      </c>
      <c r="N81" s="1054"/>
      <c r="O81" s="873">
        <v>183</v>
      </c>
      <c r="P81" s="1054"/>
      <c r="Q81" s="874">
        <f>O81*$Q$76*M81+O81*(1-$Q$76)*K81</f>
        <v>1179.6201722805843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88.58855892605871</v>
      </c>
      <c r="K82" s="872">
        <f>$M$32*(H78+(G80-F80)*H80+(G81-F81)*H81+(G82-F82)*H82)*$B$77*$C$77</f>
        <v>7.3823799105048922</v>
      </c>
      <c r="L82" s="871">
        <f t="shared" si="4"/>
        <v>110.73569865757338</v>
      </c>
      <c r="M82" s="872">
        <f t="shared" si="4"/>
        <v>9.227974888131115</v>
      </c>
      <c r="N82" s="1054"/>
      <c r="O82" s="873">
        <v>300</v>
      </c>
      <c r="P82" s="1054"/>
      <c r="Q82" s="874">
        <f>O82*$Q$76*M82+O82*(1-$Q$76)*K82</f>
        <v>2629.9728431173676</v>
      </c>
      <c r="R82" s="1054"/>
      <c r="S82" s="875">
        <f>IF(AND(Q82&lt;&gt;0,O82&lt;&gt;0),Q82*(1-D17-D18-D19)/O82/30/(($D$25*1000000/$D$8))*1000,0)</f>
        <v>1.5424580426713299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125.71758729948039</v>
      </c>
      <c r="K83" s="872">
        <f>$M$32*(H78+(G80-F80)*H80+(G81-F81)*H81+(G82-F82)*H82+(G83-F83)*H83)*$B$77*$C$77</f>
        <v>10.476465608290033</v>
      </c>
      <c r="L83" s="871">
        <f t="shared" si="4"/>
        <v>157.14698412435047</v>
      </c>
      <c r="M83" s="872">
        <f t="shared" si="4"/>
        <v>13.095582010362541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242.96715058396984</v>
      </c>
      <c r="K84" s="872">
        <f>$M$32*(H78+(G80-F80)*H80+(G81-F81)*H81+(G82-F82)*H82+(G83-F83)*H83+(G84-F84)*H84)*$B$77*$C$77</f>
        <v>20.247262548664153</v>
      </c>
      <c r="L84" s="871">
        <f t="shared" si="4"/>
        <v>303.70893822996231</v>
      </c>
      <c r="M84" s="872">
        <f t="shared" si="4"/>
        <v>25.309078185830192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10.410309170672916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4"/>
      <c r="O88" s="877">
        <f>O91+O93+O94+O95+O96</f>
        <v>20</v>
      </c>
      <c r="P88" s="1054"/>
      <c r="Q88" s="849">
        <f>Q91+Q93+Q94+Q95+Q96</f>
        <v>208.20618341345832</v>
      </c>
      <c r="R88" s="1054"/>
      <c r="S88" s="1310">
        <f>IF(AND(Q88&lt;&gt;0,O88&lt;&gt;0),Q88*(1-D17-D18-D19)/(($D$25*1000000/$D$8)),0)</f>
        <v>1.0990013554033227</v>
      </c>
      <c r="T88" s="1335" t="s">
        <v>448</v>
      </c>
      <c r="U88" s="1310">
        <f>U91+U93+U94+U95+U96+Z97</f>
        <v>196.81236667069498</v>
      </c>
      <c r="V88" s="1054" t="s">
        <v>449</v>
      </c>
      <c r="W88" s="131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4"/>
      <c r="O89" s="891" t="s">
        <v>455</v>
      </c>
      <c r="P89" s="1054"/>
      <c r="Q89" s="856">
        <v>0.75</v>
      </c>
      <c r="R89" s="1054"/>
      <c r="S89" s="1334"/>
      <c r="T89" s="1336"/>
      <c r="U89" s="1334"/>
      <c r="V89" s="1054"/>
      <c r="W89" s="1311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9.1194104776825142</v>
      </c>
      <c r="K91" s="872">
        <f>$M$32*H91*$B$90*$C$90</f>
        <v>0.75995087314020959</v>
      </c>
      <c r="L91" s="871">
        <f>J91*$D$90</f>
        <v>11.399263097103143</v>
      </c>
      <c r="M91" s="872">
        <f>K91*$D$90</f>
        <v>0.94993859142526205</v>
      </c>
      <c r="N91" s="1054"/>
      <c r="O91" s="873">
        <v>1</v>
      </c>
      <c r="P91" s="1054"/>
      <c r="Q91" s="874">
        <f>O91*$Q$76*M91+O91*(1-$Q$76)*K91</f>
        <v>0.90244166185399899</v>
      </c>
      <c r="R91" s="1054"/>
      <c r="S91" s="875">
        <f>IF(AND(Q91&lt;&gt;0,O91&lt;&gt;0),Q91*(1-D17-D18-D19)/O91/30/(($D$25*1000000/$D$8))*1000,0)</f>
        <v>0.15878244556910753</v>
      </c>
      <c r="T91" s="1054" t="s">
        <v>459</v>
      </c>
      <c r="U91" s="876">
        <f>S91*O91*30*$D$11*(1+$D$24)/1000</f>
        <v>0.85305669764387948</v>
      </c>
      <c r="V91" s="1054" t="s">
        <v>460</v>
      </c>
      <c r="W91" s="876">
        <f>IF(O91&lt;&gt;0,U91/O91,0)</f>
        <v>0.85305669764387948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28.661004358430763</v>
      </c>
      <c r="K93" s="872">
        <f>$M$32*(H91+(G93-F93)*H93)*$B$90*$C$90</f>
        <v>2.3884170298692302</v>
      </c>
      <c r="L93" s="871">
        <f t="shared" ref="L93:M96" si="5">J93*$D$90</f>
        <v>35.826255448038452</v>
      </c>
      <c r="M93" s="872">
        <f t="shared" si="5"/>
        <v>2.985521287336538</v>
      </c>
      <c r="N93" s="1054"/>
      <c r="O93" s="873">
        <v>2</v>
      </c>
      <c r="P93" s="1054"/>
      <c r="Q93" s="874">
        <f>O93*$Q$76*M93+O93*(1-$Q$76)*K93</f>
        <v>5.6724904459394221</v>
      </c>
      <c r="R93" s="1054"/>
      <c r="S93" s="875">
        <f>IF(AND(Q93&lt;&gt;0,O93&lt;&gt;0),Q93*(1-D17-D18-D19)/O93/30/(($D$25*1000000/$D$8))*1000,0)</f>
        <v>0.49903054321719509</v>
      </c>
      <c r="T93" s="1054" t="s">
        <v>459</v>
      </c>
      <c r="U93" s="876">
        <f>S93*O93*30*$D$11*(1+$D$24)/1000</f>
        <v>5.3620706709043855</v>
      </c>
      <c r="V93" s="1054" t="s">
        <v>460</v>
      </c>
      <c r="W93" s="876">
        <f>IF(O93&lt;&gt;0,U93/O93,0)</f>
        <v>2.6810353354521927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119.8551091352559</v>
      </c>
      <c r="K94" s="872">
        <f>$M$32*(H91+(G93-F93)*H93+(G94-F94)*H94)*$B$90*$C$90</f>
        <v>9.9879257612713257</v>
      </c>
      <c r="L94" s="871">
        <f t="shared" si="5"/>
        <v>149.81888641906988</v>
      </c>
      <c r="M94" s="872">
        <f t="shared" si="5"/>
        <v>12.484907201589158</v>
      </c>
      <c r="N94" s="1054"/>
      <c r="O94" s="873">
        <v>17</v>
      </c>
      <c r="P94" s="1054"/>
      <c r="Q94" s="874">
        <f>O94*$Q$76*M94+O94*(1-$Q$76)*K94</f>
        <v>201.6312513056649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693.07519630387117</v>
      </c>
      <c r="K95" s="872">
        <f>$M$32*(H91+(G93-F93)*H93+(G94-F94)*H94+(G95-F95)*H95)*$B$90*$C$90</f>
        <v>57.756266358655928</v>
      </c>
      <c r="L95" s="871">
        <f t="shared" si="5"/>
        <v>866.34399537983893</v>
      </c>
      <c r="M95" s="872">
        <f t="shared" si="5"/>
        <v>72.195332948319916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1474.7389515338009</v>
      </c>
      <c r="K96" s="872">
        <f>$M$32*(H91+(G93-F93)*H93+(G94-F94)*H94+(G95-F95)*H95+(G96-F96)*H96)*$B$90*$C$90</f>
        <v>122.89491262781675</v>
      </c>
      <c r="L96" s="871">
        <f t="shared" si="5"/>
        <v>1843.4236894172511</v>
      </c>
      <c r="M96" s="872">
        <f t="shared" si="5"/>
        <v>153.61864078477095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71" priority="17">
      <formula>OR(O36&lt;O35*99.75%,O36&gt;O35*100.25%)</formula>
    </cfRule>
  </conditionalFormatting>
  <conditionalFormatting sqref="O36">
    <cfRule type="expression" dxfId="270" priority="18">
      <formula>OR(O36&lt;O35*100.25%,O36&gt;O35*99.75%)</formula>
    </cfRule>
  </conditionalFormatting>
  <conditionalFormatting sqref="Y39">
    <cfRule type="expression" dxfId="269" priority="19">
      <formula>Y39="NOK"</formula>
    </cfRule>
  </conditionalFormatting>
  <conditionalFormatting sqref="Y39">
    <cfRule type="expression" dxfId="268" priority="20">
      <formula>Y39="OK"</formula>
    </cfRule>
  </conditionalFormatting>
  <conditionalFormatting sqref="Y41:Y45">
    <cfRule type="expression" dxfId="267" priority="21">
      <formula>Y41="NOK"</formula>
    </cfRule>
  </conditionalFormatting>
  <conditionalFormatting sqref="Y41:Y45">
    <cfRule type="expression" dxfId="266" priority="22">
      <formula>Y41="OK"</formula>
    </cfRule>
  </conditionalFormatting>
  <conditionalFormatting sqref="Y52">
    <cfRule type="expression" dxfId="265" priority="23">
      <formula>Y52="NOK"</formula>
    </cfRule>
  </conditionalFormatting>
  <conditionalFormatting sqref="Y52">
    <cfRule type="expression" dxfId="264" priority="24">
      <formula>Y52="OK"</formula>
    </cfRule>
  </conditionalFormatting>
  <conditionalFormatting sqref="Y54:Y58">
    <cfRule type="expression" dxfId="263" priority="25">
      <formula>Y54="NOK"</formula>
    </cfRule>
  </conditionalFormatting>
  <conditionalFormatting sqref="Y54:Y58">
    <cfRule type="expression" dxfId="262" priority="26">
      <formula>Y54="OK"</formula>
    </cfRule>
  </conditionalFormatting>
  <conditionalFormatting sqref="Y65">
    <cfRule type="expression" dxfId="261" priority="27">
      <formula>Y65="NOK"</formula>
    </cfRule>
  </conditionalFormatting>
  <conditionalFormatting sqref="Y65">
    <cfRule type="expression" dxfId="260" priority="28">
      <formula>Y65="OK"</formula>
    </cfRule>
  </conditionalFormatting>
  <conditionalFormatting sqref="Y67:Y71">
    <cfRule type="expression" dxfId="259" priority="29">
      <formula>Y67="NOK"</formula>
    </cfRule>
  </conditionalFormatting>
  <conditionalFormatting sqref="Y67:Y71">
    <cfRule type="expression" dxfId="258" priority="30">
      <formula>Y67="OK"</formula>
    </cfRule>
  </conditionalFormatting>
  <conditionalFormatting sqref="Y78">
    <cfRule type="expression" dxfId="257" priority="31">
      <formula>Y78="NOK"</formula>
    </cfRule>
  </conditionalFormatting>
  <conditionalFormatting sqref="Y78">
    <cfRule type="expression" dxfId="256" priority="32">
      <formula>Y78="OK"</formula>
    </cfRule>
  </conditionalFormatting>
  <conditionalFormatting sqref="Y80:Y84">
    <cfRule type="expression" dxfId="255" priority="33">
      <formula>Y80="NOK"</formula>
    </cfRule>
  </conditionalFormatting>
  <conditionalFormatting sqref="Y80:Y84">
    <cfRule type="expression" dxfId="254" priority="34">
      <formula>Y80="OK"</formula>
    </cfRule>
  </conditionalFormatting>
  <conditionalFormatting sqref="Y91">
    <cfRule type="expression" dxfId="253" priority="35">
      <formula>Y91="NOK"</formula>
    </cfRule>
  </conditionalFormatting>
  <conditionalFormatting sqref="Y91">
    <cfRule type="expression" dxfId="252" priority="36">
      <formula>Y91="OK"</formula>
    </cfRule>
  </conditionalFormatting>
  <conditionalFormatting sqref="Y93:Y96">
    <cfRule type="expression" dxfId="251" priority="37">
      <formula>Y93="NOK"</formula>
    </cfRule>
  </conditionalFormatting>
  <conditionalFormatting sqref="Y93:Y96">
    <cfRule type="expression" dxfId="250" priority="38">
      <formula>Y93="OK"</formula>
    </cfRule>
  </conditionalFormatting>
  <conditionalFormatting sqref="Y12">
    <cfRule type="expression" dxfId="249" priority="39">
      <formula>Y12&gt;20%</formula>
    </cfRule>
  </conditionalFormatting>
  <conditionalFormatting sqref="Y12">
    <cfRule type="expression" dxfId="248" priority="40">
      <formula>Y12&lt;=20%</formula>
    </cfRule>
  </conditionalFormatting>
  <conditionalFormatting sqref="O5">
    <cfRule type="expression" dxfId="247" priority="41">
      <formula>ABS(O8)&gt;=O7</formula>
    </cfRule>
    <cfRule type="expression" dxfId="246" priority="42">
      <formula>ABS(O8)&lt;O7</formula>
    </cfRule>
  </conditionalFormatting>
  <conditionalFormatting sqref="Q5">
    <cfRule type="expression" dxfId="245" priority="15">
      <formula>ABS(Q8)&gt;=Q7</formula>
    </cfRule>
    <cfRule type="expression" dxfId="244" priority="16">
      <formula>ABS(Q8)&lt;Q7</formula>
    </cfRule>
  </conditionalFormatting>
  <conditionalFormatting sqref="S5">
    <cfRule type="expression" dxfId="243" priority="13">
      <formula>ABS(S8)&gt;=S7</formula>
    </cfRule>
    <cfRule type="expression" dxfId="242" priority="14">
      <formula>ABS(S8)&lt;S7</formula>
    </cfRule>
  </conditionalFormatting>
  <conditionalFormatting sqref="U5">
    <cfRule type="expression" dxfId="241" priority="11">
      <formula>ABS(U8)&gt;=U7</formula>
    </cfRule>
    <cfRule type="expression" dxfId="240" priority="12">
      <formula>ABS(U8)&lt;U7</formula>
    </cfRule>
  </conditionalFormatting>
  <conditionalFormatting sqref="W5">
    <cfRule type="expression" dxfId="239" priority="9">
      <formula>ABS(W8)&gt;=W7</formula>
    </cfRule>
    <cfRule type="expression" dxfId="238" priority="10">
      <formula>ABS(W8)&lt;W7</formula>
    </cfRule>
  </conditionalFormatting>
  <conditionalFormatting sqref="Y5">
    <cfRule type="expression" dxfId="237" priority="7">
      <formula>ABS(Y12)&gt;=Y10</formula>
    </cfRule>
    <cfRule type="expression" dxfId="236" priority="8">
      <formula>ABS(Y12)&lt;Y10</formula>
    </cfRule>
  </conditionalFormatting>
  <conditionalFormatting sqref="O49 O62 O75 O88">
    <cfRule type="expression" dxfId="235" priority="1">
      <formula>OR(O49&lt;O48*99.75%,O49&gt;O48*100.25%)</formula>
    </cfRule>
  </conditionalFormatting>
  <conditionalFormatting sqref="O49 O62 O75 O88">
    <cfRule type="expression" dxfId="23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'[3]R&amp;C-Painel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'[3]R&amp;C-Painel de Controle'!D33</f>
        <v>292.94394556662456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'[3]R&amp;C-Painel de Controle'!H33</f>
        <v>318.85362727861343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'[3]R&amp;C-Painel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'[3]C-FCL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46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'[3]C-FCL Real'!B32</f>
        <v>Ano do Contrato</v>
      </c>
      <c r="C14" s="157"/>
      <c r="D14" s="158">
        <f>'[3]C-FCL Real'!C32</f>
        <v>0</v>
      </c>
      <c r="E14" s="156">
        <f>'[3]C-FCL Real'!D32</f>
        <v>1</v>
      </c>
      <c r="F14" s="156">
        <f>'[3]C-FCL Real'!E32</f>
        <v>2</v>
      </c>
      <c r="G14" s="156">
        <f>'[3]C-FCL Real'!F32</f>
        <v>3</v>
      </c>
      <c r="H14" s="156">
        <f>'[3]C-FCL Real'!G32</f>
        <v>4</v>
      </c>
      <c r="I14" s="156">
        <f>'[3]C-FCL Real'!H32</f>
        <v>5</v>
      </c>
      <c r="J14" s="156">
        <f>'[3]C-FCL Real'!I32</f>
        <v>6</v>
      </c>
      <c r="K14" s="156">
        <f>'[3]C-FCL Real'!J32</f>
        <v>7</v>
      </c>
      <c r="L14" s="156">
        <f>'[3]C-FCL Real'!K32</f>
        <v>8</v>
      </c>
      <c r="M14" s="156">
        <f>'[3]C-FCL Real'!L32</f>
        <v>9</v>
      </c>
      <c r="N14" s="156">
        <f>'[3]C-FCL Real'!M32</f>
        <v>10</v>
      </c>
      <c r="O14" s="156">
        <f>'[3]C-FCL Real'!N32</f>
        <v>11</v>
      </c>
      <c r="P14" s="156">
        <f>'[3]C-FCL Real'!O32</f>
        <v>12</v>
      </c>
      <c r="Q14" s="156">
        <f>'[3]C-FCL Real'!P32</f>
        <v>13</v>
      </c>
      <c r="R14" s="156">
        <f>'[3]C-FCL Real'!Q32</f>
        <v>14</v>
      </c>
      <c r="S14" s="156">
        <f>'[3]C-FCL Real'!R32</f>
        <v>15</v>
      </c>
      <c r="T14" s="156">
        <f>'[3]C-FCL Real'!S32</f>
        <v>16</v>
      </c>
      <c r="U14" s="156">
        <f>'[3]C-FCL Real'!T32</f>
        <v>17</v>
      </c>
      <c r="V14" s="156">
        <f>'[3]C-FCL Real'!U32</f>
        <v>18</v>
      </c>
      <c r="W14" s="156">
        <f>'[3]C-FCL Real'!V32</f>
        <v>19</v>
      </c>
      <c r="X14" s="156">
        <f>'[3]C-FCL Real'!W32</f>
        <v>20</v>
      </c>
      <c r="Y14" s="156">
        <f>'[3]C-FCL Real'!X32</f>
        <v>21</v>
      </c>
      <c r="Z14" s="156">
        <f>'[3]C-FCL Real'!Y32</f>
        <v>22</v>
      </c>
      <c r="AA14" s="156">
        <f>'[3]C-FCL Real'!Z32</f>
        <v>23</v>
      </c>
      <c r="AB14" s="156">
        <f>'[3]C-FCL Real'!AA32</f>
        <v>24</v>
      </c>
      <c r="AC14" s="156">
        <f>'[3]C-FCL Real'!AB32</f>
        <v>25</v>
      </c>
      <c r="AD14" s="156">
        <f>'[3]C-FCL Real'!AC32</f>
        <v>26</v>
      </c>
      <c r="AE14" s="156">
        <f>'[3]C-FCL Real'!AD32</f>
        <v>27</v>
      </c>
      <c r="AF14" s="156">
        <f>'[3]C-FCL Real'!AE32</f>
        <v>28</v>
      </c>
      <c r="AG14" s="156">
        <f>'[3]C-FCL Real'!AF32</f>
        <v>29</v>
      </c>
      <c r="AH14" s="156">
        <f>'[3]C-FCL Real'!AG32</f>
        <v>30</v>
      </c>
      <c r="AI14" s="156">
        <f>'[3]C-FCL Real'!AH32</f>
        <v>31</v>
      </c>
      <c r="AJ14" s="156">
        <f>'[3]C-FCL Real'!AI32</f>
        <v>32</v>
      </c>
      <c r="AK14" s="156">
        <f>'[3]C-FCL Real'!AJ32</f>
        <v>33</v>
      </c>
      <c r="AL14" s="156">
        <f>'[3]C-FCL Real'!AK32</f>
        <v>34</v>
      </c>
      <c r="AM14" s="156">
        <f>'[3]C-FCL Real'!AL32</f>
        <v>35</v>
      </c>
      <c r="AN14" s="156">
        <f>'[3]C-FCL Real'!AM32</f>
        <v>36</v>
      </c>
      <c r="AO14" s="156">
        <f>'[3]C-FCL Real'!AN32</f>
        <v>37</v>
      </c>
      <c r="AP14" s="156">
        <f>'[3]C-FCL Real'!AO32</f>
        <v>38</v>
      </c>
      <c r="AQ14" s="156">
        <f>'[3]C-FCL Real'!AP32</f>
        <v>39</v>
      </c>
      <c r="AR14" s="156">
        <f>'[3]C-FCL Real'!AQ32</f>
        <v>40</v>
      </c>
      <c r="AS14" s="156">
        <f>'[3]C-FCL Real'!AR32</f>
        <v>41</v>
      </c>
      <c r="AT14" s="156">
        <f>'[3]C-FCL Real'!AS32</f>
        <v>42</v>
      </c>
      <c r="AU14" s="156">
        <f>'[3]C-FCL Real'!AT32</f>
        <v>43</v>
      </c>
      <c r="AV14" s="156">
        <f>'[3]C-FCL Real'!AU32</f>
        <v>44</v>
      </c>
      <c r="AW14" s="156">
        <f>'[3]C-FCL Real'!AV32</f>
        <v>45</v>
      </c>
      <c r="AX14" s="156">
        <f>'[3]C-FCL Real'!AW32</f>
        <v>46</v>
      </c>
      <c r="AY14" s="156">
        <f>'[3]C-FCL Real'!AX32</f>
        <v>47</v>
      </c>
      <c r="AZ14" s="156">
        <f>'[3]C-FCL Real'!AY32</f>
        <v>48</v>
      </c>
      <c r="BA14" s="156">
        <f>'[3]C-FCL Real'!AZ32</f>
        <v>49</v>
      </c>
      <c r="BB14" s="156">
        <f>'[3]C-FCL Real'!BA32</f>
        <v>50</v>
      </c>
      <c r="BC14" s="156">
        <f>'[3]C-FCL Real'!BB32</f>
        <v>51</v>
      </c>
      <c r="BD14" s="156">
        <f>'[3]C-FCL Real'!BC32</f>
        <v>52</v>
      </c>
      <c r="BE14" s="156">
        <f>'[3]C-FCL Real'!BD32</f>
        <v>0</v>
      </c>
      <c r="BF14" s="156">
        <f>'[3]C-FCL Real'!BE32</f>
        <v>0</v>
      </c>
      <c r="BG14" s="156">
        <f>'[3]C-FCL Real'!BF32</f>
        <v>0</v>
      </c>
      <c r="BH14" s="156">
        <f>'[3]C-FCL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'[3]C-FCL Real'!C33</f>
        <v>1</v>
      </c>
      <c r="E15" s="162">
        <f>'[3]C-FCL Real'!D33</f>
        <v>1</v>
      </c>
      <c r="F15" s="162">
        <f>'[3]C-FCL Real'!E33</f>
        <v>1</v>
      </c>
      <c r="G15" s="162">
        <f>'[3]C-FCL Real'!F33</f>
        <v>1</v>
      </c>
      <c r="H15" s="162">
        <f>'[3]C-FCL Real'!G33</f>
        <v>1</v>
      </c>
      <c r="I15" s="162">
        <f>'[3]C-FCL Real'!H33</f>
        <v>1</v>
      </c>
      <c r="J15" s="162">
        <f>'[3]C-FCL Real'!I33</f>
        <v>1</v>
      </c>
      <c r="K15" s="162">
        <f>'[3]C-FCL Real'!J33</f>
        <v>1</v>
      </c>
      <c r="L15" s="162">
        <f>'[3]C-FCL Real'!K33</f>
        <v>1</v>
      </c>
      <c r="M15" s="162">
        <f>'[3]C-FCL Real'!L33</f>
        <v>1</v>
      </c>
      <c r="N15" s="162">
        <f>'[3]C-FCL Real'!M33</f>
        <v>1</v>
      </c>
      <c r="O15" s="162">
        <f>'[3]C-FCL Real'!N33</f>
        <v>1</v>
      </c>
      <c r="P15" s="162">
        <f>'[3]C-FCL Real'!O33</f>
        <v>1</v>
      </c>
      <c r="Q15" s="162">
        <f>'[3]C-FCL Real'!P33</f>
        <v>1</v>
      </c>
      <c r="R15" s="162">
        <f>'[3]C-FCL Real'!Q33</f>
        <v>1</v>
      </c>
      <c r="S15" s="162">
        <f>'[3]C-FCL Real'!R33</f>
        <v>1</v>
      </c>
      <c r="T15" s="162">
        <f>'[3]C-FCL Real'!S33</f>
        <v>1</v>
      </c>
      <c r="U15" s="162">
        <f>'[3]C-FCL Real'!T33</f>
        <v>1</v>
      </c>
      <c r="V15" s="162">
        <f>'[3]C-FCL Real'!U33</f>
        <v>1</v>
      </c>
      <c r="W15" s="162">
        <f>'[3]C-FCL Real'!V33</f>
        <v>1</v>
      </c>
      <c r="X15" s="162">
        <f>'[3]C-FCL Real'!W33</f>
        <v>1</v>
      </c>
      <c r="Y15" s="162">
        <f>'[3]C-FCL Real'!X33</f>
        <v>1</v>
      </c>
      <c r="Z15" s="162">
        <f>'[3]C-FCL Real'!Y33</f>
        <v>1</v>
      </c>
      <c r="AA15" s="162">
        <f>'[3]C-FCL Real'!Z33</f>
        <v>1</v>
      </c>
      <c r="AB15" s="162">
        <f>'[3]C-FCL Real'!AA33</f>
        <v>1</v>
      </c>
      <c r="AC15" s="162">
        <f>'[3]C-FCL Real'!AB33</f>
        <v>1</v>
      </c>
      <c r="AD15" s="162">
        <f>'[3]C-FCL Real'!AC33</f>
        <v>1</v>
      </c>
      <c r="AE15" s="162">
        <f>'[3]C-FCL Real'!AD33</f>
        <v>1</v>
      </c>
      <c r="AF15" s="162">
        <f>'[3]C-FCL Real'!AE33</f>
        <v>1</v>
      </c>
      <c r="AG15" s="162">
        <f>'[3]C-FCL Real'!AF33</f>
        <v>1</v>
      </c>
      <c r="AH15" s="162">
        <f>'[3]C-FCL Real'!AG33</f>
        <v>1</v>
      </c>
      <c r="AI15" s="162">
        <f>'[3]C-FCL Real'!AH33</f>
        <v>1</v>
      </c>
      <c r="AJ15" s="162">
        <f>'[3]C-FCL Real'!AI33</f>
        <v>1</v>
      </c>
      <c r="AK15" s="162">
        <f>'[3]C-FCL Real'!AJ33</f>
        <v>1</v>
      </c>
      <c r="AL15" s="162">
        <f>'[3]C-FCL Real'!AK33</f>
        <v>1</v>
      </c>
      <c r="AM15" s="162">
        <f>'[3]C-FCL Real'!AL33</f>
        <v>0</v>
      </c>
      <c r="AN15" s="162">
        <f>'[3]C-FCL Real'!AM33</f>
        <v>0</v>
      </c>
      <c r="AO15" s="162">
        <f>'[3]C-FCL Real'!AN33</f>
        <v>0</v>
      </c>
      <c r="AP15" s="162">
        <f>'[3]C-FCL Real'!AO33</f>
        <v>0</v>
      </c>
      <c r="AQ15" s="162">
        <f>'[3]C-FCL Real'!AP33</f>
        <v>0</v>
      </c>
      <c r="AR15" s="162">
        <f>'[3]C-FCL Real'!AQ33</f>
        <v>0</v>
      </c>
      <c r="AS15" s="162">
        <f>'[3]C-FCL Real'!AR33</f>
        <v>0</v>
      </c>
      <c r="AT15" s="162">
        <f>'[3]C-FCL Real'!AS33</f>
        <v>0</v>
      </c>
      <c r="AU15" s="162">
        <f>'[3]C-FCL Real'!AT33</f>
        <v>0</v>
      </c>
      <c r="AV15" s="162">
        <f>'[3]C-FCL Real'!AU33</f>
        <v>0</v>
      </c>
      <c r="AW15" s="162">
        <f>'[3]C-FCL Real'!AV33</f>
        <v>0</v>
      </c>
      <c r="AX15" s="162">
        <f>'[3]C-FCL Real'!AW33</f>
        <v>0</v>
      </c>
      <c r="AY15" s="162">
        <f>'[3]C-FCL Real'!AX33</f>
        <v>0</v>
      </c>
      <c r="AZ15" s="162">
        <f>'[3]C-FCL Real'!AY33</f>
        <v>0</v>
      </c>
      <c r="BA15" s="162">
        <f>'[3]C-FCL Real'!AZ33</f>
        <v>0</v>
      </c>
      <c r="BB15" s="162">
        <f>'[3]C-FCL Real'!BA33</f>
        <v>0</v>
      </c>
      <c r="BC15" s="162">
        <f>'[3]C-FCL Real'!BB33</f>
        <v>0</v>
      </c>
      <c r="BD15" s="162">
        <f>'[3]C-FCL Real'!BC33</f>
        <v>0</v>
      </c>
      <c r="BE15" s="162">
        <f>'[3]C-FCL Real'!BD33</f>
        <v>0</v>
      </c>
      <c r="BF15" s="162">
        <f>'[3]C-FCL Real'!BE33</f>
        <v>0</v>
      </c>
      <c r="BG15" s="162">
        <f>'[3]C-FCL Real'!BF33</f>
        <v>0</v>
      </c>
      <c r="BH15" s="163">
        <f>'[3]C-FCL Real'!BG33</f>
        <v>0</v>
      </c>
    </row>
    <row r="16" spans="1:60" s="168" customFormat="1" ht="15" hidden="1" customHeight="1" outlineLevel="1" x14ac:dyDescent="0.3">
      <c r="A16" s="1230"/>
      <c r="B16" s="141" t="str">
        <f>'[3]C-FCL Real'!B35</f>
        <v>Dados Quantitativos RSU</v>
      </c>
      <c r="C16" s="165">
        <f>SUMIF($D$15:$BG$15,1,D16:BG16)</f>
        <v>1193646.2820174235</v>
      </c>
      <c r="D16" s="166">
        <f>'[3]C-FCL Real'!C35</f>
        <v>31717.919999999998</v>
      </c>
      <c r="E16" s="167">
        <f>'[3]C-FCL Real'!D35</f>
        <v>31866.994223999995</v>
      </c>
      <c r="F16" s="167">
        <f>'[3]C-FCL Real'!E35</f>
        <v>32016.769096852793</v>
      </c>
      <c r="G16" s="167">
        <f>'[3]C-FCL Real'!F35</f>
        <v>32167.247911607999</v>
      </c>
      <c r="H16" s="167">
        <f>'[3]C-FCL Real'!G35</f>
        <v>32318.433976792556</v>
      </c>
      <c r="I16" s="167">
        <f>'[3]C-FCL Real'!H35</f>
        <v>32470.330616483479</v>
      </c>
      <c r="J16" s="167">
        <f>'[3]C-FCL Real'!I35</f>
        <v>32622.941170380949</v>
      </c>
      <c r="K16" s="167">
        <f>'[3]C-FCL Real'!J35</f>
        <v>32776.268993881735</v>
      </c>
      <c r="L16" s="167">
        <f>'[3]C-FCL Real'!K35</f>
        <v>32930.317458152975</v>
      </c>
      <c r="M16" s="167">
        <f>'[3]C-FCL Real'!L35</f>
        <v>33085.089950206289</v>
      </c>
      <c r="N16" s="167">
        <f>'[3]C-FCL Real'!M35</f>
        <v>33240.589872972254</v>
      </c>
      <c r="O16" s="167">
        <f>'[3]C-FCL Real'!N35</f>
        <v>33396.820645375221</v>
      </c>
      <c r="P16" s="167">
        <f>'[3]C-FCL Real'!O35</f>
        <v>33553.785702408481</v>
      </c>
      <c r="Q16" s="167">
        <f>'[3]C-FCL Real'!P35</f>
        <v>33711.4884952098</v>
      </c>
      <c r="R16" s="167">
        <f>'[3]C-FCL Real'!Q35</f>
        <v>33869.932491137282</v>
      </c>
      <c r="S16" s="167">
        <f>'[3]C-FCL Real'!O35</f>
        <v>33553.785702408481</v>
      </c>
      <c r="T16" s="167">
        <f>'[3]C-FCL Real'!P35</f>
        <v>33711.4884952098</v>
      </c>
      <c r="U16" s="167">
        <f>'[3]C-FCL Real'!Q35</f>
        <v>33869.932491137282</v>
      </c>
      <c r="V16" s="167">
        <f>'[3]C-FCL Real'!R35</f>
        <v>34029.121173845626</v>
      </c>
      <c r="W16" s="167">
        <f>'[3]C-FCL Real'!S35</f>
        <v>34189.058043362696</v>
      </c>
      <c r="X16" s="167">
        <f>'[3]C-FCL Real'!T35</f>
        <v>34349.7466161665</v>
      </c>
      <c r="Y16" s="167">
        <f>'[3]C-FCL Real'!U35</f>
        <v>34511.190425262481</v>
      </c>
      <c r="Z16" s="167">
        <f>'[3]C-FCL Real'!V35</f>
        <v>34673.39302026121</v>
      </c>
      <c r="AA16" s="167">
        <f>'[3]C-FCL Real'!W35</f>
        <v>34836.357967456432</v>
      </c>
      <c r="AB16" s="167">
        <f>'[3]C-FCL Real'!X35</f>
        <v>35000.088849903477</v>
      </c>
      <c r="AC16" s="167">
        <f>'[3]C-FCL Real'!Y35</f>
        <v>35164.58926749802</v>
      </c>
      <c r="AD16" s="167">
        <f>'[3]C-FCL Real'!Z35</f>
        <v>35329.862837055261</v>
      </c>
      <c r="AE16" s="167">
        <f>'[3]C-FCL Real'!AA35</f>
        <v>35495.913192389417</v>
      </c>
      <c r="AF16" s="167">
        <f>'[3]C-FCL Real'!AB35</f>
        <v>35662.743984393644</v>
      </c>
      <c r="AG16" s="167">
        <f>'[3]C-FCL Real'!AC35</f>
        <v>35830.358881120294</v>
      </c>
      <c r="AH16" s="167">
        <f>'[3]C-FCL Real'!AD35</f>
        <v>35998.761567861555</v>
      </c>
      <c r="AI16" s="167">
        <f>'[3]C-FCL Real'!AE35</f>
        <v>36167.955747230502</v>
      </c>
      <c r="AJ16" s="167">
        <f>'[3]C-FCL Real'!AF35</f>
        <v>36337.945139242482</v>
      </c>
      <c r="AK16" s="167">
        <f>'[3]C-FCL Real'!AG35</f>
        <v>36508.733481396921</v>
      </c>
      <c r="AL16" s="167">
        <f>'[3]C-FCL Real'!AH35</f>
        <v>36680.324528759484</v>
      </c>
      <c r="AM16" s="167">
        <f>'[3]C-FCL Real'!AI35</f>
        <v>36852.722054044651</v>
      </c>
      <c r="AN16" s="167">
        <f>'[3]C-FCL Real'!AJ35</f>
        <v>37025.929847698659</v>
      </c>
      <c r="AO16" s="167">
        <f>'[3]C-FCL Real'!AK35</f>
        <v>37199.95171798284</v>
      </c>
      <c r="AP16" s="167">
        <f>'[3]C-FCL Real'!AL35</f>
        <v>37374.79149105736</v>
      </c>
      <c r="AQ16" s="167">
        <f>'[3]C-FCL Real'!AM35</f>
        <v>37550.453011065329</v>
      </c>
      <c r="AR16" s="167">
        <f>'[3]C-FCL Real'!AN35</f>
        <v>37726.940140217332</v>
      </c>
      <c r="AS16" s="167">
        <f>'[3]C-FCL Real'!AO35</f>
        <v>37904.256758876349</v>
      </c>
      <c r="AT16" s="167">
        <f>'[3]C-FCL Real'!AP35</f>
        <v>38082.406765643063</v>
      </c>
      <c r="AU16" s="167">
        <f>'[3]C-FCL Real'!AQ35</f>
        <v>38261.394077441582</v>
      </c>
      <c r="AV16" s="167">
        <f>'[3]C-FCL Real'!AR35</f>
        <v>38441.222629605552</v>
      </c>
      <c r="AW16" s="167">
        <f>'[3]C-FCL Real'!AS35</f>
        <v>38621.896375964694</v>
      </c>
      <c r="AX16" s="167">
        <f>'[3]C-FCL Real'!AT35</f>
        <v>38803.419288931727</v>
      </c>
      <c r="AY16" s="167">
        <f>'[3]C-FCL Real'!AU35</f>
        <v>38985.795359589705</v>
      </c>
      <c r="AZ16" s="167">
        <f>'[3]C-FCL Real'!AV35</f>
        <v>39169.028597779776</v>
      </c>
      <c r="BA16" s="167">
        <f>'[3]C-FCL Real'!AW35</f>
        <v>39353.123032189338</v>
      </c>
      <c r="BB16" s="167">
        <f>'[3]C-FCL Real'!AX35</f>
        <v>39538.082710440627</v>
      </c>
      <c r="BC16" s="167">
        <f>'[3]C-FCL Real'!AY35</f>
        <v>39723.911699179698</v>
      </c>
      <c r="BD16" s="167">
        <f>'[3]C-FCL Real'!AZ35</f>
        <v>39910.614084165842</v>
      </c>
      <c r="BE16" s="167">
        <f>'[3]C-FCL Real'!BA35</f>
        <v>40098.193970361419</v>
      </c>
      <c r="BF16" s="167">
        <f>'[3]C-FCL Real'!BB35</f>
        <v>40286.655482022114</v>
      </c>
      <c r="BG16" s="167">
        <f>'[3]C-FCL Real'!BC35</f>
        <v>40476.002762787612</v>
      </c>
      <c r="BH16" s="167">
        <f>'[3]C-FCL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79.909999868152227</v>
      </c>
      <c r="B18" s="173" t="str">
        <f>'[3]C-FCL Real'!B63</f>
        <v>Dados de Capex</v>
      </c>
      <c r="C18" s="174">
        <f>SUMIF($D$15:$BG$15,1,D18:BG18)</f>
        <v>95.384274238632713</v>
      </c>
      <c r="D18" s="175">
        <f>'[3]C-FCL Real'!C63</f>
        <v>28.889114116753916</v>
      </c>
      <c r="E18" s="20">
        <f>'[3]C-FCL Real'!D63</f>
        <v>27.83788511364223</v>
      </c>
      <c r="F18" s="20">
        <f>'[3]C-FCL Real'!E63</f>
        <v>38.65727500823656</v>
      </c>
      <c r="G18" s="20">
        <f>'[3]C-FCL Real'!F63</f>
        <v>0</v>
      </c>
      <c r="H18" s="20">
        <f>'[3]C-FCL Real'!G63</f>
        <v>0</v>
      </c>
      <c r="I18" s="20">
        <f>'[3]C-FCL Real'!H63</f>
        <v>0</v>
      </c>
      <c r="J18" s="20">
        <f>'[3]C-FCL Real'!I63</f>
        <v>0</v>
      </c>
      <c r="K18" s="20">
        <f>'[3]C-FCL Real'!J63</f>
        <v>0</v>
      </c>
      <c r="L18" s="20">
        <f>'[3]C-FCL Real'!K63</f>
        <v>0</v>
      </c>
      <c r="M18" s="20">
        <f>'[3]C-FCL Real'!L63</f>
        <v>0</v>
      </c>
      <c r="N18" s="20">
        <f>'[3]C-FCL Real'!M63</f>
        <v>0</v>
      </c>
      <c r="O18" s="20">
        <f>'[3]C-FCL Real'!N63</f>
        <v>0</v>
      </c>
      <c r="P18" s="20">
        <f>'[3]C-FCL Real'!O63</f>
        <v>0</v>
      </c>
      <c r="Q18" s="20">
        <f>'[3]C-FCL Real'!P63</f>
        <v>0</v>
      </c>
      <c r="R18" s="20">
        <f>'[3]C-FCL Real'!Q63</f>
        <v>0</v>
      </c>
      <c r="S18" s="20">
        <f>'[3]C-FCL Real'!O63</f>
        <v>0</v>
      </c>
      <c r="T18" s="20">
        <f>'[3]C-FCL Real'!P63</f>
        <v>0</v>
      </c>
      <c r="U18" s="20">
        <f>'[3]C-FCL Real'!Q63</f>
        <v>0</v>
      </c>
      <c r="V18" s="20">
        <f>'[3]C-FCL Real'!R63</f>
        <v>0</v>
      </c>
      <c r="W18" s="20">
        <f>'[3]C-FCL Real'!S63</f>
        <v>0</v>
      </c>
      <c r="X18" s="20">
        <f>'[3]C-FCL Real'!T63</f>
        <v>0</v>
      </c>
      <c r="Y18" s="20">
        <f>'[3]C-FCL Real'!U63</f>
        <v>0</v>
      </c>
      <c r="Z18" s="20">
        <f>'[3]C-FCL Real'!V63</f>
        <v>0</v>
      </c>
      <c r="AA18" s="20">
        <f>'[3]C-FCL Real'!W63</f>
        <v>0</v>
      </c>
      <c r="AB18" s="20">
        <f>'[3]C-FCL Real'!X63</f>
        <v>0</v>
      </c>
      <c r="AC18" s="20">
        <f>'[3]C-FCL Real'!Y63</f>
        <v>0</v>
      </c>
      <c r="AD18" s="20">
        <f>'[3]C-FCL Real'!Z63</f>
        <v>0</v>
      </c>
      <c r="AE18" s="20">
        <f>'[3]C-FCL Real'!AA63</f>
        <v>0</v>
      </c>
      <c r="AF18" s="20">
        <f>'[3]C-FCL Real'!AB63</f>
        <v>0</v>
      </c>
      <c r="AG18" s="20">
        <f>'[3]C-FCL Real'!AC63</f>
        <v>0</v>
      </c>
      <c r="AH18" s="20">
        <f>'[3]C-FCL Real'!AD63</f>
        <v>0</v>
      </c>
      <c r="AI18" s="20">
        <f>'[3]C-FCL Real'!AE63</f>
        <v>0</v>
      </c>
      <c r="AJ18" s="20">
        <f>'[3]C-FCL Real'!AF63</f>
        <v>0</v>
      </c>
      <c r="AK18" s="20">
        <f>'[3]C-FCL Real'!AG63</f>
        <v>0</v>
      </c>
      <c r="AL18" s="20">
        <f>'[3]C-FCL Real'!AH63</f>
        <v>0</v>
      </c>
      <c r="AM18" s="20">
        <f>'[3]C-FCL Real'!AI63</f>
        <v>0</v>
      </c>
      <c r="AN18" s="20">
        <f>'[3]C-FCL Real'!AJ63</f>
        <v>0</v>
      </c>
      <c r="AO18" s="20">
        <f>'[3]C-FCL Real'!AK63</f>
        <v>0</v>
      </c>
      <c r="AP18" s="20">
        <f>'[3]C-FCL Real'!AL63</f>
        <v>0</v>
      </c>
      <c r="AQ18" s="20">
        <f>'[3]C-FCL Real'!AM63</f>
        <v>0</v>
      </c>
      <c r="AR18" s="20">
        <f>'[3]C-FCL Real'!AN63</f>
        <v>0</v>
      </c>
      <c r="AS18" s="20">
        <f>'[3]C-FCL Real'!AO63</f>
        <v>0</v>
      </c>
      <c r="AT18" s="20">
        <f>'[3]C-FCL Real'!AP63</f>
        <v>0</v>
      </c>
      <c r="AU18" s="20">
        <f>'[3]C-FCL Real'!AQ63</f>
        <v>0</v>
      </c>
      <c r="AV18" s="20">
        <f>'[3]C-FCL Real'!AR63</f>
        <v>0</v>
      </c>
      <c r="AW18" s="20">
        <f>'[3]C-FCL Real'!AS63</f>
        <v>0</v>
      </c>
      <c r="AX18" s="20">
        <f>'[3]C-FCL Real'!AT63</f>
        <v>0</v>
      </c>
      <c r="AY18" s="20">
        <f>'[3]C-FCL Real'!AU63</f>
        <v>0</v>
      </c>
      <c r="AZ18" s="20">
        <f>'[3]C-FCL Real'!AV63</f>
        <v>0</v>
      </c>
      <c r="BA18" s="20">
        <f>'[3]C-FCL Real'!AW63</f>
        <v>0</v>
      </c>
      <c r="BB18" s="20">
        <f>'[3]C-FCL Real'!AX63</f>
        <v>0</v>
      </c>
      <c r="BC18" s="20">
        <f>'[3]C-FCL Real'!AY63</f>
        <v>0</v>
      </c>
      <c r="BD18" s="20">
        <f>'[3]C-FCL Real'!AZ63</f>
        <v>0</v>
      </c>
      <c r="BE18" s="20">
        <f>'[3]C-FCL Real'!BA63</f>
        <v>0</v>
      </c>
      <c r="BF18" s="20">
        <f>'[3]C-FCL Real'!BB63</f>
        <v>0</v>
      </c>
      <c r="BG18" s="20">
        <f>'[3]C-FCL Real'!BC63</f>
        <v>0</v>
      </c>
      <c r="BH18" s="20">
        <f>'[3]C-FCL Real'!BD63</f>
        <v>0</v>
      </c>
    </row>
    <row r="19" spans="1:60" ht="15" hidden="1" customHeight="1" outlineLevel="1" x14ac:dyDescent="0.3">
      <c r="A19" s="172">
        <f>C19*1000000/$C$16</f>
        <v>72.903067355420674</v>
      </c>
      <c r="B19" s="176" t="s">
        <v>52</v>
      </c>
      <c r="C19" s="169">
        <f>SUMIF($D$15:$BG$15,1,D19:BG19)</f>
        <v>87.020475296463701</v>
      </c>
      <c r="D19" s="175">
        <f t="shared" ref="D19:AJ19" si="0">NPV($C$8,D18:D18)</f>
        <v>26.355963405920665</v>
      </c>
      <c r="E19" s="20">
        <f t="shared" si="0"/>
        <v>25.396911735963567</v>
      </c>
      <c r="F19" s="20">
        <f t="shared" si="0"/>
        <v>35.267600154579469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77">
        <f>C18*1000000/(C16/C43)</f>
        <v>2796.8499953853279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492.10133175332106</v>
      </c>
      <c r="B21" s="173" t="str">
        <f>'[3]C-FCL Real'!B119</f>
        <v>Dados de Opex + Gestão do Contrato</v>
      </c>
      <c r="C21" s="174">
        <f>SUMIF($D$15:$BG$15,1,D21:BG21)</f>
        <v>587.39492502317444</v>
      </c>
      <c r="D21" s="175">
        <f>'[3]C-FCL Real'!C119</f>
        <v>5.007877849569824</v>
      </c>
      <c r="E21" s="20">
        <f>'[3]C-FCL Real'!D119</f>
        <v>5.007877849569824</v>
      </c>
      <c r="F21" s="20">
        <f>'[3]C-FCL Real'!E119</f>
        <v>5.007877849569824</v>
      </c>
      <c r="G21" s="20">
        <f>'[3]C-FCL Real'!F119</f>
        <v>17.886602858577039</v>
      </c>
      <c r="H21" s="20">
        <f>'[3]C-FCL Real'!G119</f>
        <v>17.886602858577039</v>
      </c>
      <c r="I21" s="20">
        <f>'[3]C-FCL Real'!H119</f>
        <v>17.886602858577039</v>
      </c>
      <c r="J21" s="20">
        <f>'[3]C-FCL Real'!I119</f>
        <v>17.886602858577039</v>
      </c>
      <c r="K21" s="20">
        <f>'[3]C-FCL Real'!J119</f>
        <v>17.886602858577039</v>
      </c>
      <c r="L21" s="20">
        <f>'[3]C-FCL Real'!K119</f>
        <v>17.886602858577039</v>
      </c>
      <c r="M21" s="20">
        <f>'[3]C-FCL Real'!L119</f>
        <v>17.886602858577039</v>
      </c>
      <c r="N21" s="20">
        <f>'[3]C-FCL Real'!M119</f>
        <v>17.886602858577039</v>
      </c>
      <c r="O21" s="20">
        <f>'[3]C-FCL Real'!N119</f>
        <v>17.886602858577039</v>
      </c>
      <c r="P21" s="20">
        <f>'[3]C-FCL Real'!O119</f>
        <v>17.886602858577039</v>
      </c>
      <c r="Q21" s="20">
        <f>'[3]C-FCL Real'!P119</f>
        <v>17.886602858577039</v>
      </c>
      <c r="R21" s="20">
        <f>'[3]C-FCL Real'!Q119</f>
        <v>17.886602858577039</v>
      </c>
      <c r="S21" s="20">
        <f>'[3]C-FCL Real'!O119</f>
        <v>17.886602858577039</v>
      </c>
      <c r="T21" s="20">
        <f>'[3]C-FCL Real'!P119</f>
        <v>17.886602858577039</v>
      </c>
      <c r="U21" s="20">
        <f>'[3]C-FCL Real'!Q119</f>
        <v>17.886602858577039</v>
      </c>
      <c r="V21" s="20">
        <f>'[3]C-FCL Real'!R119</f>
        <v>17.886602858577039</v>
      </c>
      <c r="W21" s="20">
        <f>'[3]C-FCL Real'!S119</f>
        <v>17.886602858577039</v>
      </c>
      <c r="X21" s="20">
        <f>'[3]C-FCL Real'!T119</f>
        <v>17.886602858577039</v>
      </c>
      <c r="Y21" s="20">
        <f>'[3]C-FCL Real'!U119</f>
        <v>17.886602858577039</v>
      </c>
      <c r="Z21" s="20">
        <f>'[3]C-FCL Real'!V119</f>
        <v>17.886602858577039</v>
      </c>
      <c r="AA21" s="20">
        <f>'[3]C-FCL Real'!W119</f>
        <v>17.886602858577039</v>
      </c>
      <c r="AB21" s="20">
        <f>'[3]C-FCL Real'!X119</f>
        <v>17.886602858577039</v>
      </c>
      <c r="AC21" s="20">
        <f>'[3]C-FCL Real'!Y119</f>
        <v>17.886602858577039</v>
      </c>
      <c r="AD21" s="20">
        <f>'[3]C-FCL Real'!Z119</f>
        <v>17.886602858577039</v>
      </c>
      <c r="AE21" s="20">
        <f>'[3]C-FCL Real'!AA119</f>
        <v>17.886602858577039</v>
      </c>
      <c r="AF21" s="20">
        <f>'[3]C-FCL Real'!AB119</f>
        <v>17.886602858577039</v>
      </c>
      <c r="AG21" s="20">
        <f>'[3]C-FCL Real'!AC119</f>
        <v>17.886602858577039</v>
      </c>
      <c r="AH21" s="20">
        <f>'[3]C-FCL Real'!AD119</f>
        <v>17.886602858577039</v>
      </c>
      <c r="AI21" s="20">
        <f>'[3]C-FCL Real'!AE119</f>
        <v>17.886602858577039</v>
      </c>
      <c r="AJ21" s="20">
        <f>'[3]C-FCL Real'!AF119</f>
        <v>17.886602858577039</v>
      </c>
      <c r="AK21" s="20">
        <f>'[3]C-FCL Real'!AG119</f>
        <v>17.886602858577039</v>
      </c>
      <c r="AL21" s="20">
        <f>'[3]C-FCL Real'!AH119</f>
        <v>17.886602858577039</v>
      </c>
      <c r="AM21" s="20">
        <f>'[3]C-FCL Real'!AI119</f>
        <v>17.886602858577039</v>
      </c>
      <c r="AN21" s="20">
        <f>'[3]C-FCL Real'!AJ119</f>
        <v>17.886602858577039</v>
      </c>
      <c r="AO21" s="20">
        <f>'[3]C-FCL Real'!AK119</f>
        <v>17.886602858577039</v>
      </c>
      <c r="AP21" s="20">
        <f>'[3]C-FCL Real'!AL119</f>
        <v>17.886602858577039</v>
      </c>
      <c r="AQ21" s="20">
        <f>'[3]C-FCL Real'!AM119</f>
        <v>17.886602858577039</v>
      </c>
      <c r="AR21" s="20">
        <f>'[3]C-FCL Real'!AN119</f>
        <v>17.886602858577039</v>
      </c>
      <c r="AS21" s="20">
        <f>'[3]C-FCL Real'!AO119</f>
        <v>17.886602858577039</v>
      </c>
      <c r="AT21" s="20">
        <f>'[3]C-FCL Real'!AP119</f>
        <v>17.886602858577039</v>
      </c>
      <c r="AU21" s="20">
        <f>'[3]C-FCL Real'!AQ119</f>
        <v>17.886602858577039</v>
      </c>
      <c r="AV21" s="20">
        <f>'[3]C-FCL Real'!AR119</f>
        <v>17.886602858577039</v>
      </c>
      <c r="AW21" s="20">
        <f>'[3]C-FCL Real'!AS119</f>
        <v>17.886602858577039</v>
      </c>
      <c r="AX21" s="20">
        <f>'[3]C-FCL Real'!AT119</f>
        <v>17.886602858577039</v>
      </c>
      <c r="AY21" s="20">
        <f>'[3]C-FCL Real'!AU119</f>
        <v>17.886602858577039</v>
      </c>
      <c r="AZ21" s="20">
        <f>'[3]C-FCL Real'!AV119</f>
        <v>17.886602858577039</v>
      </c>
      <c r="BA21" s="20">
        <f>'[3]C-FCL Real'!AW119</f>
        <v>17.886602858577039</v>
      </c>
      <c r="BB21" s="20">
        <f>'[3]C-FCL Real'!AX119</f>
        <v>17.886602858577039</v>
      </c>
      <c r="BC21" s="20">
        <f>'[3]C-FCL Real'!AY119</f>
        <v>17.886602858577039</v>
      </c>
      <c r="BD21" s="20">
        <f>'[3]C-FCL Real'!AZ119</f>
        <v>17.886602858577039</v>
      </c>
      <c r="BE21" s="20">
        <f>'[3]C-FCL Real'!BA119</f>
        <v>17.886602858577039</v>
      </c>
      <c r="BF21" s="20">
        <f>'[3]C-FCL Real'!BB119</f>
        <v>17.886602858577039</v>
      </c>
      <c r="BG21" s="20">
        <f>'[3]C-FCL Real'!BC119</f>
        <v>17.886602858577039</v>
      </c>
      <c r="BH21" s="20">
        <f>'[3]C-FCL Real'!BD119</f>
        <v>0</v>
      </c>
    </row>
    <row r="22" spans="1:60" ht="15" hidden="1" customHeight="1" outlineLevel="1" x14ac:dyDescent="0.3">
      <c r="A22" s="172">
        <f>C22*1000000/$C$16</f>
        <v>421.60949148357508</v>
      </c>
      <c r="B22" s="176" t="s">
        <v>53</v>
      </c>
      <c r="C22" s="169">
        <f>SUMIF($D$15:$BG$15,1,D22:BG22)</f>
        <v>503.252601972626</v>
      </c>
      <c r="D22" s="175">
        <f t="shared" ref="D22:AJ22" si="1">NPV($C$8,D21:D21)</f>
        <v>4.568760565352135</v>
      </c>
      <c r="E22" s="20">
        <f t="shared" si="1"/>
        <v>4.568760565352135</v>
      </c>
      <c r="F22" s="20">
        <f t="shared" si="1"/>
        <v>4.568760565352135</v>
      </c>
      <c r="G22" s="20">
        <f t="shared" si="1"/>
        <v>16.318210675885645</v>
      </c>
      <c r="H22" s="20">
        <f t="shared" si="1"/>
        <v>16.318210675885645</v>
      </c>
      <c r="I22" s="20">
        <f t="shared" si="1"/>
        <v>16.318210675885645</v>
      </c>
      <c r="J22" s="20">
        <f t="shared" si="1"/>
        <v>16.318210675885645</v>
      </c>
      <c r="K22" s="20">
        <f t="shared" si="1"/>
        <v>16.318210675885645</v>
      </c>
      <c r="L22" s="20">
        <f t="shared" si="1"/>
        <v>16.318210675885645</v>
      </c>
      <c r="M22" s="20">
        <f t="shared" si="1"/>
        <v>16.318210675885645</v>
      </c>
      <c r="N22" s="20">
        <f t="shared" si="1"/>
        <v>16.318210675885645</v>
      </c>
      <c r="O22" s="20">
        <f t="shared" si="1"/>
        <v>16.318210675885645</v>
      </c>
      <c r="P22" s="20">
        <f t="shared" si="1"/>
        <v>16.318210675885645</v>
      </c>
      <c r="Q22" s="20">
        <f t="shared" si="1"/>
        <v>16.318210675885645</v>
      </c>
      <c r="R22" s="20">
        <f t="shared" si="1"/>
        <v>16.318210675885645</v>
      </c>
      <c r="S22" s="20">
        <f t="shared" si="1"/>
        <v>16.318210675885645</v>
      </c>
      <c r="T22" s="20">
        <f t="shared" si="1"/>
        <v>16.318210675885645</v>
      </c>
      <c r="U22" s="20">
        <f t="shared" si="1"/>
        <v>16.318210675885645</v>
      </c>
      <c r="V22" s="20">
        <f t="shared" si="1"/>
        <v>16.318210675885645</v>
      </c>
      <c r="W22" s="20">
        <f t="shared" si="1"/>
        <v>16.318210675885645</v>
      </c>
      <c r="X22" s="20">
        <f t="shared" si="1"/>
        <v>16.318210675885645</v>
      </c>
      <c r="Y22" s="20">
        <f t="shared" si="1"/>
        <v>16.318210675885645</v>
      </c>
      <c r="Z22" s="20">
        <f t="shared" si="1"/>
        <v>16.318210675885645</v>
      </c>
      <c r="AA22" s="20">
        <f t="shared" si="1"/>
        <v>16.318210675885645</v>
      </c>
      <c r="AB22" s="20">
        <f t="shared" si="1"/>
        <v>16.318210675885645</v>
      </c>
      <c r="AC22" s="20">
        <f t="shared" si="1"/>
        <v>16.318210675885645</v>
      </c>
      <c r="AD22" s="20">
        <f t="shared" si="1"/>
        <v>16.318210675885645</v>
      </c>
      <c r="AE22" s="20">
        <f t="shared" si="1"/>
        <v>16.318210675885645</v>
      </c>
      <c r="AF22" s="20">
        <f t="shared" si="1"/>
        <v>16.318210675885645</v>
      </c>
      <c r="AG22" s="20">
        <f t="shared" si="1"/>
        <v>16.318210675885645</v>
      </c>
      <c r="AH22" s="20">
        <f t="shared" si="1"/>
        <v>16.318210675885645</v>
      </c>
      <c r="AI22" s="20">
        <f t="shared" si="1"/>
        <v>16.318210675885645</v>
      </c>
      <c r="AJ22" s="20">
        <f t="shared" si="1"/>
        <v>16.318210675885645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229">
        <f>C21*1000000/C16</f>
        <v>492.10133175332106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'[3]C-FCL Real'!C121</f>
        <v>0</v>
      </c>
      <c r="E24" s="20">
        <f>'[3]C-FCL Real'!D121</f>
        <v>0</v>
      </c>
      <c r="F24" s="20">
        <f>'[3]C-FCL Real'!E121</f>
        <v>0</v>
      </c>
      <c r="G24" s="20">
        <f>'[3]C-FCL Real'!F121</f>
        <v>0</v>
      </c>
      <c r="H24" s="20">
        <f>'[3]C-FCL Real'!G121</f>
        <v>0</v>
      </c>
      <c r="I24" s="20">
        <f>'[3]C-FCL Real'!H121</f>
        <v>0</v>
      </c>
      <c r="J24" s="20">
        <f>'[3]C-FCL Real'!I121</f>
        <v>0</v>
      </c>
      <c r="K24" s="20">
        <f>'[3]C-FCL Real'!J121</f>
        <v>0</v>
      </c>
      <c r="L24" s="20">
        <f>'[3]C-FCL Real'!K121</f>
        <v>0</v>
      </c>
      <c r="M24" s="20">
        <f>'[3]C-FCL Real'!L121</f>
        <v>0</v>
      </c>
      <c r="N24" s="20">
        <f>'[3]C-FCL Real'!M121</f>
        <v>0</v>
      </c>
      <c r="O24" s="20">
        <f>'[3]C-FCL Real'!N121</f>
        <v>0</v>
      </c>
      <c r="P24" s="20">
        <f>'[3]C-FCL Real'!O121</f>
        <v>0</v>
      </c>
      <c r="Q24" s="20">
        <f>'[3]C-FCL Real'!P121</f>
        <v>0</v>
      </c>
      <c r="R24" s="20">
        <f>'[3]C-FCL Real'!Q121</f>
        <v>0</v>
      </c>
      <c r="S24" s="20">
        <f>'[3]C-FCL Real'!O121</f>
        <v>0</v>
      </c>
      <c r="T24" s="20">
        <f>'[3]C-FCL Real'!P121</f>
        <v>0</v>
      </c>
      <c r="U24" s="20">
        <f>'[3]C-FCL Real'!Q121</f>
        <v>0</v>
      </c>
      <c r="V24" s="20">
        <f>'[3]C-FCL Real'!R121</f>
        <v>0</v>
      </c>
      <c r="W24" s="20">
        <f>'[3]C-FCL Real'!S121</f>
        <v>0</v>
      </c>
      <c r="X24" s="20">
        <f>'[3]C-FCL Real'!T121</f>
        <v>0</v>
      </c>
      <c r="Y24" s="20">
        <f>'[3]C-FCL Real'!U121</f>
        <v>0</v>
      </c>
      <c r="Z24" s="20">
        <f>'[3]C-FCL Real'!V121</f>
        <v>0</v>
      </c>
      <c r="AA24" s="20">
        <f>'[3]C-FCL Real'!W121</f>
        <v>0</v>
      </c>
      <c r="AB24" s="20">
        <f>'[3]C-FCL Real'!X121</f>
        <v>0</v>
      </c>
      <c r="AC24" s="20">
        <f>'[3]C-FCL Real'!Y121</f>
        <v>0</v>
      </c>
      <c r="AD24" s="20">
        <f>'[3]C-FCL Real'!Z121</f>
        <v>0</v>
      </c>
      <c r="AE24" s="20">
        <f>'[3]C-FCL Real'!AA121</f>
        <v>0</v>
      </c>
      <c r="AF24" s="20">
        <f>'[3]C-FCL Real'!AB121</f>
        <v>0</v>
      </c>
      <c r="AG24" s="20">
        <f>'[3]C-FCL Real'!AC121</f>
        <v>0</v>
      </c>
      <c r="AH24" s="20">
        <f>'[3]C-FCL Real'!AD121</f>
        <v>0</v>
      </c>
      <c r="AI24" s="20">
        <f>'[3]C-FCL Real'!AE121</f>
        <v>0</v>
      </c>
      <c r="AJ24" s="20">
        <f>'[3]C-FCL Real'!AF121</f>
        <v>0</v>
      </c>
      <c r="AK24" s="20">
        <f>'[3]C-FCL Real'!AG121</f>
        <v>0</v>
      </c>
      <c r="AL24" s="20">
        <f>'[3]C-FCL Real'!AH121</f>
        <v>0</v>
      </c>
      <c r="AM24" s="20">
        <f>'[3]C-FCL Real'!AI121</f>
        <v>0</v>
      </c>
      <c r="AN24" s="20">
        <f>'[3]C-FCL Real'!AJ121</f>
        <v>0</v>
      </c>
      <c r="AO24" s="20">
        <f>'[3]C-FCL Real'!AK121</f>
        <v>0</v>
      </c>
      <c r="AP24" s="20">
        <f>'[3]C-FCL Real'!AL121</f>
        <v>0</v>
      </c>
      <c r="AQ24" s="20">
        <f>'[3]C-FCL Real'!AM121</f>
        <v>0</v>
      </c>
      <c r="AR24" s="20">
        <f>'[3]C-FCL Real'!AN121</f>
        <v>0</v>
      </c>
      <c r="AS24" s="20">
        <f>'[3]C-FCL Real'!AO121</f>
        <v>0</v>
      </c>
      <c r="AT24" s="20">
        <f>'[3]C-FCL Real'!AP121</f>
        <v>0</v>
      </c>
      <c r="AU24" s="20">
        <f>'[3]C-FCL Real'!AQ121</f>
        <v>0</v>
      </c>
      <c r="AV24" s="20">
        <f>'[3]C-FCL Real'!AR121</f>
        <v>0</v>
      </c>
      <c r="AW24" s="20">
        <f>'[3]C-FCL Real'!AS121</f>
        <v>0</v>
      </c>
      <c r="AX24" s="20">
        <f>'[3]C-FCL Real'!AT121</f>
        <v>0</v>
      </c>
      <c r="AY24" s="20">
        <f>'[3]C-FCL Real'!AU121</f>
        <v>0</v>
      </c>
      <c r="AZ24" s="20">
        <f>'[3]C-FCL Real'!AV121</f>
        <v>0</v>
      </c>
      <c r="BA24" s="20">
        <f>'[3]C-FCL Real'!AW121</f>
        <v>0</v>
      </c>
      <c r="BB24" s="20">
        <f>'[3]C-FCL Real'!AX121</f>
        <v>0</v>
      </c>
      <c r="BC24" s="20">
        <f>'[3]C-FCL Real'!AY121</f>
        <v>0</v>
      </c>
      <c r="BD24" s="20">
        <f>'[3]C-FCL Real'!AZ121</f>
        <v>0</v>
      </c>
      <c r="BE24" s="20">
        <f>'[3]C-FCL Real'!BA121</f>
        <v>0</v>
      </c>
      <c r="BF24" s="20">
        <f>'[3]C-FCL Real'!BB121</f>
        <v>0</v>
      </c>
      <c r="BG24" s="20">
        <f>'[3]C-FCL Real'!BC121</f>
        <v>0</v>
      </c>
      <c r="BH24" s="20">
        <f>'[3]C-FCL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251.19943332338059</v>
      </c>
      <c r="B27" s="173" t="str">
        <f>'[3]C-FCL Real'!B148</f>
        <v>Dados de Receitas Diretas</v>
      </c>
      <c r="C27" s="174">
        <f>SUMIF($D$15:$BG$15,1,D27:BG27)</f>
        <v>299.84326963133691</v>
      </c>
      <c r="D27" s="175">
        <f>'[3]C-FCL Real'!C148-D30</f>
        <v>7.967523530196317</v>
      </c>
      <c r="E27" s="20">
        <f>'[3]C-FCL Real'!D148-E30</f>
        <v>8.004970890788238</v>
      </c>
      <c r="F27" s="20">
        <f>'[3]C-FCL Real'!E148-F30</f>
        <v>8.0425942539749435</v>
      </c>
      <c r="G27" s="20">
        <f>'[3]C-FCL Real'!F148-G30</f>
        <v>8.0803944469686257</v>
      </c>
      <c r="H27" s="20">
        <f>'[3]C-FCL Real'!G148-H30</f>
        <v>8.1183723008693764</v>
      </c>
      <c r="I27" s="20">
        <f>'[3]C-FCL Real'!H148-I30</f>
        <v>8.1565286506834624</v>
      </c>
      <c r="J27" s="20">
        <f>'[3]C-FCL Real'!I148-J30</f>
        <v>8.1948643353416735</v>
      </c>
      <c r="K27" s="20">
        <f>'[3]C-FCL Real'!J148-K30</f>
        <v>8.2333801977177803</v>
      </c>
      <c r="L27" s="20">
        <f>'[3]C-FCL Real'!K148-L30</f>
        <v>8.2720770846470533</v>
      </c>
      <c r="M27" s="20">
        <f>'[3]C-FCL Real'!L148-M30</f>
        <v>8.3109558469448928</v>
      </c>
      <c r="N27" s="20">
        <f>'[3]C-FCL Real'!M148-N30</f>
        <v>8.3500173394255324</v>
      </c>
      <c r="O27" s="20">
        <f>'[3]C-FCL Real'!N148-O30</f>
        <v>8.3892624209208329</v>
      </c>
      <c r="P27" s="20">
        <f>'[3]C-FCL Real'!O148-P30</f>
        <v>8.4286919542991576</v>
      </c>
      <c r="Q27" s="20">
        <f>'[3]C-FCL Real'!P148-Q30</f>
        <v>8.4683068064843638</v>
      </c>
      <c r="R27" s="20">
        <f>'[3]C-FCL Real'!Q148-R30</f>
        <v>8.5081078484748396</v>
      </c>
      <c r="S27" s="20">
        <f>'[3]C-FCL Real'!O148-S30</f>
        <v>8.4286919542991576</v>
      </c>
      <c r="T27" s="20">
        <f>'[3]C-FCL Real'!P148-T30</f>
        <v>8.4683068064843638</v>
      </c>
      <c r="U27" s="20">
        <f>'[3]C-FCL Real'!Q148-U30</f>
        <v>8.5081078484748396</v>
      </c>
      <c r="V27" s="20">
        <f>'[3]C-FCL Real'!R148-V30</f>
        <v>8.5480959553626725</v>
      </c>
      <c r="W27" s="20">
        <f>'[3]C-FCL Real'!S148-W30</f>
        <v>8.5882720063528755</v>
      </c>
      <c r="X27" s="20">
        <f>'[3]C-FCL Real'!T148-X30</f>
        <v>8.6286368847827326</v>
      </c>
      <c r="Y27" s="20">
        <f>'[3]C-FCL Real'!U148-Y30</f>
        <v>8.6691914781412116</v>
      </c>
      <c r="Z27" s="20">
        <f>'[3]C-FCL Real'!V148-Z30</f>
        <v>8.7099366780884715</v>
      </c>
      <c r="AA27" s="20">
        <f>'[3]C-FCL Real'!W148-AA30</f>
        <v>8.7508733804754897</v>
      </c>
      <c r="AB27" s="20">
        <f>'[3]C-FCL Real'!X148-AB30</f>
        <v>8.7920024853637244</v>
      </c>
      <c r="AC27" s="20">
        <f>'[3]C-FCL Real'!Y148-AC30</f>
        <v>8.8333248970449318</v>
      </c>
      <c r="AD27" s="20">
        <f>'[3]C-FCL Real'!Z148-AD30</f>
        <v>8.8748415240610434</v>
      </c>
      <c r="AE27" s="20">
        <f>'[3]C-FCL Real'!AA148-AE30</f>
        <v>8.9165532792241287</v>
      </c>
      <c r="AF27" s="20">
        <f>'[3]C-FCL Real'!AB148-AF30</f>
        <v>8.9584610796364821</v>
      </c>
      <c r="AG27" s="20">
        <f>'[3]C-FCL Real'!AC148-AG30</f>
        <v>9.0005658467107743</v>
      </c>
      <c r="AH27" s="20">
        <f>'[3]C-FCL Real'!AD148-AH30</f>
        <v>9.0428685061903131</v>
      </c>
      <c r="AI27" s="20">
        <f>'[3]C-FCL Real'!AE148-AI30</f>
        <v>9.0853699881694059</v>
      </c>
      <c r="AJ27" s="20">
        <f>'[3]C-FCL Real'!AF148-AJ30</f>
        <v>9.1280712271138</v>
      </c>
      <c r="AK27" s="20">
        <f>'[3]C-FCL Real'!AG148-AK30</f>
        <v>9.1709731618812356</v>
      </c>
      <c r="AL27" s="20">
        <f>'[3]C-FCL Real'!AH148-AL30</f>
        <v>9.2140767357420774</v>
      </c>
      <c r="AM27" s="20">
        <f>'[3]C-FCL Real'!AI148-AM30</f>
        <v>9.2573828964000651</v>
      </c>
      <c r="AN27" s="20">
        <f>'[3]C-FCL Real'!AJ148-AN30</f>
        <v>9.3008925960131439</v>
      </c>
      <c r="AO27" s="20">
        <f>'[3]C-FCL Real'!AK148-AO30</f>
        <v>9.3446067912144066</v>
      </c>
      <c r="AP27" s="20">
        <f>'[3]C-FCL Real'!AL148-AP30</f>
        <v>9.388526443133113</v>
      </c>
      <c r="AQ27" s="20">
        <f>'[3]C-FCL Real'!AM148-AQ30</f>
        <v>9.4326525174158391</v>
      </c>
      <c r="AR27" s="20">
        <f>'[3]C-FCL Real'!AN148-AR30</f>
        <v>9.476985984247694</v>
      </c>
      <c r="AS27" s="20">
        <f>'[3]C-FCL Real'!AO148-AS30</f>
        <v>9.5215278183736558</v>
      </c>
      <c r="AT27" s="20">
        <f>'[3]C-FCL Real'!AP148-AT30</f>
        <v>9.5662789991200103</v>
      </c>
      <c r="AU27" s="20">
        <f>'[3]C-FCL Real'!AQ148-AU30</f>
        <v>9.6112405104158718</v>
      </c>
      <c r="AV27" s="20">
        <f>'[3]C-FCL Real'!AR148-AV30</f>
        <v>9.6564133408148276</v>
      </c>
      <c r="AW27" s="20">
        <f>'[3]C-FCL Real'!AS148-AW30</f>
        <v>9.701798483516658</v>
      </c>
      <c r="AX27" s="20">
        <f>'[3]C-FCL Real'!AT148-AX30</f>
        <v>9.7473969363891833</v>
      </c>
      <c r="AY27" s="20">
        <f>'[3]C-FCL Real'!AU148-AY30</f>
        <v>9.7932097019902109</v>
      </c>
      <c r="AZ27" s="20">
        <f>'[3]C-FCL Real'!AV148-AZ30</f>
        <v>9.8392377875895676</v>
      </c>
      <c r="BA27" s="20">
        <f>'[3]C-FCL Real'!AW148-BA30</f>
        <v>9.8854822051912361</v>
      </c>
      <c r="BB27" s="20">
        <f>'[3]C-FCL Real'!AX148-BB30</f>
        <v>9.9319439715556346</v>
      </c>
      <c r="BC27" s="20">
        <f>'[3]C-FCL Real'!AY148-BC30</f>
        <v>9.9786241082219469</v>
      </c>
      <c r="BD27" s="20">
        <f>'[3]C-FCL Real'!AZ148-BD30</f>
        <v>10.02552364153059</v>
      </c>
      <c r="BE27" s="20">
        <f>'[3]C-FCL Real'!BA148-BE30</f>
        <v>10.072643602645783</v>
      </c>
      <c r="BF27" s="20">
        <f>'[3]C-FCL Real'!BB148-BF30</f>
        <v>10.119985027578219</v>
      </c>
      <c r="BG27" s="20">
        <f>'[3]C-FCL Real'!BC148-BG30</f>
        <v>10.167548957207835</v>
      </c>
      <c r="BH27" s="20">
        <f>'[3]C-FCL Real'!BD148-BH30</f>
        <v>0</v>
      </c>
    </row>
    <row r="28" spans="1:60" ht="15" hidden="1" customHeight="1" outlineLevel="1" x14ac:dyDescent="0.3">
      <c r="A28" s="172">
        <f>C28*1000000/$C$16</f>
        <v>215.12107435706636</v>
      </c>
      <c r="B28" s="176" t="s">
        <v>56</v>
      </c>
      <c r="C28" s="169">
        <f>SUMIF($D$15:$BG$15,1,D28:BG28)</f>
        <v>256.77847058990596</v>
      </c>
      <c r="D28" s="175">
        <f t="shared" ref="D28:AJ28" si="3">NPV($C$8,D27:D27)</f>
        <v>7.2688888191238661</v>
      </c>
      <c r="E28" s="20">
        <f t="shared" si="3"/>
        <v>7.3030525965737461</v>
      </c>
      <c r="F28" s="20">
        <f t="shared" si="3"/>
        <v>7.3373769437776435</v>
      </c>
      <c r="G28" s="20">
        <f t="shared" si="3"/>
        <v>7.3718626154133986</v>
      </c>
      <c r="H28" s="20">
        <f t="shared" si="3"/>
        <v>7.4065103697058401</v>
      </c>
      <c r="I28" s="20">
        <f t="shared" si="3"/>
        <v>7.4413209684434571</v>
      </c>
      <c r="J28" s="20">
        <f t="shared" si="3"/>
        <v>7.4762951769951407</v>
      </c>
      <c r="K28" s="20">
        <f t="shared" si="3"/>
        <v>7.5114337643270188</v>
      </c>
      <c r="L28" s="20">
        <f t="shared" si="3"/>
        <v>7.5467375030193544</v>
      </c>
      <c r="M28" s="20">
        <f t="shared" si="3"/>
        <v>7.582207169283544</v>
      </c>
      <c r="N28" s="20">
        <f t="shared" si="3"/>
        <v>7.617843542979176</v>
      </c>
      <c r="O28" s="20">
        <f t="shared" si="3"/>
        <v>7.653647407631178</v>
      </c>
      <c r="P28" s="20">
        <f t="shared" si="3"/>
        <v>7.6896195504470422</v>
      </c>
      <c r="Q28" s="20">
        <f t="shared" si="3"/>
        <v>7.7257607623341435</v>
      </c>
      <c r="R28" s="20">
        <f t="shared" si="3"/>
        <v>7.7620718379171132</v>
      </c>
      <c r="S28" s="20">
        <f t="shared" si="3"/>
        <v>7.6896195504470422</v>
      </c>
      <c r="T28" s="20">
        <f t="shared" si="3"/>
        <v>7.7257607623341435</v>
      </c>
      <c r="U28" s="20">
        <f t="shared" si="3"/>
        <v>7.7620718379171132</v>
      </c>
      <c r="V28" s="20">
        <f t="shared" si="3"/>
        <v>7.7985535755553244</v>
      </c>
      <c r="W28" s="20">
        <f t="shared" si="3"/>
        <v>7.8352067773604333</v>
      </c>
      <c r="X28" s="20">
        <f t="shared" si="3"/>
        <v>7.8720322492140262</v>
      </c>
      <c r="Y28" s="20">
        <f t="shared" si="3"/>
        <v>7.9090308007853318</v>
      </c>
      <c r="Z28" s="20">
        <f t="shared" si="3"/>
        <v>7.946203245549019</v>
      </c>
      <c r="AA28" s="20">
        <f t="shared" si="3"/>
        <v>7.983550400803102</v>
      </c>
      <c r="AB28" s="20">
        <f t="shared" si="3"/>
        <v>8.0210730876868759</v>
      </c>
      <c r="AC28" s="20">
        <f t="shared" si="3"/>
        <v>8.058772131199003</v>
      </c>
      <c r="AD28" s="20">
        <f t="shared" si="3"/>
        <v>8.0966483602156387</v>
      </c>
      <c r="AE28" s="20">
        <f t="shared" si="3"/>
        <v>8.1347026075086504</v>
      </c>
      <c r="AF28" s="20">
        <f t="shared" si="3"/>
        <v>8.1729357097639408</v>
      </c>
      <c r="AG28" s="20">
        <f t="shared" si="3"/>
        <v>8.2113485075998334</v>
      </c>
      <c r="AH28" s="20">
        <f t="shared" si="3"/>
        <v>8.2499418455855498</v>
      </c>
      <c r="AI28" s="20">
        <f t="shared" si="3"/>
        <v>8.2887165722598013</v>
      </c>
      <c r="AJ28" s="20">
        <f t="shared" si="3"/>
        <v>8.3276735401494193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66.010975334108764</v>
      </c>
      <c r="B30" s="173" t="str">
        <f>'[3]C-FCL Real'!B149</f>
        <v>Receita do Ente Público pela disposição do RPU</v>
      </c>
      <c r="C30" s="174">
        <f>SUMIF($D$15:$BG$15,1,D30:BG30)</f>
        <v>78.793755279902783</v>
      </c>
      <c r="D30" s="175">
        <f>'[3]C-FCL Real'!C149</f>
        <v>2.0937308347692354</v>
      </c>
      <c r="E30" s="20">
        <f>'[3]C-FCL Real'!D149</f>
        <v>2.1035713696926508</v>
      </c>
      <c r="F30" s="20">
        <f>'[3]C-FCL Real'!E149</f>
        <v>2.1134581551302061</v>
      </c>
      <c r="G30" s="20">
        <f>'[3]C-FCL Real'!F149</f>
        <v>2.1233914084593177</v>
      </c>
      <c r="H30" s="20">
        <f>'[3]C-FCL Real'!G149</f>
        <v>2.1333713480790766</v>
      </c>
      <c r="I30" s="20">
        <f>'[3]C-FCL Real'!H149</f>
        <v>2.1433981934150479</v>
      </c>
      <c r="J30" s="20">
        <f>'[3]C-FCL Real'!I149</f>
        <v>2.1534721649240987</v>
      </c>
      <c r="K30" s="20">
        <f>'[3]C-FCL Real'!J149</f>
        <v>2.1635934840992417</v>
      </c>
      <c r="L30" s="20">
        <f>'[3]C-FCL Real'!K149</f>
        <v>2.1737623734745082</v>
      </c>
      <c r="M30" s="20">
        <f>'[3]C-FCL Real'!L149</f>
        <v>2.183979056629838</v>
      </c>
      <c r="N30" s="20">
        <f>'[3]C-FCL Real'!M149</f>
        <v>2.1942437581959982</v>
      </c>
      <c r="O30" s="20">
        <f>'[3]C-FCL Real'!N149</f>
        <v>2.2045567038595193</v>
      </c>
      <c r="P30" s="20">
        <f>'[3]C-FCL Real'!O149</f>
        <v>2.2149181203676589</v>
      </c>
      <c r="Q30" s="20">
        <f>'[3]C-FCL Real'!P149</f>
        <v>2.2253282355333868</v>
      </c>
      <c r="R30" s="20">
        <f>'[3]C-FCL Real'!Q149</f>
        <v>2.2357872782403936</v>
      </c>
      <c r="S30" s="20">
        <f>'[3]C-FCL Real'!O149</f>
        <v>2.2149181203676589</v>
      </c>
      <c r="T30" s="20">
        <f>'[3]C-FCL Real'!P149</f>
        <v>2.2253282355333868</v>
      </c>
      <c r="U30" s="20">
        <f>'[3]C-FCL Real'!Q149</f>
        <v>2.2357872782403936</v>
      </c>
      <c r="V30" s="20">
        <f>'[3]C-FCL Real'!R149</f>
        <v>2.2462954784481233</v>
      </c>
      <c r="W30" s="20">
        <f>'[3]C-FCL Real'!S149</f>
        <v>2.2568530671968294</v>
      </c>
      <c r="X30" s="20">
        <f>'[3]C-FCL Real'!T149</f>
        <v>2.2674602766126544</v>
      </c>
      <c r="Y30" s="20">
        <f>'[3]C-FCL Real'!U149</f>
        <v>2.2781173399127335</v>
      </c>
      <c r="Z30" s="20">
        <f>'[3]C-FCL Real'!V149</f>
        <v>2.2888244914103231</v>
      </c>
      <c r="AA30" s="20">
        <f>'[3]C-FCL Real'!W149</f>
        <v>2.2995819665199515</v>
      </c>
      <c r="AB30" s="20">
        <f>'[3]C-FCL Real'!X149</f>
        <v>2.3103900017625949</v>
      </c>
      <c r="AC30" s="20">
        <f>'[3]C-FCL Real'!Y149</f>
        <v>2.3212488347708788</v>
      </c>
      <c r="AD30" s="20">
        <f>'[3]C-FCL Real'!Z149</f>
        <v>2.3321587042943017</v>
      </c>
      <c r="AE30" s="20">
        <f>'[3]C-FCL Real'!AA149</f>
        <v>2.3431198502044848</v>
      </c>
      <c r="AF30" s="20">
        <f>'[3]C-FCL Real'!AB149</f>
        <v>2.3541325135004456</v>
      </c>
      <c r="AG30" s="20">
        <f>'[3]C-FCL Real'!AC149</f>
        <v>2.3651969363138976</v>
      </c>
      <c r="AH30" s="20">
        <f>'[3]C-FCL Real'!AD149</f>
        <v>2.3763133619145727</v>
      </c>
      <c r="AI30" s="20">
        <f>'[3]C-FCL Real'!AE149</f>
        <v>2.3874820347155712</v>
      </c>
      <c r="AJ30" s="20">
        <f>'[3]C-FCL Real'!AF149</f>
        <v>2.3987032002787343</v>
      </c>
      <c r="AK30" s="20">
        <f>'[3]C-FCL Real'!AG149</f>
        <v>2.4099771053200443</v>
      </c>
      <c r="AL30" s="20">
        <f>'[3]C-FCL Real'!AH149</f>
        <v>2.4213039977150483</v>
      </c>
      <c r="AM30" s="20">
        <f>'[3]C-FCL Real'!AI149</f>
        <v>2.4326841265043089</v>
      </c>
      <c r="AN30" s="20">
        <f>'[3]C-FCL Real'!AJ149</f>
        <v>2.4441177418988791</v>
      </c>
      <c r="AO30" s="20">
        <f>'[3]C-FCL Real'!AK149</f>
        <v>2.4556050952858035</v>
      </c>
      <c r="AP30" s="20">
        <f>'[3]C-FCL Real'!AL149</f>
        <v>2.4671464392336464</v>
      </c>
      <c r="AQ30" s="20">
        <f>'[3]C-FCL Real'!AM149</f>
        <v>2.4787420274980443</v>
      </c>
      <c r="AR30" s="20">
        <f>'[3]C-FCL Real'!AN149</f>
        <v>2.490392115027285</v>
      </c>
      <c r="AS30" s="20">
        <f>'[3]C-FCL Real'!AO149</f>
        <v>2.5020969579679129</v>
      </c>
      <c r="AT30" s="20">
        <f>'[3]C-FCL Real'!AP149</f>
        <v>2.5138568136703618</v>
      </c>
      <c r="AU30" s="20">
        <f>'[3]C-FCL Real'!AQ149</f>
        <v>2.5256719406946124</v>
      </c>
      <c r="AV30" s="20">
        <f>'[3]C-FCL Real'!AR149</f>
        <v>2.5375425988158771</v>
      </c>
      <c r="AW30" s="20">
        <f>'[3]C-FCL Real'!AS149</f>
        <v>2.5494690490303116</v>
      </c>
      <c r="AX30" s="20">
        <f>'[3]C-FCL Real'!AT149</f>
        <v>2.561451553560754</v>
      </c>
      <c r="AY30" s="20">
        <f>'[3]C-FCL Real'!AU149</f>
        <v>2.5734903758624892</v>
      </c>
      <c r="AZ30" s="20">
        <f>'[3]C-FCL Real'!AV149</f>
        <v>2.5855857806290428</v>
      </c>
      <c r="BA30" s="20">
        <f>'[3]C-FCL Real'!AW149</f>
        <v>2.5977380337979992</v>
      </c>
      <c r="BB30" s="20">
        <f>'[3]C-FCL Real'!AX149</f>
        <v>2.6099474025568496</v>
      </c>
      <c r="BC30" s="20">
        <f>'[3]C-FCL Real'!AY149</f>
        <v>2.6222141553488667</v>
      </c>
      <c r="BD30" s="20">
        <f>'[3]C-FCL Real'!AZ149</f>
        <v>2.634538561879006</v>
      </c>
      <c r="BE30" s="20">
        <f>'[3]C-FCL Real'!BA149</f>
        <v>2.6469208931198374</v>
      </c>
      <c r="BF30" s="20">
        <f>'[3]C-FCL Real'!BB149</f>
        <v>2.6593614213175005</v>
      </c>
      <c r="BG30" s="20">
        <f>'[3]C-FCL Real'!BC149</f>
        <v>2.6718604199976927</v>
      </c>
      <c r="BH30" s="20">
        <f>'[3]C-FCL Real'!BD149</f>
        <v>0</v>
      </c>
    </row>
    <row r="31" spans="1:60" ht="15" hidden="1" customHeight="1" outlineLevel="1" x14ac:dyDescent="0.3">
      <c r="A31" s="172">
        <f>C31*1000000/$C$16</f>
        <v>56.530190953697435</v>
      </c>
      <c r="B31" s="176" t="s">
        <v>57</v>
      </c>
      <c r="C31" s="169">
        <f>SUMIF($D$15:$BG$15,1,D31:BG31)</f>
        <v>67.477052253615938</v>
      </c>
      <c r="D31" s="175">
        <f t="shared" ref="D31:AJ31" si="4">NPV($C$8,D30:D30)</f>
        <v>1.9101414131291532</v>
      </c>
      <c r="E31" s="20">
        <f t="shared" si="4"/>
        <v>1.9191190777708602</v>
      </c>
      <c r="F31" s="20">
        <f t="shared" si="4"/>
        <v>1.9281389374363831</v>
      </c>
      <c r="G31" s="20">
        <f t="shared" si="4"/>
        <v>1.9372011904423339</v>
      </c>
      <c r="H31" s="20">
        <f t="shared" si="4"/>
        <v>1.9463060360374129</v>
      </c>
      <c r="I31" s="20">
        <f t="shared" si="4"/>
        <v>1.9554536744067885</v>
      </c>
      <c r="J31" s="20">
        <f t="shared" si="4"/>
        <v>1.9646443066765005</v>
      </c>
      <c r="K31" s="20">
        <f t="shared" si="4"/>
        <v>1.9738781349178798</v>
      </c>
      <c r="L31" s="20">
        <f t="shared" si="4"/>
        <v>1.9831553621519937</v>
      </c>
      <c r="M31" s="20">
        <f t="shared" si="4"/>
        <v>1.9924761923541079</v>
      </c>
      <c r="N31" s="20">
        <f t="shared" si="4"/>
        <v>2.0018408304581721</v>
      </c>
      <c r="O31" s="20">
        <f t="shared" si="4"/>
        <v>2.0112494823613254</v>
      </c>
      <c r="P31" s="20">
        <f t="shared" si="4"/>
        <v>2.0207023549284235</v>
      </c>
      <c r="Q31" s="20">
        <f t="shared" si="4"/>
        <v>2.0301996559965869</v>
      </c>
      <c r="R31" s="20">
        <f t="shared" si="4"/>
        <v>2.039741594379771</v>
      </c>
      <c r="S31" s="20">
        <f t="shared" si="4"/>
        <v>2.0207023549284235</v>
      </c>
      <c r="T31" s="20">
        <f t="shared" si="4"/>
        <v>2.0301996559965869</v>
      </c>
      <c r="U31" s="20">
        <f t="shared" si="4"/>
        <v>2.039741594379771</v>
      </c>
      <c r="V31" s="20">
        <f t="shared" si="4"/>
        <v>2.0493283798733555</v>
      </c>
      <c r="W31" s="20">
        <f t="shared" si="4"/>
        <v>2.0589602232587603</v>
      </c>
      <c r="X31" s="20">
        <f t="shared" si="4"/>
        <v>2.0686373363080763</v>
      </c>
      <c r="Y31" s="20">
        <f t="shared" si="4"/>
        <v>2.0783599317887242</v>
      </c>
      <c r="Z31" s="20">
        <f t="shared" si="4"/>
        <v>2.0881282234681309</v>
      </c>
      <c r="AA31" s="20">
        <f t="shared" si="4"/>
        <v>2.097942426118431</v>
      </c>
      <c r="AB31" s="20">
        <f t="shared" si="4"/>
        <v>2.1078027555211873</v>
      </c>
      <c r="AC31" s="20">
        <f t="shared" si="4"/>
        <v>2.1177094284721365</v>
      </c>
      <c r="AD31" s="20">
        <f t="shared" si="4"/>
        <v>2.1276626627859554</v>
      </c>
      <c r="AE31" s="20">
        <f t="shared" si="4"/>
        <v>2.1376626773010492</v>
      </c>
      <c r="AF31" s="20">
        <f t="shared" si="4"/>
        <v>2.1477096918843639</v>
      </c>
      <c r="AG31" s="20">
        <f t="shared" si="4"/>
        <v>2.1578039274362202</v>
      </c>
      <c r="AH31" s="20">
        <f t="shared" si="4"/>
        <v>2.1679456058951705</v>
      </c>
      <c r="AI31" s="20">
        <f t="shared" si="4"/>
        <v>2.1781349502428777</v>
      </c>
      <c r="AJ31" s="20">
        <f t="shared" si="4"/>
        <v>2.1883721845090194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-254.80092296398419</v>
      </c>
      <c r="B33" s="173" t="s">
        <v>58</v>
      </c>
      <c r="C33" s="174">
        <f>SUMIF($D$15:$BG$15,1,D33:BG33)</f>
        <v>-304.1421743505677</v>
      </c>
      <c r="D33" s="175">
        <f>'[3]C-FCL Real'!C153</f>
        <v>-23.835737601358186</v>
      </c>
      <c r="E33" s="20">
        <f>'[3]C-FCL Real'!D153</f>
        <v>-22.737220702731165</v>
      </c>
      <c r="F33" s="20">
        <f>'[3]C-FCL Real'!E153</f>
        <v>-33.509100448701233</v>
      </c>
      <c r="G33" s="20">
        <f>'[3]C-FCL Real'!F153</f>
        <v>-7.6828170031490952</v>
      </c>
      <c r="H33" s="20">
        <f>'[3]C-FCL Real'!G153</f>
        <v>-7.6348592096285852</v>
      </c>
      <c r="I33" s="20">
        <f>'[3]C-FCL Real'!H153</f>
        <v>-7.5866760144785275</v>
      </c>
      <c r="J33" s="20">
        <f>'[3]C-FCL Real'!I153</f>
        <v>-7.538266358311267</v>
      </c>
      <c r="K33" s="20">
        <f>'[3]C-FCL Real'!J153</f>
        <v>-7.4896291767600172</v>
      </c>
      <c r="L33" s="20">
        <f>'[3]C-FCL Real'!K153</f>
        <v>-7.4407634004554772</v>
      </c>
      <c r="M33" s="20">
        <f>'[3]C-FCL Real'!L153</f>
        <v>-7.3916679550023083</v>
      </c>
      <c r="N33" s="20">
        <f>'[3]C-FCL Real'!M153</f>
        <v>-7.3423417609555077</v>
      </c>
      <c r="O33" s="20">
        <f>'[3]C-FCL Real'!N153</f>
        <v>-7.2927837337966857</v>
      </c>
      <c r="P33" s="20">
        <f>'[3]C-FCL Real'!O153</f>
        <v>-7.2429927839102213</v>
      </c>
      <c r="Q33" s="20">
        <f>'[3]C-FCL Real'!P153</f>
        <v>-7.192967816559289</v>
      </c>
      <c r="R33" s="20">
        <f>'[3]C-FCL Real'!Q153</f>
        <v>-7.1427077318618046</v>
      </c>
      <c r="S33" s="20">
        <f>'[3]C-FCL Real'!O153</f>
        <v>-7.2429927839102213</v>
      </c>
      <c r="T33" s="20">
        <f>'[3]C-FCL Real'!P153</f>
        <v>-7.192967816559289</v>
      </c>
      <c r="U33" s="20">
        <f>'[3]C-FCL Real'!Q153</f>
        <v>-7.1427077318618046</v>
      </c>
      <c r="V33" s="20">
        <f>'[3]C-FCL Real'!R153</f>
        <v>-7.0922114247662424</v>
      </c>
      <c r="W33" s="20">
        <f>'[3]C-FCL Real'!S153</f>
        <v>-7.0414777850273342</v>
      </c>
      <c r="X33" s="20">
        <f>'[3]C-FCL Real'!T153</f>
        <v>-6.9905056971816517</v>
      </c>
      <c r="Y33" s="20">
        <f>'[3]C-FCL Real'!U153</f>
        <v>-6.9392940405230945</v>
      </c>
      <c r="Z33" s="20">
        <f>'[3]C-FCL Real'!V153</f>
        <v>-6.8878416890782432</v>
      </c>
      <c r="AA33" s="20">
        <f>'[3]C-FCL Real'!W153</f>
        <v>-6.8361475115815971</v>
      </c>
      <c r="AB33" s="20">
        <f>'[3]C-FCL Real'!X153</f>
        <v>-6.7842103714507189</v>
      </c>
      <c r="AC33" s="20">
        <f>'[3]C-FCL Real'!Y153</f>
        <v>-6.732029126761228</v>
      </c>
      <c r="AD33" s="20">
        <f>'[3]C-FCL Real'!Z153</f>
        <v>-6.6796026302216944</v>
      </c>
      <c r="AE33" s="20">
        <f>'[3]C-FCL Real'!AA153</f>
        <v>-6.6269297291484257</v>
      </c>
      <c r="AF33" s="20">
        <f>'[3]C-FCL Real'!AB153</f>
        <v>-6.574009265440111</v>
      </c>
      <c r="AG33" s="20">
        <f>'[3]C-FCL Real'!AC153</f>
        <v>-6.5208400755523677</v>
      </c>
      <c r="AH33" s="20">
        <f>'[3]C-FCL Real'!AD153</f>
        <v>-6.4674209904721529</v>
      </c>
      <c r="AI33" s="20">
        <f>'[3]C-FCL Real'!AE153</f>
        <v>-6.4137508356920616</v>
      </c>
      <c r="AJ33" s="20">
        <f>'[3]C-FCL Real'!AF153</f>
        <v>-6.3598284311845035</v>
      </c>
      <c r="AK33" s="20">
        <f>'[3]C-FCL Real'!AG153</f>
        <v>-6.3056525913757593</v>
      </c>
      <c r="AL33" s="20">
        <f>'[3]C-FCL Real'!AH153</f>
        <v>-6.2512221251199129</v>
      </c>
      <c r="AM33" s="20">
        <f>'[3]C-FCL Real'!AI153</f>
        <v>-6.1965358356726643</v>
      </c>
      <c r="AN33" s="20">
        <f>'[3]C-FCL Real'!AJ153</f>
        <v>-6.1415925206650162</v>
      </c>
      <c r="AO33" s="20">
        <f>'[3]C-FCL Real'!AK153</f>
        <v>-6.0863909720768277</v>
      </c>
      <c r="AP33" s="20">
        <f>'[3]C-FCL Real'!AL153</f>
        <v>-6.0309299762102793</v>
      </c>
      <c r="AQ33" s="20">
        <f>'[3]C-FCL Real'!AM153</f>
        <v>-5.9752083136631562</v>
      </c>
      <c r="AR33" s="20">
        <f>'[3]C-FCL Real'!AN153</f>
        <v>-5.9192247593020593</v>
      </c>
      <c r="AS33" s="20">
        <f>'[3]C-FCL Real'!AO153</f>
        <v>-5.86297808223547</v>
      </c>
      <c r="AT33" s="20">
        <f>'[3]C-FCL Real'!AP153</f>
        <v>-5.8064670457866665</v>
      </c>
      <c r="AU33" s="20">
        <f>'[3]C-FCL Real'!AQ153</f>
        <v>-5.749690407466554</v>
      </c>
      <c r="AV33" s="20">
        <f>'[3]C-FCL Real'!AR153</f>
        <v>-5.692646918946334</v>
      </c>
      <c r="AW33" s="20">
        <f>'[3]C-FCL Real'!AS153</f>
        <v>-5.63533532603007</v>
      </c>
      <c r="AX33" s="20">
        <f>'[3]C-FCL Real'!AT153</f>
        <v>-5.5777543686271009</v>
      </c>
      <c r="AY33" s="20">
        <f>'[3]C-FCL Real'!AU153</f>
        <v>-5.5199027807243386</v>
      </c>
      <c r="AZ33" s="20">
        <f>'[3]C-FCL Real'!AV153</f>
        <v>-5.4617792903584288</v>
      </c>
      <c r="BA33" s="20">
        <f>'[3]C-FCL Real'!AW153</f>
        <v>-5.4033826195878039</v>
      </c>
      <c r="BB33" s="20">
        <f>'[3]C-FCL Real'!AX153</f>
        <v>-5.344711484464554</v>
      </c>
      <c r="BC33" s="20">
        <f>'[3]C-FCL Real'!AY153</f>
        <v>-5.2857645950062242</v>
      </c>
      <c r="BD33" s="20">
        <f>'[3]C-FCL Real'!AZ153</f>
        <v>-5.226540655167442</v>
      </c>
      <c r="BE33" s="20">
        <f>'[3]C-FCL Real'!BA153</f>
        <v>-5.167038362811418</v>
      </c>
      <c r="BF33" s="20">
        <f>'[3]C-FCL Real'!BB153</f>
        <v>-5.1072564096813196</v>
      </c>
      <c r="BG33" s="20">
        <f>'[3]C-FCL Real'!BC153</f>
        <v>-5.0471934813715116</v>
      </c>
      <c r="BH33" s="20">
        <f>'[3]C-FCL Real'!BD153</f>
        <v>0</v>
      </c>
    </row>
    <row r="34" spans="1:60" ht="15" hidden="1" customHeight="1" outlineLevel="1" x14ac:dyDescent="0.3">
      <c r="A34" s="172">
        <f>C34*1000000/$C$16</f>
        <v>-222.86129352823181</v>
      </c>
      <c r="B34" s="176" t="s">
        <v>59</v>
      </c>
      <c r="C34" s="169">
        <f>SUMIF($D$15:$BG$15,1,D34:BG34)</f>
        <v>-266.0175544255676</v>
      </c>
      <c r="D34" s="175">
        <f t="shared" ref="D34:AJ34" si="5">NPV($C$8,D33:D33)</f>
        <v>-21.745693739019782</v>
      </c>
      <c r="E34" s="20">
        <f t="shared" si="5"/>
        <v>-20.743500626971095</v>
      </c>
      <c r="F34" s="20">
        <f t="shared" si="5"/>
        <v>-30.570844838717573</v>
      </c>
      <c r="G34" s="20">
        <f t="shared" si="5"/>
        <v>-7.0091468700299115</v>
      </c>
      <c r="H34" s="20">
        <f t="shared" si="5"/>
        <v>-6.9653942701423901</v>
      </c>
      <c r="I34" s="20">
        <f t="shared" si="5"/>
        <v>-6.9214360330353975</v>
      </c>
      <c r="J34" s="20">
        <f t="shared" si="5"/>
        <v>-6.8772711922140033</v>
      </c>
      <c r="K34" s="20">
        <f t="shared" si="5"/>
        <v>-6.8328987766407456</v>
      </c>
      <c r="L34" s="20">
        <f t="shared" si="5"/>
        <v>-6.788317810714295</v>
      </c>
      <c r="M34" s="20">
        <f t="shared" si="5"/>
        <v>-6.7435273142479915</v>
      </c>
      <c r="N34" s="20">
        <f t="shared" si="5"/>
        <v>-6.6985263024482951</v>
      </c>
      <c r="O34" s="20">
        <f t="shared" si="5"/>
        <v>-6.6533137858931388</v>
      </c>
      <c r="P34" s="20">
        <f t="shared" si="5"/>
        <v>-6.6078887705101774</v>
      </c>
      <c r="Q34" s="20">
        <f t="shared" si="5"/>
        <v>-6.562250257554914</v>
      </c>
      <c r="R34" s="20">
        <f t="shared" si="5"/>
        <v>-6.5163972435887594</v>
      </c>
      <c r="S34" s="20">
        <f t="shared" si="5"/>
        <v>-6.6078887705101774</v>
      </c>
      <c r="T34" s="20">
        <f t="shared" si="5"/>
        <v>-6.562250257554914</v>
      </c>
      <c r="U34" s="20">
        <f t="shared" si="5"/>
        <v>-6.5163972435887594</v>
      </c>
      <c r="V34" s="20">
        <f t="shared" si="5"/>
        <v>-6.4703287204569628</v>
      </c>
      <c r="W34" s="20">
        <f t="shared" si="5"/>
        <v>-6.4240436752664509</v>
      </c>
      <c r="X34" s="20">
        <f t="shared" si="5"/>
        <v>-6.3775410903635414</v>
      </c>
      <c r="Y34" s="20">
        <f t="shared" si="5"/>
        <v>-6.3308199433115888</v>
      </c>
      <c r="Z34" s="20">
        <f t="shared" si="5"/>
        <v>-6.2838792068684928</v>
      </c>
      <c r="AA34" s="20">
        <f t="shared" si="5"/>
        <v>-6.2367178489641102</v>
      </c>
      <c r="AB34" s="20">
        <f t="shared" si="5"/>
        <v>-6.189334832677579</v>
      </c>
      <c r="AC34" s="20">
        <f t="shared" si="5"/>
        <v>-6.1417291162145045</v>
      </c>
      <c r="AD34" s="20">
        <f t="shared" si="5"/>
        <v>-6.0938996528840503</v>
      </c>
      <c r="AE34" s="20">
        <f t="shared" si="5"/>
        <v>-6.045845391075944</v>
      </c>
      <c r="AF34" s="20">
        <f t="shared" si="5"/>
        <v>-5.9975652742373384</v>
      </c>
      <c r="AG34" s="20">
        <f t="shared" si="5"/>
        <v>-5.9490582408495918</v>
      </c>
      <c r="AH34" s="20">
        <f t="shared" si="5"/>
        <v>-5.9003232244049233</v>
      </c>
      <c r="AI34" s="20">
        <f t="shared" si="5"/>
        <v>-5.8513591533829654</v>
      </c>
      <c r="AJ34" s="20">
        <f t="shared" si="5"/>
        <v>-5.802164951227204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-254.80092296398419</v>
      </c>
      <c r="B39" s="173" t="s">
        <v>62</v>
      </c>
      <c r="C39" s="174">
        <f>SUMIF($D$15:$BG$15,1,D39:BG39)</f>
        <v>-304.1421743505677</v>
      </c>
      <c r="D39" s="175">
        <f>'[3]C-FCL Real'!C156</f>
        <v>-23.835737601358186</v>
      </c>
      <c r="E39" s="20">
        <f>'[3]C-FCL Real'!D156</f>
        <v>-22.737220702731165</v>
      </c>
      <c r="F39" s="20">
        <f>'[3]C-FCL Real'!E156</f>
        <v>-33.509100448701233</v>
      </c>
      <c r="G39" s="20">
        <f>'[3]C-FCL Real'!F156</f>
        <v>-7.6828170031490952</v>
      </c>
      <c r="H39" s="20">
        <f>'[3]C-FCL Real'!G156</f>
        <v>-7.6348592096285852</v>
      </c>
      <c r="I39" s="20">
        <f>'[3]C-FCL Real'!H156</f>
        <v>-7.5866760144785275</v>
      </c>
      <c r="J39" s="20">
        <f>'[3]C-FCL Real'!I156</f>
        <v>-7.538266358311267</v>
      </c>
      <c r="K39" s="20">
        <f>'[3]C-FCL Real'!J156</f>
        <v>-7.4896291767600172</v>
      </c>
      <c r="L39" s="20">
        <f>'[3]C-FCL Real'!K156</f>
        <v>-7.4407634004554772</v>
      </c>
      <c r="M39" s="20">
        <f>'[3]C-FCL Real'!L156</f>
        <v>-7.3916679550023083</v>
      </c>
      <c r="N39" s="20">
        <f>'[3]C-FCL Real'!M156</f>
        <v>-7.3423417609555077</v>
      </c>
      <c r="O39" s="20">
        <f>'[3]C-FCL Real'!N156</f>
        <v>-7.2927837337966857</v>
      </c>
      <c r="P39" s="20">
        <f>'[3]C-FCL Real'!O156</f>
        <v>-7.2429927839102213</v>
      </c>
      <c r="Q39" s="20">
        <f>'[3]C-FCL Real'!P156</f>
        <v>-7.192967816559289</v>
      </c>
      <c r="R39" s="20">
        <f>'[3]C-FCL Real'!Q156</f>
        <v>-7.1427077318618046</v>
      </c>
      <c r="S39" s="20">
        <f>'[3]C-FCL Real'!O156</f>
        <v>-7.2429927839102213</v>
      </c>
      <c r="T39" s="20">
        <f>'[3]C-FCL Real'!P156</f>
        <v>-7.192967816559289</v>
      </c>
      <c r="U39" s="20">
        <f>'[3]C-FCL Real'!Q156</f>
        <v>-7.1427077318618046</v>
      </c>
      <c r="V39" s="20">
        <f>'[3]C-FCL Real'!R156</f>
        <v>-7.0922114247662424</v>
      </c>
      <c r="W39" s="20">
        <f>'[3]C-FCL Real'!S156</f>
        <v>-7.0414777850273342</v>
      </c>
      <c r="X39" s="20">
        <f>'[3]C-FCL Real'!T156</f>
        <v>-6.9905056971816517</v>
      </c>
      <c r="Y39" s="20">
        <f>'[3]C-FCL Real'!U156</f>
        <v>-6.9392940405230945</v>
      </c>
      <c r="Z39" s="20">
        <f>'[3]C-FCL Real'!V156</f>
        <v>-6.8878416890782432</v>
      </c>
      <c r="AA39" s="20">
        <f>'[3]C-FCL Real'!W156</f>
        <v>-6.8361475115815971</v>
      </c>
      <c r="AB39" s="20">
        <f>'[3]C-FCL Real'!X156</f>
        <v>-6.7842103714507189</v>
      </c>
      <c r="AC39" s="20">
        <f>'[3]C-FCL Real'!Y156</f>
        <v>-6.732029126761228</v>
      </c>
      <c r="AD39" s="20">
        <f>'[3]C-FCL Real'!Z156</f>
        <v>-6.6796026302216944</v>
      </c>
      <c r="AE39" s="20">
        <f>'[3]C-FCL Real'!AA156</f>
        <v>-6.6269297291484257</v>
      </c>
      <c r="AF39" s="20">
        <f>'[3]C-FCL Real'!AB156</f>
        <v>-6.574009265440111</v>
      </c>
      <c r="AG39" s="20">
        <f>'[3]C-FCL Real'!AC156</f>
        <v>-6.5208400755523677</v>
      </c>
      <c r="AH39" s="20">
        <f>'[3]C-FCL Real'!AD156</f>
        <v>-6.4674209904721529</v>
      </c>
      <c r="AI39" s="20">
        <f>'[3]C-FCL Real'!AE156</f>
        <v>-6.4137508356920616</v>
      </c>
      <c r="AJ39" s="20">
        <f>'[3]C-FCL Real'!AF156</f>
        <v>-6.3598284311845035</v>
      </c>
      <c r="AK39" s="20">
        <f>'[3]C-FCL Real'!AG156</f>
        <v>-6.3056525913757593</v>
      </c>
      <c r="AL39" s="20">
        <f>'[3]C-FCL Real'!AH156</f>
        <v>-6.2512221251199129</v>
      </c>
      <c r="AM39" s="20">
        <f>'[3]C-FCL Real'!AI156</f>
        <v>-6.1965358356726643</v>
      </c>
      <c r="AN39" s="20">
        <f>'[3]C-FCL Real'!AJ156</f>
        <v>-6.1415925206650162</v>
      </c>
      <c r="AO39" s="20">
        <f>'[3]C-FCL Real'!AK156</f>
        <v>-6.0863909720768277</v>
      </c>
      <c r="AP39" s="20">
        <f>'[3]C-FCL Real'!AL156</f>
        <v>-6.0309299762102793</v>
      </c>
      <c r="AQ39" s="20">
        <f>'[3]C-FCL Real'!AM156</f>
        <v>-5.9752083136631562</v>
      </c>
      <c r="AR39" s="20">
        <f>'[3]C-FCL Real'!AN156</f>
        <v>-5.9192247593020593</v>
      </c>
      <c r="AS39" s="20">
        <f>'[3]C-FCL Real'!AO156</f>
        <v>-5.86297808223547</v>
      </c>
      <c r="AT39" s="20">
        <f>'[3]C-FCL Real'!AP156</f>
        <v>-5.8064670457866665</v>
      </c>
      <c r="AU39" s="20">
        <f>'[3]C-FCL Real'!AQ156</f>
        <v>-5.749690407466554</v>
      </c>
      <c r="AV39" s="20">
        <f>'[3]C-FCL Real'!AR156</f>
        <v>-5.692646918946334</v>
      </c>
      <c r="AW39" s="20">
        <f>'[3]C-FCL Real'!AS156</f>
        <v>-5.63533532603007</v>
      </c>
      <c r="AX39" s="20">
        <f>'[3]C-FCL Real'!AT156</f>
        <v>-5.5777543686271009</v>
      </c>
      <c r="AY39" s="20">
        <f>'[3]C-FCL Real'!AU156</f>
        <v>-5.5199027807243386</v>
      </c>
      <c r="AZ39" s="20">
        <f>'[3]C-FCL Real'!AV156</f>
        <v>-5.4617792903584288</v>
      </c>
      <c r="BA39" s="20">
        <f>'[3]C-FCL Real'!AW156</f>
        <v>-5.4033826195878039</v>
      </c>
      <c r="BB39" s="20">
        <f>'[3]C-FCL Real'!AX156</f>
        <v>-5.344711484464554</v>
      </c>
      <c r="BC39" s="20">
        <f>'[3]C-FCL Real'!AY156</f>
        <v>-5.2857645950062242</v>
      </c>
      <c r="BD39" s="20">
        <f>'[3]C-FCL Real'!AZ156</f>
        <v>-5.226540655167442</v>
      </c>
      <c r="BE39" s="20">
        <f>'[3]C-FCL Real'!BA156</f>
        <v>-5.167038362811418</v>
      </c>
      <c r="BF39" s="20">
        <f>'[3]C-FCL Real'!BB156</f>
        <v>-5.1072564096813196</v>
      </c>
      <c r="BG39" s="20">
        <f>'[3]C-FCL Real'!BC156</f>
        <v>-5.0471934813715116</v>
      </c>
      <c r="BH39" s="20">
        <f>'[3]C-FCL Real'!BD156</f>
        <v>0</v>
      </c>
    </row>
    <row r="40" spans="1:60" ht="15" hidden="1" customHeight="1" outlineLevel="1" x14ac:dyDescent="0.3">
      <c r="A40" s="172">
        <f>C40*1000000/$C$16</f>
        <v>-227.68076108992722</v>
      </c>
      <c r="B40" s="176" t="s">
        <v>63</v>
      </c>
      <c r="C40" s="169">
        <f>SUMIF($D$15:$BG$15,1,D40:BG40)</f>
        <v>-271.77029396188891</v>
      </c>
      <c r="D40" s="175">
        <f t="shared" ref="D40:AK40" si="8">NPV($C$8,D39:D39)</f>
        <v>-21.745693739019782</v>
      </c>
      <c r="E40" s="20">
        <f t="shared" si="8"/>
        <v>-20.743500626971095</v>
      </c>
      <c r="F40" s="20">
        <f t="shared" si="8"/>
        <v>-30.570844838717573</v>
      </c>
      <c r="G40" s="20">
        <f t="shared" si="8"/>
        <v>-7.0091468700299115</v>
      </c>
      <c r="H40" s="20">
        <f t="shared" si="8"/>
        <v>-6.9653942701423901</v>
      </c>
      <c r="I40" s="20">
        <f t="shared" si="8"/>
        <v>-6.9214360330353975</v>
      </c>
      <c r="J40" s="20">
        <f t="shared" si="8"/>
        <v>-6.8772711922140033</v>
      </c>
      <c r="K40" s="20">
        <f t="shared" si="8"/>
        <v>-6.8328987766407456</v>
      </c>
      <c r="L40" s="20">
        <f t="shared" si="8"/>
        <v>-6.788317810714295</v>
      </c>
      <c r="M40" s="20">
        <f t="shared" si="8"/>
        <v>-6.7435273142479915</v>
      </c>
      <c r="N40" s="20">
        <f t="shared" si="8"/>
        <v>-6.6985263024482951</v>
      </c>
      <c r="O40" s="20">
        <f t="shared" si="8"/>
        <v>-6.6533137858931388</v>
      </c>
      <c r="P40" s="20">
        <f t="shared" si="8"/>
        <v>-6.6078887705101774</v>
      </c>
      <c r="Q40" s="20">
        <f t="shared" si="8"/>
        <v>-6.562250257554914</v>
      </c>
      <c r="R40" s="20">
        <f t="shared" si="8"/>
        <v>-6.5163972435887594</v>
      </c>
      <c r="S40" s="20">
        <f t="shared" si="8"/>
        <v>-6.6078887705101774</v>
      </c>
      <c r="T40" s="20">
        <f t="shared" si="8"/>
        <v>-6.562250257554914</v>
      </c>
      <c r="U40" s="20">
        <f t="shared" si="8"/>
        <v>-6.5163972435887594</v>
      </c>
      <c r="V40" s="20">
        <f t="shared" si="8"/>
        <v>-6.4703287204569628</v>
      </c>
      <c r="W40" s="20">
        <f t="shared" si="8"/>
        <v>-6.4240436752664509</v>
      </c>
      <c r="X40" s="20">
        <f t="shared" si="8"/>
        <v>-6.3775410903635414</v>
      </c>
      <c r="Y40" s="20">
        <f t="shared" si="8"/>
        <v>-6.3308199433115888</v>
      </c>
      <c r="Z40" s="20">
        <f t="shared" si="8"/>
        <v>-6.2838792068684928</v>
      </c>
      <c r="AA40" s="20">
        <f t="shared" si="8"/>
        <v>-6.2367178489641102</v>
      </c>
      <c r="AB40" s="20">
        <f t="shared" si="8"/>
        <v>-6.189334832677579</v>
      </c>
      <c r="AC40" s="20">
        <f t="shared" si="8"/>
        <v>-6.1417291162145045</v>
      </c>
      <c r="AD40" s="20">
        <f t="shared" si="8"/>
        <v>-6.0938996528840503</v>
      </c>
      <c r="AE40" s="20">
        <f t="shared" si="8"/>
        <v>-6.045845391075944</v>
      </c>
      <c r="AF40" s="20">
        <f t="shared" si="8"/>
        <v>-5.9975652742373384</v>
      </c>
      <c r="AG40" s="20">
        <f t="shared" si="8"/>
        <v>-5.9490582408495918</v>
      </c>
      <c r="AH40" s="20">
        <f t="shared" si="8"/>
        <v>-5.9003232244049233</v>
      </c>
      <c r="AI40" s="20">
        <f t="shared" si="8"/>
        <v>-5.8513591533829654</v>
      </c>
      <c r="AJ40" s="20">
        <f t="shared" si="8"/>
        <v>-5.802164951227204</v>
      </c>
      <c r="AK40" s="20">
        <f t="shared" si="8"/>
        <v>-5.7527395363213101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317.21040865748932</v>
      </c>
      <c r="B42" s="141" t="s">
        <v>64</v>
      </c>
      <c r="C42" s="169"/>
      <c r="D42" s="175">
        <f>'[3]C-FCL Real'!C157</f>
        <v>-23.835737601358186</v>
      </c>
      <c r="E42" s="20">
        <f>'[3]C-FCL Real'!D157</f>
        <v>-46.572958304089354</v>
      </c>
      <c r="F42" s="20">
        <f>'[3]C-FCL Real'!E157</f>
        <v>-80.082058752790587</v>
      </c>
      <c r="G42" s="20">
        <f>'[3]C-FCL Real'!F157</f>
        <v>-87.764875755939684</v>
      </c>
      <c r="H42" s="20">
        <f>'[3]C-FCL Real'!G157</f>
        <v>-95.399734965568271</v>
      </c>
      <c r="I42" s="20">
        <f>'[3]C-FCL Real'!H157</f>
        <v>-102.9864109800468</v>
      </c>
      <c r="J42" s="20">
        <f>'[3]C-FCL Real'!I157</f>
        <v>-110.52467733835806</v>
      </c>
      <c r="K42" s="20">
        <f>'[3]C-FCL Real'!J157</f>
        <v>-118.01430651511808</v>
      </c>
      <c r="L42" s="20">
        <f>'[3]C-FCL Real'!K157</f>
        <v>-125.45506991557356</v>
      </c>
      <c r="M42" s="20">
        <f>'[3]C-FCL Real'!L157</f>
        <v>-132.84673787057588</v>
      </c>
      <c r="N42" s="20">
        <f>'[3]C-FCL Real'!M157</f>
        <v>-140.1890796315314</v>
      </c>
      <c r="O42" s="20">
        <f>'[3]C-FCL Real'!N157</f>
        <v>-147.48186336532808</v>
      </c>
      <c r="P42" s="20">
        <f>'[3]C-FCL Real'!O157</f>
        <v>-154.72485614923829</v>
      </c>
      <c r="Q42" s="20">
        <f>'[3]C-FCL Real'!P157</f>
        <v>-161.9178239657976</v>
      </c>
      <c r="R42" s="20">
        <f>'[3]C-FCL Real'!Q157</f>
        <v>-169.0605316976594</v>
      </c>
      <c r="S42" s="20">
        <f>'[3]C-FCL Real'!O157</f>
        <v>-154.72485614923829</v>
      </c>
      <c r="T42" s="20">
        <f>'[3]C-FCL Real'!P157</f>
        <v>-161.9178239657976</v>
      </c>
      <c r="U42" s="20">
        <f>'[3]C-FCL Real'!Q157</f>
        <v>-169.0605316976594</v>
      </c>
      <c r="V42" s="20">
        <f>'[3]C-FCL Real'!R157</f>
        <v>-176.15274312242565</v>
      </c>
      <c r="W42" s="20">
        <f>'[3]C-FCL Real'!S157</f>
        <v>-183.19422090745297</v>
      </c>
      <c r="X42" s="20">
        <f>'[3]C-FCL Real'!T157</f>
        <v>-190.18472660463462</v>
      </c>
      <c r="Y42" s="20">
        <f>'[3]C-FCL Real'!U157</f>
        <v>-197.12402064515771</v>
      </c>
      <c r="Z42" s="20">
        <f>'[3]C-FCL Real'!V157</f>
        <v>-204.01186233423596</v>
      </c>
      <c r="AA42" s="20">
        <f>'[3]C-FCL Real'!W157</f>
        <v>-210.84800984581756</v>
      </c>
      <c r="AB42" s="20">
        <f>'[3]C-FCL Real'!X157</f>
        <v>-217.63222021726827</v>
      </c>
      <c r="AC42" s="20">
        <f>'[3]C-FCL Real'!Y157</f>
        <v>-224.3642493440295</v>
      </c>
      <c r="AD42" s="20">
        <f>'[3]C-FCL Real'!Z157</f>
        <v>-231.0438519742512</v>
      </c>
      <c r="AE42" s="20">
        <f>'[3]C-FCL Real'!AA157</f>
        <v>-237.67078170339963</v>
      </c>
      <c r="AF42" s="20">
        <f>'[3]C-FCL Real'!AB157</f>
        <v>-244.24479096883974</v>
      </c>
      <c r="AG42" s="20">
        <f>'[3]C-FCL Real'!AC157</f>
        <v>-250.76563104439211</v>
      </c>
      <c r="AH42" s="20">
        <f>'[3]C-FCL Real'!AD157</f>
        <v>-257.23305203486427</v>
      </c>
      <c r="AI42" s="20">
        <f>'[3]C-FCL Real'!AE157</f>
        <v>-263.64680287055631</v>
      </c>
      <c r="AJ42" s="20">
        <f>'[3]C-FCL Real'!AF157</f>
        <v>-270.00663130174081</v>
      </c>
      <c r="AK42" s="20">
        <f>'[3]C-FCL Real'!AG157</f>
        <v>-276.31228389311656</v>
      </c>
      <c r="AL42" s="20">
        <f>'[3]C-FCL Real'!AH157</f>
        <v>-282.56350601823647</v>
      </c>
      <c r="AM42" s="20">
        <f>'[3]C-FCL Real'!AI157</f>
        <v>-288.76004185390912</v>
      </c>
      <c r="AN42" s="20">
        <f>'[3]C-FCL Real'!AJ157</f>
        <v>-294.90163437457414</v>
      </c>
      <c r="AO42" s="20">
        <f>'[3]C-FCL Real'!AK157</f>
        <v>-300.98802534665094</v>
      </c>
      <c r="AP42" s="20">
        <f>'[3]C-FCL Real'!AL157</f>
        <v>-307.01895532286125</v>
      </c>
      <c r="AQ42" s="20">
        <f>'[3]C-FCL Real'!AM157</f>
        <v>-312.99416363652438</v>
      </c>
      <c r="AR42" s="20">
        <f>'[3]C-FCL Real'!AN157</f>
        <v>-318.91338839582642</v>
      </c>
      <c r="AS42" s="20">
        <f>'[3]C-FCL Real'!AO157</f>
        <v>-324.7763664780619</v>
      </c>
      <c r="AT42" s="20">
        <f>'[3]C-FCL Real'!AP157</f>
        <v>-330.58283352384859</v>
      </c>
      <c r="AU42" s="20">
        <f>'[3]C-FCL Real'!AQ157</f>
        <v>-336.33252393131517</v>
      </c>
      <c r="AV42" s="20">
        <f>'[3]C-FCL Real'!AR157</f>
        <v>-342.02517085026147</v>
      </c>
      <c r="AW42" s="20">
        <f>'[3]C-FCL Real'!AS157</f>
        <v>-347.66050617629156</v>
      </c>
      <c r="AX42" s="20">
        <f>'[3]C-FCL Real'!AT157</f>
        <v>-353.23826054491866</v>
      </c>
      <c r="AY42" s="20">
        <f>'[3]C-FCL Real'!AU157</f>
        <v>-358.75816332564301</v>
      </c>
      <c r="AZ42" s="20">
        <f>'[3]C-FCL Real'!AV157</f>
        <v>-364.21994261600145</v>
      </c>
      <c r="BA42" s="20">
        <f>'[3]C-FCL Real'!AW157</f>
        <v>-369.62332523558928</v>
      </c>
      <c r="BB42" s="20">
        <f>'[3]C-FCL Real'!AX157</f>
        <v>-374.96803672005382</v>
      </c>
      <c r="BC42" s="20">
        <f>'[3]C-FCL Real'!AY157</f>
        <v>-380.25380131506006</v>
      </c>
      <c r="BD42" s="20">
        <f>'[3]C-FCL Real'!AZ157</f>
        <v>-385.48034197022753</v>
      </c>
      <c r="BE42" s="20">
        <f>'[3]C-FCL Real'!BA157</f>
        <v>-390.64738033303894</v>
      </c>
      <c r="BF42" s="20">
        <f>'[3]C-FCL Real'!BB157</f>
        <v>-395.75463674272027</v>
      </c>
      <c r="BG42" s="20">
        <f>'[3]C-FCL Real'!BC157</f>
        <v>-400.80183022409176</v>
      </c>
      <c r="BH42" s="20">
        <f>'[3]C-FCL Real'!BD157</f>
        <v>0</v>
      </c>
    </row>
    <row r="43" spans="1:60" ht="15" hidden="1" customHeight="1" outlineLevel="1" x14ac:dyDescent="0.3">
      <c r="A43" s="172">
        <f>A18+A21+A36</f>
        <v>572.01133162147335</v>
      </c>
      <c r="B43" s="141" t="s">
        <v>65</v>
      </c>
      <c r="C43" s="177">
        <f>'[3]R&amp;C-Painel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-254.80092296398402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299.84326963133691</v>
      </c>
      <c r="D46" s="181" t="s">
        <v>67</v>
      </c>
      <c r="E46" s="181"/>
      <c r="F46" s="182">
        <f>A27</f>
        <v>251.19943332338059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78.793755279902783</v>
      </c>
      <c r="D48" s="181" t="s">
        <v>67</v>
      </c>
      <c r="E48" s="181"/>
      <c r="F48" s="182">
        <f>A30</f>
        <v>66.010975334108764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378.63702491123968</v>
      </c>
      <c r="D49" s="189" t="s">
        <v>67</v>
      </c>
      <c r="E49" s="189"/>
      <c r="F49" s="190">
        <f>F46+F47+F48</f>
        <v>317.21040865748932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682.77919926180721</v>
      </c>
      <c r="D50" s="185" t="s">
        <v>67</v>
      </c>
      <c r="E50" s="185"/>
      <c r="F50" s="186">
        <f>A18+A21</f>
        <v>572.01133162147335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-304.14217435056753</v>
      </c>
      <c r="D53" s="198" t="s">
        <v>67</v>
      </c>
      <c r="E53" s="198"/>
      <c r="F53" s="199">
        <f>F49-F50-F51</f>
        <v>-254.80092296398402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3435328.7819116493</v>
      </c>
      <c r="D57" s="207" t="s">
        <v>9</v>
      </c>
      <c r="E57" s="207"/>
      <c r="F57" s="208">
        <f>C57/'[3]R&amp;C-Painel de Controle'!$D$8</f>
        <v>108.30876620887024</v>
      </c>
      <c r="G57" s="207" t="s">
        <v>8</v>
      </c>
      <c r="H57" s="56">
        <f>F57/$F$99</f>
        <v>0.28268457161665672</v>
      </c>
    </row>
    <row r="58" spans="1:8" s="164" customFormat="1" ht="15" hidden="1" customHeight="1" outlineLevel="1" x14ac:dyDescent="0.3">
      <c r="B58" s="209" t="s">
        <v>76</v>
      </c>
      <c r="C58" s="210">
        <f>('[3]R&amp;C-Painel de Controle'!D8-'[3]R&amp;C-Painel de Controle'!D9)</f>
        <v>20622.357225599997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IF('[3]R-Definição'!E121="Novo",(('[3]R&amp;C-Painel de Controle'!L73*'[3]C-Dados RT Simplif.'!C105+'[3]R&amp;C-Painel de Controle'!P73*'[3]C-Dados RT Simplif.'!C105*'[3]C-Dados RT Simplif.'!C7)/('[3]C-Dados RT Simplif.'!C7*'[3]C-Dados RT Simplif.'!C105)),('[3]R&amp;C-Painel de Controle'!D88+'[3]R&amp;C-Painel de Controle'!D89))</f>
        <v>166.58274048551209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C61/'[3]R&amp;C-Painel de Controle'!$D$8</f>
        <v>77.861174682099431</v>
      </c>
      <c r="G61" s="220" t="s">
        <v>8</v>
      </c>
      <c r="H61" s="59">
        <f>F61/$F$99</f>
        <v>0.20321672548769534</v>
      </c>
    </row>
    <row r="62" spans="1:8" s="164" customFormat="1" ht="15" hidden="1" customHeight="1" outlineLevel="1" x14ac:dyDescent="0.3">
      <c r="B62" s="222" t="str">
        <f>'[3]R&amp;C-Painel de Controle'!J36</f>
        <v>Mat. Recicl.: Papel/Papelão — Triagem Mecanizada</v>
      </c>
      <c r="C62" s="223">
        <f>'[3]R&amp;C-Painel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'[3]R&amp;C-Painel de Controle'!J37</f>
        <v>Mat. Recicl.: Plástico Filme — Triagem Mecanizada</v>
      </c>
      <c r="C63" s="210">
        <f>'[3]R&amp;C-Painel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'[3]R&amp;C-Painel de Controle'!J38</f>
        <v>Mat. Recicl.: Plástico Rígido — Triagem Mecanizada</v>
      </c>
      <c r="C64" s="210">
        <f>'[3]R&amp;C-Painel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'[3]R&amp;C-Painel de Controle'!J39</f>
        <v>Mat. Recicl.: Vidros — Triagem Mecânica</v>
      </c>
      <c r="C65" s="210">
        <f>'[3]R&amp;C-Painel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'[3]R&amp;C-Painel de Controle'!J40</f>
        <v>Mat. Recicl.: Metais Não Ferrosos — Triagem Mecanizada</v>
      </c>
      <c r="C66" s="210">
        <f>'[3]R&amp;C-Painel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'[3]R&amp;C-Painel de Controle'!J41</f>
        <v>Mat. Recicl.: Metais Ferrosos — Triagem Mecanizada</v>
      </c>
      <c r="C67" s="210">
        <f>'[3]R&amp;C-Painel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'[3]R&amp;C-Painel de Controle'!B98</f>
        <v>Doação Receitas Venda Materiais Recicláveis</v>
      </c>
      <c r="C68" s="210" t="str">
        <f>'[3]R&amp;C-Painel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'[3]R&amp;C-Painel de Controle'!B99</f>
        <v>% Doação das Receitas aos Catadores</v>
      </c>
      <c r="C69" s="60">
        <f>'[3]R&amp;C-Painel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'[3]R&amp;C-Painel de Controle'!B100</f>
        <v>% Venda Matetriais Reciclávevis fora do Estado</v>
      </c>
      <c r="C70" s="60">
        <f>'[3]R&amp;C-Painel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'[3]R&amp;C-Painel de Controle'!B101</f>
        <v>Preço Médio Bruto — Venda (FOB): Papel/Papelão</v>
      </c>
      <c r="C71" s="210">
        <f>'[3]R&amp;C-Painel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'[3]R&amp;C-Painel de Controle'!B102</f>
        <v>Preço Médio Bruto — Venda (FOB): Plástico Filme</v>
      </c>
      <c r="C72" s="210">
        <f>'[3]R&amp;C-Painel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'[3]R&amp;C-Painel de Controle'!B103</f>
        <v>Preço Médio Bruto — Venda (FOB): Plástico Rígido</v>
      </c>
      <c r="C73" s="210">
        <f>'[3]R&amp;C-Painel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'[3]R&amp;C-Painel de Controle'!B104</f>
        <v>Preço Médio Bruto — Venda(FOB): Vidros</v>
      </c>
      <c r="C74" s="210">
        <f>'[3]R&amp;C-Painel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'[3]R&amp;C-Painel de Controle'!B105</f>
        <v>Preço Médio Bruto — Venda (FOB): Metais Ferrosos</v>
      </c>
      <c r="C75" s="210">
        <f>'[3]R&amp;C-Painel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'[3]R&amp;C-Painel de Controle'!B106</f>
        <v>Preço Médio Bruto — Venda (FOB): Metais Não Ferrosos</v>
      </c>
      <c r="C76" s="210">
        <f>'[3]R&amp;C-Painel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</f>
        <v>1980914.674916042</v>
      </c>
      <c r="D78" s="181" t="s">
        <v>9</v>
      </c>
      <c r="E78" s="181"/>
      <c r="F78" s="192">
        <f>C78/'[3]R&amp;C-Painel de Controle'!$D$8</f>
        <v>62.454116629212827</v>
      </c>
      <c r="G78" s="181" t="s">
        <v>8</v>
      </c>
      <c r="H78" s="61">
        <f>F78/$F$99</f>
        <v>0.16300449006111803</v>
      </c>
    </row>
    <row r="79" spans="2:8" ht="15" hidden="1" customHeight="1" outlineLevel="1" x14ac:dyDescent="0.3">
      <c r="B79" s="180" t="s">
        <v>81</v>
      </c>
      <c r="C79" s="219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Sanitário'!$U$26*1000000,0))))))/2.4*1.4</f>
        <v>2773280.5448824586</v>
      </c>
      <c r="D79" s="181" t="s">
        <v>9</v>
      </c>
      <c r="E79" s="181"/>
      <c r="F79" s="192">
        <f>C79/'[3]R&amp;C-Painel de Controle'!$D$8</f>
        <v>87.435763280897959</v>
      </c>
      <c r="G79" s="181" t="s">
        <v>8</v>
      </c>
      <c r="H79" s="61">
        <f>F79/$F$99</f>
        <v>0.22820628608556526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586662.06209711684</v>
      </c>
      <c r="D81" s="226" t="s">
        <v>9</v>
      </c>
      <c r="E81" s="226"/>
      <c r="F81" s="227">
        <f>C81/'[3]R&amp;C-Painel de Controle'!$D$8</f>
        <v>18.496233740961479</v>
      </c>
      <c r="G81" s="226" t="s">
        <v>8</v>
      </c>
      <c r="H81" s="62">
        <f>F81/$F$99</f>
        <v>4.8274946660384337E-2</v>
      </c>
    </row>
    <row r="82" spans="2:8" ht="15" hidden="1" customHeight="1" outlineLevel="1" x14ac:dyDescent="0.3">
      <c r="B82" s="228" t="s">
        <v>83</v>
      </c>
      <c r="C82" s="229">
        <f>'[3]R&amp;C-Painel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'[3]R&amp;C-Painel de Controle'!D33</f>
        <v>292.94394556662456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'[3]R&amp;C-Painel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'[3]R&amp;C-Painel de Controle'!H31</f>
        <v>154.96754328356084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'[3]C-FCL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C88/'[3]R&amp;C-Painel de Controle'!$D$8</f>
        <v>1.4901660226239126</v>
      </c>
      <c r="G88" s="226" t="s">
        <v>8</v>
      </c>
      <c r="H88" s="62">
        <f>F88/$F$99</f>
        <v>3.889315320338667E-3</v>
      </c>
    </row>
    <row r="89" spans="2:8" ht="15" hidden="1" customHeight="1" outlineLevel="1" x14ac:dyDescent="0.3">
      <c r="B89" s="231" t="s">
        <v>89</v>
      </c>
      <c r="C89" s="64">
        <f>'[3]C-FCL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'[3]R&amp;C-Painel de Controle'!B100</f>
        <v>% Venda Matetriais Reciclávevis fora do Estado</v>
      </c>
      <c r="C90" s="64">
        <f>'[3]R&amp;C-Painel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'[3]R&amp;C-Painel de Controle'!D33*'[3]R&amp;C-Painel de Controle'!D8*(C93)+C36*1000000/'[3]R&amp;C-Painel de Controle'!D32</f>
        <v>859470.46827190602</v>
      </c>
      <c r="D92" s="226" t="s">
        <v>9</v>
      </c>
      <c r="E92" s="234"/>
      <c r="F92" s="235">
        <f>C92/'[3]R&amp;C-Painel de Controle'!$D$8</f>
        <v>27.097314964912769</v>
      </c>
      <c r="G92" s="234" t="s">
        <v>8</v>
      </c>
      <c r="H92" s="66">
        <f>F92/$F$99</f>
        <v>7.0723664768241559E-2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292.94394556662456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154.96754328356084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12152516.008444332</v>
      </c>
      <c r="D99" s="238" t="s">
        <v>9</v>
      </c>
      <c r="E99" s="239"/>
      <c r="F99" s="240">
        <f>C99/'[3]R&amp;C-Painel de Controle'!$D$8</f>
        <v>383.14353552957863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'[3]R&amp;C-Painel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'[3]R&amp;C-Painel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'[3]R&amp;C-Painel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'[3]R-Entrada'!E26/100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((IF('[3]C-Triagem Mec'!$E$7="SIM",'[3]C-Triagem Mec'!$E$33*'[3]C-Triagem Mec'!$H$2,IF('[3]C-Triagem Mec'!$I$7="SIM",'[3]C-Triagem Mec'!$I$33*'[3]C-Triagem Mec'!$H$2,IF('[3]C-Triagem Mec'!$M$7="SIM",'[3]C-Triagem Mec'!$M$33*'[3]C-Triagem Mec'!$H$2,IF('[3]C-Triagem Mec'!$Q$7="SIM",'[3]C-Triagem Mec'!$Q$33*'[3]C-Triagem Mec'!$H$2,IF('[3]C-Triagem Mec'!$U$7="SIM",'[3]C-Triagem Mec'!$U$33*'[3]C-Triagem Mec'!$H$2,0)))))+IF('[3]C-Produção CDR-TM'!$E$7="SIM",'[3]C-Produção CDR-TM'!$E$33*'[3]C-Produção CDR-TM'!$H$2,IF('[3]C-Produção CDR-TM'!$I$7="SIM",'[3]C-Produção CDR-TM'!$I$33*'[3]C-Produção CDR-TM'!$H$2,IF('[3]C-Produção CDR-TM'!$M$7="SIM",'[3]C-Produção CDR-TM'!$M$33*'[3]C-Produção CDR-TM'!$H$2,IF('[3]C-Produção CDR-TM'!$Q$7="SIM",'[3]C-Produção CDR-TM'!$Q$33*'[3]C-Produção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CDR-TMB'!$Q$33*'[3]C-Produção CDR-TMB'!$H$2,IF('[3]C-Produção CDR-TMB'!$U$7="SIM",'[3]C-Produção CDR-TMB'!$U$33*'[3]C-Produção CDR-TMB'!$H$2,0)))))+IF('[3]C-Biodigestão'!$E$7="SIM",'[3]C-Biodigestão'!$E$36*'[3]C-Biodigestão'!$H$2,IF('[3]C-Biodigestão'!$I$7="SIM",'[3]C-Biodigestão'!$I$36*'[3]C-Biodigestão'!$H$2,IF('[3]C-Biodigestão'!$M$7="SIM",'[3]C-Biodigestão'!$M$36*'[3]C-Biodigestão'!$H$2,IF('[3]C-Biodigestão'!$Q$7="SIM",'[3]C-Biodigestão'!$Q$36*'[3]C-Biodigestão'!$H$2,IF('[3]C-Biodigestão'!$U$7="SIM",'[3]C-Biodigestão'!$U$36*'[3]C-Biodigestão'!$H$2,0)))))+IF('[3]C-Compostagem'!$E$7="SIM",'[3]C-Compostagem'!$E$33*'[3]C-Compostagem'!$H$2,IF('[3]C-Compostagem'!$I$7="SIM",'[3]C-Compostagem'!$I$33*'[3]C-Compostagem'!$H$2,IF('[3]C-Compostagem'!$M$7="SIM",'[3]C-Compostagem'!$M$33*'[3]C-Compostagem'!$H$2,IF('[3]C-Compostagem'!$Q$7="SIM",'[3]C-Compostagem'!$Q$33*'[3]C-Compostagem'!$H$2,IF('[3]C-Compostagem'!$U$7="SIM",'[3]C-Compostagem'!$U$33*'[3]C-Compostagem'!$H$2,0)))))+IF('[3]C-Incineração'!$E$7="SIM",'[3]C-Incineração'!$E$35*'[3]C-Incineração'!$H$2,IF('[3]C-Incineração'!$I$7="SIM",'[3]C-Incineração'!$I$35*'[3]C-Incineração'!$H$2,IF('[3]C-Incineração'!$M$7="SIM",'[3]C-Incineração'!$M$35*'[3]C-Incineração'!$H$2,IF('[3]C-Incineração'!$Q$7="SIM",'[3]C-Incineração'!$Q$35*'[3]C-Incineração'!$H$2,IF('[3]C-Incineração'!$U$7="SIM",'[3]C-Incineração'!$U$35*'[3]C-Incineração'!$H$2,0)))))))/1000</f>
        <v>1068.6593513476564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'[3]R&amp;C-Painel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'[3]R-Resumo Bal. Massa'!G51</f>
        <v>22.781751849999988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7.7063268022325024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'[3]R-Resumo Bal. Massa'!G49</f>
        <v>35.562701200000006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12.029706899706493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'[3]R-Resumo Bal. Massa'!G50</f>
        <v>43.315546950000012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14.652242839443693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'[3]R-Resumo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2.7424650541752689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'[3]R-Resumo Bal. Massa'!D73</f>
        <v>35.208161950000012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11.909777785268423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'[3]R-Resumo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IF('[3]R-Definição'!E112&gt;0,'[3]R-Definição'!O111/'[3]R-Definição'!E112,0)</f>
        <v>0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IF(AND('[3]R-Definição'!O62&gt;0,'[3]R-Definição'!J65&gt;0),('[3]R-Definição'!O69/('[3]R-Definição'!O62*'[3]R-Definição'!J65/100)),0)</f>
        <v>0</v>
      </c>
      <c r="D133" s="164" t="s">
        <v>155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IF(AND('[3]R-Definição'!O62&gt;0,'[3]R-Definição'!J64&gt;0),('[3]R-Definição'!O70/('[3]R-Definição'!O62*'[3]R-Definição'!J64/100)),0)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61" t="s">
        <v>26</v>
      </c>
      <c r="C3" s="1261"/>
      <c r="D3" s="1261"/>
      <c r="E3" s="1261"/>
      <c r="F3" s="1261"/>
      <c r="G3" s="1261"/>
      <c r="H3" s="1261"/>
      <c r="L3" s="1262" t="s">
        <v>159</v>
      </c>
      <c r="M3" s="1263"/>
      <c r="N3" s="301"/>
      <c r="O3" s="1264" t="s">
        <v>169</v>
      </c>
      <c r="P3" s="1264"/>
      <c r="Q3" s="1264"/>
      <c r="R3" s="1264"/>
      <c r="S3" s="1264"/>
      <c r="T3" s="1264"/>
      <c r="U3" s="1264"/>
      <c r="V3" s="1264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65" t="s">
        <v>106</v>
      </c>
      <c r="C5" s="1265"/>
      <c r="D5" s="86"/>
      <c r="E5" s="86"/>
      <c r="F5" s="356"/>
      <c r="G5" s="86"/>
      <c r="H5" s="356"/>
      <c r="L5" s="1266" t="s">
        <v>171</v>
      </c>
      <c r="M5" s="1267"/>
      <c r="N5"/>
      <c r="O5" s="1270" t="s">
        <v>158</v>
      </c>
      <c r="P5" s="1271"/>
      <c r="Q5" s="1271"/>
      <c r="R5" s="1271"/>
      <c r="S5" s="1271"/>
      <c r="T5" s="1271"/>
      <c r="U5" s="1271"/>
      <c r="V5" s="1272"/>
    </row>
    <row r="6" spans="2:22" s="90" customFormat="1" ht="15" customHeight="1" outlineLevel="1" thickTop="1" thickBot="1" x14ac:dyDescent="0.35">
      <c r="B6" s="1265"/>
      <c r="C6" s="1265"/>
      <c r="D6" s="87"/>
      <c r="E6" s="89"/>
      <c r="F6" s="88" t="s">
        <v>10</v>
      </c>
      <c r="G6" s="89"/>
      <c r="H6" s="88" t="s">
        <v>10</v>
      </c>
      <c r="L6" s="1268"/>
      <c r="M6" s="1269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330.90986027933826</v>
      </c>
      <c r="N7" s="272"/>
      <c r="O7" s="275">
        <f>M7</f>
        <v>330.90986027933826</v>
      </c>
      <c r="P7" s="276"/>
      <c r="Q7" s="277">
        <f>M7</f>
        <v>330.90986027933826</v>
      </c>
      <c r="R7" s="277"/>
      <c r="S7" s="277"/>
      <c r="T7" s="277"/>
      <c r="U7" s="277"/>
      <c r="V7" s="278">
        <f>Q7</f>
        <v>330.90986027933826</v>
      </c>
    </row>
    <row r="8" spans="2:22" s="84" customFormat="1" ht="15" customHeight="1" outlineLevel="1" x14ac:dyDescent="0.3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RT´s'!G29+'RESUMO GERAL Valoriz. RT´s'!G30</f>
        <v>432.58</v>
      </c>
      <c r="N8" s="274"/>
      <c r="O8" s="279"/>
      <c r="P8" s="280"/>
      <c r="Q8" s="281">
        <f>Q7+M8</f>
        <v>763.48986027933825</v>
      </c>
      <c r="R8" s="281">
        <f>M7</f>
        <v>330.90986027933826</v>
      </c>
      <c r="S8" s="281">
        <f>IF(R8&gt;=0,IF(M8&gt;=0,Q7,Q8),IF(M8&gt;=0,S7,Q8))</f>
        <v>330.90986027933826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73" t="s">
        <v>107</v>
      </c>
      <c r="C9" s="84" t="s">
        <v>4</v>
      </c>
      <c r="D9" s="78" t="s">
        <v>33</v>
      </c>
      <c r="E9" s="97"/>
      <c r="F9" s="94">
        <f>'C-Dados RT3 Simplif.'!C108</f>
        <v>1068.6593513476564</v>
      </c>
      <c r="G9" s="94"/>
      <c r="H9" s="94">
        <f>'Demanda Preço &amp; Quantidade'!C42</f>
        <v>500</v>
      </c>
      <c r="L9" s="1025" t="s">
        <v>495</v>
      </c>
      <c r="M9" s="294">
        <f>'RESUMO GERAL Valoriz. RT´s'!G31</f>
        <v>0.71</v>
      </c>
      <c r="N9" s="274"/>
      <c r="O9" s="279"/>
      <c r="P9" s="280"/>
      <c r="Q9" s="281">
        <f>Q8+M9</f>
        <v>764.19986027933828</v>
      </c>
      <c r="R9" s="281">
        <f>M8</f>
        <v>432.58</v>
      </c>
      <c r="S9" s="281">
        <f>IF(R9&gt;=0,IF(M9&gt;=0,Q8,Q9),IF(M9&gt;=0,S8,Q9))</f>
        <v>763.48986027933825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73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764.19986027933828</v>
      </c>
      <c r="N10" s="272"/>
      <c r="O10" s="275">
        <f>M10</f>
        <v>764.19986027933828</v>
      </c>
      <c r="P10" s="276"/>
      <c r="Q10" s="277">
        <f>M10</f>
        <v>764.19986027933828</v>
      </c>
      <c r="R10" s="277"/>
      <c r="S10" s="277"/>
      <c r="T10" s="277"/>
      <c r="U10" s="277"/>
      <c r="V10" s="278">
        <f>Q10</f>
        <v>764.19986027933828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12.056233000724824</v>
      </c>
      <c r="N11" s="274"/>
      <c r="O11" s="279"/>
      <c r="P11" s="280"/>
      <c r="Q11" s="281">
        <f>Q10+M11</f>
        <v>776.25609328006306</v>
      </c>
      <c r="R11" s="281">
        <f t="shared" ref="R11:R22" si="0">M10</f>
        <v>764.19986027933828</v>
      </c>
      <c r="S11" s="281">
        <f>IF(R11&gt;=0,IF(M11&gt;=0,Q10,Q11),IF(M11&gt;=0,S10,Q11))</f>
        <v>764.19986027933828</v>
      </c>
      <c r="T11" s="281">
        <f>IF(M11&gt;=0,M11,0)</f>
        <v>12.056233000724824</v>
      </c>
      <c r="U11" s="281">
        <f t="shared" ref="U11:U22" si="1">IF(M11&lt;0,M11*-1,0)</f>
        <v>0</v>
      </c>
      <c r="V11" s="282">
        <f>SUM(T11:U11)</f>
        <v>12.056233000724824</v>
      </c>
    </row>
    <row r="12" spans="2:22" s="84" customFormat="1" ht="15" customHeight="1" outlineLevel="1" x14ac:dyDescent="0.3">
      <c r="B12" s="1273" t="s">
        <v>108</v>
      </c>
      <c r="C12" s="84" t="s">
        <v>4</v>
      </c>
      <c r="D12" s="78" t="s">
        <v>33</v>
      </c>
      <c r="E12" s="97"/>
      <c r="F12" s="426">
        <v>0</v>
      </c>
      <c r="G12" s="94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776.25609328006306</v>
      </c>
      <c r="R12" s="281">
        <f t="shared" si="0"/>
        <v>12.056233000724824</v>
      </c>
      <c r="S12" s="281">
        <f>IF(R12&gt;=0,IF(M12&gt;=0,Q11,Q12),IF(M12&gt;=0,S11,Q12))</f>
        <v>776.25609328006306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73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776.25609328006306</v>
      </c>
      <c r="N13" s="272"/>
      <c r="O13" s="283">
        <f>M13</f>
        <v>776.25609328006306</v>
      </c>
      <c r="P13" s="284"/>
      <c r="Q13" s="285">
        <f>Q12+M13-O13</f>
        <v>776.25609328006306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776.25609328006306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776.25609328006306</v>
      </c>
      <c r="R14" s="281">
        <f t="shared" si="0"/>
        <v>776.25609328006306</v>
      </c>
      <c r="S14" s="281">
        <f>IF(R14&gt;=0,IF(M14&gt;=0,Q13,Q14),IF(M14&gt;=0,S13,Q14))</f>
        <v>776.25609328006306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3">
      <c r="B15" s="1273" t="s">
        <v>109</v>
      </c>
      <c r="C15" s="84" t="s">
        <v>4</v>
      </c>
      <c r="D15" s="78" t="s">
        <v>33</v>
      </c>
      <c r="E15" s="103"/>
      <c r="F15" s="426">
        <v>0</v>
      </c>
      <c r="G15" s="94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776.25609328006306</v>
      </c>
      <c r="R15" s="281">
        <f t="shared" si="0"/>
        <v>0</v>
      </c>
      <c r="S15" s="281">
        <f>IF(R15&gt;=0,IF(M15&gt;=0,Q14,Q15),IF(M15&gt;=0,S14,Q15))</f>
        <v>776.25609328006306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73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776.25609328006306</v>
      </c>
      <c r="N16" s="272"/>
      <c r="O16" s="283">
        <f>M16</f>
        <v>776.25609328006306</v>
      </c>
      <c r="P16" s="284"/>
      <c r="Q16" s="285">
        <f>Q15+M16-O16</f>
        <v>776.25609328006306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776.25609328006306</v>
      </c>
    </row>
    <row r="17" spans="2:22" s="84" customFormat="1" ht="15" customHeight="1" outlineLevel="1" x14ac:dyDescent="0.3">
      <c r="B17" s="1273"/>
      <c r="C17" s="84" t="s">
        <v>25</v>
      </c>
      <c r="D17" s="78" t="s">
        <v>32</v>
      </c>
      <c r="E17" s="103"/>
      <c r="F17" s="99">
        <f>F23</f>
        <v>11.909777785268423</v>
      </c>
      <c r="G17" s="99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776.25609328006306</v>
      </c>
      <c r="R17" s="281">
        <f t="shared" si="0"/>
        <v>776.25609328006306</v>
      </c>
      <c r="S17" s="281">
        <f>IF(R17&gt;=0,IF(M17&gt;=0,Q16,Q17),IF(M17&gt;=0,S16,Q17))</f>
        <v>776.25609328006306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73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776.25609328006306</v>
      </c>
      <c r="R18" s="281">
        <f t="shared" si="0"/>
        <v>0</v>
      </c>
      <c r="S18" s="281">
        <f>IF(R18&gt;=0,IF(M18&gt;=0,Q17,Q18),IF(M18&gt;=0,S17,Q18))</f>
        <v>776.25609328006306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349"/>
      <c r="C19" s="376" t="s">
        <v>102</v>
      </c>
      <c r="D19" s="78" t="s">
        <v>32</v>
      </c>
      <c r="E19" s="103"/>
      <c r="F19" s="99">
        <f>F25</f>
        <v>2.7424650541752702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-37.338453157500012</v>
      </c>
      <c r="N19" s="274"/>
      <c r="O19" s="279"/>
      <c r="P19" s="280"/>
      <c r="Q19" s="281">
        <f>Q18+M19</f>
        <v>738.91764012256306</v>
      </c>
      <c r="R19" s="281">
        <f t="shared" si="0"/>
        <v>0</v>
      </c>
      <c r="S19" s="281">
        <f>IF(R19&gt;=0,IF(M19&gt;=0,Q18,Q19),IF(M19&gt;=0,S18,Q19))</f>
        <v>738.91764012256306</v>
      </c>
      <c r="T19" s="281">
        <f>IF(M19&gt;=0,M19,0)</f>
        <v>0</v>
      </c>
      <c r="U19" s="281">
        <f t="shared" si="1"/>
        <v>37.338453157500012</v>
      </c>
      <c r="V19" s="282">
        <f>SUM(T19:U19)</f>
        <v>37.338453157500012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738.91764012256306</v>
      </c>
      <c r="R20" s="281">
        <f t="shared" si="0"/>
        <v>-37.338453157500012</v>
      </c>
      <c r="S20" s="281">
        <f>IF(R20&gt;=0,IF(M20&gt;=0,Q19,Q20),IF(M20&gt;=0,S19,Q20))</f>
        <v>738.91764012256306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73" t="s">
        <v>110</v>
      </c>
      <c r="C21" s="91" t="s">
        <v>37</v>
      </c>
      <c r="D21" s="78" t="s">
        <v>34</v>
      </c>
      <c r="F21" s="426">
        <v>0</v>
      </c>
      <c r="H21" s="106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637.45687137256311</v>
      </c>
      <c r="R21" s="281">
        <f t="shared" si="0"/>
        <v>0</v>
      </c>
      <c r="S21" s="281">
        <f>IF(R21&gt;=0,IF(M21&gt;=0,Q20,Q21),IF(M21&gt;=0,S20,Q21))</f>
        <v>637.45687137256311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5">
      <c r="B22" s="1273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637.45687137256311</v>
      </c>
      <c r="N22" s="272"/>
      <c r="O22" s="289">
        <f>M22</f>
        <v>637.45687137256311</v>
      </c>
      <c r="P22" s="290"/>
      <c r="Q22" s="291">
        <f>Q21+M22-O22</f>
        <v>637.45687137256311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637.45687137256311</v>
      </c>
    </row>
    <row r="23" spans="2:22" ht="15" customHeight="1" outlineLevel="1" thickTop="1" x14ac:dyDescent="0.3">
      <c r="B23" s="1273"/>
      <c r="C23" s="91" t="s">
        <v>39</v>
      </c>
      <c r="D23" s="78" t="s">
        <v>32</v>
      </c>
      <c r="F23" s="99">
        <f>'C-Dados RT3 Simplif.'!C126</f>
        <v>11.909777785268423</v>
      </c>
      <c r="H23" s="107"/>
    </row>
    <row r="24" spans="2:22" ht="15" customHeight="1" outlineLevel="1" x14ac:dyDescent="0.3">
      <c r="B24" s="1273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6" outlineLevel="1" x14ac:dyDescent="0.3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2.7424650541752702</v>
      </c>
    </row>
    <row r="26" spans="2:22" s="84" customFormat="1" x14ac:dyDescent="0.3">
      <c r="B26" s="90"/>
      <c r="C26" s="90"/>
      <c r="D26" s="78"/>
      <c r="F26" s="92"/>
      <c r="I26" s="91"/>
      <c r="N26" s="98"/>
    </row>
    <row r="27" spans="2:22" x14ac:dyDescent="0.3">
      <c r="F27" s="109"/>
      <c r="K27" s="84"/>
    </row>
    <row r="28" spans="2:22" s="84" customFormat="1" ht="40.200000000000003" customHeight="1" collapsed="1" x14ac:dyDescent="0.3">
      <c r="B28" s="1274" t="s">
        <v>112</v>
      </c>
      <c r="C28" s="1274"/>
      <c r="D28" s="1274"/>
      <c r="E28" s="1274"/>
      <c r="F28" s="1274"/>
      <c r="G28" s="1274"/>
      <c r="H28" s="1274"/>
      <c r="I28" s="1274"/>
      <c r="J28" s="1274"/>
    </row>
    <row r="29" spans="2:22" s="84" customFormat="1" ht="4.95" hidden="1" customHeight="1" outlineLevel="1" x14ac:dyDescent="0.3">
      <c r="D29" s="78"/>
    </row>
    <row r="30" spans="2:22" s="111" customFormat="1" ht="15.6" hidden="1" outlineLevel="1" x14ac:dyDescent="0.3">
      <c r="B30" s="1260" t="s">
        <v>30</v>
      </c>
      <c r="C30" s="1260"/>
      <c r="D30" s="110"/>
      <c r="F30" s="1359" t="s">
        <v>10</v>
      </c>
      <c r="H30" s="1359" t="s">
        <v>10</v>
      </c>
      <c r="J30" s="1359" t="s">
        <v>10</v>
      </c>
    </row>
    <row r="31" spans="2:22" s="110" customFormat="1" ht="15.6" hidden="1" outlineLevel="1" x14ac:dyDescent="0.3">
      <c r="B31" s="1260"/>
      <c r="C31" s="1260"/>
      <c r="F31" s="1359"/>
      <c r="H31" s="1359"/>
      <c r="J31" s="1359"/>
    </row>
    <row r="32" spans="2:22" ht="4.95" hidden="1" customHeight="1" outlineLevel="1" x14ac:dyDescent="0.3"/>
    <row r="33" spans="2:11" hidden="1" outlineLevel="1" x14ac:dyDescent="0.3">
      <c r="B33" s="1255" t="s">
        <v>27</v>
      </c>
      <c r="C33" s="98" t="s">
        <v>4</v>
      </c>
      <c r="D33" s="113" t="s">
        <v>33</v>
      </c>
      <c r="E33" s="103"/>
      <c r="F33" s="114">
        <f>'C-Dados RT3 Simplif.'!C108</f>
        <v>1068.6593513476564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12.056233000724824</v>
      </c>
      <c r="K33" s="115"/>
    </row>
    <row r="34" spans="2:11" hidden="1" outlineLevel="1" x14ac:dyDescent="0.3">
      <c r="B34" s="1255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55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3">
      <c r="B37" s="1255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55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3">
      <c r="B40" s="1255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3">
      <c r="B41" s="1255"/>
      <c r="C41" s="98" t="s">
        <v>25</v>
      </c>
      <c r="D41" s="125" t="s">
        <v>32</v>
      </c>
      <c r="E41" s="103"/>
      <c r="F41" s="118">
        <f t="shared" si="2"/>
        <v>11.909777785268423</v>
      </c>
      <c r="G41" s="103"/>
      <c r="H41" s="104">
        <f>H17</f>
        <v>150</v>
      </c>
      <c r="I41" s="115"/>
      <c r="J41" s="116">
        <f>-F41*$H$41*1000*(1-'C-Dados RT3 Simplif.'!$C$93)*(1-'C-Dados RT3 Simplif.'!$C$89)/'C-Dados RT3 Simplif.'!$C$105*27/30</f>
        <v>-37.338453157500012</v>
      </c>
      <c r="K41" s="115"/>
    </row>
    <row r="42" spans="2:11" hidden="1" outlineLevel="1" x14ac:dyDescent="0.3">
      <c r="B42" s="1255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3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-101.46076874999997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1360" t="s">
        <v>113</v>
      </c>
      <c r="C46" s="1361"/>
      <c r="D46" s="1361"/>
      <c r="E46" s="1361"/>
      <c r="F46" s="1361"/>
      <c r="G46" s="1361"/>
      <c r="H46" s="1361"/>
      <c r="I46" s="126"/>
      <c r="J46" s="1359" t="s">
        <v>10</v>
      </c>
      <c r="K46" s="126"/>
    </row>
    <row r="47" spans="2:11" s="110" customFormat="1" ht="15.6" customHeight="1" x14ac:dyDescent="0.3">
      <c r="B47" s="1362"/>
      <c r="C47" s="1363"/>
      <c r="D47" s="1363"/>
      <c r="E47" s="1363"/>
      <c r="F47" s="1363"/>
      <c r="G47" s="1363"/>
      <c r="H47" s="1363"/>
      <c r="I47" s="86"/>
      <c r="J47" s="1359"/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D49" s="127"/>
      <c r="E49" s="127"/>
      <c r="F49" s="85"/>
      <c r="H49" s="418"/>
      <c r="I49" s="126"/>
      <c r="J49" s="128">
        <f>SUM(J33:J37)+SUM(J39:J43)*C53</f>
        <v>-126.74298890677517</v>
      </c>
      <c r="K49" s="86"/>
    </row>
    <row r="50" spans="2:11" ht="4.95" customHeight="1" x14ac:dyDescent="0.3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D51" s="127"/>
      <c r="E51" s="127"/>
      <c r="F51" s="85"/>
      <c r="H51" s="420"/>
      <c r="I51" s="129"/>
      <c r="J51" s="351">
        <f>'C-Dados RT3 Simplif.'!C6+J33</f>
        <v>330.90986027933826</v>
      </c>
      <c r="K51" s="416"/>
    </row>
    <row r="52" spans="2:11" ht="4.95" customHeight="1" x14ac:dyDescent="0.3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2" customHeight="1" x14ac:dyDescent="0.3">
      <c r="B53" s="421" t="s">
        <v>116</v>
      </c>
      <c r="C53" s="656">
        <f>'Demanda Preço &amp; Quantidade'!D10</f>
        <v>1</v>
      </c>
      <c r="D53" s="127"/>
      <c r="E53" s="127"/>
      <c r="F53" s="85"/>
      <c r="H53" s="423"/>
      <c r="I53" s="126"/>
      <c r="J53" s="1254"/>
      <c r="K53" s="1254"/>
    </row>
    <row r="54" spans="2:11" ht="4.95" customHeight="1" x14ac:dyDescent="0.3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D55" s="127"/>
      <c r="E55" s="127"/>
      <c r="F55" s="85"/>
      <c r="H55" s="425"/>
      <c r="I55" s="86"/>
      <c r="J55" s="136">
        <f>$J$51+J49</f>
        <v>204.16687137256309</v>
      </c>
      <c r="K55" s="137"/>
    </row>
    <row r="56" spans="2:11" ht="12.45" customHeight="1" x14ac:dyDescent="0.3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insertRows="0" sort="0" autoFilter="0"/>
  <mergeCells count="21"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288" t="s">
        <v>474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3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3"/>
      <c r="M5" s="777"/>
      <c r="N5" s="1053"/>
      <c r="O5" s="1294" t="s">
        <v>378</v>
      </c>
      <c r="P5" s="1053"/>
      <c r="Q5" s="1294" t="s">
        <v>379</v>
      </c>
      <c r="R5" s="1053"/>
      <c r="S5" s="1294" t="s">
        <v>380</v>
      </c>
      <c r="T5" s="1053"/>
      <c r="U5" s="1294" t="s">
        <v>381</v>
      </c>
      <c r="V5" s="1053"/>
      <c r="W5" s="1294" t="s">
        <v>382</v>
      </c>
      <c r="X5" s="1053"/>
      <c r="Y5" s="1294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21.921043175964311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3"/>
      <c r="M6" s="789"/>
      <c r="N6" s="790"/>
      <c r="O6" s="1295"/>
      <c r="P6" s="1053"/>
      <c r="Q6" s="1295"/>
      <c r="R6" s="1053"/>
      <c r="S6" s="1295"/>
      <c r="T6" s="1053"/>
      <c r="U6" s="1295"/>
      <c r="V6" s="1053"/>
      <c r="W6" s="1295"/>
      <c r="X6" s="1053"/>
      <c r="Y6" s="1295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'3)Biosecagem Prod BioCDR'!M22</f>
        <v>637.45687137256311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RT3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3"/>
      <c r="M8" s="789"/>
      <c r="N8" s="790"/>
      <c r="O8" s="796">
        <f>(O12-O10)/O10</f>
        <v>0</v>
      </c>
      <c r="P8" s="790"/>
      <c r="Q8" s="796">
        <f>(Q12-Q10)/Q10</f>
        <v>5.9292925928742437E-3</v>
      </c>
      <c r="R8" s="790"/>
      <c r="S8" s="796">
        <f>(S12-S10)/S10</f>
        <v>1.5233061901367379E-2</v>
      </c>
      <c r="T8" s="1053"/>
      <c r="U8" s="796">
        <f>(U12-U10)/U10</f>
        <v>1.5233061901367233E-2</v>
      </c>
      <c r="V8" s="1053"/>
      <c r="W8" s="796">
        <f>(W12-W10)/W10</f>
        <v>1.5233061901367233E-2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RT3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23.828447945312906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3.5595627322636192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23.969733785214739</v>
      </c>
      <c r="R12" s="790"/>
      <c r="S12" s="802">
        <f>S33</f>
        <v>34912.115286618908</v>
      </c>
      <c r="T12" s="1053"/>
      <c r="U12" s="802">
        <f>U33</f>
        <v>6252163.3856565868</v>
      </c>
      <c r="V12" s="1053"/>
      <c r="W12" s="802">
        <f>W33</f>
        <v>6252163.3856565868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280"/>
      <c r="G16" s="1282"/>
      <c r="H16" s="1284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23.828447945312906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3.8692891845047073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285" t="s">
        <v>419</v>
      </c>
      <c r="G23" s="1286"/>
      <c r="H23" s="1287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138.86932114129056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23.828447945312906</v>
      </c>
      <c r="E25" s="1053"/>
      <c r="F25" s="835" t="s">
        <v>424</v>
      </c>
      <c r="G25" s="812" t="s">
        <v>425</v>
      </c>
      <c r="H25" s="838">
        <f>H24/12</f>
        <v>11.572443428440879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3.8692891845047073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296" t="s">
        <v>427</v>
      </c>
      <c r="C29" s="1297"/>
      <c r="D29" s="1297"/>
      <c r="E29" s="1298"/>
      <c r="F29" s="1053"/>
      <c r="G29" s="1053"/>
      <c r="H29" s="777"/>
      <c r="I29" s="1053"/>
      <c r="J29" s="777"/>
      <c r="K29" s="1299" t="s">
        <v>428</v>
      </c>
      <c r="L29" s="1300"/>
      <c r="M29" s="1301"/>
      <c r="N29" s="1053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3"/>
      <c r="O31" s="1307" t="s">
        <v>433</v>
      </c>
      <c r="P31" s="1053"/>
      <c r="Q31" s="1307" t="s">
        <v>434</v>
      </c>
      <c r="R31" s="1053"/>
      <c r="S31" s="1307" t="s">
        <v>435</v>
      </c>
      <c r="T31" s="1053"/>
      <c r="U31" s="1307" t="s">
        <v>436</v>
      </c>
      <c r="V31" s="1053"/>
      <c r="W31" s="1307" t="s">
        <v>436</v>
      </c>
      <c r="X31" s="1053"/>
      <c r="Y31" s="1307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138.86932114129056</v>
      </c>
      <c r="M32" s="841">
        <f>H25</f>
        <v>11.572443428440879</v>
      </c>
      <c r="N32" s="842"/>
      <c r="O32" s="1308"/>
      <c r="P32" s="842"/>
      <c r="Q32" s="1308"/>
      <c r="R32" s="842"/>
      <c r="S32" s="1308"/>
      <c r="T32" s="1053"/>
      <c r="U32" s="1308"/>
      <c r="V32" s="1053"/>
      <c r="W32" s="1308"/>
      <c r="X32" s="1053"/>
      <c r="Y32" s="1309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23.969733785214739</v>
      </c>
      <c r="R33" s="1053"/>
      <c r="S33" s="802">
        <f>12*S34</f>
        <v>34912.115286618908</v>
      </c>
      <c r="T33" s="1053" t="s">
        <v>438</v>
      </c>
      <c r="U33" s="802">
        <f>12*U34</f>
        <v>6252163.3856565868</v>
      </c>
      <c r="V33" s="1053" t="s">
        <v>439</v>
      </c>
      <c r="W33" s="802">
        <f>12*W34</f>
        <v>6252163.3856565868</v>
      </c>
      <c r="X33" s="1053" t="s">
        <v>439</v>
      </c>
      <c r="Y33" s="1320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2909.3429405515753</v>
      </c>
      <c r="T34" s="1053" t="s">
        <v>441</v>
      </c>
      <c r="U34" s="802">
        <f>U36+U49+U62+U75+U88</f>
        <v>521013.61547138222</v>
      </c>
      <c r="V34" s="1053" t="s">
        <v>442</v>
      </c>
      <c r="W34" s="802">
        <f>W36+W49+W62+W75+W88</f>
        <v>521013.61547138222</v>
      </c>
      <c r="X34" s="1053" t="s">
        <v>442</v>
      </c>
      <c r="Y34" s="1321"/>
      <c r="Z34" s="1053"/>
      <c r="AA34" s="1053"/>
      <c r="AB34" s="773"/>
    </row>
    <row r="35" spans="1:28" s="774" customFormat="1" ht="25.2" customHeight="1" outlineLevel="1" x14ac:dyDescent="0.3">
      <c r="A35" s="1053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17.263734942662392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3"/>
      <c r="O36" s="802">
        <f>O39+O41+O42+O43+O44+O45</f>
        <v>40</v>
      </c>
      <c r="P36" s="1053"/>
      <c r="Q36" s="849">
        <f>Q39+Q41+Q42+Q43+Q44+Q45</f>
        <v>690.54939770649571</v>
      </c>
      <c r="R36" s="1053"/>
      <c r="S36" s="1310">
        <f>IF(AND(Q36&lt;&gt;0,O36&lt;&gt;0),Q36*(1-D17-D18-D19)/(($D$25*1000000/$D$8)),0)</f>
        <v>0.91186490169687462</v>
      </c>
      <c r="T36" s="1335" t="s">
        <v>448</v>
      </c>
      <c r="U36" s="1310">
        <f>U39+U41+U42+U43+U44+U45</f>
        <v>163.29942497754263</v>
      </c>
      <c r="V36" s="1053" t="s">
        <v>449</v>
      </c>
      <c r="W36" s="1310">
        <f>W39*O39+W41*O41+W42*O42+W43*O43+W44*O44+W45*O45</f>
        <v>163.29942497754263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3"/>
      <c r="O37" s="855" t="s">
        <v>455</v>
      </c>
      <c r="P37" s="1053"/>
      <c r="Q37" s="856">
        <v>0.75</v>
      </c>
      <c r="R37" s="1053"/>
      <c r="S37" s="1334"/>
      <c r="T37" s="1336"/>
      <c r="U37" s="1334"/>
      <c r="V37" s="1053"/>
      <c r="W37" s="1311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34.717330285322639</v>
      </c>
      <c r="K39" s="872">
        <f>$M$32*H39*$B$38*$C$38</f>
        <v>2.8931108571102198</v>
      </c>
      <c r="L39" s="871">
        <f>J39*$D$38</f>
        <v>43.3966628566533</v>
      </c>
      <c r="M39" s="872">
        <f>K39*$D$38</f>
        <v>3.6163885713877746</v>
      </c>
      <c r="N39" s="1053"/>
      <c r="O39" s="873">
        <v>2</v>
      </c>
      <c r="P39" s="1053"/>
      <c r="Q39" s="874">
        <f>O39*$Q$37*M39+O39*(1-$Q$37)*K39</f>
        <v>6.8711382856367713</v>
      </c>
      <c r="R39" s="1053"/>
      <c r="S39" s="875">
        <f>IF(AND(Q39&lt;&gt;0,O39&lt;&gt;0),Q39*(1-D17-D18-D19)/O39/30/(($D$25*1000000/$D$8))*1000,0)</f>
        <v>0.15122137673248331</v>
      </c>
      <c r="T39" s="1053" t="s">
        <v>459</v>
      </c>
      <c r="U39" s="876">
        <f>S39*O39*30*$D$11*(1+$D$24)/1000</f>
        <v>1.6248699002740554</v>
      </c>
      <c r="V39" s="1053" t="s">
        <v>460</v>
      </c>
      <c r="W39" s="876">
        <f>IF(O39&lt;&gt;0,U39/O39,0)</f>
        <v>0.81243495013702771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100.68025782743565</v>
      </c>
      <c r="K41" s="872">
        <f>$M$32*(H39+(G41-F41)*H41)*$B$38*$C$38</f>
        <v>8.3900214856196378</v>
      </c>
      <c r="L41" s="871">
        <f t="shared" ref="L41:M45" si="0">J41*$D$38</f>
        <v>125.85032228429456</v>
      </c>
      <c r="M41" s="872">
        <f t="shared" si="0"/>
        <v>10.487526857024548</v>
      </c>
      <c r="N41" s="1053"/>
      <c r="O41" s="873">
        <v>2</v>
      </c>
      <c r="P41" s="1053"/>
      <c r="Q41" s="874">
        <f>O41*$Q$37*M41+O41*(1-$Q$37)*K41</f>
        <v>19.926301028346643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170.11491839808093</v>
      </c>
      <c r="K42" s="872">
        <f>$M$32*(H39+(G41-F41)*H41+(G42-F42)*H42)*$B$38*$C$38</f>
        <v>14.176243199840078</v>
      </c>
      <c r="L42" s="871">
        <f t="shared" si="0"/>
        <v>212.64364799760116</v>
      </c>
      <c r="M42" s="872">
        <f t="shared" si="0"/>
        <v>17.720303999800098</v>
      </c>
      <c r="N42" s="1053"/>
      <c r="O42" s="873">
        <v>28</v>
      </c>
      <c r="P42" s="1053"/>
      <c r="Q42" s="874">
        <f>O42*$Q$37*M42+O42*(1-$Q$37)*K42</f>
        <v>471.36008639468264</v>
      </c>
      <c r="R42" s="1053"/>
      <c r="S42" s="875">
        <f>IF(AND(Q42&lt;&gt;0,O42&lt;&gt;0),Q42*(1-D17-D18-D19)/O42/30/(($D$25*1000000/$D$8))*1000,0)</f>
        <v>0.74098474598916841</v>
      </c>
      <c r="T42" s="1053" t="s">
        <v>459</v>
      </c>
      <c r="U42" s="876">
        <f>S42*O42*30*$D$11*(1+$D$24)/1000</f>
        <v>111.46607515880024</v>
      </c>
      <c r="V42" s="1053" t="s">
        <v>460</v>
      </c>
      <c r="W42" s="876">
        <f>IF(O42&lt;&gt;0,U42/O42,0)</f>
        <v>3.9809312556714369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243.02131199725846</v>
      </c>
      <c r="K43" s="872">
        <f>$M$32*(H39+(G41-F41)*H41+(G42-F42)*H42+(G43-F43)*H43)*$B$38*$C$38</f>
        <v>20.251775999771539</v>
      </c>
      <c r="L43" s="871">
        <f t="shared" si="0"/>
        <v>303.77663999657307</v>
      </c>
      <c r="M43" s="872">
        <f t="shared" si="0"/>
        <v>25.314719999714423</v>
      </c>
      <c r="N43" s="1053"/>
      <c r="O43" s="873">
        <v>8</v>
      </c>
      <c r="P43" s="1053"/>
      <c r="Q43" s="874">
        <f>O43*$Q$37*M43+O43*(1-$Q$37)*K43</f>
        <v>192.39187199782961</v>
      </c>
      <c r="R43" s="1053"/>
      <c r="S43" s="875">
        <f>IF(AND(Q43&lt;&gt;0,O43&lt;&gt;0),Q43*(1-D17-D18-D19)/O43/30/(($D$25*1000000/$D$8))*1000,0)</f>
        <v>1.0585496371273833</v>
      </c>
      <c r="T43" s="1053" t="s">
        <v>459</v>
      </c>
      <c r="U43" s="876">
        <f>S43*O43*30*$D$11*(1+$D$24)/1000</f>
        <v>45.496357207673562</v>
      </c>
      <c r="V43" s="1053" t="s">
        <v>460</v>
      </c>
      <c r="W43" s="876">
        <f>IF(O43&lt;&gt;0,U43/O43,0)</f>
        <v>5.6870446509591952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357.58850193882319</v>
      </c>
      <c r="K44" s="872">
        <f>$M$32*(H39+(G41-F41)*H41+(G42-F42)*H42+(G43-F43)*H43+(G44-F44)*H44)*$B$38*$C$38</f>
        <v>29.799041828235264</v>
      </c>
      <c r="L44" s="871">
        <f t="shared" si="0"/>
        <v>446.98562742352897</v>
      </c>
      <c r="M44" s="872">
        <f t="shared" si="0"/>
        <v>37.248802285294083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756.8378002200335</v>
      </c>
      <c r="K45" s="872">
        <f>$M$32*(H39+(G41-F41)*H41+(G42-F42)*H42+(G43-F43)*H43+(G44-F44)*H44+(G45-F45)*H45)*$B$38*$C$38</f>
        <v>63.069816685002792</v>
      </c>
      <c r="L45" s="871">
        <f t="shared" si="0"/>
        <v>946.04725027504185</v>
      </c>
      <c r="M45" s="872">
        <f t="shared" si="0"/>
        <v>78.837270856253497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13.796417319078836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3"/>
      <c r="O49" s="802">
        <f>O52+O54+O55+O56+O57+O58</f>
        <v>127341</v>
      </c>
      <c r="P49" s="1053"/>
      <c r="Q49" s="890">
        <f>Q52+Q54+Q55+Q56+Q57+Q58</f>
        <v>1756849.577828818</v>
      </c>
      <c r="R49" s="1053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415455.47180887184</v>
      </c>
      <c r="V49" s="1053" t="s">
        <v>449</v>
      </c>
      <c r="W49" s="1338">
        <f>W52*O52+W54*O54+W55*O55+W56*O56+W57*O57+W58*O58</f>
        <v>415455.47180887184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3"/>
      <c r="O50" s="891" t="s">
        <v>455</v>
      </c>
      <c r="P50" s="1053"/>
      <c r="Q50" s="856">
        <v>0.75</v>
      </c>
      <c r="R50" s="1053"/>
      <c r="S50" s="1334"/>
      <c r="T50" s="1336"/>
      <c r="U50" s="1334"/>
      <c r="V50" s="1053"/>
      <c r="W50" s="1339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48.691055725165008</v>
      </c>
      <c r="K52" s="872">
        <f>$M$32*H52*$B$51*$C$51</f>
        <v>4.0575879770970831</v>
      </c>
      <c r="L52" s="871">
        <f>J52*$D$51</f>
        <v>60.863819656456258</v>
      </c>
      <c r="M52" s="872">
        <f>K52*$D$51</f>
        <v>5.0719849713713536</v>
      </c>
      <c r="N52" s="1053"/>
      <c r="O52" s="873">
        <v>62341</v>
      </c>
      <c r="P52" s="1053"/>
      <c r="Q52" s="874">
        <f>O52*$Q$50*M52+O52*(1-$Q$50)*K52</f>
        <v>300382.98434524849</v>
      </c>
      <c r="R52" s="1053"/>
      <c r="S52" s="875">
        <f>IF(AND(Q52&lt;&gt;0,O52&lt;&gt;0),Q52*(1-D17-D18-D19)/O52/30/(($D$25*1000000/$D$8))*1000,0)</f>
        <v>0.21208798086730787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154.92608639825227</v>
      </c>
      <c r="K54" s="872">
        <f>$M$32*(H52+(G54-F54)*H54)*$B$51*$C$51</f>
        <v>12.910507199854354</v>
      </c>
      <c r="L54" s="871">
        <f t="shared" ref="L54:M58" si="1">J54*$D$51</f>
        <v>193.65760799781532</v>
      </c>
      <c r="M54" s="872">
        <f t="shared" si="1"/>
        <v>16.138133999817942</v>
      </c>
      <c r="N54" s="1053"/>
      <c r="O54" s="873">
        <v>42500</v>
      </c>
      <c r="P54" s="1053"/>
      <c r="Q54" s="874">
        <f>O54*$Q$50*M54+O54*(1-$Q$50)*K54</f>
        <v>651577.16024264949</v>
      </c>
      <c r="R54" s="1053"/>
      <c r="S54" s="875">
        <f>IF(AND(Q54&lt;&gt;0,O54&lt;&gt;0),Q54*(1-D17-D18-D19)/O54/30/(($D$25*1000000/$D$8))*1000,0)</f>
        <v>0.67482539366870664</v>
      </c>
      <c r="T54" s="1053" t="s">
        <v>459</v>
      </c>
      <c r="U54" s="876">
        <f>S54*O54*30*$D$11*(1+$D$24)/1000</f>
        <v>154083.36601192562</v>
      </c>
      <c r="V54" s="1053" t="s">
        <v>460</v>
      </c>
      <c r="W54" s="894">
        <f>IF(O54&lt;&gt;0,U54/O54,0)</f>
        <v>3.625490964986485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265.58757668271812</v>
      </c>
      <c r="K55" s="872">
        <f>$M$32*(H52+(G54-F54)*H54+(G55-F55)*H55)*$B$51*$C$51</f>
        <v>22.13229805689318</v>
      </c>
      <c r="L55" s="871">
        <f t="shared" si="1"/>
        <v>331.98447085339762</v>
      </c>
      <c r="M55" s="872">
        <f t="shared" si="1"/>
        <v>27.665372571116475</v>
      </c>
      <c r="N55" s="1053"/>
      <c r="O55" s="873">
        <v>10000</v>
      </c>
      <c r="P55" s="1053"/>
      <c r="Q55" s="874">
        <f>O55*$Q$50*M55+O55*(1-$Q$50)*K55</f>
        <v>262821.03942560655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438.21950152648503</v>
      </c>
      <c r="K56" s="872">
        <f>$M$32*(H52+(G54-F54)*H54+(G55-F55)*H55+(G56-F56)*H56)*$B$51*$C$51</f>
        <v>36.51829179387375</v>
      </c>
      <c r="L56" s="871">
        <f t="shared" si="1"/>
        <v>547.77437690810632</v>
      </c>
      <c r="M56" s="872">
        <f t="shared" si="1"/>
        <v>45.647864742342186</v>
      </c>
      <c r="N56" s="1053"/>
      <c r="O56" s="873">
        <v>12500</v>
      </c>
      <c r="P56" s="1053"/>
      <c r="Q56" s="874">
        <f>O56*$Q$50*M56+O56*(1-$Q$50)*K56</f>
        <v>542068.39381531347</v>
      </c>
      <c r="R56" s="1053"/>
      <c r="S56" s="875">
        <f>IF(AND(Q56&lt;&gt;0,O56&lt;&gt;0),Q56*(1-D17-D18-D19)/O56/30/(($D$25*1000000/$D$8))*1000,0)</f>
        <v>1.9087918278057705</v>
      </c>
      <c r="T56" s="1053" t="s">
        <v>459</v>
      </c>
      <c r="U56" s="876">
        <f>S56*O56*30*$D$11*(1+$D$24)/1000</f>
        <v>128187.0019763079</v>
      </c>
      <c r="V56" s="1053" t="s">
        <v>460</v>
      </c>
      <c r="W56" s="895">
        <f>IF(O56&lt;&gt;0,U56/O56,0)</f>
        <v>10.254960158104632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902.99776072124166</v>
      </c>
      <c r="K57" s="872">
        <f>$M$32*(H52+(G54-F54)*H54+(G55-F55)*H55+(G56-F56)*H56+(G57-F57)*H57)*$B$51*$C$51</f>
        <v>75.24981339343681</v>
      </c>
      <c r="L57" s="871">
        <f t="shared" si="1"/>
        <v>1128.7472009015521</v>
      </c>
      <c r="M57" s="872">
        <f t="shared" si="1"/>
        <v>94.062266741796009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1898.9511732814349</v>
      </c>
      <c r="K58" s="872">
        <f>$M$32*(H52+(G54-F54)*H54+(G55-F55)*H55+(G56-F56)*H56+(G57-F57)*H57+(G58-F58)*H58)*$B$51*$C$51</f>
        <v>158.24593110678623</v>
      </c>
      <c r="L58" s="871">
        <f t="shared" si="1"/>
        <v>2373.6889666017937</v>
      </c>
      <c r="M58" s="872">
        <f t="shared" si="1"/>
        <v>197.80741388348278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4.8471928207349748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3"/>
      <c r="O62" s="802">
        <f>O65+O67+O68+O69+O70+O71</f>
        <v>42447</v>
      </c>
      <c r="P62" s="1053"/>
      <c r="Q62" s="849">
        <f>Q65+Q67+Q68+Q69+Q70+Q71</f>
        <v>205748.79366173747</v>
      </c>
      <c r="R62" s="1053"/>
      <c r="S62" s="1310">
        <f>IF(AND(Q62&lt;&gt;0,O62&lt;&gt;0),Q62*(1-D17-D18-D19)/(H15)/(($D$25*1000000/$D$8)),0)</f>
        <v>543.37924015206465</v>
      </c>
      <c r="T62" s="1335" t="s">
        <v>448</v>
      </c>
      <c r="U62" s="1310">
        <f>U65+U67+U68+U69+U70+U71</f>
        <v>97309.938452991701</v>
      </c>
      <c r="V62" s="1053" t="s">
        <v>449</v>
      </c>
      <c r="W62" s="1310">
        <f>W65*O65+W67*O67+W68*O68+W69*O69+W70*O70+W71*O71</f>
        <v>97309.938452991701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3"/>
      <c r="O63" s="891" t="s">
        <v>455</v>
      </c>
      <c r="P63" s="1053"/>
      <c r="Q63" s="856">
        <v>0.75</v>
      </c>
      <c r="R63" s="1053"/>
      <c r="S63" s="1334"/>
      <c r="T63" s="1336"/>
      <c r="U63" s="1334"/>
      <c r="V63" s="1053"/>
      <c r="W63" s="1311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24.345527862582504</v>
      </c>
      <c r="K65" s="872">
        <f>$M$32*H65*$B$64*$C$64</f>
        <v>2.0287939885485415</v>
      </c>
      <c r="L65" s="871">
        <f>J65*$D$51</f>
        <v>30.431909828228129</v>
      </c>
      <c r="M65" s="872">
        <f>K65*$D$51</f>
        <v>2.5359924856856768</v>
      </c>
      <c r="N65" s="1053"/>
      <c r="O65" s="873">
        <v>25947</v>
      </c>
      <c r="P65" s="1053"/>
      <c r="Q65" s="874">
        <f>O65*$Q$63*M65+O65*(1-$Q$63)*K65</f>
        <v>62511.327174781945</v>
      </c>
      <c r="R65" s="1053"/>
      <c r="S65" s="875">
        <f>IF(AND(Q65&lt;&gt;0,O65&lt;&gt;0),Q65*(1-D17-D18-D19)/(H15)/O65/30/(($D$25*1000000/$D$8))*1000,0)</f>
        <v>0.21208798086730782</v>
      </c>
      <c r="T65" s="1053" t="s">
        <v>459</v>
      </c>
      <c r="U65" s="876">
        <f>S65*O65*30*$D$11*(1+$D$24)/1000</f>
        <v>29565.050135815651</v>
      </c>
      <c r="V65" s="1053" t="s">
        <v>460</v>
      </c>
      <c r="W65" s="876">
        <f>IF(O65&lt;&gt;0,U65/O65,0)</f>
        <v>1.1394400175671813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77.463043199126133</v>
      </c>
      <c r="K67" s="872">
        <f>$M$32*(H65+(G67-F67)*H67)*$B$64*$C$64</f>
        <v>6.4552535999271772</v>
      </c>
      <c r="L67" s="871">
        <f t="shared" ref="L67:M71" si="3">J67*$D$51</f>
        <v>96.828803998907659</v>
      </c>
      <c r="M67" s="872">
        <f t="shared" si="3"/>
        <v>8.069066999908971</v>
      </c>
      <c r="N67" s="1053"/>
      <c r="O67" s="873">
        <v>15000</v>
      </c>
      <c r="P67" s="1053"/>
      <c r="Q67" s="874">
        <f>O67*$Q$63*M67+O67*(1-$Q$63)*K67</f>
        <v>114984.20474870285</v>
      </c>
      <c r="R67" s="1053"/>
      <c r="S67" s="875">
        <f>IF(AND(Q67&lt;&gt;0,O67&lt;&gt;0),Q67*(1-D17-D18-D19)/O67/30/(H15)/(($D$25*1000000/$D$8))*1000,0)</f>
        <v>0.67482539366870664</v>
      </c>
      <c r="T67" s="1053" t="s">
        <v>459</v>
      </c>
      <c r="U67" s="876">
        <f>S67*O67*30*$D$11*(1+$D$24)/1000</f>
        <v>54382.364474797287</v>
      </c>
      <c r="V67" s="1053" t="s">
        <v>460</v>
      </c>
      <c r="W67" s="876">
        <f>IF(O67&lt;&gt;0,U67/O67,0)</f>
        <v>3.6254909649864859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3.6254909649864859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132.79378834135906</v>
      </c>
      <c r="K68" s="872">
        <f>$M$32*(H65+(G67-F67)*H67+(G68-F68)*H68)*$B$64*$C$64</f>
        <v>11.06614902844659</v>
      </c>
      <c r="L68" s="871">
        <f t="shared" si="3"/>
        <v>165.99223542669881</v>
      </c>
      <c r="M68" s="872">
        <f t="shared" si="3"/>
        <v>13.832686285558237</v>
      </c>
      <c r="N68" s="1053"/>
      <c r="O68" s="873">
        <v>500</v>
      </c>
      <c r="P68" s="1053"/>
      <c r="Q68" s="874">
        <f>O68*$Q$63*M68+O68*(1-$Q$63)*K68</f>
        <v>6570.5259856401626</v>
      </c>
      <c r="R68" s="1053"/>
      <c r="S68" s="875">
        <f>IF(AND(Q68&lt;&gt;0,O68&lt;&gt;0),Q68*(1-D17-D18-D19)/O68/30/(H15)/(($D$25*1000000/$D$8))*1000,0)</f>
        <v>1.1568435320034973</v>
      </c>
      <c r="T68" s="1053" t="s">
        <v>459</v>
      </c>
      <c r="U68" s="876">
        <f>S68*O68*30*$D$11*(1+$D$24)/1000</f>
        <v>3107.563684274131</v>
      </c>
      <c r="V68" s="1053" t="s">
        <v>460</v>
      </c>
      <c r="W68" s="876">
        <f>IF(O68&lt;&gt;0,U68/O68,0)</f>
        <v>6.215127368548262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219.10975076324252</v>
      </c>
      <c r="K69" s="872">
        <f>$M$32*(H65+(G67-F67)*H67+(G68-F68)*H68+(G69-F69)*H69)*$B$64*$C$64</f>
        <v>18.259145896936875</v>
      </c>
      <c r="L69" s="871">
        <f t="shared" si="3"/>
        <v>273.88718845405316</v>
      </c>
      <c r="M69" s="872">
        <f t="shared" si="3"/>
        <v>22.823932371171093</v>
      </c>
      <c r="N69" s="1053"/>
      <c r="O69" s="873">
        <v>1000</v>
      </c>
      <c r="P69" s="1053"/>
      <c r="Q69" s="874">
        <f>O69*$Q$63*M69+O69*(1-$Q$63)*K69</f>
        <v>21682.735752612542</v>
      </c>
      <c r="R69" s="1053"/>
      <c r="S69" s="875">
        <f>IF(AND(Q69&lt;&gt;0,O69&lt;&gt;0),Q69*(1-D17-D18-D19)/O69/30/(H15)/(($D$25*1000000/$D$8))*1000,0)</f>
        <v>1.9087918278057707</v>
      </c>
      <c r="T69" s="1053" t="s">
        <v>459</v>
      </c>
      <c r="U69" s="876">
        <f>S69*O69*30*$D$11*(1+$D$24)/1000</f>
        <v>10254.960158104634</v>
      </c>
      <c r="V69" s="1053" t="s">
        <v>460</v>
      </c>
      <c r="W69" s="876">
        <f>IF(O69&lt;&gt;0,U69/O69,0)</f>
        <v>10.254960158104634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451.49888036062083</v>
      </c>
      <c r="K70" s="872">
        <f>$M$32*(H65+(G67-F67)*H67+(G68-F68)*H68+(G69-F69)*H69+(G70-F70)*H70)*$B$64*$C$64</f>
        <v>37.624906696718405</v>
      </c>
      <c r="L70" s="871">
        <f t="shared" si="3"/>
        <v>564.37360045077605</v>
      </c>
      <c r="M70" s="872">
        <f t="shared" si="3"/>
        <v>47.031133370898004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949.47558664071744</v>
      </c>
      <c r="K71" s="872">
        <f>$M$32*(H65+(G67-F67)*H67+(G68-F68)*H68+(G69-F69)*H69+(G70-F70)*H70+(G71-F71)*H71)*$B$64*$C$64</f>
        <v>79.122965553393115</v>
      </c>
      <c r="L71" s="871">
        <f t="shared" si="3"/>
        <v>1186.8444833008969</v>
      </c>
      <c r="M71" s="872">
        <f t="shared" si="3"/>
        <v>98.90370694174139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19.159464630357423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3"/>
      <c r="O75" s="802">
        <f>O78+O80+O81+O82+O83+O84</f>
        <v>1741</v>
      </c>
      <c r="P75" s="1053"/>
      <c r="Q75" s="849">
        <f>Q78+Q80+Q81+Q82+Q83+Q84</f>
        <v>33356.627921452273</v>
      </c>
      <c r="R75" s="1053"/>
      <c r="S75" s="1310">
        <f>IF(AND(Q75&lt;&gt;0,O75&lt;&gt;0),Q75*(1-D17-D18-D19)/(($D$25*1000000/$D$8)),0)</f>
        <v>44.047157729130809</v>
      </c>
      <c r="T75" s="1335" t="s">
        <v>448</v>
      </c>
      <c r="U75" s="1310">
        <f>U78+U80+U81+U82+U83+U84</f>
        <v>7888.0934178704292</v>
      </c>
      <c r="V75" s="1053" t="s">
        <v>449</v>
      </c>
      <c r="W75" s="1310">
        <f>W78*O78+W80*O80+W81*O81+W82*O82+W83*O83+W84*O84</f>
        <v>7888.0934178704292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3"/>
      <c r="O76" s="891" t="s">
        <v>455</v>
      </c>
      <c r="P76" s="1053"/>
      <c r="Q76" s="856">
        <v>0.75</v>
      </c>
      <c r="R76" s="1053"/>
      <c r="S76" s="1334"/>
      <c r="T76" s="1336"/>
      <c r="U76" s="1334"/>
      <c r="V76" s="1053"/>
      <c r="W76" s="1311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46.868395885185564</v>
      </c>
      <c r="K78" s="872">
        <f>$M$32*H78*$B$77*$C$77</f>
        <v>3.905699657098797</v>
      </c>
      <c r="L78" s="871">
        <f>J78*$D$77</f>
        <v>58.585494856481958</v>
      </c>
      <c r="M78" s="872">
        <f>K78*$D$77</f>
        <v>4.8821245713734962</v>
      </c>
      <c r="N78" s="1053"/>
      <c r="O78" s="873">
        <v>264</v>
      </c>
      <c r="P78" s="1053"/>
      <c r="Q78" s="874">
        <f>O78*$Q$76*M78+O78*(1-$Q$76)*K78</f>
        <v>1224.4368425004727</v>
      </c>
      <c r="R78" s="1053"/>
      <c r="S78" s="875">
        <f>IF(AND(Q78&lt;&gt;0,O78&lt;&gt;0),Q78*(1-D17-D18-D19)/O78/30/(($D$25*1000000/$D$8))*1000,0)</f>
        <v>0.20414885858885243</v>
      </c>
      <c r="T78" s="1053" t="s">
        <v>459</v>
      </c>
      <c r="U78" s="876">
        <f>S78*O78*30*$D$11*(1+$D$24)/1000</f>
        <v>289.55181622883663</v>
      </c>
      <c r="V78" s="1053" t="s">
        <v>460</v>
      </c>
      <c r="W78" s="876">
        <f>IF(O78&lt;&gt;0,U78/O78,0)</f>
        <v>1.0967871826849873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171.85078491234705</v>
      </c>
      <c r="K80" s="872">
        <f>$M$32*(H78+(G80-F80)*H80)*$B$77*$C$77</f>
        <v>14.320898742695588</v>
      </c>
      <c r="L80" s="871">
        <f t="shared" ref="L80:M84" si="4">J80*$D$77</f>
        <v>214.81348114043382</v>
      </c>
      <c r="M80" s="872">
        <f t="shared" si="4"/>
        <v>17.901123428369484</v>
      </c>
      <c r="N80" s="1053"/>
      <c r="O80" s="873">
        <v>994</v>
      </c>
      <c r="P80" s="1053"/>
      <c r="Q80" s="874">
        <f>O80*$Q$76*M80+O80*(1-$Q$76)*K80</f>
        <v>16904.030853409306</v>
      </c>
      <c r="R80" s="1053"/>
      <c r="S80" s="875">
        <f>IF(AND(Q80&lt;&gt;0,O80&lt;&gt;0),Q80*(1-D17-D18-D19)/O80/30/(($D$25*1000000/$D$8))*1000,0)</f>
        <v>0.74854581482579241</v>
      </c>
      <c r="T80" s="1053" t="s">
        <v>459</v>
      </c>
      <c r="U80" s="876">
        <f>S80*O80*30*$D$11*(1+$D$24)/1000</f>
        <v>3997.4236851592173</v>
      </c>
      <c r="V80" s="1053" t="s">
        <v>460</v>
      </c>
      <c r="W80" s="876">
        <f>IF(O80&lt;&gt;0,U80/O80,0)</f>
        <v>4.0215530031782869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260.37997713991979</v>
      </c>
      <c r="K81" s="872">
        <f>$M$32*(H78+(G80-F80)*H80+(G81-F81)*H81)*$B$77*$C$77</f>
        <v>21.698331428326647</v>
      </c>
      <c r="L81" s="871">
        <f t="shared" si="4"/>
        <v>325.47497142489976</v>
      </c>
      <c r="M81" s="872">
        <f t="shared" si="4"/>
        <v>27.122914285408307</v>
      </c>
      <c r="N81" s="1053"/>
      <c r="O81" s="873">
        <v>183</v>
      </c>
      <c r="P81" s="1053"/>
      <c r="Q81" s="874">
        <f>O81*$Q$76*M81+O81*(1-$Q$76)*K81</f>
        <v>4715.3186485182341</v>
      </c>
      <c r="R81" s="1053"/>
      <c r="S81" s="875">
        <f>IF(AND(Q81&lt;&gt;0,O81&lt;&gt;0),Q81*(1-D17-D18-D19)/O81/30/(($D$25*1000000/$D$8))*1000,0)</f>
        <v>1.1341603254936248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354.11676891029089</v>
      </c>
      <c r="K82" s="872">
        <f>$M$32*(H78+(G80-F80)*H80+(G81-F81)*H81+(G82-F82)*H82)*$B$77*$C$77</f>
        <v>29.509730742524241</v>
      </c>
      <c r="L82" s="871">
        <f t="shared" si="4"/>
        <v>442.64596113786359</v>
      </c>
      <c r="M82" s="872">
        <f t="shared" si="4"/>
        <v>36.887163428155304</v>
      </c>
      <c r="N82" s="1053"/>
      <c r="O82" s="873">
        <v>300</v>
      </c>
      <c r="P82" s="1053"/>
      <c r="Q82" s="874">
        <f>O82*$Q$76*M82+O82*(1-$Q$76)*K82</f>
        <v>10512.841577024261</v>
      </c>
      <c r="R82" s="1053"/>
      <c r="S82" s="875">
        <f>IF(AND(Q82&lt;&gt;0,O82&lt;&gt;0),Q82*(1-D17-D18-D19)/O82/30/(($D$25*1000000/$D$8))*1000,0)</f>
        <v>1.5424580426713297</v>
      </c>
      <c r="T82" s="1053" t="s">
        <v>459</v>
      </c>
      <c r="U82" s="876">
        <f>S82*O82*30*$D$11*(1+$D$24)/1000</f>
        <v>2486.050947419305</v>
      </c>
      <c r="V82" s="1053" t="s">
        <v>460</v>
      </c>
      <c r="W82" s="876">
        <f>IF(O82&lt;&gt;0,U82/O82,0)</f>
        <v>8.2868364913976826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502.53335588004518</v>
      </c>
      <c r="K83" s="872">
        <f>$M$32*(H78+(G80-F80)*H80+(G81-F81)*H81+(G82-F82)*H82+(G83-F83)*H83)*$B$77*$C$77</f>
        <v>41.877779656670434</v>
      </c>
      <c r="L83" s="871">
        <f t="shared" si="4"/>
        <v>628.1666948500565</v>
      </c>
      <c r="M83" s="872">
        <f t="shared" si="4"/>
        <v>52.347224570838044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971.21731473190061</v>
      </c>
      <c r="K84" s="872">
        <f>$M$32*(H78+(G80-F80)*H80+(G81-F81)*H81+(G82-F82)*H82+(G83-F83)*H83+(G84-F84)*H84)*$B$77*$C$77</f>
        <v>80.934776227658389</v>
      </c>
      <c r="L84" s="871">
        <f t="shared" si="4"/>
        <v>1214.0216434148758</v>
      </c>
      <c r="M84" s="872">
        <f t="shared" si="4"/>
        <v>101.16847028457299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41.613331242387694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3"/>
      <c r="O88" s="877">
        <f>O91+O93+O94+O95+O96</f>
        <v>20</v>
      </c>
      <c r="P88" s="1053"/>
      <c r="Q88" s="849">
        <f>Q91+Q93+Q94+Q95+Q96</f>
        <v>832.26662484775386</v>
      </c>
      <c r="R88" s="1053"/>
      <c r="S88" s="1310">
        <f>IF(AND(Q88&lt;&gt;0,O88&lt;&gt;0),Q88*(1-D17-D18-D19)/(($D$25*1000000/$D$8)),0)</f>
        <v>1.0990013554033222</v>
      </c>
      <c r="T88" s="1335" t="s">
        <v>448</v>
      </c>
      <c r="U88" s="1310">
        <f>U91+U93+U94+U95+U96+Z97</f>
        <v>196.81236667069493</v>
      </c>
      <c r="V88" s="1053" t="s">
        <v>449</v>
      </c>
      <c r="W88" s="1310">
        <f>W91*O91+W93*O93+W94*O94+W95*O95+W96*O96</f>
        <v>196.81236667069493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3"/>
      <c r="O89" s="891" t="s">
        <v>455</v>
      </c>
      <c r="P89" s="1053"/>
      <c r="Q89" s="856">
        <v>0.75</v>
      </c>
      <c r="R89" s="1053"/>
      <c r="S89" s="1334"/>
      <c r="T89" s="1336"/>
      <c r="U89" s="1334"/>
      <c r="V89" s="1053"/>
      <c r="W89" s="1311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36.453196799588767</v>
      </c>
      <c r="K91" s="872">
        <f>$M$32*H91*$B$90*$C$90</f>
        <v>3.0377663999657303</v>
      </c>
      <c r="L91" s="871">
        <f>J91*$D$90</f>
        <v>45.566495999485959</v>
      </c>
      <c r="M91" s="872">
        <f>K91*$D$90</f>
        <v>3.7972079999571626</v>
      </c>
      <c r="N91" s="1053"/>
      <c r="O91" s="873">
        <v>1</v>
      </c>
      <c r="P91" s="1053"/>
      <c r="Q91" s="874">
        <f>O91*$Q$76*M91+O91*(1-$Q$76)*K91</f>
        <v>3.6073475999593043</v>
      </c>
      <c r="R91" s="1053"/>
      <c r="S91" s="875">
        <f>IF(AND(Q91&lt;&gt;0,O91&lt;&gt;0),Q91*(1-D17-D18-D19)/O91/30/(($D$25*1000000/$D$8))*1000,0)</f>
        <v>0.15878244556910745</v>
      </c>
      <c r="T91" s="1053" t="s">
        <v>459</v>
      </c>
      <c r="U91" s="876">
        <f>S91*O91*30*$D$11*(1+$D$24)/1000</f>
        <v>0.85305669764387904</v>
      </c>
      <c r="V91" s="1053" t="s">
        <v>460</v>
      </c>
      <c r="W91" s="876">
        <f>IF(O91&lt;&gt;0,U91/O91,0)</f>
        <v>0.85305669764387904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114.56718994156472</v>
      </c>
      <c r="K93" s="872">
        <f>$M$32*(H91+(G93-F93)*H93)*$B$90*$C$90</f>
        <v>9.5472658284637255</v>
      </c>
      <c r="L93" s="871">
        <f t="shared" ref="L93:M96" si="5">J93*$D$90</f>
        <v>143.2089874269559</v>
      </c>
      <c r="M93" s="872">
        <f t="shared" si="5"/>
        <v>11.934082285579656</v>
      </c>
      <c r="N93" s="1053"/>
      <c r="O93" s="873">
        <v>2</v>
      </c>
      <c r="P93" s="1053"/>
      <c r="Q93" s="874">
        <f>O93*$Q$76*M93+O93*(1-$Q$76)*K93</f>
        <v>22.674756342601349</v>
      </c>
      <c r="R93" s="1053"/>
      <c r="S93" s="875">
        <f>IF(AND(Q93&lt;&gt;0,O93&lt;&gt;0),Q93*(1-D17-D18-D19)/O93/30/(($D$25*1000000/$D$8))*1000,0)</f>
        <v>0.49903054321719498</v>
      </c>
      <c r="T93" s="1053" t="s">
        <v>459</v>
      </c>
      <c r="U93" s="876">
        <f>S93*O93*30*$D$11*(1+$D$24)/1000</f>
        <v>5.3620706709043837</v>
      </c>
      <c r="V93" s="1053" t="s">
        <v>460</v>
      </c>
      <c r="W93" s="876">
        <f>IF(O93&lt;&gt;0,U93/O93,0)</f>
        <v>2.6810353354521919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479.09915793745233</v>
      </c>
      <c r="K94" s="872">
        <f>$M$32*(H91+(G93-F93)*H93+(G94-F94)*H94)*$B$90*$C$90</f>
        <v>39.92492982812103</v>
      </c>
      <c r="L94" s="871">
        <f t="shared" si="5"/>
        <v>598.87394742181539</v>
      </c>
      <c r="M94" s="872">
        <f t="shared" si="5"/>
        <v>49.906162285151289</v>
      </c>
      <c r="N94" s="1053"/>
      <c r="O94" s="873">
        <v>17</v>
      </c>
      <c r="P94" s="1053"/>
      <c r="Q94" s="874">
        <f>O94*$Q$76*M94+O94*(1-$Q$76)*K94</f>
        <v>805.98452090519322</v>
      </c>
      <c r="R94" s="1053"/>
      <c r="S94" s="875">
        <f>IF(AND(Q94&lt;&gt;0,O94&lt;&gt;0),Q94*(1-D17-D18-D19)/O94/30/(($D$25*1000000/$D$8))*1000,0)</f>
        <v>2.0868549989082696</v>
      </c>
      <c r="T94" s="1053" t="s">
        <v>459</v>
      </c>
      <c r="U94" s="876">
        <f>S94*O94*30*$D$11*(1+$D$24)/1000</f>
        <v>190.59723930214668</v>
      </c>
      <c r="V94" s="1053" t="s">
        <v>460</v>
      </c>
      <c r="W94" s="876">
        <f>IF(O94&lt;&gt;0,U94/O94,0)</f>
        <v>11.211602311890982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2770.4429567687466</v>
      </c>
      <c r="K95" s="872">
        <f>$M$32*(H91+(G93-F93)*H93+(G94-F94)*H94+(G95-F95)*H95)*$B$90*$C$90</f>
        <v>230.87024639739553</v>
      </c>
      <c r="L95" s="871">
        <f t="shared" si="5"/>
        <v>3463.0536959609335</v>
      </c>
      <c r="M95" s="872">
        <f t="shared" si="5"/>
        <v>288.5878079967444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5895.0026824477845</v>
      </c>
      <c r="K96" s="872">
        <f>$M$32*(H91+(G93-F93)*H93+(G94-F94)*H94+(G95-F95)*H95+(G96-F96)*H96)*$B$90*$C$90</f>
        <v>491.25022353731526</v>
      </c>
      <c r="L96" s="871">
        <f t="shared" si="5"/>
        <v>7368.7533530597302</v>
      </c>
      <c r="M96" s="872">
        <f t="shared" si="5"/>
        <v>614.06277942164411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233" priority="17">
      <formula>OR(O36&lt;O35*99.75%,O36&gt;O35*100.25%)</formula>
    </cfRule>
  </conditionalFormatting>
  <conditionalFormatting sqref="O36">
    <cfRule type="expression" dxfId="232" priority="18">
      <formula>OR(O36&lt;O35*100.25%,O36&gt;O35*99.75%)</formula>
    </cfRule>
  </conditionalFormatting>
  <conditionalFormatting sqref="Y39">
    <cfRule type="expression" dxfId="231" priority="19">
      <formula>Y39="NOK"</formula>
    </cfRule>
  </conditionalFormatting>
  <conditionalFormatting sqref="Y39">
    <cfRule type="expression" dxfId="230" priority="20">
      <formula>Y39="OK"</formula>
    </cfRule>
  </conditionalFormatting>
  <conditionalFormatting sqref="Y41:Y45">
    <cfRule type="expression" dxfId="229" priority="21">
      <formula>Y41="NOK"</formula>
    </cfRule>
  </conditionalFormatting>
  <conditionalFormatting sqref="Y41:Y45">
    <cfRule type="expression" dxfId="228" priority="22">
      <formula>Y41="OK"</formula>
    </cfRule>
  </conditionalFormatting>
  <conditionalFormatting sqref="Y52">
    <cfRule type="expression" dxfId="227" priority="23">
      <formula>Y52="NOK"</formula>
    </cfRule>
  </conditionalFormatting>
  <conditionalFormatting sqref="Y52">
    <cfRule type="expression" dxfId="226" priority="24">
      <formula>Y52="OK"</formula>
    </cfRule>
  </conditionalFormatting>
  <conditionalFormatting sqref="Y54:Y58">
    <cfRule type="expression" dxfId="225" priority="25">
      <formula>Y54="NOK"</formula>
    </cfRule>
  </conditionalFormatting>
  <conditionalFormatting sqref="Y54:Y58">
    <cfRule type="expression" dxfId="224" priority="26">
      <formula>Y54="OK"</formula>
    </cfRule>
  </conditionalFormatting>
  <conditionalFormatting sqref="Y65">
    <cfRule type="expression" dxfId="223" priority="27">
      <formula>Y65="NOK"</formula>
    </cfRule>
  </conditionalFormatting>
  <conditionalFormatting sqref="Y65">
    <cfRule type="expression" dxfId="222" priority="28">
      <formula>Y65="OK"</formula>
    </cfRule>
  </conditionalFormatting>
  <conditionalFormatting sqref="Y67:Y71">
    <cfRule type="expression" dxfId="221" priority="29">
      <formula>Y67="NOK"</formula>
    </cfRule>
  </conditionalFormatting>
  <conditionalFormatting sqref="Y67:Y71">
    <cfRule type="expression" dxfId="220" priority="30">
      <formula>Y67="OK"</formula>
    </cfRule>
  </conditionalFormatting>
  <conditionalFormatting sqref="Y78">
    <cfRule type="expression" dxfId="219" priority="31">
      <formula>Y78="NOK"</formula>
    </cfRule>
  </conditionalFormatting>
  <conditionalFormatting sqref="Y78">
    <cfRule type="expression" dxfId="218" priority="32">
      <formula>Y78="OK"</formula>
    </cfRule>
  </conditionalFormatting>
  <conditionalFormatting sqref="Y80:Y84">
    <cfRule type="expression" dxfId="217" priority="33">
      <formula>Y80="NOK"</formula>
    </cfRule>
  </conditionalFormatting>
  <conditionalFormatting sqref="Y80:Y84">
    <cfRule type="expression" dxfId="216" priority="34">
      <formula>Y80="OK"</formula>
    </cfRule>
  </conditionalFormatting>
  <conditionalFormatting sqref="Y91">
    <cfRule type="expression" dxfId="215" priority="35">
      <formula>Y91="NOK"</formula>
    </cfRule>
  </conditionalFormatting>
  <conditionalFormatting sqref="Y91">
    <cfRule type="expression" dxfId="214" priority="36">
      <formula>Y91="OK"</formula>
    </cfRule>
  </conditionalFormatting>
  <conditionalFormatting sqref="Y93:Y96">
    <cfRule type="expression" dxfId="213" priority="37">
      <formula>Y93="NOK"</formula>
    </cfRule>
  </conditionalFormatting>
  <conditionalFormatting sqref="Y93:Y96">
    <cfRule type="expression" dxfId="212" priority="38">
      <formula>Y93="OK"</formula>
    </cfRule>
  </conditionalFormatting>
  <conditionalFormatting sqref="Y12">
    <cfRule type="expression" dxfId="211" priority="39">
      <formula>Y12&gt;20%</formula>
    </cfRule>
  </conditionalFormatting>
  <conditionalFormatting sqref="Y12">
    <cfRule type="expression" dxfId="210" priority="40">
      <formula>Y12&lt;=20%</formula>
    </cfRule>
  </conditionalFormatting>
  <conditionalFormatting sqref="O5">
    <cfRule type="expression" dxfId="209" priority="41">
      <formula>ABS(O8)&gt;=O7</formula>
    </cfRule>
    <cfRule type="expression" dxfId="208" priority="42">
      <formula>ABS(O8)&lt;O7</formula>
    </cfRule>
  </conditionalFormatting>
  <conditionalFormatting sqref="Q5">
    <cfRule type="expression" dxfId="207" priority="15">
      <formula>ABS(Q8)&gt;=Q7</formula>
    </cfRule>
    <cfRule type="expression" dxfId="206" priority="16">
      <formula>ABS(Q8)&lt;Q7</formula>
    </cfRule>
  </conditionalFormatting>
  <conditionalFormatting sqref="S5">
    <cfRule type="expression" dxfId="205" priority="13">
      <formula>ABS(S8)&gt;=S7</formula>
    </cfRule>
    <cfRule type="expression" dxfId="204" priority="14">
      <formula>ABS(S8)&lt;S7</formula>
    </cfRule>
  </conditionalFormatting>
  <conditionalFormatting sqref="U5">
    <cfRule type="expression" dxfId="203" priority="11">
      <formula>ABS(U8)&gt;=U7</formula>
    </cfRule>
    <cfRule type="expression" dxfId="202" priority="12">
      <formula>ABS(U8)&lt;U7</formula>
    </cfRule>
  </conditionalFormatting>
  <conditionalFormatting sqref="W5">
    <cfRule type="expression" dxfId="201" priority="9">
      <formula>ABS(W8)&gt;=W7</formula>
    </cfRule>
    <cfRule type="expression" dxfId="200" priority="10">
      <formula>ABS(W8)&lt;W7</formula>
    </cfRule>
  </conditionalFormatting>
  <conditionalFormatting sqref="Y5">
    <cfRule type="expression" dxfId="199" priority="7">
      <formula>ABS(Y12)&gt;=Y10</formula>
    </cfRule>
    <cfRule type="expression" dxfId="198" priority="8">
      <formula>ABS(Y12)&lt;Y10</formula>
    </cfRule>
  </conditionalFormatting>
  <conditionalFormatting sqref="O49 O62 O75 O88">
    <cfRule type="expression" dxfId="197" priority="1">
      <formula>OR(O49&lt;O48*99.75%,O49&gt;O48*100.25%)</formula>
    </cfRule>
  </conditionalFormatting>
  <conditionalFormatting sqref="O49 O62 O75 O88">
    <cfRule type="expression" dxfId="19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288" t="s">
        <v>474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4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4"/>
      <c r="M5" s="777"/>
      <c r="N5" s="1054"/>
      <c r="O5" s="1294" t="s">
        <v>378</v>
      </c>
      <c r="P5" s="1054"/>
      <c r="Q5" s="1294" t="s">
        <v>379</v>
      </c>
      <c r="R5" s="1054"/>
      <c r="S5" s="1294" t="s">
        <v>380</v>
      </c>
      <c r="T5" s="1054"/>
      <c r="U5" s="1294" t="s">
        <v>381</v>
      </c>
      <c r="V5" s="1054"/>
      <c r="W5" s="1294" t="s">
        <v>382</v>
      </c>
      <c r="X5" s="1054"/>
      <c r="Y5" s="1294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7.0209468333486083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4"/>
      <c r="M6" s="789"/>
      <c r="N6" s="790"/>
      <c r="O6" s="1295"/>
      <c r="P6" s="1054"/>
      <c r="Q6" s="1295"/>
      <c r="R6" s="1054"/>
      <c r="S6" s="1295"/>
      <c r="T6" s="1054"/>
      <c r="U6" s="1295"/>
      <c r="V6" s="1054"/>
      <c r="W6" s="1295"/>
      <c r="X6" s="1054"/>
      <c r="Y6" s="1295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'3)Biosecagem Prod BioCDR'!M22-'3)Biosecagem Prod BioCDR'!M8-'3)Biosecagem Prod BioCDR'!M9</f>
        <v>204.16687137256312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RT3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4"/>
      <c r="M8" s="789"/>
      <c r="N8" s="790"/>
      <c r="O8" s="796">
        <f>(O12-O10)/O10</f>
        <v>0</v>
      </c>
      <c r="P8" s="790"/>
      <c r="Q8" s="796">
        <f>(Q12-Q10)/Q10</f>
        <v>5.9292925928744848E-3</v>
      </c>
      <c r="R8" s="790"/>
      <c r="S8" s="796">
        <f>(S12-S10)/S10</f>
        <v>1.5233061901367379E-2</v>
      </c>
      <c r="T8" s="1054"/>
      <c r="U8" s="796">
        <f>(U12-U10)/U10</f>
        <v>1.5233061901367384E-2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RT3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7.6318569696853551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1.1400689507602595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7.677108482685588</v>
      </c>
      <c r="R12" s="790"/>
      <c r="S12" s="802">
        <f>S33</f>
        <v>34912.115286618908</v>
      </c>
      <c r="T12" s="1054"/>
      <c r="U12" s="802">
        <f>U33</f>
        <v>6252163.3856565878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280"/>
      <c r="G16" s="1282"/>
      <c r="H16" s="1284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7.6318569696853551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1.2392692003382866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285" t="s">
        <v>419</v>
      </c>
      <c r="G23" s="1286"/>
      <c r="H23" s="1287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44.477542090025324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7.6318569696853551</v>
      </c>
      <c r="E25" s="1054"/>
      <c r="F25" s="835" t="s">
        <v>424</v>
      </c>
      <c r="G25" s="812" t="s">
        <v>425</v>
      </c>
      <c r="H25" s="838">
        <f>H24/12</f>
        <v>3.7064618408354435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1.2392692003382866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296" t="s">
        <v>427</v>
      </c>
      <c r="C29" s="1297"/>
      <c r="D29" s="1297"/>
      <c r="E29" s="1298"/>
      <c r="F29" s="1054"/>
      <c r="G29" s="1054"/>
      <c r="H29" s="777"/>
      <c r="I29" s="1054"/>
      <c r="J29" s="777"/>
      <c r="K29" s="1299" t="s">
        <v>428</v>
      </c>
      <c r="L29" s="1300"/>
      <c r="M29" s="1301"/>
      <c r="N29" s="1054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4"/>
      <c r="O31" s="1307" t="s">
        <v>433</v>
      </c>
      <c r="P31" s="1054"/>
      <c r="Q31" s="1307" t="s">
        <v>434</v>
      </c>
      <c r="R31" s="1054"/>
      <c r="S31" s="1307" t="s">
        <v>435</v>
      </c>
      <c r="T31" s="1054"/>
      <c r="U31" s="1307" t="s">
        <v>436</v>
      </c>
      <c r="V31" s="1054"/>
      <c r="W31" s="1307" t="s">
        <v>436</v>
      </c>
      <c r="X31" s="1054"/>
      <c r="Y31" s="1307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44.477542090025324</v>
      </c>
      <c r="M32" s="841">
        <f>H25</f>
        <v>3.7064618408354435</v>
      </c>
      <c r="N32" s="842"/>
      <c r="O32" s="1308"/>
      <c r="P32" s="842"/>
      <c r="Q32" s="1308"/>
      <c r="R32" s="842"/>
      <c r="S32" s="1308"/>
      <c r="T32" s="1054"/>
      <c r="U32" s="1308"/>
      <c r="V32" s="1054"/>
      <c r="W32" s="1308"/>
      <c r="X32" s="1054"/>
      <c r="Y32" s="1309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7.677108482685588</v>
      </c>
      <c r="R33" s="1054"/>
      <c r="S33" s="802">
        <f>12*S34</f>
        <v>34912.115286618908</v>
      </c>
      <c r="T33" s="1054" t="s">
        <v>438</v>
      </c>
      <c r="U33" s="802">
        <f>12*U34</f>
        <v>6252163.3856565878</v>
      </c>
      <c r="V33" s="1054" t="s">
        <v>439</v>
      </c>
      <c r="W33" s="802">
        <f>12*W34</f>
        <v>6252163.3856565868</v>
      </c>
      <c r="X33" s="1054" t="s">
        <v>439</v>
      </c>
      <c r="Y33" s="1320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521013.61547138228</v>
      </c>
      <c r="V34" s="1054" t="s">
        <v>442</v>
      </c>
      <c r="W34" s="802">
        <f>W36+W49+W62+W75+W88</f>
        <v>521013.61547138222</v>
      </c>
      <c r="X34" s="1054" t="s">
        <v>442</v>
      </c>
      <c r="Y34" s="1321"/>
      <c r="Z34" s="1054"/>
      <c r="AA34" s="1054"/>
      <c r="AB34" s="773"/>
    </row>
    <row r="35" spans="1:28" s="774" customFormat="1" ht="25.2" customHeight="1" outlineLevel="1" x14ac:dyDescent="0.3">
      <c r="A35" s="1054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5.5292881914650618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4"/>
      <c r="O36" s="802">
        <f>O39+O41+O42+O43+O44+O45</f>
        <v>40</v>
      </c>
      <c r="P36" s="1054"/>
      <c r="Q36" s="849">
        <f>Q39+Q41+Q42+Q43+Q44+Q45</f>
        <v>221.17152765860249</v>
      </c>
      <c r="R36" s="1054"/>
      <c r="S36" s="1310">
        <f>IF(AND(Q36&lt;&gt;0,O36&lt;&gt;0),Q36*(1-D17-D18-D19)/(($D$25*1000000/$D$8)),0)</f>
        <v>0.91186490169687462</v>
      </c>
      <c r="T36" s="1335" t="s">
        <v>448</v>
      </c>
      <c r="U36" s="1310">
        <f>U39+U41+U42+U43+U44+U45</f>
        <v>163.29942497754263</v>
      </c>
      <c r="V36" s="1054" t="s">
        <v>449</v>
      </c>
      <c r="W36" s="131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4"/>
      <c r="O37" s="855" t="s">
        <v>455</v>
      </c>
      <c r="P37" s="1054"/>
      <c r="Q37" s="856">
        <v>0.75</v>
      </c>
      <c r="R37" s="1054"/>
      <c r="S37" s="1334"/>
      <c r="T37" s="1336"/>
      <c r="U37" s="1334"/>
      <c r="V37" s="1054"/>
      <c r="W37" s="1311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11.119385522506331</v>
      </c>
      <c r="K39" s="872">
        <f>$M$32*H39*$B$38*$C$38</f>
        <v>0.92661546020886087</v>
      </c>
      <c r="L39" s="871">
        <f>J39*$D$38</f>
        <v>13.899231903132915</v>
      </c>
      <c r="M39" s="872">
        <f>K39*$D$38</f>
        <v>1.1582693252610761</v>
      </c>
      <c r="N39" s="1054"/>
      <c r="O39" s="873">
        <v>2</v>
      </c>
      <c r="P39" s="1054"/>
      <c r="Q39" s="874">
        <f>O39*$Q$37*M39+O39*(1-$Q$37)*K39</f>
        <v>2.2007117179960445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32.246218015268362</v>
      </c>
      <c r="K41" s="872">
        <f>$M$32*(H39+(G41-F41)*H41)*$B$38*$C$38</f>
        <v>2.6871848346056963</v>
      </c>
      <c r="L41" s="871">
        <f t="shared" ref="L41:M45" si="0">J41*$D$38</f>
        <v>40.307772519085454</v>
      </c>
      <c r="M41" s="872">
        <f t="shared" si="0"/>
        <v>3.3589810432571205</v>
      </c>
      <c r="N41" s="1054"/>
      <c r="O41" s="873">
        <v>2</v>
      </c>
      <c r="P41" s="1054"/>
      <c r="Q41" s="874">
        <f>O41*$Q$37*M41+O41*(1-$Q$37)*K41</f>
        <v>6.3820639821885292</v>
      </c>
      <c r="R41" s="1054"/>
      <c r="S41" s="875">
        <f>IF(AND(Q41&lt;&gt;0,O41&lt;&gt;0),Q41*(1-D17-D18-D19)/O41/30/(($D$25*1000000/$D$8))*1000,0)</f>
        <v>0.43854199252420167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54.484989060281023</v>
      </c>
      <c r="K42" s="872">
        <f>$M$32*(H39+(G41-F41)*H41+(G42-F42)*H42)*$B$38*$C$38</f>
        <v>4.5404157550234183</v>
      </c>
      <c r="L42" s="871">
        <f t="shared" si="0"/>
        <v>68.106236325351276</v>
      </c>
      <c r="M42" s="872">
        <f t="shared" si="0"/>
        <v>5.6755196937792727</v>
      </c>
      <c r="N42" s="1054"/>
      <c r="O42" s="873">
        <v>28</v>
      </c>
      <c r="P42" s="1054"/>
      <c r="Q42" s="874">
        <f>O42*$Q$37*M42+O42*(1-$Q$37)*K42</f>
        <v>150.96882385452867</v>
      </c>
      <c r="R42" s="1054"/>
      <c r="S42" s="875">
        <f>IF(AND(Q42&lt;&gt;0,O42&lt;&gt;0),Q42*(1-D17-D18-D19)/O42/30/(($D$25*1000000/$D$8))*1000,0)</f>
        <v>0.7409847459891683</v>
      </c>
      <c r="T42" s="1054" t="s">
        <v>459</v>
      </c>
      <c r="U42" s="876">
        <f>S42*O42*30*$D$11*(1+$D$24)/1000</f>
        <v>111.46607515880022</v>
      </c>
      <c r="V42" s="1054" t="s">
        <v>460</v>
      </c>
      <c r="W42" s="876">
        <f>IF(O42&lt;&gt;0,U42/O42,0)</f>
        <v>3.9809312556714365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77.835698657544313</v>
      </c>
      <c r="K43" s="872">
        <f>$M$32*(H39+(G41-F41)*H41+(G42-F42)*H42+(G43-F43)*H43)*$B$38*$C$38</f>
        <v>6.4863082214620258</v>
      </c>
      <c r="L43" s="871">
        <f t="shared" si="0"/>
        <v>97.294623321930388</v>
      </c>
      <c r="M43" s="872">
        <f t="shared" si="0"/>
        <v>8.1078852768275329</v>
      </c>
      <c r="N43" s="1054"/>
      <c r="O43" s="873">
        <v>8</v>
      </c>
      <c r="P43" s="1054"/>
      <c r="Q43" s="874">
        <f>O43*$Q$37*M43+O43*(1-$Q$37)*K43</f>
        <v>61.619928103889251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114.52967088181522</v>
      </c>
      <c r="K44" s="872">
        <f>$M$32*(H39+(G41-F41)*H41+(G42-F42)*H42+(G43-F43)*H43+(G44-F44)*H44)*$B$38*$C$38</f>
        <v>9.5441392401512672</v>
      </c>
      <c r="L44" s="871">
        <f t="shared" si="0"/>
        <v>143.16208860226902</v>
      </c>
      <c r="M44" s="872">
        <f t="shared" si="0"/>
        <v>11.930174050189084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242.40260439063803</v>
      </c>
      <c r="K45" s="872">
        <f>$M$32*(H39+(G41-F41)*H41+(G42-F42)*H42+(G43-F43)*H43+(G44-F44)*H44+(G45-F45)*H45)*$B$38*$C$38</f>
        <v>20.200217032553169</v>
      </c>
      <c r="L45" s="871">
        <f t="shared" si="0"/>
        <v>303.00325548829755</v>
      </c>
      <c r="M45" s="872">
        <f t="shared" si="0"/>
        <v>25.250271290691462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4.4187638202433037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4"/>
      <c r="O49" s="802">
        <f>O52+O54+O55+O56+O57+O58</f>
        <v>127341</v>
      </c>
      <c r="P49" s="1054"/>
      <c r="Q49" s="890">
        <f>Q52+Q54+Q55+Q56+Q57+Q58</f>
        <v>562689.80363360257</v>
      </c>
      <c r="R49" s="1054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415455.47180887189</v>
      </c>
      <c r="V49" s="1054" t="s">
        <v>449</v>
      </c>
      <c r="W49" s="1338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4"/>
      <c r="O50" s="891" t="s">
        <v>455</v>
      </c>
      <c r="P50" s="1054"/>
      <c r="Q50" s="856">
        <v>0.75</v>
      </c>
      <c r="R50" s="1054"/>
      <c r="S50" s="1334"/>
      <c r="T50" s="1336"/>
      <c r="U50" s="1334"/>
      <c r="V50" s="1054"/>
      <c r="W50" s="1339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15.59493819531513</v>
      </c>
      <c r="K52" s="872">
        <f>$M$32*H52*$B$51*$C$51</f>
        <v>1.2995781829429276</v>
      </c>
      <c r="L52" s="871">
        <f>J52*$D$51</f>
        <v>19.493672744143915</v>
      </c>
      <c r="M52" s="872">
        <f>K52*$D$51</f>
        <v>1.6244727286786595</v>
      </c>
      <c r="N52" s="1054"/>
      <c r="O52" s="873">
        <v>62341</v>
      </c>
      <c r="P52" s="1054"/>
      <c r="Q52" s="874">
        <f>O52*$Q$50*M52+O52*(1-$Q$50)*K52</f>
        <v>96207.691659628501</v>
      </c>
      <c r="R52" s="1054"/>
      <c r="S52" s="875">
        <f>IF(AND(Q52&lt;&gt;0,O52&lt;&gt;0),Q52*(1-D17-D18-D19)/O52/30/(($D$25*1000000/$D$8))*1000,0)</f>
        <v>0.21208798086730793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49.620257894184498</v>
      </c>
      <c r="K54" s="872">
        <f>$M$32*(H52+(G54-F54)*H54)*$B$51*$C$51</f>
        <v>4.1350214911820409</v>
      </c>
      <c r="L54" s="871">
        <f t="shared" ref="L54:M58" si="1">J54*$D$51</f>
        <v>62.025322367730624</v>
      </c>
      <c r="M54" s="872">
        <f t="shared" si="1"/>
        <v>5.1687768639775511</v>
      </c>
      <c r="N54" s="1054"/>
      <c r="O54" s="873">
        <v>42500</v>
      </c>
      <c r="P54" s="1054"/>
      <c r="Q54" s="874">
        <f>O54*$Q$50*M54+O54*(1-$Q$50)*K54</f>
        <v>208689.36588309362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85.063299247173418</v>
      </c>
      <c r="K55" s="872">
        <f>$M$32*(H52+(G54-F54)*H54+(G55-F55)*H55)*$B$51*$C$51</f>
        <v>7.0886082705977858</v>
      </c>
      <c r="L55" s="871">
        <f t="shared" si="1"/>
        <v>106.32912405896677</v>
      </c>
      <c r="M55" s="872">
        <f t="shared" si="1"/>
        <v>8.860760338247232</v>
      </c>
      <c r="N55" s="1054"/>
      <c r="O55" s="873">
        <v>10000</v>
      </c>
      <c r="P55" s="1054"/>
      <c r="Q55" s="874">
        <f>O55*$Q$50*M55+O55*(1-$Q$50)*K55</f>
        <v>84177.223213348698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140.35444375783615</v>
      </c>
      <c r="K56" s="872">
        <f>$M$32*(H52+(G54-F54)*H54+(G55-F55)*H55+(G56-F56)*H56)*$B$51*$C$51</f>
        <v>11.696203646486346</v>
      </c>
      <c r="L56" s="871">
        <f t="shared" si="1"/>
        <v>175.4430546972952</v>
      </c>
      <c r="M56" s="872">
        <f t="shared" si="1"/>
        <v>14.620254558107932</v>
      </c>
      <c r="N56" s="1054"/>
      <c r="O56" s="873">
        <v>12500</v>
      </c>
      <c r="P56" s="1054"/>
      <c r="Q56" s="874">
        <f>O56*$Q$50*M56+O56*(1-$Q$50)*K56</f>
        <v>173615.52287753171</v>
      </c>
      <c r="R56" s="1054"/>
      <c r="S56" s="875">
        <f>IF(AND(Q56&lt;&gt;0,O56&lt;&gt;0),Q56*(1-D17-D18-D19)/O56/30/(($D$25*1000000/$D$8))*1000,0)</f>
        <v>1.9087918278057707</v>
      </c>
      <c r="T56" s="1054" t="s">
        <v>459</v>
      </c>
      <c r="U56" s="876">
        <f>S56*O56*30*$D$11*(1+$D$24)/1000</f>
        <v>128187.00197630793</v>
      </c>
      <c r="V56" s="1054" t="s">
        <v>460</v>
      </c>
      <c r="W56" s="895">
        <f>IF(O56&lt;&gt;0,U56/O56,0)</f>
        <v>10.254960158104634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289.21521744038967</v>
      </c>
      <c r="K57" s="872">
        <f>$M$32*(H52+(G54-F54)*H54+(G55-F55)*H55+(G56-F56)*H56+(G57-F57)*H57)*$B$51*$C$51</f>
        <v>24.101268120032469</v>
      </c>
      <c r="L57" s="871">
        <f t="shared" si="1"/>
        <v>361.51902180048705</v>
      </c>
      <c r="M57" s="872">
        <f t="shared" si="1"/>
        <v>30.126585150040587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608.20258961728996</v>
      </c>
      <c r="K58" s="872">
        <f>$M$32*(H52+(G54-F54)*H54+(G55-F55)*H55+(G56-F56)*H56+(G57-F57)*H57+(G58-F58)*H58)*$B$51*$C$51</f>
        <v>50.683549134774161</v>
      </c>
      <c r="L58" s="871">
        <f t="shared" si="1"/>
        <v>760.25323702161245</v>
      </c>
      <c r="M58" s="872">
        <f t="shared" si="1"/>
        <v>63.354436418467699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1.5524755282943905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4"/>
      <c r="O62" s="802">
        <f>O65+O67+O68+O69+O70+O71</f>
        <v>42447</v>
      </c>
      <c r="P62" s="1054"/>
      <c r="Q62" s="849">
        <f>Q65+Q67+Q68+Q69+Q70+Q71</f>
        <v>65897.928749511993</v>
      </c>
      <c r="R62" s="1054"/>
      <c r="S62" s="1310">
        <f>IF(AND(Q62&lt;&gt;0,O62&lt;&gt;0),Q62*(1-D17-D18-D19)/(H15)/(($D$25*1000000/$D$8)),0)</f>
        <v>543.37924015206477</v>
      </c>
      <c r="T62" s="1335" t="s">
        <v>448</v>
      </c>
      <c r="U62" s="1310">
        <f>U65+U67+U68+U69+U70+U71</f>
        <v>97309.938452991715</v>
      </c>
      <c r="V62" s="1054" t="s">
        <v>449</v>
      </c>
      <c r="W62" s="131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4"/>
      <c r="O63" s="891" t="s">
        <v>455</v>
      </c>
      <c r="P63" s="1054"/>
      <c r="Q63" s="856">
        <v>0.75</v>
      </c>
      <c r="R63" s="1054"/>
      <c r="S63" s="1334"/>
      <c r="T63" s="1336"/>
      <c r="U63" s="1334"/>
      <c r="V63" s="1054"/>
      <c r="W63" s="1311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7.7974690976575651</v>
      </c>
      <c r="K65" s="872">
        <f>$M$32*H65*$B$64*$C$64</f>
        <v>0.6497890914714638</v>
      </c>
      <c r="L65" s="871">
        <f>J65*$D$51</f>
        <v>9.7468363720719573</v>
      </c>
      <c r="M65" s="872">
        <f>K65*$D$51</f>
        <v>0.81223636433932977</v>
      </c>
      <c r="N65" s="1054"/>
      <c r="O65" s="873">
        <v>25947</v>
      </c>
      <c r="P65" s="1054"/>
      <c r="Q65" s="874">
        <f>O65*$Q$63*M65+O65*(1-$Q$63)*K65</f>
        <v>20021.342098236957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24.810128947092249</v>
      </c>
      <c r="K67" s="872">
        <f>$M$32*(H65+(G67-F67)*H67)*$B$64*$C$64</f>
        <v>2.0675107455910204</v>
      </c>
      <c r="L67" s="871">
        <f t="shared" ref="L67:M71" si="3">J67*$D$51</f>
        <v>31.012661183865312</v>
      </c>
      <c r="M67" s="872">
        <f t="shared" si="3"/>
        <v>2.5843884319887755</v>
      </c>
      <c r="N67" s="1054"/>
      <c r="O67" s="873">
        <v>15000</v>
      </c>
      <c r="P67" s="1054"/>
      <c r="Q67" s="874">
        <f>O67*$Q$63*M67+O67*(1-$Q$63)*K67</f>
        <v>36827.535155840051</v>
      </c>
      <c r="R67" s="1054"/>
      <c r="S67" s="875">
        <f>IF(AND(Q67&lt;&gt;0,O67&lt;&gt;0),Q67*(1-D17-D18-D19)/O67/30/(H15)/(($D$25*1000000/$D$8))*1000,0)</f>
        <v>0.67482539366870675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42.531649623586709</v>
      </c>
      <c r="K68" s="872">
        <f>$M$32*(H65+(G67-F67)*H67+(G68-F68)*H68)*$B$64*$C$64</f>
        <v>3.5443041352988929</v>
      </c>
      <c r="L68" s="871">
        <f t="shared" si="3"/>
        <v>53.164562029483385</v>
      </c>
      <c r="M68" s="872">
        <f t="shared" si="3"/>
        <v>4.430380169123616</v>
      </c>
      <c r="N68" s="1054"/>
      <c r="O68" s="873">
        <v>500</v>
      </c>
      <c r="P68" s="1054"/>
      <c r="Q68" s="874">
        <f>O68*$Q$63*M68+O68*(1-$Q$63)*K68</f>
        <v>2104.4305803337174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70.177221878918076</v>
      </c>
      <c r="K69" s="872">
        <f>$M$32*(H65+(G67-F67)*H67+(G68-F68)*H68+(G69-F69)*H69)*$B$64*$C$64</f>
        <v>5.848101823243173</v>
      </c>
      <c r="L69" s="871">
        <f t="shared" si="3"/>
        <v>87.721527348647598</v>
      </c>
      <c r="M69" s="872">
        <f t="shared" si="3"/>
        <v>7.3101272790539662</v>
      </c>
      <c r="N69" s="1054"/>
      <c r="O69" s="873">
        <v>1000</v>
      </c>
      <c r="P69" s="1054"/>
      <c r="Q69" s="874">
        <f>O69*$Q$63*M69+O69*(1-$Q$63)*K69</f>
        <v>6944.6209151012681</v>
      </c>
      <c r="R69" s="1054"/>
      <c r="S69" s="875">
        <f>IF(AND(Q69&lt;&gt;0,O69&lt;&gt;0),Q69*(1-D17-D18-D19)/O69/30/(H15)/(($D$25*1000000/$D$8))*1000,0)</f>
        <v>1.9087918278057707</v>
      </c>
      <c r="T69" s="1054" t="s">
        <v>459</v>
      </c>
      <c r="U69" s="876">
        <f>S69*O69*30*$D$11*(1+$D$24)/1000</f>
        <v>10254.960158104634</v>
      </c>
      <c r="V69" s="1054" t="s">
        <v>460</v>
      </c>
      <c r="W69" s="876">
        <f>IF(O69&lt;&gt;0,U69/O69,0)</f>
        <v>10.254960158104634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144.60760872019483</v>
      </c>
      <c r="K70" s="872">
        <f>$M$32*(H65+(G67-F67)*H67+(G68-F68)*H68+(G69-F69)*H69+(G70-F70)*H70)*$B$64*$C$64</f>
        <v>12.050634060016234</v>
      </c>
      <c r="L70" s="871">
        <f t="shared" si="3"/>
        <v>180.75951090024353</v>
      </c>
      <c r="M70" s="872">
        <f t="shared" si="3"/>
        <v>15.063292575020293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304.10129480864498</v>
      </c>
      <c r="K71" s="872">
        <f>$M$32*(H65+(G67-F67)*H67+(G68-F68)*H68+(G69-F69)*H69+(G70-F70)*H70+(G71-F71)*H71)*$B$64*$C$64</f>
        <v>25.34177456738708</v>
      </c>
      <c r="L71" s="871">
        <f t="shared" si="3"/>
        <v>380.12661851080622</v>
      </c>
      <c r="M71" s="872">
        <f t="shared" si="3"/>
        <v>31.67721820923385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6.1364589926384827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4"/>
      <c r="O75" s="802">
        <f>O78+O80+O81+O82+O83+O84</f>
        <v>1741</v>
      </c>
      <c r="P75" s="1054"/>
      <c r="Q75" s="849">
        <f>Q78+Q80+Q81+Q82+Q83+Q84</f>
        <v>10683.575106183598</v>
      </c>
      <c r="R75" s="1054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7888.0934178704301</v>
      </c>
      <c r="V75" s="1054" t="s">
        <v>449</v>
      </c>
      <c r="W75" s="131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4"/>
      <c r="O76" s="891" t="s">
        <v>455</v>
      </c>
      <c r="P76" s="1054"/>
      <c r="Q76" s="856">
        <v>0.75</v>
      </c>
      <c r="R76" s="1054"/>
      <c r="S76" s="1334"/>
      <c r="T76" s="1336"/>
      <c r="U76" s="1334"/>
      <c r="V76" s="1054"/>
      <c r="W76" s="1311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15.011170455383546</v>
      </c>
      <c r="K78" s="872">
        <f>$M$32*H78*$B$77*$C$77</f>
        <v>1.2509308712819622</v>
      </c>
      <c r="L78" s="871">
        <f>J78*$D$77</f>
        <v>18.763963069229433</v>
      </c>
      <c r="M78" s="872">
        <f>K78*$D$77</f>
        <v>1.5636635891024528</v>
      </c>
      <c r="N78" s="1054"/>
      <c r="O78" s="873">
        <v>264</v>
      </c>
      <c r="P78" s="1054"/>
      <c r="Q78" s="874">
        <f>O78*$Q$76*M78+O78*(1-$Q$76)*K78</f>
        <v>392.16682814689517</v>
      </c>
      <c r="R78" s="1054"/>
      <c r="S78" s="875">
        <f>IF(AND(Q78&lt;&gt;0,O78&lt;&gt;0),Q78*(1-D17-D18-D19)/O78/30/(($D$25*1000000/$D$8))*1000,0)</f>
        <v>0.20414885858885251</v>
      </c>
      <c r="T78" s="1054" t="s">
        <v>459</v>
      </c>
      <c r="U78" s="876">
        <f>S78*O78*30*$D$11*(1+$D$24)/1000</f>
        <v>289.5518162288368</v>
      </c>
      <c r="V78" s="1054" t="s">
        <v>460</v>
      </c>
      <c r="W78" s="876">
        <f>IF(O78&lt;&gt;0,U78/O78,0)</f>
        <v>1.096787182684988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55.040958336406334</v>
      </c>
      <c r="K80" s="872">
        <f>$M$32*(H78+(G80-F80)*H80)*$B$77*$C$77</f>
        <v>4.5867465280338608</v>
      </c>
      <c r="L80" s="871">
        <f t="shared" ref="L80:M84" si="4">J80*$D$77</f>
        <v>68.801197920507917</v>
      </c>
      <c r="M80" s="872">
        <f t="shared" si="4"/>
        <v>5.7334331600423258</v>
      </c>
      <c r="N80" s="1054"/>
      <c r="O80" s="873">
        <v>994</v>
      </c>
      <c r="P80" s="1054"/>
      <c r="Q80" s="874">
        <f>O80*$Q$76*M80+O80*(1-$Q$76)*K80</f>
        <v>5414.0809330279681</v>
      </c>
      <c r="R80" s="1054"/>
      <c r="S80" s="875">
        <f>IF(AND(Q80&lt;&gt;0,O80&lt;&gt;0),Q80*(1-D17-D18-D19)/O80/30/(($D$25*1000000/$D$8))*1000,0)</f>
        <v>0.74854581482579241</v>
      </c>
      <c r="T80" s="1054" t="s">
        <v>459</v>
      </c>
      <c r="U80" s="876">
        <f>S80*O80*30*$D$11*(1+$D$24)/1000</f>
        <v>3997.4236851592173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83.395391418797487</v>
      </c>
      <c r="K81" s="872">
        <f>$M$32*(H78+(G80-F80)*H80+(G81-F81)*H81)*$B$77*$C$77</f>
        <v>6.9496159515664564</v>
      </c>
      <c r="L81" s="871">
        <f t="shared" si="4"/>
        <v>104.24423927349686</v>
      </c>
      <c r="M81" s="872">
        <f t="shared" si="4"/>
        <v>8.6870199394580698</v>
      </c>
      <c r="N81" s="1054"/>
      <c r="O81" s="873">
        <v>183</v>
      </c>
      <c r="P81" s="1054"/>
      <c r="Q81" s="874">
        <f>O81*$Q$76*M81+O81*(1-$Q$76)*K81</f>
        <v>1510.2384164747855</v>
      </c>
      <c r="R81" s="1054"/>
      <c r="S81" s="875">
        <f>IF(AND(Q81&lt;&gt;0,O81&lt;&gt;0),Q81*(1-D17-D18-D19)/O81/30/(($D$25*1000000/$D$8))*1000,0)</f>
        <v>1.1341603254936248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113.41773232956456</v>
      </c>
      <c r="K82" s="872">
        <f>$M$32*(H78+(G80-F80)*H80+(G81-F81)*H81+(G82-F82)*H82)*$B$77*$C$77</f>
        <v>9.4514776941303804</v>
      </c>
      <c r="L82" s="871">
        <f t="shared" si="4"/>
        <v>141.77216541195571</v>
      </c>
      <c r="M82" s="872">
        <f t="shared" si="4"/>
        <v>11.814347117662976</v>
      </c>
      <c r="N82" s="1054"/>
      <c r="O82" s="873">
        <v>300</v>
      </c>
      <c r="P82" s="1054"/>
      <c r="Q82" s="874">
        <f>O82*$Q$76*M82+O82*(1-$Q$76)*K82</f>
        <v>3367.0889285339481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160.95310543827915</v>
      </c>
      <c r="K83" s="872">
        <f>$M$32*(H78+(G80-F80)*H80+(G81-F81)*H81+(G82-F82)*H82+(G83-F83)*H83)*$B$77*$C$77</f>
        <v>13.412758786523261</v>
      </c>
      <c r="L83" s="871">
        <f t="shared" si="4"/>
        <v>201.19138179784895</v>
      </c>
      <c r="M83" s="872">
        <f t="shared" si="4"/>
        <v>16.765948483154077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311.06480999211459</v>
      </c>
      <c r="K84" s="872">
        <f>$M$32*(H78+(G80-F80)*H80+(G81-F81)*H81+(G82-F82)*H82+(G83-F83)*H83+(G84-F84)*H84)*$B$77*$C$77</f>
        <v>25.92206749934288</v>
      </c>
      <c r="L84" s="871">
        <f t="shared" si="4"/>
        <v>388.83101249014322</v>
      </c>
      <c r="M84" s="872">
        <f t="shared" si="4"/>
        <v>32.402584374178602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13.328060342113542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4"/>
      <c r="O88" s="877">
        <f>O91+O93+O94+O95+O96</f>
        <v>20</v>
      </c>
      <c r="P88" s="1054"/>
      <c r="Q88" s="849">
        <f>Q91+Q93+Q94+Q95+Q96</f>
        <v>266.56120684227085</v>
      </c>
      <c r="R88" s="1054"/>
      <c r="S88" s="1310">
        <f>IF(AND(Q88&lt;&gt;0,O88&lt;&gt;0),Q88*(1-D17-D18-D19)/(($D$25*1000000/$D$8)),0)</f>
        <v>1.0990013554033224</v>
      </c>
      <c r="T88" s="1335" t="s">
        <v>448</v>
      </c>
      <c r="U88" s="1310">
        <f>U91+U93+U94+U95+U96+Z97</f>
        <v>196.81236667069498</v>
      </c>
      <c r="V88" s="1054" t="s">
        <v>449</v>
      </c>
      <c r="W88" s="131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4"/>
      <c r="O89" s="891" t="s">
        <v>455</v>
      </c>
      <c r="P89" s="1054"/>
      <c r="Q89" s="856">
        <v>0.75</v>
      </c>
      <c r="R89" s="1054"/>
      <c r="S89" s="1334"/>
      <c r="T89" s="1336"/>
      <c r="U89" s="1334"/>
      <c r="V89" s="1054"/>
      <c r="W89" s="1311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11.675354798631647</v>
      </c>
      <c r="K91" s="872">
        <f>$M$32*H91*$B$90*$C$90</f>
        <v>0.97294623321930396</v>
      </c>
      <c r="L91" s="871">
        <f>J91*$D$90</f>
        <v>14.594193498289558</v>
      </c>
      <c r="M91" s="872">
        <f>K91*$D$90</f>
        <v>1.2161827915241299</v>
      </c>
      <c r="N91" s="1054"/>
      <c r="O91" s="873">
        <v>1</v>
      </c>
      <c r="P91" s="1054"/>
      <c r="Q91" s="874">
        <f>O91*$Q$76*M91+O91*(1-$Q$76)*K91</f>
        <v>1.1553736519479234</v>
      </c>
      <c r="R91" s="1054"/>
      <c r="S91" s="875">
        <f>IF(AND(Q91&lt;&gt;0,O91&lt;&gt;0),Q91*(1-D17-D18-D19)/O91/30/(($D$25*1000000/$D$8))*1000,0)</f>
        <v>0.15878244556910751</v>
      </c>
      <c r="T91" s="1054" t="s">
        <v>459</v>
      </c>
      <c r="U91" s="876">
        <f>S91*O91*30*$D$11*(1+$D$24)/1000</f>
        <v>0.85305669764387937</v>
      </c>
      <c r="V91" s="1054" t="s">
        <v>460</v>
      </c>
      <c r="W91" s="876">
        <f>IF(O91&lt;&gt;0,U91/O91,0)</f>
        <v>0.85305669764387937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36.693972224270894</v>
      </c>
      <c r="K93" s="872">
        <f>$M$32*(H91+(G93-F93)*H93)*$B$90*$C$90</f>
        <v>3.0578310186892415</v>
      </c>
      <c r="L93" s="871">
        <f t="shared" ref="L93:M96" si="5">J93*$D$90</f>
        <v>45.867465280338621</v>
      </c>
      <c r="M93" s="872">
        <f t="shared" si="5"/>
        <v>3.822288773361552</v>
      </c>
      <c r="N93" s="1054"/>
      <c r="O93" s="873">
        <v>2</v>
      </c>
      <c r="P93" s="1054"/>
      <c r="Q93" s="874">
        <f>O93*$Q$76*M93+O93*(1-$Q$76)*K93</f>
        <v>7.2623486693869488</v>
      </c>
      <c r="R93" s="1054"/>
      <c r="S93" s="875">
        <f>IF(AND(Q93&lt;&gt;0,O93&lt;&gt;0),Q93*(1-D17-D18-D19)/O93/30/(($D$25*1000000/$D$8))*1000,0)</f>
        <v>0.4990305432171952</v>
      </c>
      <c r="T93" s="1054" t="s">
        <v>459</v>
      </c>
      <c r="U93" s="876">
        <f>S93*O93*30*$D$11*(1+$D$24)/1000</f>
        <v>5.3620706709043864</v>
      </c>
      <c r="V93" s="1054" t="s">
        <v>460</v>
      </c>
      <c r="W93" s="876">
        <f>IF(O93&lt;&gt;0,U93/O93,0)</f>
        <v>2.6810353354521932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153.44752021058736</v>
      </c>
      <c r="K94" s="872">
        <f>$M$32*(H91+(G93-F93)*H93+(G94-F94)*H94)*$B$90*$C$90</f>
        <v>12.78729335088228</v>
      </c>
      <c r="L94" s="871">
        <f t="shared" si="5"/>
        <v>191.80940026323418</v>
      </c>
      <c r="M94" s="872">
        <f t="shared" si="5"/>
        <v>15.98411668860285</v>
      </c>
      <c r="N94" s="1054"/>
      <c r="O94" s="873">
        <v>17</v>
      </c>
      <c r="P94" s="1054"/>
      <c r="Q94" s="874">
        <f>O94*$Q$76*M94+O94*(1-$Q$76)*K94</f>
        <v>258.143484520936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887.32696469600523</v>
      </c>
      <c r="K95" s="872">
        <f>$M$32*(H91+(G93-F93)*H93+(G94-F94)*H94+(G95-F95)*H95)*$B$90*$C$90</f>
        <v>73.943913724667112</v>
      </c>
      <c r="L95" s="871">
        <f t="shared" si="5"/>
        <v>1109.1587058700065</v>
      </c>
      <c r="M95" s="872">
        <f t="shared" si="5"/>
        <v>92.429892155833898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1888.0716617215753</v>
      </c>
      <c r="K96" s="872">
        <f>$M$32*(H91+(G93-F93)*H93+(G94-F94)*H94+(G95-F95)*H95+(G96-F96)*H96)*$B$90*$C$90</f>
        <v>157.33930514346457</v>
      </c>
      <c r="L96" s="871">
        <f t="shared" si="5"/>
        <v>2360.089577151969</v>
      </c>
      <c r="M96" s="872">
        <f t="shared" si="5"/>
        <v>196.67413142933071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95" priority="17">
      <formula>OR(O36&lt;O35*99.75%,O36&gt;O35*100.25%)</formula>
    </cfRule>
  </conditionalFormatting>
  <conditionalFormatting sqref="O36">
    <cfRule type="expression" dxfId="194" priority="18">
      <formula>OR(O36&lt;O35*100.25%,O36&gt;O35*99.75%)</formula>
    </cfRule>
  </conditionalFormatting>
  <conditionalFormatting sqref="Y39">
    <cfRule type="expression" dxfId="193" priority="19">
      <formula>Y39="NOK"</formula>
    </cfRule>
  </conditionalFormatting>
  <conditionalFormatting sqref="Y39">
    <cfRule type="expression" dxfId="192" priority="20">
      <formula>Y39="OK"</formula>
    </cfRule>
  </conditionalFormatting>
  <conditionalFormatting sqref="Y41:Y45">
    <cfRule type="expression" dxfId="191" priority="21">
      <formula>Y41="NOK"</formula>
    </cfRule>
  </conditionalFormatting>
  <conditionalFormatting sqref="Y41:Y45">
    <cfRule type="expression" dxfId="190" priority="22">
      <formula>Y41="OK"</formula>
    </cfRule>
  </conditionalFormatting>
  <conditionalFormatting sqref="Y52">
    <cfRule type="expression" dxfId="189" priority="23">
      <formula>Y52="NOK"</formula>
    </cfRule>
  </conditionalFormatting>
  <conditionalFormatting sqref="Y52">
    <cfRule type="expression" dxfId="188" priority="24">
      <formula>Y52="OK"</formula>
    </cfRule>
  </conditionalFormatting>
  <conditionalFormatting sqref="Y54:Y58">
    <cfRule type="expression" dxfId="187" priority="25">
      <formula>Y54="NOK"</formula>
    </cfRule>
  </conditionalFormatting>
  <conditionalFormatting sqref="Y54:Y58">
    <cfRule type="expression" dxfId="186" priority="26">
      <formula>Y54="OK"</formula>
    </cfRule>
  </conditionalFormatting>
  <conditionalFormatting sqref="Y65">
    <cfRule type="expression" dxfId="185" priority="27">
      <formula>Y65="NOK"</formula>
    </cfRule>
  </conditionalFormatting>
  <conditionalFormatting sqref="Y65">
    <cfRule type="expression" dxfId="184" priority="28">
      <formula>Y65="OK"</formula>
    </cfRule>
  </conditionalFormatting>
  <conditionalFormatting sqref="Y67:Y71">
    <cfRule type="expression" dxfId="183" priority="29">
      <formula>Y67="NOK"</formula>
    </cfRule>
  </conditionalFormatting>
  <conditionalFormatting sqref="Y67:Y71">
    <cfRule type="expression" dxfId="182" priority="30">
      <formula>Y67="OK"</formula>
    </cfRule>
  </conditionalFormatting>
  <conditionalFormatting sqref="Y78">
    <cfRule type="expression" dxfId="181" priority="31">
      <formula>Y78="NOK"</formula>
    </cfRule>
  </conditionalFormatting>
  <conditionalFormatting sqref="Y78">
    <cfRule type="expression" dxfId="180" priority="32">
      <formula>Y78="OK"</formula>
    </cfRule>
  </conditionalFormatting>
  <conditionalFormatting sqref="Y80:Y84">
    <cfRule type="expression" dxfId="179" priority="33">
      <formula>Y80="NOK"</formula>
    </cfRule>
  </conditionalFormatting>
  <conditionalFormatting sqref="Y80:Y84">
    <cfRule type="expression" dxfId="178" priority="34">
      <formula>Y80="OK"</formula>
    </cfRule>
  </conditionalFormatting>
  <conditionalFormatting sqref="Y91">
    <cfRule type="expression" dxfId="177" priority="35">
      <formula>Y91="NOK"</formula>
    </cfRule>
  </conditionalFormatting>
  <conditionalFormatting sqref="Y91">
    <cfRule type="expression" dxfId="176" priority="36">
      <formula>Y91="OK"</formula>
    </cfRule>
  </conditionalFormatting>
  <conditionalFormatting sqref="Y93:Y96">
    <cfRule type="expression" dxfId="175" priority="37">
      <formula>Y93="NOK"</formula>
    </cfRule>
  </conditionalFormatting>
  <conditionalFormatting sqref="Y93:Y96">
    <cfRule type="expression" dxfId="174" priority="38">
      <formula>Y93="OK"</formula>
    </cfRule>
  </conditionalFormatting>
  <conditionalFormatting sqref="Y12">
    <cfRule type="expression" dxfId="173" priority="39">
      <formula>Y12&gt;20%</formula>
    </cfRule>
  </conditionalFormatting>
  <conditionalFormatting sqref="Y12">
    <cfRule type="expression" dxfId="172" priority="40">
      <formula>Y12&lt;=20%</formula>
    </cfRule>
  </conditionalFormatting>
  <conditionalFormatting sqref="O5">
    <cfRule type="expression" dxfId="171" priority="41">
      <formula>ABS(O8)&gt;=O7</formula>
    </cfRule>
    <cfRule type="expression" dxfId="170" priority="42">
      <formula>ABS(O8)&lt;O7</formula>
    </cfRule>
  </conditionalFormatting>
  <conditionalFormatting sqref="Q5">
    <cfRule type="expression" dxfId="169" priority="15">
      <formula>ABS(Q8)&gt;=Q7</formula>
    </cfRule>
    <cfRule type="expression" dxfId="168" priority="16">
      <formula>ABS(Q8)&lt;Q7</formula>
    </cfRule>
  </conditionalFormatting>
  <conditionalFormatting sqref="S5">
    <cfRule type="expression" dxfId="167" priority="13">
      <formula>ABS(S8)&gt;=S7</formula>
    </cfRule>
    <cfRule type="expression" dxfId="166" priority="14">
      <formula>ABS(S8)&lt;S7</formula>
    </cfRule>
  </conditionalFormatting>
  <conditionalFormatting sqref="U5">
    <cfRule type="expression" dxfId="165" priority="11">
      <formula>ABS(U8)&gt;=U7</formula>
    </cfRule>
    <cfRule type="expression" dxfId="164" priority="12">
      <formula>ABS(U8)&lt;U7</formula>
    </cfRule>
  </conditionalFormatting>
  <conditionalFormatting sqref="W5">
    <cfRule type="expression" dxfId="163" priority="9">
      <formula>ABS(W8)&gt;=W7</formula>
    </cfRule>
    <cfRule type="expression" dxfId="162" priority="10">
      <formula>ABS(W8)&lt;W7</formula>
    </cfRule>
  </conditionalFormatting>
  <conditionalFormatting sqref="Y5">
    <cfRule type="expression" dxfId="161" priority="7">
      <formula>ABS(Y12)&gt;=Y10</formula>
    </cfRule>
    <cfRule type="expression" dxfId="160" priority="8">
      <formula>ABS(Y12)&lt;Y10</formula>
    </cfRule>
  </conditionalFormatting>
  <conditionalFormatting sqref="O49 O62 O75 O88">
    <cfRule type="expression" dxfId="159" priority="1">
      <formula>OR(O49&lt;O48*99.75%,O49&gt;O48*100.25%)</formula>
    </cfRule>
  </conditionalFormatting>
  <conditionalFormatting sqref="O49 O62 O75 O88">
    <cfRule type="expression" dxfId="15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'[4]R&amp;C-Painel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'[4]R&amp;C-Painel de Controle'!D33</f>
        <v>545.44961638466214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'[4]R&amp;C-Painel de Controle'!H33</f>
        <v>607.24899876865459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'[4]R&amp;C-Painel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'[4]C-FCL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48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'[4]C-FCL Real'!B32</f>
        <v>Ano do Contrato</v>
      </c>
      <c r="C14" s="157"/>
      <c r="D14" s="158">
        <f>'[4]C-FCL Real'!C32</f>
        <v>0</v>
      </c>
      <c r="E14" s="156">
        <f>'[4]C-FCL Real'!D32</f>
        <v>1</v>
      </c>
      <c r="F14" s="156">
        <f>'[4]C-FCL Real'!E32</f>
        <v>2</v>
      </c>
      <c r="G14" s="156">
        <f>'[4]C-FCL Real'!F32</f>
        <v>3</v>
      </c>
      <c r="H14" s="156">
        <f>'[4]C-FCL Real'!G32</f>
        <v>4</v>
      </c>
      <c r="I14" s="156">
        <f>'[4]C-FCL Real'!H32</f>
        <v>5</v>
      </c>
      <c r="J14" s="156">
        <f>'[4]C-FCL Real'!I32</f>
        <v>6</v>
      </c>
      <c r="K14" s="156">
        <f>'[4]C-FCL Real'!J32</f>
        <v>7</v>
      </c>
      <c r="L14" s="156">
        <f>'[4]C-FCL Real'!K32</f>
        <v>8</v>
      </c>
      <c r="M14" s="156">
        <f>'[4]C-FCL Real'!L32</f>
        <v>9</v>
      </c>
      <c r="N14" s="156">
        <f>'[4]C-FCL Real'!M32</f>
        <v>10</v>
      </c>
      <c r="O14" s="156">
        <f>'[4]C-FCL Real'!N32</f>
        <v>11</v>
      </c>
      <c r="P14" s="156">
        <f>'[4]C-FCL Real'!O32</f>
        <v>12</v>
      </c>
      <c r="Q14" s="156">
        <f>'[4]C-FCL Real'!P32</f>
        <v>13</v>
      </c>
      <c r="R14" s="156">
        <f>'[4]C-FCL Real'!Q32</f>
        <v>14</v>
      </c>
      <c r="S14" s="156">
        <f>'[4]C-FCL Real'!R32</f>
        <v>15</v>
      </c>
      <c r="T14" s="156">
        <f>'[4]C-FCL Real'!S32</f>
        <v>16</v>
      </c>
      <c r="U14" s="156">
        <f>'[4]C-FCL Real'!T32</f>
        <v>17</v>
      </c>
      <c r="V14" s="156">
        <f>'[4]C-FCL Real'!U32</f>
        <v>18</v>
      </c>
      <c r="W14" s="156">
        <f>'[4]C-FCL Real'!V32</f>
        <v>19</v>
      </c>
      <c r="X14" s="156">
        <f>'[4]C-FCL Real'!W32</f>
        <v>20</v>
      </c>
      <c r="Y14" s="156">
        <f>'[4]C-FCL Real'!X32</f>
        <v>21</v>
      </c>
      <c r="Z14" s="156">
        <f>'[4]C-FCL Real'!Y32</f>
        <v>22</v>
      </c>
      <c r="AA14" s="156">
        <f>'[4]C-FCL Real'!Z32</f>
        <v>23</v>
      </c>
      <c r="AB14" s="156">
        <f>'[4]C-FCL Real'!AA32</f>
        <v>24</v>
      </c>
      <c r="AC14" s="156">
        <f>'[4]C-FCL Real'!AB32</f>
        <v>25</v>
      </c>
      <c r="AD14" s="156">
        <f>'[4]C-FCL Real'!AC32</f>
        <v>26</v>
      </c>
      <c r="AE14" s="156">
        <f>'[4]C-FCL Real'!AD32</f>
        <v>27</v>
      </c>
      <c r="AF14" s="156">
        <f>'[4]C-FCL Real'!AE32</f>
        <v>28</v>
      </c>
      <c r="AG14" s="156">
        <f>'[4]C-FCL Real'!AF32</f>
        <v>29</v>
      </c>
      <c r="AH14" s="156">
        <f>'[4]C-FCL Real'!AG32</f>
        <v>30</v>
      </c>
      <c r="AI14" s="156">
        <f>'[4]C-FCL Real'!AH32</f>
        <v>31</v>
      </c>
      <c r="AJ14" s="156">
        <f>'[4]C-FCL Real'!AI32</f>
        <v>32</v>
      </c>
      <c r="AK14" s="156">
        <f>'[4]C-FCL Real'!AJ32</f>
        <v>33</v>
      </c>
      <c r="AL14" s="156">
        <f>'[4]C-FCL Real'!AK32</f>
        <v>34</v>
      </c>
      <c r="AM14" s="156">
        <f>'[4]C-FCL Real'!AL32</f>
        <v>35</v>
      </c>
      <c r="AN14" s="156">
        <f>'[4]C-FCL Real'!AM32</f>
        <v>36</v>
      </c>
      <c r="AO14" s="156">
        <f>'[4]C-FCL Real'!AN32</f>
        <v>37</v>
      </c>
      <c r="AP14" s="156">
        <f>'[4]C-FCL Real'!AO32</f>
        <v>38</v>
      </c>
      <c r="AQ14" s="156">
        <f>'[4]C-FCL Real'!AP32</f>
        <v>39</v>
      </c>
      <c r="AR14" s="156">
        <f>'[4]C-FCL Real'!AQ32</f>
        <v>40</v>
      </c>
      <c r="AS14" s="156">
        <f>'[4]C-FCL Real'!AR32</f>
        <v>41</v>
      </c>
      <c r="AT14" s="156">
        <f>'[4]C-FCL Real'!AS32</f>
        <v>42</v>
      </c>
      <c r="AU14" s="156">
        <f>'[4]C-FCL Real'!AT32</f>
        <v>43</v>
      </c>
      <c r="AV14" s="156">
        <f>'[4]C-FCL Real'!AU32</f>
        <v>44</v>
      </c>
      <c r="AW14" s="156">
        <f>'[4]C-FCL Real'!AV32</f>
        <v>45</v>
      </c>
      <c r="AX14" s="156">
        <f>'[4]C-FCL Real'!AW32</f>
        <v>46</v>
      </c>
      <c r="AY14" s="156">
        <f>'[4]C-FCL Real'!AX32</f>
        <v>47</v>
      </c>
      <c r="AZ14" s="156">
        <f>'[4]C-FCL Real'!AY32</f>
        <v>48</v>
      </c>
      <c r="BA14" s="156">
        <f>'[4]C-FCL Real'!AZ32</f>
        <v>49</v>
      </c>
      <c r="BB14" s="156">
        <f>'[4]C-FCL Real'!BA32</f>
        <v>50</v>
      </c>
      <c r="BC14" s="156">
        <f>'[4]C-FCL Real'!BB32</f>
        <v>51</v>
      </c>
      <c r="BD14" s="156">
        <f>'[4]C-FCL Real'!BC32</f>
        <v>52</v>
      </c>
      <c r="BE14" s="156">
        <f>'[4]C-FCL Real'!BD32</f>
        <v>0</v>
      </c>
      <c r="BF14" s="156">
        <f>'[4]C-FCL Real'!BE32</f>
        <v>0</v>
      </c>
      <c r="BG14" s="156">
        <f>'[4]C-FCL Real'!BF32</f>
        <v>0</v>
      </c>
      <c r="BH14" s="156">
        <f>'[4]C-FCL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'[4]C-FCL Real'!C33</f>
        <v>1</v>
      </c>
      <c r="E15" s="162">
        <f>'[4]C-FCL Real'!D33</f>
        <v>1</v>
      </c>
      <c r="F15" s="162">
        <f>'[4]C-FCL Real'!E33</f>
        <v>1</v>
      </c>
      <c r="G15" s="162">
        <f>'[4]C-FCL Real'!F33</f>
        <v>1</v>
      </c>
      <c r="H15" s="162">
        <f>'[4]C-FCL Real'!G33</f>
        <v>1</v>
      </c>
      <c r="I15" s="162">
        <f>'[4]C-FCL Real'!H33</f>
        <v>1</v>
      </c>
      <c r="J15" s="162">
        <f>'[4]C-FCL Real'!I33</f>
        <v>1</v>
      </c>
      <c r="K15" s="162">
        <f>'[4]C-FCL Real'!J33</f>
        <v>1</v>
      </c>
      <c r="L15" s="162">
        <f>'[4]C-FCL Real'!K33</f>
        <v>1</v>
      </c>
      <c r="M15" s="162">
        <f>'[4]C-FCL Real'!L33</f>
        <v>1</v>
      </c>
      <c r="N15" s="162">
        <f>'[4]C-FCL Real'!M33</f>
        <v>1</v>
      </c>
      <c r="O15" s="162">
        <f>'[4]C-FCL Real'!N33</f>
        <v>1</v>
      </c>
      <c r="P15" s="162">
        <f>'[4]C-FCL Real'!O33</f>
        <v>1</v>
      </c>
      <c r="Q15" s="162">
        <f>'[4]C-FCL Real'!P33</f>
        <v>1</v>
      </c>
      <c r="R15" s="162">
        <f>'[4]C-FCL Real'!Q33</f>
        <v>1</v>
      </c>
      <c r="S15" s="162">
        <f>'[4]C-FCL Real'!R33</f>
        <v>1</v>
      </c>
      <c r="T15" s="162">
        <f>'[4]C-FCL Real'!S33</f>
        <v>1</v>
      </c>
      <c r="U15" s="162">
        <f>'[4]C-FCL Real'!T33</f>
        <v>1</v>
      </c>
      <c r="V15" s="162">
        <f>'[4]C-FCL Real'!U33</f>
        <v>1</v>
      </c>
      <c r="W15" s="162">
        <f>'[4]C-FCL Real'!V33</f>
        <v>1</v>
      </c>
      <c r="X15" s="162">
        <f>'[4]C-FCL Real'!W33</f>
        <v>1</v>
      </c>
      <c r="Y15" s="162">
        <f>'[4]C-FCL Real'!X33</f>
        <v>1</v>
      </c>
      <c r="Z15" s="162">
        <f>'[4]C-FCL Real'!Y33</f>
        <v>1</v>
      </c>
      <c r="AA15" s="162">
        <f>'[4]C-FCL Real'!Z33</f>
        <v>1</v>
      </c>
      <c r="AB15" s="162">
        <f>'[4]C-FCL Real'!AA33</f>
        <v>1</v>
      </c>
      <c r="AC15" s="162">
        <f>'[4]C-FCL Real'!AB33</f>
        <v>1</v>
      </c>
      <c r="AD15" s="162">
        <f>'[4]C-FCL Real'!AC33</f>
        <v>1</v>
      </c>
      <c r="AE15" s="162">
        <f>'[4]C-FCL Real'!AD33</f>
        <v>1</v>
      </c>
      <c r="AF15" s="162">
        <f>'[4]C-FCL Real'!AE33</f>
        <v>1</v>
      </c>
      <c r="AG15" s="162">
        <f>'[4]C-FCL Real'!AF33</f>
        <v>1</v>
      </c>
      <c r="AH15" s="162">
        <f>'[4]C-FCL Real'!AG33</f>
        <v>1</v>
      </c>
      <c r="AI15" s="162">
        <f>'[4]C-FCL Real'!AH33</f>
        <v>1</v>
      </c>
      <c r="AJ15" s="162">
        <f>'[4]C-FCL Real'!AI33</f>
        <v>1</v>
      </c>
      <c r="AK15" s="162">
        <f>'[4]C-FCL Real'!AJ33</f>
        <v>1</v>
      </c>
      <c r="AL15" s="162">
        <f>'[4]C-FCL Real'!AK33</f>
        <v>1</v>
      </c>
      <c r="AM15" s="162">
        <f>'[4]C-FCL Real'!AL33</f>
        <v>0</v>
      </c>
      <c r="AN15" s="162">
        <f>'[4]C-FCL Real'!AM33</f>
        <v>0</v>
      </c>
      <c r="AO15" s="162">
        <f>'[4]C-FCL Real'!AN33</f>
        <v>0</v>
      </c>
      <c r="AP15" s="162">
        <f>'[4]C-FCL Real'!AO33</f>
        <v>0</v>
      </c>
      <c r="AQ15" s="162">
        <f>'[4]C-FCL Real'!AP33</f>
        <v>0</v>
      </c>
      <c r="AR15" s="162">
        <f>'[4]C-FCL Real'!AQ33</f>
        <v>0</v>
      </c>
      <c r="AS15" s="162">
        <f>'[4]C-FCL Real'!AR33</f>
        <v>0</v>
      </c>
      <c r="AT15" s="162">
        <f>'[4]C-FCL Real'!AS33</f>
        <v>0</v>
      </c>
      <c r="AU15" s="162">
        <f>'[4]C-FCL Real'!AT33</f>
        <v>0</v>
      </c>
      <c r="AV15" s="162">
        <f>'[4]C-FCL Real'!AU33</f>
        <v>0</v>
      </c>
      <c r="AW15" s="162">
        <f>'[4]C-FCL Real'!AV33</f>
        <v>0</v>
      </c>
      <c r="AX15" s="162">
        <f>'[4]C-FCL Real'!AW33</f>
        <v>0</v>
      </c>
      <c r="AY15" s="162">
        <f>'[4]C-FCL Real'!AX33</f>
        <v>0</v>
      </c>
      <c r="AZ15" s="162">
        <f>'[4]C-FCL Real'!AY33</f>
        <v>0</v>
      </c>
      <c r="BA15" s="162">
        <f>'[4]C-FCL Real'!AZ33</f>
        <v>0</v>
      </c>
      <c r="BB15" s="162">
        <f>'[4]C-FCL Real'!BA33</f>
        <v>0</v>
      </c>
      <c r="BC15" s="162">
        <f>'[4]C-FCL Real'!BB33</f>
        <v>0</v>
      </c>
      <c r="BD15" s="162">
        <f>'[4]C-FCL Real'!BC33</f>
        <v>0</v>
      </c>
      <c r="BE15" s="162">
        <f>'[4]C-FCL Real'!BD33</f>
        <v>0</v>
      </c>
      <c r="BF15" s="162">
        <f>'[4]C-FCL Real'!BE33</f>
        <v>0</v>
      </c>
      <c r="BG15" s="162">
        <f>'[4]C-FCL Real'!BF33</f>
        <v>0</v>
      </c>
      <c r="BH15" s="163">
        <f>'[4]C-FCL Real'!BG33</f>
        <v>0</v>
      </c>
    </row>
    <row r="16" spans="1:60" s="168" customFormat="1" ht="15" hidden="1" customHeight="1" outlineLevel="1" x14ac:dyDescent="0.3">
      <c r="A16" s="1230"/>
      <c r="B16" s="141" t="str">
        <f>'[4]C-FCL Real'!B35</f>
        <v>Dados Quantitativos RSU</v>
      </c>
      <c r="C16" s="165">
        <f>SUMIF($D$15:$BG$15,1,D16:BG16)</f>
        <v>1193646.2820174235</v>
      </c>
      <c r="D16" s="166">
        <f>'[4]C-FCL Real'!C35</f>
        <v>31717.919999999998</v>
      </c>
      <c r="E16" s="167">
        <f>'[4]C-FCL Real'!D35</f>
        <v>31866.994223999995</v>
      </c>
      <c r="F16" s="167">
        <f>'[4]C-FCL Real'!E35</f>
        <v>32016.769096852793</v>
      </c>
      <c r="G16" s="167">
        <f>'[4]C-FCL Real'!F35</f>
        <v>32167.247911607999</v>
      </c>
      <c r="H16" s="167">
        <f>'[4]C-FCL Real'!G35</f>
        <v>32318.433976792556</v>
      </c>
      <c r="I16" s="167">
        <f>'[4]C-FCL Real'!H35</f>
        <v>32470.330616483479</v>
      </c>
      <c r="J16" s="167">
        <f>'[4]C-FCL Real'!I35</f>
        <v>32622.941170380949</v>
      </c>
      <c r="K16" s="167">
        <f>'[4]C-FCL Real'!J35</f>
        <v>32776.268993881735</v>
      </c>
      <c r="L16" s="167">
        <f>'[4]C-FCL Real'!K35</f>
        <v>32930.317458152975</v>
      </c>
      <c r="M16" s="167">
        <f>'[4]C-FCL Real'!L35</f>
        <v>33085.089950206289</v>
      </c>
      <c r="N16" s="167">
        <f>'[4]C-FCL Real'!M35</f>
        <v>33240.589872972254</v>
      </c>
      <c r="O16" s="167">
        <f>'[4]C-FCL Real'!N35</f>
        <v>33396.820645375221</v>
      </c>
      <c r="P16" s="167">
        <f>'[4]C-FCL Real'!O35</f>
        <v>33553.785702408481</v>
      </c>
      <c r="Q16" s="167">
        <f>'[4]C-FCL Real'!P35</f>
        <v>33711.4884952098</v>
      </c>
      <c r="R16" s="167">
        <f>'[4]C-FCL Real'!Q35</f>
        <v>33869.932491137282</v>
      </c>
      <c r="S16" s="167">
        <f>'[4]C-FCL Real'!O35</f>
        <v>33553.785702408481</v>
      </c>
      <c r="T16" s="167">
        <f>'[4]C-FCL Real'!P35</f>
        <v>33711.4884952098</v>
      </c>
      <c r="U16" s="167">
        <f>'[4]C-FCL Real'!Q35</f>
        <v>33869.932491137282</v>
      </c>
      <c r="V16" s="167">
        <f>'[4]C-FCL Real'!R35</f>
        <v>34029.121173845626</v>
      </c>
      <c r="W16" s="167">
        <f>'[4]C-FCL Real'!S35</f>
        <v>34189.058043362696</v>
      </c>
      <c r="X16" s="167">
        <f>'[4]C-FCL Real'!T35</f>
        <v>34349.7466161665</v>
      </c>
      <c r="Y16" s="167">
        <f>'[4]C-FCL Real'!U35</f>
        <v>34511.190425262481</v>
      </c>
      <c r="Z16" s="167">
        <f>'[4]C-FCL Real'!V35</f>
        <v>34673.39302026121</v>
      </c>
      <c r="AA16" s="167">
        <f>'[4]C-FCL Real'!W35</f>
        <v>34836.357967456432</v>
      </c>
      <c r="AB16" s="167">
        <f>'[4]C-FCL Real'!X35</f>
        <v>35000.088849903477</v>
      </c>
      <c r="AC16" s="167">
        <f>'[4]C-FCL Real'!Y35</f>
        <v>35164.58926749802</v>
      </c>
      <c r="AD16" s="167">
        <f>'[4]C-FCL Real'!Z35</f>
        <v>35329.862837055261</v>
      </c>
      <c r="AE16" s="167">
        <f>'[4]C-FCL Real'!AA35</f>
        <v>35495.913192389417</v>
      </c>
      <c r="AF16" s="167">
        <f>'[4]C-FCL Real'!AB35</f>
        <v>35662.743984393644</v>
      </c>
      <c r="AG16" s="167">
        <f>'[4]C-FCL Real'!AC35</f>
        <v>35830.358881120294</v>
      </c>
      <c r="AH16" s="167">
        <f>'[4]C-FCL Real'!AD35</f>
        <v>35998.761567861555</v>
      </c>
      <c r="AI16" s="167">
        <f>'[4]C-FCL Real'!AE35</f>
        <v>36167.955747230502</v>
      </c>
      <c r="AJ16" s="167">
        <f>'[4]C-FCL Real'!AF35</f>
        <v>36337.945139242482</v>
      </c>
      <c r="AK16" s="167">
        <f>'[4]C-FCL Real'!AG35</f>
        <v>36508.733481396921</v>
      </c>
      <c r="AL16" s="167">
        <f>'[4]C-FCL Real'!AH35</f>
        <v>36680.324528759484</v>
      </c>
      <c r="AM16" s="167">
        <f>'[4]C-FCL Real'!AI35</f>
        <v>36852.722054044651</v>
      </c>
      <c r="AN16" s="167">
        <f>'[4]C-FCL Real'!AJ35</f>
        <v>37025.929847698659</v>
      </c>
      <c r="AO16" s="167">
        <f>'[4]C-FCL Real'!AK35</f>
        <v>37199.95171798284</v>
      </c>
      <c r="AP16" s="167">
        <f>'[4]C-FCL Real'!AL35</f>
        <v>37374.79149105736</v>
      </c>
      <c r="AQ16" s="167">
        <f>'[4]C-FCL Real'!AM35</f>
        <v>37550.453011065329</v>
      </c>
      <c r="AR16" s="167">
        <f>'[4]C-FCL Real'!AN35</f>
        <v>37726.940140217332</v>
      </c>
      <c r="AS16" s="167">
        <f>'[4]C-FCL Real'!AO35</f>
        <v>37904.256758876349</v>
      </c>
      <c r="AT16" s="167">
        <f>'[4]C-FCL Real'!AP35</f>
        <v>38082.406765643063</v>
      </c>
      <c r="AU16" s="167">
        <f>'[4]C-FCL Real'!AQ35</f>
        <v>38261.394077441582</v>
      </c>
      <c r="AV16" s="167">
        <f>'[4]C-FCL Real'!AR35</f>
        <v>38441.222629605552</v>
      </c>
      <c r="AW16" s="167">
        <f>'[4]C-FCL Real'!AS35</f>
        <v>38621.896375964694</v>
      </c>
      <c r="AX16" s="167">
        <f>'[4]C-FCL Real'!AT35</f>
        <v>38803.419288931727</v>
      </c>
      <c r="AY16" s="167">
        <f>'[4]C-FCL Real'!AU35</f>
        <v>38985.795359589705</v>
      </c>
      <c r="AZ16" s="167">
        <f>'[4]C-FCL Real'!AV35</f>
        <v>39169.028597779776</v>
      </c>
      <c r="BA16" s="167">
        <f>'[4]C-FCL Real'!AW35</f>
        <v>39353.123032189338</v>
      </c>
      <c r="BB16" s="167">
        <f>'[4]C-FCL Real'!AX35</f>
        <v>39538.082710440627</v>
      </c>
      <c r="BC16" s="167">
        <f>'[4]C-FCL Real'!AY35</f>
        <v>39723.911699179698</v>
      </c>
      <c r="BD16" s="167">
        <f>'[4]C-FCL Real'!AZ35</f>
        <v>39910.614084165842</v>
      </c>
      <c r="BE16" s="167">
        <f>'[4]C-FCL Real'!BA35</f>
        <v>40098.193970361419</v>
      </c>
      <c r="BF16" s="167">
        <f>'[4]C-FCL Real'!BB35</f>
        <v>40286.655482022114</v>
      </c>
      <c r="BG16" s="167">
        <f>'[4]C-FCL Real'!BC35</f>
        <v>40476.002762787612</v>
      </c>
      <c r="BH16" s="167">
        <f>'[4]C-FCL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77.628196475090391</v>
      </c>
      <c r="B18" s="173" t="str">
        <f>'[4]C-FCL Real'!B63</f>
        <v>Dados de Capex</v>
      </c>
      <c r="C18" s="174">
        <f>SUMIF($D$15:$BG$15,1,D18:BG18)</f>
        <v>92.660608102209721</v>
      </c>
      <c r="D18" s="175">
        <f>'[4]C-FCL Real'!C63</f>
        <v>28.146383253966345</v>
      </c>
      <c r="E18" s="20">
        <f>'[4]C-FCL Real'!D63</f>
        <v>26.72354908980946</v>
      </c>
      <c r="F18" s="20">
        <f>'[4]C-FCL Real'!E63</f>
        <v>37.79067575843392</v>
      </c>
      <c r="G18" s="20">
        <f>'[4]C-FCL Real'!F63</f>
        <v>0</v>
      </c>
      <c r="H18" s="20">
        <f>'[4]C-FCL Real'!G63</f>
        <v>0</v>
      </c>
      <c r="I18" s="20">
        <f>'[4]C-FCL Real'!H63</f>
        <v>0</v>
      </c>
      <c r="J18" s="20">
        <f>'[4]C-FCL Real'!I63</f>
        <v>0</v>
      </c>
      <c r="K18" s="20">
        <f>'[4]C-FCL Real'!J63</f>
        <v>0</v>
      </c>
      <c r="L18" s="20">
        <f>'[4]C-FCL Real'!K63</f>
        <v>0</v>
      </c>
      <c r="M18" s="20">
        <f>'[4]C-FCL Real'!L63</f>
        <v>0</v>
      </c>
      <c r="N18" s="20">
        <f>'[4]C-FCL Real'!M63</f>
        <v>0</v>
      </c>
      <c r="O18" s="20">
        <f>'[4]C-FCL Real'!N63</f>
        <v>0</v>
      </c>
      <c r="P18" s="20">
        <f>'[4]C-FCL Real'!O63</f>
        <v>0</v>
      </c>
      <c r="Q18" s="20">
        <f>'[4]C-FCL Real'!P63</f>
        <v>0</v>
      </c>
      <c r="R18" s="20">
        <f>'[4]C-FCL Real'!Q63</f>
        <v>0</v>
      </c>
      <c r="S18" s="20">
        <f>'[4]C-FCL Real'!O63</f>
        <v>0</v>
      </c>
      <c r="T18" s="20">
        <f>'[4]C-FCL Real'!P63</f>
        <v>0</v>
      </c>
      <c r="U18" s="20">
        <f>'[4]C-FCL Real'!Q63</f>
        <v>0</v>
      </c>
      <c r="V18" s="20">
        <f>'[4]C-FCL Real'!R63</f>
        <v>0</v>
      </c>
      <c r="W18" s="20">
        <f>'[4]C-FCL Real'!S63</f>
        <v>0</v>
      </c>
      <c r="X18" s="20">
        <f>'[4]C-FCL Real'!T63</f>
        <v>0</v>
      </c>
      <c r="Y18" s="20">
        <f>'[4]C-FCL Real'!U63</f>
        <v>0</v>
      </c>
      <c r="Z18" s="20">
        <f>'[4]C-FCL Real'!V63</f>
        <v>0</v>
      </c>
      <c r="AA18" s="20">
        <f>'[4]C-FCL Real'!W63</f>
        <v>0</v>
      </c>
      <c r="AB18" s="20">
        <f>'[4]C-FCL Real'!X63</f>
        <v>0</v>
      </c>
      <c r="AC18" s="20">
        <f>'[4]C-FCL Real'!Y63</f>
        <v>0</v>
      </c>
      <c r="AD18" s="20">
        <f>'[4]C-FCL Real'!Z63</f>
        <v>0</v>
      </c>
      <c r="AE18" s="20">
        <f>'[4]C-FCL Real'!AA63</f>
        <v>0</v>
      </c>
      <c r="AF18" s="20">
        <f>'[4]C-FCL Real'!AB63</f>
        <v>0</v>
      </c>
      <c r="AG18" s="20">
        <f>'[4]C-FCL Real'!AC63</f>
        <v>0</v>
      </c>
      <c r="AH18" s="20">
        <f>'[4]C-FCL Real'!AD63</f>
        <v>0</v>
      </c>
      <c r="AI18" s="20">
        <f>'[4]C-FCL Real'!AE63</f>
        <v>0</v>
      </c>
      <c r="AJ18" s="20">
        <f>'[4]C-FCL Real'!AF63</f>
        <v>0</v>
      </c>
      <c r="AK18" s="20">
        <f>'[4]C-FCL Real'!AG63</f>
        <v>0</v>
      </c>
      <c r="AL18" s="20">
        <f>'[4]C-FCL Real'!AH63</f>
        <v>0</v>
      </c>
      <c r="AM18" s="20">
        <f>'[4]C-FCL Real'!AI63</f>
        <v>0</v>
      </c>
      <c r="AN18" s="20">
        <f>'[4]C-FCL Real'!AJ63</f>
        <v>0</v>
      </c>
      <c r="AO18" s="20">
        <f>'[4]C-FCL Real'!AK63</f>
        <v>0</v>
      </c>
      <c r="AP18" s="20">
        <f>'[4]C-FCL Real'!AL63</f>
        <v>0</v>
      </c>
      <c r="AQ18" s="20">
        <f>'[4]C-FCL Real'!AM63</f>
        <v>0</v>
      </c>
      <c r="AR18" s="20">
        <f>'[4]C-FCL Real'!AN63</f>
        <v>0</v>
      </c>
      <c r="AS18" s="20">
        <f>'[4]C-FCL Real'!AO63</f>
        <v>0</v>
      </c>
      <c r="AT18" s="20">
        <f>'[4]C-FCL Real'!AP63</f>
        <v>0</v>
      </c>
      <c r="AU18" s="20">
        <f>'[4]C-FCL Real'!AQ63</f>
        <v>0</v>
      </c>
      <c r="AV18" s="20">
        <f>'[4]C-FCL Real'!AR63</f>
        <v>0</v>
      </c>
      <c r="AW18" s="20">
        <f>'[4]C-FCL Real'!AS63</f>
        <v>0</v>
      </c>
      <c r="AX18" s="20">
        <f>'[4]C-FCL Real'!AT63</f>
        <v>0</v>
      </c>
      <c r="AY18" s="20">
        <f>'[4]C-FCL Real'!AU63</f>
        <v>0</v>
      </c>
      <c r="AZ18" s="20">
        <f>'[4]C-FCL Real'!AV63</f>
        <v>0</v>
      </c>
      <c r="BA18" s="20">
        <f>'[4]C-FCL Real'!AW63</f>
        <v>0</v>
      </c>
      <c r="BB18" s="20">
        <f>'[4]C-FCL Real'!AX63</f>
        <v>0</v>
      </c>
      <c r="BC18" s="20">
        <f>'[4]C-FCL Real'!AY63</f>
        <v>0</v>
      </c>
      <c r="BD18" s="20">
        <f>'[4]C-FCL Real'!AZ63</f>
        <v>0</v>
      </c>
      <c r="BE18" s="20">
        <f>'[4]C-FCL Real'!BA63</f>
        <v>0</v>
      </c>
      <c r="BF18" s="20">
        <f>'[4]C-FCL Real'!BB63</f>
        <v>0</v>
      </c>
      <c r="BG18" s="20">
        <f>'[4]C-FCL Real'!BC63</f>
        <v>0</v>
      </c>
      <c r="BH18" s="20">
        <f>'[4]C-FCL Real'!BD63</f>
        <v>0</v>
      </c>
    </row>
    <row r="19" spans="1:60" ht="15" hidden="1" customHeight="1" outlineLevel="1" x14ac:dyDescent="0.3">
      <c r="A19" s="172">
        <f>C19*1000000/$C$16</f>
        <v>70.821344583168354</v>
      </c>
      <c r="B19" s="176" t="s">
        <v>52</v>
      </c>
      <c r="C19" s="169">
        <f>SUMIF($D$15:$BG$15,1,D19:BG19)</f>
        <v>84.535634649173701</v>
      </c>
      <c r="D19" s="175">
        <f t="shared" ref="D19:AJ19" si="0">NPV($C$8,D18:D18)</f>
        <v>25.678359123526814</v>
      </c>
      <c r="E19" s="20">
        <f t="shared" si="0"/>
        <v>24.380286603488383</v>
      </c>
      <c r="F19" s="20">
        <f t="shared" si="0"/>
        <v>34.476988922158505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128">
        <f>C18*1000000/(C16/C43)</f>
        <v>2716.9868766281638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480.10168456668544</v>
      </c>
      <c r="B21" s="173" t="str">
        <f>'[4]C-FCL Real'!B119</f>
        <v>Dados de Opex + Gestão do Contrato</v>
      </c>
      <c r="C21" s="174">
        <f>SUMIF($D$15:$BG$15,1,D21:BG21)</f>
        <v>573.07159077332597</v>
      </c>
      <c r="D21" s="175">
        <f>'[4]C-FCL Real'!C119</f>
        <v>5.00414475505496</v>
      </c>
      <c r="E21" s="20">
        <f>'[4]C-FCL Real'!D119</f>
        <v>5.00414475505496</v>
      </c>
      <c r="F21" s="20">
        <f>'[4]C-FCL Real'!E119</f>
        <v>5.00414475505496</v>
      </c>
      <c r="G21" s="20">
        <f>'[4]C-FCL Real'!F119</f>
        <v>17.439348640880034</v>
      </c>
      <c r="H21" s="20">
        <f>'[4]C-FCL Real'!G119</f>
        <v>17.439348640880034</v>
      </c>
      <c r="I21" s="20">
        <f>'[4]C-FCL Real'!H119</f>
        <v>17.439348640880034</v>
      </c>
      <c r="J21" s="20">
        <f>'[4]C-FCL Real'!I119</f>
        <v>17.439348640880034</v>
      </c>
      <c r="K21" s="20">
        <f>'[4]C-FCL Real'!J119</f>
        <v>17.439348640880034</v>
      </c>
      <c r="L21" s="20">
        <f>'[4]C-FCL Real'!K119</f>
        <v>17.439348640880034</v>
      </c>
      <c r="M21" s="20">
        <f>'[4]C-FCL Real'!L119</f>
        <v>17.439348640880034</v>
      </c>
      <c r="N21" s="20">
        <f>'[4]C-FCL Real'!M119</f>
        <v>17.439348640880034</v>
      </c>
      <c r="O21" s="20">
        <f>'[4]C-FCL Real'!N119</f>
        <v>17.439348640880034</v>
      </c>
      <c r="P21" s="20">
        <f>'[4]C-FCL Real'!O119</f>
        <v>17.439348640880034</v>
      </c>
      <c r="Q21" s="20">
        <f>'[4]C-FCL Real'!P119</f>
        <v>17.439348640880034</v>
      </c>
      <c r="R21" s="20">
        <f>'[4]C-FCL Real'!Q119</f>
        <v>17.439348640880034</v>
      </c>
      <c r="S21" s="20">
        <f>'[4]C-FCL Real'!O119</f>
        <v>17.439348640880034</v>
      </c>
      <c r="T21" s="20">
        <f>'[4]C-FCL Real'!P119</f>
        <v>17.439348640880034</v>
      </c>
      <c r="U21" s="20">
        <f>'[4]C-FCL Real'!Q119</f>
        <v>17.439348640880034</v>
      </c>
      <c r="V21" s="20">
        <f>'[4]C-FCL Real'!R119</f>
        <v>17.439348640880034</v>
      </c>
      <c r="W21" s="20">
        <f>'[4]C-FCL Real'!S119</f>
        <v>17.439348640880034</v>
      </c>
      <c r="X21" s="20">
        <f>'[4]C-FCL Real'!T119</f>
        <v>17.439348640880034</v>
      </c>
      <c r="Y21" s="20">
        <f>'[4]C-FCL Real'!U119</f>
        <v>17.439348640880034</v>
      </c>
      <c r="Z21" s="20">
        <f>'[4]C-FCL Real'!V119</f>
        <v>17.439348640880034</v>
      </c>
      <c r="AA21" s="20">
        <f>'[4]C-FCL Real'!W119</f>
        <v>17.439348640880034</v>
      </c>
      <c r="AB21" s="20">
        <f>'[4]C-FCL Real'!X119</f>
        <v>17.439348640880034</v>
      </c>
      <c r="AC21" s="20">
        <f>'[4]C-FCL Real'!Y119</f>
        <v>17.439348640880034</v>
      </c>
      <c r="AD21" s="20">
        <f>'[4]C-FCL Real'!Z119</f>
        <v>17.439348640880034</v>
      </c>
      <c r="AE21" s="20">
        <f>'[4]C-FCL Real'!AA119</f>
        <v>17.439348640880034</v>
      </c>
      <c r="AF21" s="20">
        <f>'[4]C-FCL Real'!AB119</f>
        <v>17.439348640880034</v>
      </c>
      <c r="AG21" s="20">
        <f>'[4]C-FCL Real'!AC119</f>
        <v>17.439348640880034</v>
      </c>
      <c r="AH21" s="20">
        <f>'[4]C-FCL Real'!AD119</f>
        <v>17.439348640880034</v>
      </c>
      <c r="AI21" s="20">
        <f>'[4]C-FCL Real'!AE119</f>
        <v>17.439348640880034</v>
      </c>
      <c r="AJ21" s="20">
        <f>'[4]C-FCL Real'!AF119</f>
        <v>17.439348640880034</v>
      </c>
      <c r="AK21" s="20">
        <f>'[4]C-FCL Real'!AG119</f>
        <v>17.439348640880034</v>
      </c>
      <c r="AL21" s="20">
        <f>'[4]C-FCL Real'!AH119</f>
        <v>17.439348640880034</v>
      </c>
      <c r="AM21" s="20">
        <f>'[4]C-FCL Real'!AI119</f>
        <v>17.439348640880034</v>
      </c>
      <c r="AN21" s="20">
        <f>'[4]C-FCL Real'!AJ119</f>
        <v>17.439348640880034</v>
      </c>
      <c r="AO21" s="20">
        <f>'[4]C-FCL Real'!AK119</f>
        <v>17.439348640880034</v>
      </c>
      <c r="AP21" s="20">
        <f>'[4]C-FCL Real'!AL119</f>
        <v>17.439348640880034</v>
      </c>
      <c r="AQ21" s="20">
        <f>'[4]C-FCL Real'!AM119</f>
        <v>17.439348640880034</v>
      </c>
      <c r="AR21" s="20">
        <f>'[4]C-FCL Real'!AN119</f>
        <v>17.439348640880034</v>
      </c>
      <c r="AS21" s="20">
        <f>'[4]C-FCL Real'!AO119</f>
        <v>17.439348640880034</v>
      </c>
      <c r="AT21" s="20">
        <f>'[4]C-FCL Real'!AP119</f>
        <v>17.439348640880034</v>
      </c>
      <c r="AU21" s="20">
        <f>'[4]C-FCL Real'!AQ119</f>
        <v>17.439348640880034</v>
      </c>
      <c r="AV21" s="20">
        <f>'[4]C-FCL Real'!AR119</f>
        <v>17.439348640880034</v>
      </c>
      <c r="AW21" s="20">
        <f>'[4]C-FCL Real'!AS119</f>
        <v>17.439348640880034</v>
      </c>
      <c r="AX21" s="20">
        <f>'[4]C-FCL Real'!AT119</f>
        <v>17.439348640880034</v>
      </c>
      <c r="AY21" s="20">
        <f>'[4]C-FCL Real'!AU119</f>
        <v>17.439348640880034</v>
      </c>
      <c r="AZ21" s="20">
        <f>'[4]C-FCL Real'!AV119</f>
        <v>17.439348640880034</v>
      </c>
      <c r="BA21" s="20">
        <f>'[4]C-FCL Real'!AW119</f>
        <v>17.439348640880034</v>
      </c>
      <c r="BB21" s="20">
        <f>'[4]C-FCL Real'!AX119</f>
        <v>17.439348640880034</v>
      </c>
      <c r="BC21" s="20">
        <f>'[4]C-FCL Real'!AY119</f>
        <v>17.439348640880034</v>
      </c>
      <c r="BD21" s="20">
        <f>'[4]C-FCL Real'!AZ119</f>
        <v>17.439348640880034</v>
      </c>
      <c r="BE21" s="20">
        <f>'[4]C-FCL Real'!BA119</f>
        <v>17.439348640880034</v>
      </c>
      <c r="BF21" s="20">
        <f>'[4]C-FCL Real'!BB119</f>
        <v>17.439348640880034</v>
      </c>
      <c r="BG21" s="20">
        <f>'[4]C-FCL Real'!BC119</f>
        <v>17.439348640880034</v>
      </c>
      <c r="BH21" s="20">
        <f>'[4]C-FCL Real'!BD119</f>
        <v>0</v>
      </c>
    </row>
    <row r="22" spans="1:60" ht="15" hidden="1" customHeight="1" outlineLevel="1" x14ac:dyDescent="0.3">
      <c r="A22" s="172">
        <f>C22*1000000/$C$16</f>
        <v>411.34571791429539</v>
      </c>
      <c r="B22" s="176" t="s">
        <v>53</v>
      </c>
      <c r="C22" s="169">
        <f>SUMIF($D$15:$BG$15,1,D22:BG22)</f>
        <v>491.00128681218661</v>
      </c>
      <c r="D22" s="175">
        <f t="shared" ref="D22:AJ22" si="1">NPV($C$8,D21:D21)</f>
        <v>4.5653548083591389</v>
      </c>
      <c r="E22" s="20">
        <f t="shared" si="1"/>
        <v>4.5653548083591389</v>
      </c>
      <c r="F22" s="20">
        <f t="shared" si="1"/>
        <v>4.5653548083591389</v>
      </c>
      <c r="G22" s="20">
        <f t="shared" si="1"/>
        <v>15.910174079570297</v>
      </c>
      <c r="H22" s="20">
        <f t="shared" si="1"/>
        <v>15.910174079570297</v>
      </c>
      <c r="I22" s="20">
        <f t="shared" si="1"/>
        <v>15.910174079570297</v>
      </c>
      <c r="J22" s="20">
        <f t="shared" si="1"/>
        <v>15.910174079570297</v>
      </c>
      <c r="K22" s="20">
        <f t="shared" si="1"/>
        <v>15.910174079570297</v>
      </c>
      <c r="L22" s="20">
        <f t="shared" si="1"/>
        <v>15.910174079570297</v>
      </c>
      <c r="M22" s="20">
        <f t="shared" si="1"/>
        <v>15.910174079570297</v>
      </c>
      <c r="N22" s="20">
        <f t="shared" si="1"/>
        <v>15.910174079570297</v>
      </c>
      <c r="O22" s="20">
        <f t="shared" si="1"/>
        <v>15.910174079570297</v>
      </c>
      <c r="P22" s="20">
        <f t="shared" si="1"/>
        <v>15.910174079570297</v>
      </c>
      <c r="Q22" s="20">
        <f t="shared" si="1"/>
        <v>15.910174079570297</v>
      </c>
      <c r="R22" s="20">
        <f t="shared" si="1"/>
        <v>15.910174079570297</v>
      </c>
      <c r="S22" s="20">
        <f t="shared" si="1"/>
        <v>15.910174079570297</v>
      </c>
      <c r="T22" s="20">
        <f t="shared" si="1"/>
        <v>15.910174079570297</v>
      </c>
      <c r="U22" s="20">
        <f t="shared" si="1"/>
        <v>15.910174079570297</v>
      </c>
      <c r="V22" s="20">
        <f t="shared" si="1"/>
        <v>15.910174079570297</v>
      </c>
      <c r="W22" s="20">
        <f t="shared" si="1"/>
        <v>15.910174079570297</v>
      </c>
      <c r="X22" s="20">
        <f t="shared" si="1"/>
        <v>15.910174079570297</v>
      </c>
      <c r="Y22" s="20">
        <f t="shared" si="1"/>
        <v>15.910174079570297</v>
      </c>
      <c r="Z22" s="20">
        <f t="shared" si="1"/>
        <v>15.910174079570297</v>
      </c>
      <c r="AA22" s="20">
        <f t="shared" si="1"/>
        <v>15.910174079570297</v>
      </c>
      <c r="AB22" s="20">
        <f t="shared" si="1"/>
        <v>15.910174079570297</v>
      </c>
      <c r="AC22" s="20">
        <f t="shared" si="1"/>
        <v>15.910174079570297</v>
      </c>
      <c r="AD22" s="20">
        <f t="shared" si="1"/>
        <v>15.910174079570297</v>
      </c>
      <c r="AE22" s="20">
        <f t="shared" si="1"/>
        <v>15.910174079570297</v>
      </c>
      <c r="AF22" s="20">
        <f t="shared" si="1"/>
        <v>15.910174079570297</v>
      </c>
      <c r="AG22" s="20">
        <f t="shared" si="1"/>
        <v>15.910174079570297</v>
      </c>
      <c r="AH22" s="20">
        <f t="shared" si="1"/>
        <v>15.910174079570297</v>
      </c>
      <c r="AI22" s="20">
        <f t="shared" si="1"/>
        <v>15.910174079570297</v>
      </c>
      <c r="AJ22" s="20">
        <f t="shared" si="1"/>
        <v>15.910174079570297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1129">
        <f>C21*1000000/C16</f>
        <v>480.10168456668544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'[4]C-FCL Real'!C121</f>
        <v>0</v>
      </c>
      <c r="E24" s="20">
        <f>'[4]C-FCL Real'!D121</f>
        <v>0</v>
      </c>
      <c r="F24" s="20">
        <f>'[4]C-FCL Real'!E121</f>
        <v>0</v>
      </c>
      <c r="G24" s="20">
        <f>'[4]C-FCL Real'!F121</f>
        <v>0</v>
      </c>
      <c r="H24" s="20">
        <f>'[4]C-FCL Real'!G121</f>
        <v>0</v>
      </c>
      <c r="I24" s="20">
        <f>'[4]C-FCL Real'!H121</f>
        <v>0</v>
      </c>
      <c r="J24" s="20">
        <f>'[4]C-FCL Real'!I121</f>
        <v>0</v>
      </c>
      <c r="K24" s="20">
        <f>'[4]C-FCL Real'!J121</f>
        <v>0</v>
      </c>
      <c r="L24" s="20">
        <f>'[4]C-FCL Real'!K121</f>
        <v>0</v>
      </c>
      <c r="M24" s="20">
        <f>'[4]C-FCL Real'!L121</f>
        <v>0</v>
      </c>
      <c r="N24" s="20">
        <f>'[4]C-FCL Real'!M121</f>
        <v>0</v>
      </c>
      <c r="O24" s="20">
        <f>'[4]C-FCL Real'!N121</f>
        <v>0</v>
      </c>
      <c r="P24" s="20">
        <f>'[4]C-FCL Real'!O121</f>
        <v>0</v>
      </c>
      <c r="Q24" s="20">
        <f>'[4]C-FCL Real'!P121</f>
        <v>0</v>
      </c>
      <c r="R24" s="20">
        <f>'[4]C-FCL Real'!Q121</f>
        <v>0</v>
      </c>
      <c r="S24" s="20">
        <f>'[4]C-FCL Real'!O121</f>
        <v>0</v>
      </c>
      <c r="T24" s="20">
        <f>'[4]C-FCL Real'!P121</f>
        <v>0</v>
      </c>
      <c r="U24" s="20">
        <f>'[4]C-FCL Real'!Q121</f>
        <v>0</v>
      </c>
      <c r="V24" s="20">
        <f>'[4]C-FCL Real'!R121</f>
        <v>0</v>
      </c>
      <c r="W24" s="20">
        <f>'[4]C-FCL Real'!S121</f>
        <v>0</v>
      </c>
      <c r="X24" s="20">
        <f>'[4]C-FCL Real'!T121</f>
        <v>0</v>
      </c>
      <c r="Y24" s="20">
        <f>'[4]C-FCL Real'!U121</f>
        <v>0</v>
      </c>
      <c r="Z24" s="20">
        <f>'[4]C-FCL Real'!V121</f>
        <v>0</v>
      </c>
      <c r="AA24" s="20">
        <f>'[4]C-FCL Real'!W121</f>
        <v>0</v>
      </c>
      <c r="AB24" s="20">
        <f>'[4]C-FCL Real'!X121</f>
        <v>0</v>
      </c>
      <c r="AC24" s="20">
        <f>'[4]C-FCL Real'!Y121</f>
        <v>0</v>
      </c>
      <c r="AD24" s="20">
        <f>'[4]C-FCL Real'!Z121</f>
        <v>0</v>
      </c>
      <c r="AE24" s="20">
        <f>'[4]C-FCL Real'!AA121</f>
        <v>0</v>
      </c>
      <c r="AF24" s="20">
        <f>'[4]C-FCL Real'!AB121</f>
        <v>0</v>
      </c>
      <c r="AG24" s="20">
        <f>'[4]C-FCL Real'!AC121</f>
        <v>0</v>
      </c>
      <c r="AH24" s="20">
        <f>'[4]C-FCL Real'!AD121</f>
        <v>0</v>
      </c>
      <c r="AI24" s="20">
        <f>'[4]C-FCL Real'!AE121</f>
        <v>0</v>
      </c>
      <c r="AJ24" s="20">
        <f>'[4]C-FCL Real'!AF121</f>
        <v>0</v>
      </c>
      <c r="AK24" s="20">
        <f>'[4]C-FCL Real'!AG121</f>
        <v>0</v>
      </c>
      <c r="AL24" s="20">
        <f>'[4]C-FCL Real'!AH121</f>
        <v>0</v>
      </c>
      <c r="AM24" s="20">
        <f>'[4]C-FCL Real'!AI121</f>
        <v>0</v>
      </c>
      <c r="AN24" s="20">
        <f>'[4]C-FCL Real'!AJ121</f>
        <v>0</v>
      </c>
      <c r="AO24" s="20">
        <f>'[4]C-FCL Real'!AK121</f>
        <v>0</v>
      </c>
      <c r="AP24" s="20">
        <f>'[4]C-FCL Real'!AL121</f>
        <v>0</v>
      </c>
      <c r="AQ24" s="20">
        <f>'[4]C-FCL Real'!AM121</f>
        <v>0</v>
      </c>
      <c r="AR24" s="20">
        <f>'[4]C-FCL Real'!AN121</f>
        <v>0</v>
      </c>
      <c r="AS24" s="20">
        <f>'[4]C-FCL Real'!AO121</f>
        <v>0</v>
      </c>
      <c r="AT24" s="20">
        <f>'[4]C-FCL Real'!AP121</f>
        <v>0</v>
      </c>
      <c r="AU24" s="20">
        <f>'[4]C-FCL Real'!AQ121</f>
        <v>0</v>
      </c>
      <c r="AV24" s="20">
        <f>'[4]C-FCL Real'!AR121</f>
        <v>0</v>
      </c>
      <c r="AW24" s="20">
        <f>'[4]C-FCL Real'!AS121</f>
        <v>0</v>
      </c>
      <c r="AX24" s="20">
        <f>'[4]C-FCL Real'!AT121</f>
        <v>0</v>
      </c>
      <c r="AY24" s="20">
        <f>'[4]C-FCL Real'!AU121</f>
        <v>0</v>
      </c>
      <c r="AZ24" s="20">
        <f>'[4]C-FCL Real'!AV121</f>
        <v>0</v>
      </c>
      <c r="BA24" s="20">
        <f>'[4]C-FCL Real'!AW121</f>
        <v>0</v>
      </c>
      <c r="BB24" s="20">
        <f>'[4]C-FCL Real'!AX121</f>
        <v>0</v>
      </c>
      <c r="BC24" s="20">
        <f>'[4]C-FCL Real'!AY121</f>
        <v>0</v>
      </c>
      <c r="BD24" s="20">
        <f>'[4]C-FCL Real'!AZ121</f>
        <v>0</v>
      </c>
      <c r="BE24" s="20">
        <f>'[4]C-FCL Real'!BA121</f>
        <v>0</v>
      </c>
      <c r="BF24" s="20">
        <f>'[4]C-FCL Real'!BB121</f>
        <v>0</v>
      </c>
      <c r="BG24" s="20">
        <f>'[4]C-FCL Real'!BC121</f>
        <v>0</v>
      </c>
      <c r="BH24" s="20">
        <f>'[4]C-FCL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467.72304604984777</v>
      </c>
      <c r="B27" s="173" t="str">
        <f>'[4]C-FCL Real'!B148</f>
        <v>Dados de Receitas Diretas</v>
      </c>
      <c r="C27" s="174">
        <f>SUMIF($D$15:$BG$15,1,D27:BG27)</f>
        <v>558.29587493126496</v>
      </c>
      <c r="D27" s="175">
        <f>'[4]C-FCL Real'!C148-D30</f>
        <v>14.835202156765387</v>
      </c>
      <c r="E27" s="20">
        <f>'[4]C-FCL Real'!D148-E30</f>
        <v>14.904927606902181</v>
      </c>
      <c r="F27" s="20">
        <f>'[4]C-FCL Real'!E148-F30</f>
        <v>14.974980766654621</v>
      </c>
      <c r="G27" s="20">
        <f>'[4]C-FCL Real'!F148-G30</f>
        <v>15.045363176257897</v>
      </c>
      <c r="H27" s="20">
        <f>'[4]C-FCL Real'!G148-H30</f>
        <v>15.116076383186309</v>
      </c>
      <c r="I27" s="20">
        <f>'[4]C-FCL Real'!H148-I30</f>
        <v>15.187121942187286</v>
      </c>
      <c r="J27" s="20">
        <f>'[4]C-FCL Real'!I148-J30</f>
        <v>15.25850141531556</v>
      </c>
      <c r="K27" s="20">
        <f>'[4]C-FCL Real'!J148-K30</f>
        <v>15.330216371967541</v>
      </c>
      <c r="L27" s="20">
        <f>'[4]C-FCL Real'!K148-L30</f>
        <v>15.402268388915786</v>
      </c>
      <c r="M27" s="20">
        <f>'[4]C-FCL Real'!L148-M30</f>
        <v>15.474659050343691</v>
      </c>
      <c r="N27" s="20">
        <f>'[4]C-FCL Real'!M148-N30</f>
        <v>15.547389947880301</v>
      </c>
      <c r="O27" s="20">
        <f>'[4]C-FCL Real'!N148-O30</f>
        <v>15.620462680635338</v>
      </c>
      <c r="P27" s="20">
        <f>'[4]C-FCL Real'!O148-P30</f>
        <v>15.693878855234324</v>
      </c>
      <c r="Q27" s="20">
        <f>'[4]C-FCL Real'!P148-Q30</f>
        <v>15.767640085853925</v>
      </c>
      <c r="R27" s="20">
        <f>'[4]C-FCL Real'!Q148-R30</f>
        <v>15.841747994257439</v>
      </c>
      <c r="S27" s="20">
        <f>'[4]C-FCL Real'!O148-S30</f>
        <v>15.693878855234324</v>
      </c>
      <c r="T27" s="20">
        <f>'[4]C-FCL Real'!P148-T30</f>
        <v>15.767640085853925</v>
      </c>
      <c r="U27" s="20">
        <f>'[4]C-FCL Real'!Q148-U30</f>
        <v>15.841747994257439</v>
      </c>
      <c r="V27" s="20">
        <f>'[4]C-FCL Real'!R148-V30</f>
        <v>15.916204209830447</v>
      </c>
      <c r="W27" s="20">
        <f>'[4]C-FCL Real'!S148-W30</f>
        <v>15.991010369616648</v>
      </c>
      <c r="X27" s="20">
        <f>'[4]C-FCL Real'!T148-X30</f>
        <v>16.066168118353847</v>
      </c>
      <c r="Y27" s="20">
        <f>'[4]C-FCL Real'!U148-Y30</f>
        <v>16.141679108510107</v>
      </c>
      <c r="Z27" s="20">
        <f>'[4]C-FCL Real'!V148-Z30</f>
        <v>16.217545000320104</v>
      </c>
      <c r="AA27" s="20">
        <f>'[4]C-FCL Real'!W148-AA30</f>
        <v>16.293767461821606</v>
      </c>
      <c r="AB27" s="20">
        <f>'[4]C-FCL Real'!X148-AB30</f>
        <v>16.370348168892164</v>
      </c>
      <c r="AC27" s="20">
        <f>'[4]C-FCL Real'!Y148-AC30</f>
        <v>16.447288805285957</v>
      </c>
      <c r="AD27" s="20">
        <f>'[4]C-FCL Real'!Z148-AD30</f>
        <v>16.524591062670801</v>
      </c>
      <c r="AE27" s="20">
        <f>'[4]C-FCL Real'!AA148-AE30</f>
        <v>16.602256640665352</v>
      </c>
      <c r="AF27" s="20">
        <f>'[4]C-FCL Real'!AB148-AF30</f>
        <v>16.680287246876482</v>
      </c>
      <c r="AG27" s="20">
        <f>'[4]C-FCL Real'!AC148-AG30</f>
        <v>16.758684596936799</v>
      </c>
      <c r="AH27" s="20">
        <f>'[4]C-FCL Real'!AD148-AH30</f>
        <v>16.837450414542399</v>
      </c>
      <c r="AI27" s="20">
        <f>'[4]C-FCL Real'!AE148-AI30</f>
        <v>16.916586431490749</v>
      </c>
      <c r="AJ27" s="20">
        <f>'[4]C-FCL Real'!AF148-AJ30</f>
        <v>16.996094387718752</v>
      </c>
      <c r="AK27" s="20">
        <f>'[4]C-FCL Real'!AG148-AK30</f>
        <v>17.075976031341032</v>
      </c>
      <c r="AL27" s="20">
        <f>'[4]C-FCL Real'!AH148-AL30</f>
        <v>17.156233118688334</v>
      </c>
      <c r="AM27" s="20">
        <f>'[4]C-FCL Real'!AI148-AM30</f>
        <v>17.236867414346165</v>
      </c>
      <c r="AN27" s="20">
        <f>'[4]C-FCL Real'!AJ148-AN30</f>
        <v>17.31788069119359</v>
      </c>
      <c r="AO27" s="20">
        <f>'[4]C-FCL Real'!AK148-AO30</f>
        <v>17.399274730442201</v>
      </c>
      <c r="AP27" s="20">
        <f>'[4]C-FCL Real'!AL148-AP30</f>
        <v>17.481051321675281</v>
      </c>
      <c r="AQ27" s="20">
        <f>'[4]C-FCL Real'!AM148-AQ30</f>
        <v>17.563212262887152</v>
      </c>
      <c r="AR27" s="20">
        <f>'[4]C-FCL Real'!AN148-AR30</f>
        <v>17.645759360522721</v>
      </c>
      <c r="AS27" s="20">
        <f>'[4]C-FCL Real'!AO148-AS30</f>
        <v>17.728694429517176</v>
      </c>
      <c r="AT27" s="20">
        <f>'[4]C-FCL Real'!AP148-AT30</f>
        <v>17.812019293335904</v>
      </c>
      <c r="AU27" s="20">
        <f>'[4]C-FCL Real'!AQ148-AU30</f>
        <v>17.89573578401458</v>
      </c>
      <c r="AV27" s="20">
        <f>'[4]C-FCL Real'!AR148-AV30</f>
        <v>17.979845742199451</v>
      </c>
      <c r="AW27" s="20">
        <f>'[4]C-FCL Real'!AS148-AW30</f>
        <v>18.064351017187782</v>
      </c>
      <c r="AX27" s="20">
        <f>'[4]C-FCL Real'!AT148-AX30</f>
        <v>18.149253466968563</v>
      </c>
      <c r="AY27" s="20">
        <f>'[4]C-FCL Real'!AU148-AY30</f>
        <v>18.234554958263317</v>
      </c>
      <c r="AZ27" s="20">
        <f>'[4]C-FCL Real'!AV148-AZ30</f>
        <v>18.320257366567155</v>
      </c>
      <c r="BA27" s="20">
        <f>'[4]C-FCL Real'!AW148-BA30</f>
        <v>18.406362576190016</v>
      </c>
      <c r="BB27" s="20">
        <f>'[4]C-FCL Real'!AX148-BB30</f>
        <v>18.492872480298111</v>
      </c>
      <c r="BC27" s="20">
        <f>'[4]C-FCL Real'!AY148-BC30</f>
        <v>18.579788980955513</v>
      </c>
      <c r="BD27" s="20">
        <f>'[4]C-FCL Real'!AZ148-BD30</f>
        <v>18.667113989165998</v>
      </c>
      <c r="BE27" s="20">
        <f>'[4]C-FCL Real'!BA148-BE30</f>
        <v>18.754849424915079</v>
      </c>
      <c r="BF27" s="20">
        <f>'[4]C-FCL Real'!BB148-BF30</f>
        <v>18.842997217212179</v>
      </c>
      <c r="BG27" s="20">
        <f>'[4]C-FCL Real'!BC148-BG30</f>
        <v>18.931559304133067</v>
      </c>
      <c r="BH27" s="20">
        <f>'[4]C-FCL Real'!BD148-BH30</f>
        <v>0</v>
      </c>
    </row>
    <row r="28" spans="1:60" ht="15" hidden="1" customHeight="1" outlineLevel="1" x14ac:dyDescent="0.3">
      <c r="A28" s="172">
        <f>C28*1000000/$C$16</f>
        <v>400.54662081292935</v>
      </c>
      <c r="B28" s="176" t="s">
        <v>56</v>
      </c>
      <c r="C28" s="169">
        <f>SUMIF($D$15:$BG$15,1,D28:BG28)</f>
        <v>478.1109847079959</v>
      </c>
      <c r="D28" s="175">
        <f t="shared" ref="D28:AJ28" si="3">NPV($C$8,D27:D27)</f>
        <v>13.534372967719012</v>
      </c>
      <c r="E28" s="20">
        <f t="shared" si="3"/>
        <v>13.597984520667287</v>
      </c>
      <c r="F28" s="20">
        <f t="shared" si="3"/>
        <v>13.661895047914424</v>
      </c>
      <c r="G28" s="20">
        <f t="shared" si="3"/>
        <v>13.726105954639621</v>
      </c>
      <c r="H28" s="20">
        <f t="shared" si="3"/>
        <v>13.790618652626426</v>
      </c>
      <c r="I28" s="20">
        <f t="shared" si="3"/>
        <v>13.855434560293771</v>
      </c>
      <c r="J28" s="20">
        <f t="shared" si="3"/>
        <v>13.920555102727148</v>
      </c>
      <c r="K28" s="20">
        <f t="shared" si="3"/>
        <v>13.985981711709963</v>
      </c>
      <c r="L28" s="20">
        <f t="shared" si="3"/>
        <v>14.051715825754998</v>
      </c>
      <c r="M28" s="20">
        <f t="shared" si="3"/>
        <v>14.117758890136047</v>
      </c>
      <c r="N28" s="20">
        <f t="shared" si="3"/>
        <v>14.184112356919682</v>
      </c>
      <c r="O28" s="20">
        <f t="shared" si="3"/>
        <v>14.250777684997203</v>
      </c>
      <c r="P28" s="20">
        <f t="shared" si="3"/>
        <v>14.31775634011669</v>
      </c>
      <c r="Q28" s="20">
        <f t="shared" si="3"/>
        <v>14.385049794915238</v>
      </c>
      <c r="R28" s="20">
        <f t="shared" si="3"/>
        <v>14.45265952895134</v>
      </c>
      <c r="S28" s="20">
        <f t="shared" si="3"/>
        <v>14.31775634011669</v>
      </c>
      <c r="T28" s="20">
        <f t="shared" si="3"/>
        <v>14.385049794915238</v>
      </c>
      <c r="U28" s="20">
        <f t="shared" si="3"/>
        <v>14.45265952895134</v>
      </c>
      <c r="V28" s="20">
        <f t="shared" si="3"/>
        <v>14.52058702873741</v>
      </c>
      <c r="W28" s="20">
        <f t="shared" si="3"/>
        <v>14.588833787772474</v>
      </c>
      <c r="X28" s="20">
        <f t="shared" si="3"/>
        <v>14.657401306575006</v>
      </c>
      <c r="Y28" s="20">
        <f t="shared" si="3"/>
        <v>14.726291092715906</v>
      </c>
      <c r="Z28" s="20">
        <f t="shared" si="3"/>
        <v>14.79550466085167</v>
      </c>
      <c r="AA28" s="20">
        <f t="shared" si="3"/>
        <v>14.865043532757669</v>
      </c>
      <c r="AB28" s="20">
        <f t="shared" si="3"/>
        <v>14.934909237361628</v>
      </c>
      <c r="AC28" s="20">
        <f t="shared" si="3"/>
        <v>15.005103310777228</v>
      </c>
      <c r="AD28" s="20">
        <f t="shared" si="3"/>
        <v>15.075627296337879</v>
      </c>
      <c r="AE28" s="20">
        <f t="shared" si="3"/>
        <v>15.146482744630667</v>
      </c>
      <c r="AF28" s="20">
        <f t="shared" si="3"/>
        <v>15.217671213530434</v>
      </c>
      <c r="AG28" s="20">
        <f t="shared" si="3"/>
        <v>15.289194268234024</v>
      </c>
      <c r="AH28" s="20">
        <f t="shared" si="3"/>
        <v>15.361053481294721</v>
      </c>
      <c r="AI28" s="20">
        <f t="shared" si="3"/>
        <v>15.433250432656807</v>
      </c>
      <c r="AJ28" s="20">
        <f t="shared" si="3"/>
        <v>15.505786709690291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73.393455508394453</v>
      </c>
      <c r="B30" s="173" t="str">
        <f>'[4]C-FCL Real'!B149</f>
        <v>Receita do Ente Público pela disposição do RPU</v>
      </c>
      <c r="C30" s="174">
        <f>SUMIF($D$15:$BG$15,1,D30:BG30)</f>
        <v>87.605825292006244</v>
      </c>
      <c r="D30" s="175">
        <f>'[4]C-FCL Real'!C149</f>
        <v>2.3278877503388147</v>
      </c>
      <c r="E30" s="20">
        <f>'[4]C-FCL Real'!D149</f>
        <v>2.3388288227654068</v>
      </c>
      <c r="F30" s="20">
        <f>'[4]C-FCL Real'!E149</f>
        <v>2.3498213182324039</v>
      </c>
      <c r="G30" s="20">
        <f>'[4]C-FCL Real'!F149</f>
        <v>2.3608654784280962</v>
      </c>
      <c r="H30" s="20">
        <f>'[4]C-FCL Real'!G149</f>
        <v>2.3719615461767081</v>
      </c>
      <c r="I30" s="20">
        <f>'[4]C-FCL Real'!H149</f>
        <v>2.3831097654437383</v>
      </c>
      <c r="J30" s="20">
        <f>'[4]C-FCL Real'!I149</f>
        <v>2.3943103813413238</v>
      </c>
      <c r="K30" s="20">
        <f>'[4]C-FCL Real'!J149</f>
        <v>2.4055636401336278</v>
      </c>
      <c r="L30" s="20">
        <f>'[4]C-FCL Real'!K149</f>
        <v>2.4168697892422557</v>
      </c>
      <c r="M30" s="20">
        <f>'[4]C-FCL Real'!L149</f>
        <v>2.4282290772516943</v>
      </c>
      <c r="N30" s="20">
        <f>'[4]C-FCL Real'!M149</f>
        <v>2.4396417539147772</v>
      </c>
      <c r="O30" s="20">
        <f>'[4]C-FCL Real'!N149</f>
        <v>2.4511080701581767</v>
      </c>
      <c r="P30" s="20">
        <f>'[4]C-FCL Real'!O149</f>
        <v>2.4626282780879198</v>
      </c>
      <c r="Q30" s="20">
        <f>'[4]C-FCL Real'!P149</f>
        <v>2.4742026309949328</v>
      </c>
      <c r="R30" s="20">
        <f>'[4]C-FCL Real'!Q149</f>
        <v>2.4858313833606087</v>
      </c>
      <c r="S30" s="20">
        <f>'[4]C-FCL Real'!O149</f>
        <v>2.4626282780879198</v>
      </c>
      <c r="T30" s="20">
        <f>'[4]C-FCL Real'!P149</f>
        <v>2.4742026309949328</v>
      </c>
      <c r="U30" s="20">
        <f>'[4]C-FCL Real'!Q149</f>
        <v>2.4858313833606087</v>
      </c>
      <c r="V30" s="20">
        <f>'[4]C-FCL Real'!R149</f>
        <v>2.4975147908624034</v>
      </c>
      <c r="W30" s="20">
        <f>'[4]C-FCL Real'!S149</f>
        <v>2.5092531103794564</v>
      </c>
      <c r="X30" s="20">
        <f>'[4]C-FCL Real'!T149</f>
        <v>2.5210465999982397</v>
      </c>
      <c r="Y30" s="20">
        <f>'[4]C-FCL Real'!U149</f>
        <v>2.5328955190182314</v>
      </c>
      <c r="Z30" s="20">
        <f>'[4]C-FCL Real'!V149</f>
        <v>2.5448001279576169</v>
      </c>
      <c r="AA30" s="20">
        <f>'[4]C-FCL Real'!W149</f>
        <v>2.5567606885590175</v>
      </c>
      <c r="AB30" s="20">
        <f>'[4]C-FCL Real'!X149</f>
        <v>2.5687774637952447</v>
      </c>
      <c r="AC30" s="20">
        <f>'[4]C-FCL Real'!Y149</f>
        <v>2.5808507178750824</v>
      </c>
      <c r="AD30" s="20">
        <f>'[4]C-FCL Real'!Z149</f>
        <v>2.592980716249095</v>
      </c>
      <c r="AE30" s="20">
        <f>'[4]C-FCL Real'!AA149</f>
        <v>2.6051677256154657</v>
      </c>
      <c r="AF30" s="20">
        <f>'[4]C-FCL Real'!AB149</f>
        <v>2.6174120139258581</v>
      </c>
      <c r="AG30" s="20">
        <f>'[4]C-FCL Real'!AC149</f>
        <v>2.6297138503913096</v>
      </c>
      <c r="AH30" s="20">
        <f>'[4]C-FCL Real'!AD149</f>
        <v>2.6420735054881486</v>
      </c>
      <c r="AI30" s="20">
        <f>'[4]C-FCL Real'!AE149</f>
        <v>2.6544912509639427</v>
      </c>
      <c r="AJ30" s="20">
        <f>'[4]C-FCL Real'!AF149</f>
        <v>2.6669673598434729</v>
      </c>
      <c r="AK30" s="20">
        <f>'[4]C-FCL Real'!AG149</f>
        <v>2.6795021064347369</v>
      </c>
      <c r="AL30" s="20">
        <f>'[4]C-FCL Real'!AH149</f>
        <v>2.69209576633498</v>
      </c>
      <c r="AM30" s="20">
        <f>'[4]C-FCL Real'!AI149</f>
        <v>2.7047486164367545</v>
      </c>
      <c r="AN30" s="20">
        <f>'[4]C-FCL Real'!AJ149</f>
        <v>2.7174609349340071</v>
      </c>
      <c r="AO30" s="20">
        <f>'[4]C-FCL Real'!AK149</f>
        <v>2.7302330013281968</v>
      </c>
      <c r="AP30" s="20">
        <f>'[4]C-FCL Real'!AL149</f>
        <v>2.7430650964344392</v>
      </c>
      <c r="AQ30" s="20">
        <f>'[4]C-FCL Real'!AM149</f>
        <v>2.7559575023876808</v>
      </c>
      <c r="AR30" s="20">
        <f>'[4]C-FCL Real'!AN149</f>
        <v>2.7689105026489025</v>
      </c>
      <c r="AS30" s="20">
        <f>'[4]C-FCL Real'!AO149</f>
        <v>2.7819243820113519</v>
      </c>
      <c r="AT30" s="20">
        <f>'[4]C-FCL Real'!AP149</f>
        <v>2.7949994266068052</v>
      </c>
      <c r="AU30" s="20">
        <f>'[4]C-FCL Real'!AQ149</f>
        <v>2.8081359239118568</v>
      </c>
      <c r="AV30" s="20">
        <f>'[4]C-FCL Real'!AR149</f>
        <v>2.8213341627542423</v>
      </c>
      <c r="AW30" s="20">
        <f>'[4]C-FCL Real'!AS149</f>
        <v>2.8345944333191873</v>
      </c>
      <c r="AX30" s="20">
        <f>'[4]C-FCL Real'!AT149</f>
        <v>2.8479170271557872</v>
      </c>
      <c r="AY30" s="20">
        <f>'[4]C-FCL Real'!AU149</f>
        <v>2.8613022371834194</v>
      </c>
      <c r="AZ30" s="20">
        <f>'[4]C-FCL Real'!AV149</f>
        <v>2.8747503576981814</v>
      </c>
      <c r="BA30" s="20">
        <f>'[4]C-FCL Real'!AW149</f>
        <v>2.8882616843793625</v>
      </c>
      <c r="BB30" s="20">
        <f>'[4]C-FCL Real'!AX149</f>
        <v>2.9018365142959452</v>
      </c>
      <c r="BC30" s="20">
        <f>'[4]C-FCL Real'!AY149</f>
        <v>2.9154751459131361</v>
      </c>
      <c r="BD30" s="20">
        <f>'[4]C-FCL Real'!AZ149</f>
        <v>2.9291778790989276</v>
      </c>
      <c r="BE30" s="20">
        <f>'[4]C-FCL Real'!BA149</f>
        <v>2.9429450151306922</v>
      </c>
      <c r="BF30" s="20">
        <f>'[4]C-FCL Real'!BB149</f>
        <v>2.956776856701806</v>
      </c>
      <c r="BG30" s="20">
        <f>'[4]C-FCL Real'!BC149</f>
        <v>2.9706737079283041</v>
      </c>
      <c r="BH30" s="20">
        <f>'[4]C-FCL Real'!BD149</f>
        <v>0</v>
      </c>
    </row>
    <row r="31" spans="1:60" ht="15" hidden="1" customHeight="1" outlineLevel="1" x14ac:dyDescent="0.3">
      <c r="A31" s="172">
        <f>C31*1000000/$C$16</f>
        <v>62.852367104738384</v>
      </c>
      <c r="B31" s="176" t="s">
        <v>57</v>
      </c>
      <c r="C31" s="169">
        <f>SUMIF($D$15:$BG$15,1,D31:BG31)</f>
        <v>75.023494310565184</v>
      </c>
      <c r="D31" s="175">
        <f t="shared" ref="D31:AJ31" si="4">NPV($C$8,D30:D30)</f>
        <v>2.1237662087201001</v>
      </c>
      <c r="E31" s="20">
        <f t="shared" si="4"/>
        <v>2.1337479099010843</v>
      </c>
      <c r="F31" s="20">
        <f t="shared" si="4"/>
        <v>2.1437765250776191</v>
      </c>
      <c r="G31" s="20">
        <f t="shared" si="4"/>
        <v>2.1538522747454838</v>
      </c>
      <c r="H31" s="20">
        <f t="shared" si="4"/>
        <v>2.1639753804367872</v>
      </c>
      <c r="I31" s="20">
        <f t="shared" si="4"/>
        <v>2.1741460647248401</v>
      </c>
      <c r="J31" s="20">
        <f t="shared" si="4"/>
        <v>2.1843645512290468</v>
      </c>
      <c r="K31" s="20">
        <f t="shared" si="4"/>
        <v>2.194631064619823</v>
      </c>
      <c r="L31" s="20">
        <f t="shared" si="4"/>
        <v>2.2049458306235361</v>
      </c>
      <c r="M31" s="20">
        <f t="shared" si="4"/>
        <v>2.2153090760274665</v>
      </c>
      <c r="N31" s="20">
        <f t="shared" si="4"/>
        <v>2.2257210286847955</v>
      </c>
      <c r="O31" s="20">
        <f t="shared" si="4"/>
        <v>2.2361819175196143</v>
      </c>
      <c r="P31" s="20">
        <f t="shared" si="4"/>
        <v>2.2466919725319561</v>
      </c>
      <c r="Q31" s="20">
        <f t="shared" si="4"/>
        <v>2.2572514248028561</v>
      </c>
      <c r="R31" s="20">
        <f t="shared" si="4"/>
        <v>2.2678605064994293</v>
      </c>
      <c r="S31" s="20">
        <f t="shared" si="4"/>
        <v>2.2466919725319561</v>
      </c>
      <c r="T31" s="20">
        <f t="shared" si="4"/>
        <v>2.2572514248028561</v>
      </c>
      <c r="U31" s="20">
        <f t="shared" si="4"/>
        <v>2.2678605064994293</v>
      </c>
      <c r="V31" s="20">
        <f t="shared" si="4"/>
        <v>2.2785194508799762</v>
      </c>
      <c r="W31" s="20">
        <f t="shared" si="4"/>
        <v>2.2892284922991122</v>
      </c>
      <c r="X31" s="20">
        <f t="shared" si="4"/>
        <v>2.2999878662129176</v>
      </c>
      <c r="Y31" s="20">
        <f t="shared" si="4"/>
        <v>2.3107978091841184</v>
      </c>
      <c r="Z31" s="20">
        <f t="shared" si="4"/>
        <v>2.3216585588872838</v>
      </c>
      <c r="AA31" s="20">
        <f t="shared" si="4"/>
        <v>2.3325703541140537</v>
      </c>
      <c r="AB31" s="20">
        <f t="shared" si="4"/>
        <v>2.3435334347783896</v>
      </c>
      <c r="AC31" s="20">
        <f t="shared" si="4"/>
        <v>2.3545480419218481</v>
      </c>
      <c r="AD31" s="20">
        <f t="shared" si="4"/>
        <v>2.3656144177188803</v>
      </c>
      <c r="AE31" s="20">
        <f t="shared" si="4"/>
        <v>2.3767328054821593</v>
      </c>
      <c r="AF31" s="20">
        <f t="shared" si="4"/>
        <v>2.3879034496679252</v>
      </c>
      <c r="AG31" s="20">
        <f t="shared" si="4"/>
        <v>2.3991265958813641</v>
      </c>
      <c r="AH31" s="20">
        <f t="shared" si="4"/>
        <v>2.4104024908820065</v>
      </c>
      <c r="AI31" s="20">
        <f t="shared" si="4"/>
        <v>2.4217313825891518</v>
      </c>
      <c r="AJ31" s="20">
        <f t="shared" si="4"/>
        <v>2.4331135200873204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-16.613379483533734</v>
      </c>
      <c r="B33" s="173" t="s">
        <v>58</v>
      </c>
      <c r="C33" s="174">
        <f>SUMIF($D$15:$BG$15,1,D33:BG33)</f>
        <v>-19.830498652264584</v>
      </c>
      <c r="D33" s="175">
        <f>'[4]C-FCL Real'!C153</f>
        <v>-15.987438101917103</v>
      </c>
      <c r="E33" s="20">
        <f>'[4]C-FCL Real'!D153</f>
        <v>-14.483937415196831</v>
      </c>
      <c r="F33" s="20">
        <f>'[4]C-FCL Real'!E153</f>
        <v>-25.470018428601854</v>
      </c>
      <c r="G33" s="20">
        <f>'[4]C-FCL Real'!F153</f>
        <v>-3.3119986194041218E-2</v>
      </c>
      <c r="H33" s="20">
        <f>'[4]C-FCL Real'!G153</f>
        <v>4.8689288482982818E-2</v>
      </c>
      <c r="I33" s="20">
        <f>'[4]C-FCL Real'!H153</f>
        <v>0.13088306675098949</v>
      </c>
      <c r="J33" s="20">
        <f>'[4]C-FCL Real'!I153</f>
        <v>0.21346315577685004</v>
      </c>
      <c r="K33" s="20">
        <f>'[4]C-FCL Real'!J153</f>
        <v>0.29643137122113572</v>
      </c>
      <c r="L33" s="20">
        <f>'[4]C-FCL Real'!K153</f>
        <v>0.37978953727800757</v>
      </c>
      <c r="M33" s="20">
        <f>'[4]C-FCL Real'!L153</f>
        <v>0.4635394867153515</v>
      </c>
      <c r="N33" s="20">
        <f>'[4]C-FCL Real'!M153</f>
        <v>0.54768306091504471</v>
      </c>
      <c r="O33" s="20">
        <f>'[4]C-FCL Real'!N153</f>
        <v>0.63222210991348149</v>
      </c>
      <c r="P33" s="20">
        <f>'[4]C-FCL Real'!O153</f>
        <v>0.71715849244220919</v>
      </c>
      <c r="Q33" s="20">
        <f>'[4]C-FCL Real'!P153</f>
        <v>0.80249407596882349</v>
      </c>
      <c r="R33" s="20">
        <f>'[4]C-FCL Real'!Q153</f>
        <v>0.88823073673801289</v>
      </c>
      <c r="S33" s="20">
        <f>'[4]C-FCL Real'!O153</f>
        <v>0.71715849244220919</v>
      </c>
      <c r="T33" s="20">
        <f>'[4]C-FCL Real'!P153</f>
        <v>0.80249407596882349</v>
      </c>
      <c r="U33" s="20">
        <f>'[4]C-FCL Real'!Q153</f>
        <v>0.88823073673801289</v>
      </c>
      <c r="V33" s="20">
        <f>'[4]C-FCL Real'!R153</f>
        <v>0.97437035981281639</v>
      </c>
      <c r="W33" s="20">
        <f>'[4]C-FCL Real'!S153</f>
        <v>1.0609148391160694</v>
      </c>
      <c r="X33" s="20">
        <f>'[4]C-FCL Real'!T153</f>
        <v>1.1478660774720524</v>
      </c>
      <c r="Y33" s="20">
        <f>'[4]C-FCL Real'!U153</f>
        <v>1.235225986648306</v>
      </c>
      <c r="Z33" s="20">
        <f>'[4]C-FCL Real'!V153</f>
        <v>1.3229964873976883</v>
      </c>
      <c r="AA33" s="20">
        <f>'[4]C-FCL Real'!W153</f>
        <v>1.4111795095005881</v>
      </c>
      <c r="AB33" s="20">
        <f>'[4]C-FCL Real'!X153</f>
        <v>1.4997769918073729</v>
      </c>
      <c r="AC33" s="20">
        <f>'[4]C-FCL Real'!Y153</f>
        <v>1.5887908822810068</v>
      </c>
      <c r="AD33" s="20">
        <f>'[4]C-FCL Real'!Z153</f>
        <v>1.6782231380398613</v>
      </c>
      <c r="AE33" s="20">
        <f>'[4]C-FCL Real'!AA153</f>
        <v>1.7680757254007844</v>
      </c>
      <c r="AF33" s="20">
        <f>'[4]C-FCL Real'!AB153</f>
        <v>1.8583506199223052</v>
      </c>
      <c r="AG33" s="20">
        <f>'[4]C-FCL Real'!AC153</f>
        <v>1.9490498064480732</v>
      </c>
      <c r="AH33" s="20">
        <f>'[4]C-FCL Real'!AD153</f>
        <v>2.0401752791505139</v>
      </c>
      <c r="AI33" s="20">
        <f>'[4]C-FCL Real'!AE153</f>
        <v>2.1317290415746584</v>
      </c>
      <c r="AJ33" s="20">
        <f>'[4]C-FCL Real'!AF153</f>
        <v>2.2237131066821902</v>
      </c>
      <c r="AK33" s="20">
        <f>'[4]C-FCL Real'!AG153</f>
        <v>2.3161294968957336</v>
      </c>
      <c r="AL33" s="20">
        <f>'[4]C-FCL Real'!AH153</f>
        <v>2.4089802441432795</v>
      </c>
      <c r="AM33" s="20">
        <f>'[4]C-FCL Real'!AI153</f>
        <v>2.5022673899028831</v>
      </c>
      <c r="AN33" s="20">
        <f>'[4]C-FCL Real'!AJ153</f>
        <v>2.5959929852475625</v>
      </c>
      <c r="AO33" s="20">
        <f>'[4]C-FCL Real'!AK153</f>
        <v>2.690159090890365</v>
      </c>
      <c r="AP33" s="20">
        <f>'[4]C-FCL Real'!AL153</f>
        <v>2.7847677772296855</v>
      </c>
      <c r="AQ33" s="20">
        <f>'[4]C-FCL Real'!AM153</f>
        <v>2.8798211243947982</v>
      </c>
      <c r="AR33" s="20">
        <f>'[4]C-FCL Real'!AN153</f>
        <v>2.9753212222915906</v>
      </c>
      <c r="AS33" s="20">
        <f>'[4]C-FCL Real'!AO153</f>
        <v>3.0712701706484928</v>
      </c>
      <c r="AT33" s="20">
        <f>'[4]C-FCL Real'!AP153</f>
        <v>3.1676700790626739</v>
      </c>
      <c r="AU33" s="20">
        <f>'[4]C-FCL Real'!AQ153</f>
        <v>3.2645230670464009</v>
      </c>
      <c r="AV33" s="20">
        <f>'[4]C-FCL Real'!AR153</f>
        <v>3.3618312640736576</v>
      </c>
      <c r="AW33" s="20">
        <f>'[4]C-FCL Real'!AS153</f>
        <v>3.4595968096269338</v>
      </c>
      <c r="AX33" s="20">
        <f>'[4]C-FCL Real'!AT153</f>
        <v>3.5578218532443167</v>
      </c>
      <c r="AY33" s="20">
        <f>'[4]C-FCL Real'!AU153</f>
        <v>3.6565085545667024</v>
      </c>
      <c r="AZ33" s="20">
        <f>'[4]C-FCL Real'!AV153</f>
        <v>3.7556590833853036</v>
      </c>
      <c r="BA33" s="20">
        <f>'[4]C-FCL Real'!AW153</f>
        <v>3.8552756196893441</v>
      </c>
      <c r="BB33" s="20">
        <f>'[4]C-FCL Real'!AX153</f>
        <v>3.9553603537140205</v>
      </c>
      <c r="BC33" s="20">
        <f>'[4]C-FCL Real'!AY153</f>
        <v>4.0559154859886135</v>
      </c>
      <c r="BD33" s="20">
        <f>'[4]C-FCL Real'!AZ153</f>
        <v>4.1569432273848896</v>
      </c>
      <c r="BE33" s="20">
        <f>'[4]C-FCL Real'!BA153</f>
        <v>4.2584457991657381</v>
      </c>
      <c r="BF33" s="20">
        <f>'[4]C-FCL Real'!BB153</f>
        <v>4.3604254330339529</v>
      </c>
      <c r="BG33" s="20">
        <f>'[4]C-FCL Real'!BC153</f>
        <v>4.4628843711813388</v>
      </c>
      <c r="BH33" s="20">
        <f>'[4]C-FCL Real'!BD153</f>
        <v>0</v>
      </c>
    </row>
    <row r="34" spans="1:60" ht="15" hidden="1" customHeight="1" outlineLevel="1" x14ac:dyDescent="0.3">
      <c r="A34" s="172">
        <f>C34*1000000/$C$16</f>
        <v>-18.768074579795744</v>
      </c>
      <c r="B34" s="176" t="s">
        <v>59</v>
      </c>
      <c r="C34" s="169">
        <f>SUMIF($D$15:$BG$15,1,D34:BG34)</f>
        <v>-22.402442442798908</v>
      </c>
      <c r="D34" s="175">
        <f t="shared" ref="D34:AJ34" si="5">NPV($C$8,D33:D33)</f>
        <v>-14.585574755446842</v>
      </c>
      <c r="E34" s="20">
        <f t="shared" si="5"/>
        <v>-13.213908981279149</v>
      </c>
      <c r="F34" s="20">
        <f t="shared" si="5"/>
        <v>-23.2366721575256</v>
      </c>
      <c r="G34" s="20">
        <f t="shared" si="5"/>
        <v>-3.0215850185191875E-2</v>
      </c>
      <c r="H34" s="20">
        <f t="shared" si="5"/>
        <v>4.4419953492917996E-2</v>
      </c>
      <c r="I34" s="20">
        <f t="shared" si="5"/>
        <v>0.11940654544831554</v>
      </c>
      <c r="J34" s="20">
        <f t="shared" si="5"/>
        <v>0.19474557438589823</v>
      </c>
      <c r="K34" s="20">
        <f t="shared" si="5"/>
        <v>0.27043869675949078</v>
      </c>
      <c r="L34" s="20">
        <f t="shared" si="5"/>
        <v>0.3464875768082375</v>
      </c>
      <c r="M34" s="20">
        <f t="shared" si="5"/>
        <v>0.42289388659321764</v>
      </c>
      <c r="N34" s="20">
        <f t="shared" si="5"/>
        <v>0.49965930603418146</v>
      </c>
      <c r="O34" s="20">
        <f t="shared" si="5"/>
        <v>0.57678552294652241</v>
      </c>
      <c r="P34" s="20">
        <f t="shared" si="5"/>
        <v>0.65427423307834986</v>
      </c>
      <c r="Q34" s="20">
        <f t="shared" si="5"/>
        <v>0.73212714014779823</v>
      </c>
      <c r="R34" s="20">
        <f t="shared" si="5"/>
        <v>0.81034595588047309</v>
      </c>
      <c r="S34" s="20">
        <f t="shared" si="5"/>
        <v>0.65427423307834986</v>
      </c>
      <c r="T34" s="20">
        <f t="shared" si="5"/>
        <v>0.73212714014779823</v>
      </c>
      <c r="U34" s="20">
        <f t="shared" si="5"/>
        <v>0.81034595588047309</v>
      </c>
      <c r="V34" s="20">
        <f t="shared" si="5"/>
        <v>0.88893240004709051</v>
      </c>
      <c r="W34" s="20">
        <f t="shared" si="5"/>
        <v>0.9678882005012891</v>
      </c>
      <c r="X34" s="20">
        <f t="shared" si="5"/>
        <v>1.0472150932176267</v>
      </c>
      <c r="Y34" s="20">
        <f t="shared" si="5"/>
        <v>1.1269148223297289</v>
      </c>
      <c r="Z34" s="20">
        <f t="shared" si="5"/>
        <v>1.2069891401686581</v>
      </c>
      <c r="AA34" s="20">
        <f t="shared" si="5"/>
        <v>1.2874398073014264</v>
      </c>
      <c r="AB34" s="20">
        <f t="shared" si="5"/>
        <v>1.3682685925697196</v>
      </c>
      <c r="AC34" s="20">
        <f t="shared" si="5"/>
        <v>1.4494772731287806</v>
      </c>
      <c r="AD34" s="20">
        <f t="shared" si="5"/>
        <v>1.531067634486464</v>
      </c>
      <c r="AE34" s="20">
        <f t="shared" si="5"/>
        <v>1.6130414705425304</v>
      </c>
      <c r="AF34" s="20">
        <f t="shared" si="5"/>
        <v>1.6954005836280615</v>
      </c>
      <c r="AG34" s="20">
        <f t="shared" si="5"/>
        <v>1.7781467845450911</v>
      </c>
      <c r="AH34" s="20">
        <f t="shared" si="5"/>
        <v>1.8612818926064321</v>
      </c>
      <c r="AI34" s="20">
        <f t="shared" si="5"/>
        <v>1.9448077356756635</v>
      </c>
      <c r="AJ34" s="20">
        <f t="shared" si="5"/>
        <v>2.0287261502073148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10.295315605816967</v>
      </c>
      <c r="B36" s="178" t="s">
        <v>60</v>
      </c>
      <c r="C36" s="174">
        <f>SUMIF($D$15:$BG$15,1,D36:BG36)</f>
        <v>12.288965195079381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1.6554358084214158E-2</v>
      </c>
      <c r="I36" s="20">
        <f t="shared" si="6"/>
        <v>4.450024269533643E-2</v>
      </c>
      <c r="J36" s="20">
        <f t="shared" si="6"/>
        <v>7.2577472964129017E-2</v>
      </c>
      <c r="K36" s="20">
        <f t="shared" si="6"/>
        <v>0.10078666621518616</v>
      </c>
      <c r="L36" s="20">
        <f t="shared" si="6"/>
        <v>0.12912844267452259</v>
      </c>
      <c r="M36" s="20">
        <f t="shared" si="6"/>
        <v>0.15760342548321951</v>
      </c>
      <c r="N36" s="20">
        <f t="shared" si="6"/>
        <v>0.18621224071111522</v>
      </c>
      <c r="O36" s="20">
        <f t="shared" si="6"/>
        <v>0.21495551737058372</v>
      </c>
      <c r="P36" s="20">
        <f>IF(P33&gt;0,P33*0.34,0)</f>
        <v>0.24383388743035114</v>
      </c>
      <c r="Q36" s="20">
        <f>IF(Q33&gt;0,Q33*0.34,0)</f>
        <v>0.27284798582940001</v>
      </c>
      <c r="R36" s="20">
        <f>IF(R33&gt;0,R33*0.34,0)</f>
        <v>0.30199845049092439</v>
      </c>
      <c r="S36" s="20">
        <f t="shared" si="6"/>
        <v>0.24383388743035114</v>
      </c>
      <c r="T36" s="20">
        <f t="shared" si="6"/>
        <v>0.27284798582940001</v>
      </c>
      <c r="U36" s="20">
        <f t="shared" si="6"/>
        <v>0.30199845049092439</v>
      </c>
      <c r="V36" s="20">
        <f t="shared" si="6"/>
        <v>0.33128592233635762</v>
      </c>
      <c r="W36" s="20">
        <f t="shared" si="6"/>
        <v>0.36071104529946363</v>
      </c>
      <c r="X36" s="20">
        <f t="shared" si="6"/>
        <v>0.39027446634049784</v>
      </c>
      <c r="Y36" s="20">
        <f t="shared" si="6"/>
        <v>0.41997683546042408</v>
      </c>
      <c r="Z36" s="20">
        <f t="shared" si="6"/>
        <v>0.44981880571521404</v>
      </c>
      <c r="AA36" s="20">
        <f t="shared" si="6"/>
        <v>0.47980103323020001</v>
      </c>
      <c r="AB36" s="20">
        <f t="shared" si="6"/>
        <v>0.50992417721450678</v>
      </c>
      <c r="AC36" s="20">
        <f t="shared" si="6"/>
        <v>0.54018889997554231</v>
      </c>
      <c r="AD36" s="20">
        <f t="shared" si="6"/>
        <v>0.57059586693355291</v>
      </c>
      <c r="AE36" s="20">
        <f t="shared" si="6"/>
        <v>0.60114574663626674</v>
      </c>
      <c r="AF36" s="20">
        <f t="shared" si="6"/>
        <v>0.63183921077358385</v>
      </c>
      <c r="AG36" s="20">
        <f t="shared" si="6"/>
        <v>0.66267693419234497</v>
      </c>
      <c r="AH36" s="20">
        <f t="shared" si="6"/>
        <v>0.69365959491117479</v>
      </c>
      <c r="AI36" s="20">
        <f t="shared" si="6"/>
        <v>0.72478787413538392</v>
      </c>
      <c r="AJ36" s="20">
        <f t="shared" si="6"/>
        <v>0.75606245627194468</v>
      </c>
      <c r="AK36" s="20">
        <f t="shared" si="6"/>
        <v>0.7874840289445495</v>
      </c>
      <c r="AL36" s="20">
        <f t="shared" si="6"/>
        <v>0.81905328300871505</v>
      </c>
      <c r="AM36" s="20">
        <f t="shared" si="6"/>
        <v>0.85077091256698034</v>
      </c>
      <c r="AN36" s="20">
        <f t="shared" si="6"/>
        <v>0.88263761498417126</v>
      </c>
      <c r="AO36" s="20">
        <f t="shared" si="6"/>
        <v>0.9146540909027242</v>
      </c>
      <c r="AP36" s="20">
        <f t="shared" si="6"/>
        <v>0.9468210442580931</v>
      </c>
      <c r="AQ36" s="20">
        <f t="shared" si="6"/>
        <v>0.97913918229423147</v>
      </c>
      <c r="AR36" s="20">
        <f t="shared" si="6"/>
        <v>1.011609215579141</v>
      </c>
      <c r="AS36" s="20">
        <f t="shared" si="6"/>
        <v>1.0442318580204877</v>
      </c>
      <c r="AT36" s="20">
        <f t="shared" si="6"/>
        <v>1.0770078268813092</v>
      </c>
      <c r="AU36" s="20">
        <f t="shared" si="6"/>
        <v>1.1099378427957765</v>
      </c>
      <c r="AV36" s="20">
        <f t="shared" si="6"/>
        <v>1.1430226297850437</v>
      </c>
      <c r="AW36" s="20">
        <f t="shared" si="6"/>
        <v>1.1762629152731576</v>
      </c>
      <c r="AX36" s="20">
        <f t="shared" si="6"/>
        <v>1.2096594301030676</v>
      </c>
      <c r="AY36" s="20">
        <f t="shared" si="6"/>
        <v>1.2432129085526789</v>
      </c>
      <c r="AZ36" s="20">
        <f t="shared" si="6"/>
        <v>1.2769240883510034</v>
      </c>
      <c r="BA36" s="20">
        <f t="shared" si="6"/>
        <v>1.310793710694377</v>
      </c>
      <c r="BB36" s="20">
        <f t="shared" si="6"/>
        <v>1.3448225202627671</v>
      </c>
      <c r="BC36" s="20">
        <f t="shared" si="6"/>
        <v>1.3790112652361286</v>
      </c>
      <c r="BD36" s="20">
        <f t="shared" si="6"/>
        <v>1.4133606973108626</v>
      </c>
      <c r="BE36" s="20">
        <f t="shared" si="6"/>
        <v>1.4478715717163511</v>
      </c>
      <c r="BF36" s="20">
        <f t="shared" si="6"/>
        <v>1.482544647231544</v>
      </c>
      <c r="BG36" s="20">
        <f t="shared" si="6"/>
        <v>1.5173806862016552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8.1646766796653338</v>
      </c>
      <c r="B37" s="176" t="s">
        <v>61</v>
      </c>
      <c r="C37" s="169">
        <f>SUMIF($D$15:$BG$15,1,D37:BG37)</f>
        <v>9.7457359625568873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1.5102784187592118E-2</v>
      </c>
      <c r="I37" s="20">
        <f t="shared" si="7"/>
        <v>4.0598225452427292E-2</v>
      </c>
      <c r="J37" s="20">
        <f t="shared" si="7"/>
        <v>6.6213495291205404E-2</v>
      </c>
      <c r="K37" s="20">
        <f t="shared" si="7"/>
        <v>9.1949156898226886E-2</v>
      </c>
      <c r="L37" s="20">
        <f t="shared" si="7"/>
        <v>0.11780577611480075</v>
      </c>
      <c r="M37" s="20">
        <f t="shared" si="7"/>
        <v>0.143783921441694</v>
      </c>
      <c r="N37" s="20">
        <f t="shared" si="7"/>
        <v>0.16988416405162171</v>
      </c>
      <c r="O37" s="20">
        <f t="shared" si="7"/>
        <v>0.19610707780181763</v>
      </c>
      <c r="P37" s="20">
        <f t="shared" si="7"/>
        <v>0.22245323924663896</v>
      </c>
      <c r="Q37" s="20">
        <f t="shared" si="7"/>
        <v>0.24892322765025143</v>
      </c>
      <c r="R37" s="20">
        <f t="shared" si="7"/>
        <v>0.27551762499936083</v>
      </c>
      <c r="S37" s="20">
        <f t="shared" si="7"/>
        <v>0.22245323924663896</v>
      </c>
      <c r="T37" s="20">
        <f t="shared" si="7"/>
        <v>0.24892322765025143</v>
      </c>
      <c r="U37" s="20">
        <f t="shared" si="7"/>
        <v>0.27551762499936083</v>
      </c>
      <c r="V37" s="20">
        <f t="shared" si="7"/>
        <v>0.30223701601601083</v>
      </c>
      <c r="W37" s="20">
        <f t="shared" si="7"/>
        <v>0.32908198817043832</v>
      </c>
      <c r="X37" s="20">
        <f t="shared" si="7"/>
        <v>0.35605313169399311</v>
      </c>
      <c r="Y37" s="20">
        <f t="shared" si="7"/>
        <v>0.38315103959210783</v>
      </c>
      <c r="Z37" s="20">
        <f t="shared" si="7"/>
        <v>0.41037630765734379</v>
      </c>
      <c r="AA37" s="20">
        <f t="shared" si="7"/>
        <v>0.43772953448248497</v>
      </c>
      <c r="AB37" s="20">
        <f t="shared" si="7"/>
        <v>0.46521132147370464</v>
      </c>
      <c r="AC37" s="20">
        <f t="shared" si="7"/>
        <v>0.49282227286378538</v>
      </c>
      <c r="AD37" s="20">
        <f t="shared" si="7"/>
        <v>0.52056299572539777</v>
      </c>
      <c r="AE37" s="20">
        <f t="shared" si="7"/>
        <v>0.54843409998446035</v>
      </c>
      <c r="AF37" s="20">
        <f t="shared" si="7"/>
        <v>0.57643619843354099</v>
      </c>
      <c r="AG37" s="20">
        <f t="shared" si="7"/>
        <v>0.60456990674533106</v>
      </c>
      <c r="AH37" s="20">
        <f t="shared" si="7"/>
        <v>0.63283584348618693</v>
      </c>
      <c r="AI37" s="20">
        <f t="shared" si="7"/>
        <v>0.66123463012972572</v>
      </c>
      <c r="AJ37" s="20">
        <f t="shared" si="7"/>
        <v>0.68976689107048705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-26.908695089350694</v>
      </c>
      <c r="B39" s="173" t="s">
        <v>62</v>
      </c>
      <c r="C39" s="174">
        <f>SUMIF($D$15:$BG$15,1,D39:BG39)</f>
        <v>-32.119463847343958</v>
      </c>
      <c r="D39" s="175">
        <f>'[4]C-FCL Real'!C156</f>
        <v>-15.987438101917103</v>
      </c>
      <c r="E39" s="20">
        <f>'[4]C-FCL Real'!D156</f>
        <v>-14.483937415196831</v>
      </c>
      <c r="F39" s="20">
        <f>'[4]C-FCL Real'!E156</f>
        <v>-25.470018428601854</v>
      </c>
      <c r="G39" s="20">
        <f>'[4]C-FCL Real'!F156</f>
        <v>-3.3119986194041218E-2</v>
      </c>
      <c r="H39" s="20">
        <f>'[4]C-FCL Real'!G156</f>
        <v>3.2134930398768663E-2</v>
      </c>
      <c r="I39" s="20">
        <f>'[4]C-FCL Real'!H156</f>
        <v>8.6382824055653062E-2</v>
      </c>
      <c r="J39" s="20">
        <f>'[4]C-FCL Real'!I156</f>
        <v>0.14088568281272104</v>
      </c>
      <c r="K39" s="20">
        <f>'[4]C-FCL Real'!J156</f>
        <v>0.19564470500594958</v>
      </c>
      <c r="L39" s="20">
        <f>'[4]C-FCL Real'!K156</f>
        <v>0.25066109460348501</v>
      </c>
      <c r="M39" s="20">
        <f>'[4]C-FCL Real'!L156</f>
        <v>0.30593606123213202</v>
      </c>
      <c r="N39" s="20">
        <f>'[4]C-FCL Real'!M156</f>
        <v>0.36147082020392951</v>
      </c>
      <c r="O39" s="20">
        <f>'[4]C-FCL Real'!N156</f>
        <v>0.41726659254289783</v>
      </c>
      <c r="P39" s="20">
        <f>'[4]C-FCL Real'!O156</f>
        <v>0.47332460501185808</v>
      </c>
      <c r="Q39" s="20">
        <f>'[4]C-FCL Real'!P156</f>
        <v>0.52964609013942354</v>
      </c>
      <c r="R39" s="20">
        <f>'[4]C-FCL Real'!Q156</f>
        <v>0.58623228624708856</v>
      </c>
      <c r="S39" s="20">
        <f>'[4]C-FCL Real'!O156</f>
        <v>0.47332460501185808</v>
      </c>
      <c r="T39" s="20">
        <f>'[4]C-FCL Real'!P156</f>
        <v>0.52964609013942354</v>
      </c>
      <c r="U39" s="20">
        <f>'[4]C-FCL Real'!Q156</f>
        <v>0.58623228624708856</v>
      </c>
      <c r="V39" s="20">
        <f>'[4]C-FCL Real'!R156</f>
        <v>0.64308443747645883</v>
      </c>
      <c r="W39" s="20">
        <f>'[4]C-FCL Real'!S156</f>
        <v>0.7002037938166058</v>
      </c>
      <c r="X39" s="20">
        <f>'[4]C-FCL Real'!T156</f>
        <v>0.7575916111315546</v>
      </c>
      <c r="Y39" s="20">
        <f>'[4]C-FCL Real'!U156</f>
        <v>0.81524915118788199</v>
      </c>
      <c r="Z39" s="20">
        <f>'[4]C-FCL Real'!V156</f>
        <v>0.87317768168247434</v>
      </c>
      <c r="AA39" s="20">
        <f>'[4]C-FCL Real'!W156</f>
        <v>0.93137847627038817</v>
      </c>
      <c r="AB39" s="20">
        <f>'[4]C-FCL Real'!X156</f>
        <v>0.98985281459286611</v>
      </c>
      <c r="AC39" s="20">
        <f>'[4]C-FCL Real'!Y156</f>
        <v>1.0486019823054646</v>
      </c>
      <c r="AD39" s="20">
        <f>'[4]C-FCL Real'!Z156</f>
        <v>1.1076272711063084</v>
      </c>
      <c r="AE39" s="20">
        <f>'[4]C-FCL Real'!AA156</f>
        <v>1.1669299787645178</v>
      </c>
      <c r="AF39" s="20">
        <f>'[4]C-FCL Real'!AB156</f>
        <v>1.2265114091487215</v>
      </c>
      <c r="AG39" s="20">
        <f>'[4]C-FCL Real'!AC156</f>
        <v>1.2863728722557284</v>
      </c>
      <c r="AH39" s="20">
        <f>'[4]C-FCL Real'!AD156</f>
        <v>1.3465156842393393</v>
      </c>
      <c r="AI39" s="20">
        <f>'[4]C-FCL Real'!AE156</f>
        <v>1.4069411674392747</v>
      </c>
      <c r="AJ39" s="20">
        <f>'[4]C-FCL Real'!AF156</f>
        <v>1.4676506504102456</v>
      </c>
      <c r="AK39" s="20">
        <f>'[4]C-FCL Real'!AG156</f>
        <v>1.5286454679511843</v>
      </c>
      <c r="AL39" s="20">
        <f>'[4]C-FCL Real'!AH156</f>
        <v>1.5899269611345646</v>
      </c>
      <c r="AM39" s="20">
        <f>'[4]C-FCL Real'!AI156</f>
        <v>1.6514964773359029</v>
      </c>
      <c r="AN39" s="20">
        <f>'[4]C-FCL Real'!AJ156</f>
        <v>1.7133553702633912</v>
      </c>
      <c r="AO39" s="20">
        <f>'[4]C-FCL Real'!AK156</f>
        <v>1.7755049999876409</v>
      </c>
      <c r="AP39" s="20">
        <f>'[4]C-FCL Real'!AL156</f>
        <v>1.8379467329715926</v>
      </c>
      <c r="AQ39" s="20">
        <f>'[4]C-FCL Real'!AM156</f>
        <v>1.900681942100567</v>
      </c>
      <c r="AR39" s="20">
        <f>'[4]C-FCL Real'!AN156</f>
        <v>1.9637120067124498</v>
      </c>
      <c r="AS39" s="20">
        <f>'[4]C-FCL Real'!AO156</f>
        <v>2.0270383126280054</v>
      </c>
      <c r="AT39" s="20">
        <f>'[4]C-FCL Real'!AP156</f>
        <v>2.0906622521813647</v>
      </c>
      <c r="AU39" s="20">
        <f>'[4]C-FCL Real'!AQ156</f>
        <v>2.1545852242506247</v>
      </c>
      <c r="AV39" s="20">
        <f>'[4]C-FCL Real'!AR156</f>
        <v>2.2188086342886142</v>
      </c>
      <c r="AW39" s="20">
        <f>'[4]C-FCL Real'!AS156</f>
        <v>2.2833338943537766</v>
      </c>
      <c r="AX39" s="20">
        <f>'[4]C-FCL Real'!AT156</f>
        <v>2.348162423141249</v>
      </c>
      <c r="AY39" s="20">
        <f>'[4]C-FCL Real'!AU156</f>
        <v>2.4132956460140238</v>
      </c>
      <c r="AZ39" s="20">
        <f>'[4]C-FCL Real'!AV156</f>
        <v>2.4787349950343005</v>
      </c>
      <c r="BA39" s="20">
        <f>'[4]C-FCL Real'!AW156</f>
        <v>2.5444819089949671</v>
      </c>
      <c r="BB39" s="20">
        <f>'[4]C-FCL Real'!AX156</f>
        <v>2.6105378334512537</v>
      </c>
      <c r="BC39" s="20">
        <f>'[4]C-FCL Real'!AY156</f>
        <v>2.6769042207524851</v>
      </c>
      <c r="BD39" s="20">
        <f>'[4]C-FCL Real'!AZ156</f>
        <v>2.7435825300740273</v>
      </c>
      <c r="BE39" s="20">
        <f>'[4]C-FCL Real'!BA156</f>
        <v>2.8105742274493872</v>
      </c>
      <c r="BF39" s="20">
        <f>'[4]C-FCL Real'!BB156</f>
        <v>2.8778807858024091</v>
      </c>
      <c r="BG39" s="20">
        <f>'[4]C-FCL Real'!BC156</f>
        <v>2.9455036849796836</v>
      </c>
      <c r="BH39" s="20">
        <f>'[4]C-FCL Real'!BD156</f>
        <v>0</v>
      </c>
    </row>
    <row r="40" spans="1:60" ht="15" hidden="1" customHeight="1" outlineLevel="1" x14ac:dyDescent="0.3">
      <c r="A40" s="172">
        <f>C40*1000000/$C$16</f>
        <v>-25.764393640742959</v>
      </c>
      <c r="B40" s="176" t="s">
        <v>63</v>
      </c>
      <c r="C40" s="169">
        <f>SUMIF($D$15:$BG$15,1,D40:BG40)</f>
        <v>-30.753572677706181</v>
      </c>
      <c r="D40" s="175">
        <f t="shared" ref="D40:AK40" si="8">NPV($C$8,D39:D39)</f>
        <v>-14.585574755446842</v>
      </c>
      <c r="E40" s="20">
        <f t="shared" si="8"/>
        <v>-13.213908981279149</v>
      </c>
      <c r="F40" s="20">
        <f t="shared" si="8"/>
        <v>-23.2366721575256</v>
      </c>
      <c r="G40" s="20">
        <f t="shared" si="8"/>
        <v>-3.0215850185191875E-2</v>
      </c>
      <c r="H40" s="20">
        <f t="shared" si="8"/>
        <v>2.931716930532588E-2</v>
      </c>
      <c r="I40" s="20">
        <f t="shared" si="8"/>
        <v>7.8808319995888262E-2</v>
      </c>
      <c r="J40" s="20">
        <f t="shared" si="8"/>
        <v>0.12853207909469283</v>
      </c>
      <c r="K40" s="20">
        <f t="shared" si="8"/>
        <v>0.17848953986126392</v>
      </c>
      <c r="L40" s="20">
        <f t="shared" si="8"/>
        <v>0.22868180069343674</v>
      </c>
      <c r="M40" s="20">
        <f t="shared" si="8"/>
        <v>0.27910996515152364</v>
      </c>
      <c r="N40" s="20">
        <f t="shared" si="8"/>
        <v>0.32977514198255981</v>
      </c>
      <c r="O40" s="20">
        <f t="shared" si="8"/>
        <v>0.38067844514470484</v>
      </c>
      <c r="P40" s="20">
        <f t="shared" si="8"/>
        <v>0.43182099383171091</v>
      </c>
      <c r="Q40" s="20">
        <f t="shared" si="8"/>
        <v>0.48320391249754685</v>
      </c>
      <c r="R40" s="20">
        <f t="shared" si="8"/>
        <v>0.53482833088111226</v>
      </c>
      <c r="S40" s="20">
        <f t="shared" si="8"/>
        <v>0.43182099383171091</v>
      </c>
      <c r="T40" s="20">
        <f t="shared" si="8"/>
        <v>0.48320391249754685</v>
      </c>
      <c r="U40" s="20">
        <f t="shared" si="8"/>
        <v>0.53482833088111226</v>
      </c>
      <c r="V40" s="20">
        <f t="shared" si="8"/>
        <v>0.58669538403107968</v>
      </c>
      <c r="W40" s="20">
        <f t="shared" si="8"/>
        <v>0.63880621233085078</v>
      </c>
      <c r="X40" s="20">
        <f t="shared" si="8"/>
        <v>0.69116196152363363</v>
      </c>
      <c r="Y40" s="20">
        <f t="shared" si="8"/>
        <v>0.74376378273762112</v>
      </c>
      <c r="Z40" s="20">
        <f t="shared" si="8"/>
        <v>0.79661283251131443</v>
      </c>
      <c r="AA40" s="20">
        <f t="shared" si="8"/>
        <v>0.8497102728189414</v>
      </c>
      <c r="AB40" s="20">
        <f t="shared" si="8"/>
        <v>0.90305727109601497</v>
      </c>
      <c r="AC40" s="20">
        <f t="shared" si="8"/>
        <v>0.95665500026499528</v>
      </c>
      <c r="AD40" s="20">
        <f t="shared" si="8"/>
        <v>1.0105046387610661</v>
      </c>
      <c r="AE40" s="20">
        <f t="shared" si="8"/>
        <v>1.0646073705580701</v>
      </c>
      <c r="AF40" s="20">
        <f t="shared" si="8"/>
        <v>1.1189643851945206</v>
      </c>
      <c r="AG40" s="20">
        <f t="shared" si="8"/>
        <v>1.1735768777997602</v>
      </c>
      <c r="AH40" s="20">
        <f t="shared" si="8"/>
        <v>1.2284460491202454</v>
      </c>
      <c r="AI40" s="20">
        <f t="shared" si="8"/>
        <v>1.2835731055459381</v>
      </c>
      <c r="AJ40" s="20">
        <f t="shared" si="8"/>
        <v>1.3389592591368278</v>
      </c>
      <c r="AK40" s="20">
        <f t="shared" si="8"/>
        <v>1.3946057276495987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541.11650155824225</v>
      </c>
      <c r="B42" s="141" t="s">
        <v>64</v>
      </c>
      <c r="C42" s="169"/>
      <c r="D42" s="175">
        <f>'[4]C-FCL Real'!C157</f>
        <v>-15.987438101917103</v>
      </c>
      <c r="E42" s="20">
        <f>'[4]C-FCL Real'!D157</f>
        <v>-30.471375517113934</v>
      </c>
      <c r="F42" s="20">
        <f>'[4]C-FCL Real'!E157</f>
        <v>-55.941393945715788</v>
      </c>
      <c r="G42" s="20">
        <f>'[4]C-FCL Real'!F157</f>
        <v>-55.974513931909826</v>
      </c>
      <c r="H42" s="20">
        <f>'[4]C-FCL Real'!G157</f>
        <v>-55.942379001511057</v>
      </c>
      <c r="I42" s="20">
        <f>'[4]C-FCL Real'!H157</f>
        <v>-55.855996177455403</v>
      </c>
      <c r="J42" s="20">
        <f>'[4]C-FCL Real'!I157</f>
        <v>-55.71511049464268</v>
      </c>
      <c r="K42" s="20">
        <f>'[4]C-FCL Real'!J157</f>
        <v>-55.519465789636733</v>
      </c>
      <c r="L42" s="20">
        <f>'[4]C-FCL Real'!K157</f>
        <v>-55.268804695033246</v>
      </c>
      <c r="M42" s="20">
        <f>'[4]C-FCL Real'!L157</f>
        <v>-54.962868633801115</v>
      </c>
      <c r="N42" s="20">
        <f>'[4]C-FCL Real'!M157</f>
        <v>-54.601397813597188</v>
      </c>
      <c r="O42" s="20">
        <f>'[4]C-FCL Real'!N157</f>
        <v>-54.184131221054294</v>
      </c>
      <c r="P42" s="20">
        <f>'[4]C-FCL Real'!O157</f>
        <v>-53.710806616042433</v>
      </c>
      <c r="Q42" s="20">
        <f>'[4]C-FCL Real'!P157</f>
        <v>-53.18116052590301</v>
      </c>
      <c r="R42" s="20">
        <f>'[4]C-FCL Real'!Q157</f>
        <v>-52.594928239655921</v>
      </c>
      <c r="S42" s="20">
        <f>'[4]C-FCL Real'!O157</f>
        <v>-53.710806616042433</v>
      </c>
      <c r="T42" s="20">
        <f>'[4]C-FCL Real'!P157</f>
        <v>-53.18116052590301</v>
      </c>
      <c r="U42" s="20">
        <f>'[4]C-FCL Real'!Q157</f>
        <v>-52.594928239655921</v>
      </c>
      <c r="V42" s="20">
        <f>'[4]C-FCL Real'!R157</f>
        <v>-51.951843802179461</v>
      </c>
      <c r="W42" s="20">
        <f>'[4]C-FCL Real'!S157</f>
        <v>-51.251640008362855</v>
      </c>
      <c r="X42" s="20">
        <f>'[4]C-FCL Real'!T157</f>
        <v>-50.494048397231303</v>
      </c>
      <c r="Y42" s="20">
        <f>'[4]C-FCL Real'!U157</f>
        <v>-49.678799246043418</v>
      </c>
      <c r="Z42" s="20">
        <f>'[4]C-FCL Real'!V157</f>
        <v>-48.805621564360941</v>
      </c>
      <c r="AA42" s="20">
        <f>'[4]C-FCL Real'!W157</f>
        <v>-47.874243088090552</v>
      </c>
      <c r="AB42" s="20">
        <f>'[4]C-FCL Real'!X157</f>
        <v>-46.884390273497687</v>
      </c>
      <c r="AC42" s="20">
        <f>'[4]C-FCL Real'!Y157</f>
        <v>-45.835788291192223</v>
      </c>
      <c r="AD42" s="20">
        <f>'[4]C-FCL Real'!Z157</f>
        <v>-44.728161020085913</v>
      </c>
      <c r="AE42" s="20">
        <f>'[4]C-FCL Real'!AA157</f>
        <v>-43.561231041321399</v>
      </c>
      <c r="AF42" s="20">
        <f>'[4]C-FCL Real'!AB157</f>
        <v>-42.334719632172678</v>
      </c>
      <c r="AG42" s="20">
        <f>'[4]C-FCL Real'!AC157</f>
        <v>-41.048346759916953</v>
      </c>
      <c r="AH42" s="20">
        <f>'[4]C-FCL Real'!AD157</f>
        <v>-39.70183107567761</v>
      </c>
      <c r="AI42" s="20">
        <f>'[4]C-FCL Real'!AE157</f>
        <v>-38.294889908238332</v>
      </c>
      <c r="AJ42" s="20">
        <f>'[4]C-FCL Real'!AF157</f>
        <v>-36.827239257828083</v>
      </c>
      <c r="AK42" s="20">
        <f>'[4]C-FCL Real'!AG157</f>
        <v>-35.298593789876897</v>
      </c>
      <c r="AL42" s="20">
        <f>'[4]C-FCL Real'!AH157</f>
        <v>-33.708666828742331</v>
      </c>
      <c r="AM42" s="20">
        <f>'[4]C-FCL Real'!AI157</f>
        <v>-32.057170351406427</v>
      </c>
      <c r="AN42" s="20">
        <f>'[4]C-FCL Real'!AJ157</f>
        <v>-30.343814981143037</v>
      </c>
      <c r="AO42" s="20">
        <f>'[4]C-FCL Real'!AK157</f>
        <v>-28.568309981155394</v>
      </c>
      <c r="AP42" s="20">
        <f>'[4]C-FCL Real'!AL157</f>
        <v>-26.730363248183803</v>
      </c>
      <c r="AQ42" s="20">
        <f>'[4]C-FCL Real'!AM157</f>
        <v>-24.829681306083238</v>
      </c>
      <c r="AR42" s="20">
        <f>'[4]C-FCL Real'!AN157</f>
        <v>-22.865969299370789</v>
      </c>
      <c r="AS42" s="20">
        <f>'[4]C-FCL Real'!AO157</f>
        <v>-20.838930986742785</v>
      </c>
      <c r="AT42" s="20">
        <f>'[4]C-FCL Real'!AP157</f>
        <v>-18.748268734561421</v>
      </c>
      <c r="AU42" s="20">
        <f>'[4]C-FCL Real'!AQ157</f>
        <v>-16.593683510310797</v>
      </c>
      <c r="AV42" s="20">
        <f>'[4]C-FCL Real'!AR157</f>
        <v>-14.374874876022183</v>
      </c>
      <c r="AW42" s="20">
        <f>'[4]C-FCL Real'!AS157</f>
        <v>-12.091540981668405</v>
      </c>
      <c r="AX42" s="20">
        <f>'[4]C-FCL Real'!AT157</f>
        <v>-9.7433785585271568</v>
      </c>
      <c r="AY42" s="20">
        <f>'[4]C-FCL Real'!AU157</f>
        <v>-7.3300829125131326</v>
      </c>
      <c r="AZ42" s="20">
        <f>'[4]C-FCL Real'!AV157</f>
        <v>-4.8513479174788321</v>
      </c>
      <c r="BA42" s="20">
        <f>'[4]C-FCL Real'!AW157</f>
        <v>-2.306866008483865</v>
      </c>
      <c r="BB42" s="20">
        <f>'[4]C-FCL Real'!AX157</f>
        <v>0.30367182496738865</v>
      </c>
      <c r="BC42" s="20">
        <f>'[4]C-FCL Real'!AY157</f>
        <v>2.9805760457198738</v>
      </c>
      <c r="BD42" s="20">
        <f>'[4]C-FCL Real'!AZ157</f>
        <v>5.7241585757939006</v>
      </c>
      <c r="BE42" s="20">
        <f>'[4]C-FCL Real'!BA157</f>
        <v>8.534732803243287</v>
      </c>
      <c r="BF42" s="20">
        <f>'[4]C-FCL Real'!BB157</f>
        <v>11.412613589045696</v>
      </c>
      <c r="BG42" s="20">
        <f>'[4]C-FCL Real'!BC157</f>
        <v>14.35811727402538</v>
      </c>
      <c r="BH42" s="20">
        <f>'[4]C-FCL Real'!BD157</f>
        <v>0</v>
      </c>
    </row>
    <row r="43" spans="1:60" ht="15" hidden="1" customHeight="1" outlineLevel="1" x14ac:dyDescent="0.3">
      <c r="A43" s="172">
        <f>A18+A21+A36</f>
        <v>568.02519664759279</v>
      </c>
      <c r="B43" s="141" t="s">
        <v>65</v>
      </c>
      <c r="C43" s="177">
        <f>'[4]R&amp;C-Painel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-26.908695089350545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558.29587493126496</v>
      </c>
      <c r="D46" s="181" t="s">
        <v>67</v>
      </c>
      <c r="E46" s="181"/>
      <c r="F46" s="182">
        <f>A27</f>
        <v>467.72304604984777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87.605825292006244</v>
      </c>
      <c r="D48" s="181" t="s">
        <v>67</v>
      </c>
      <c r="E48" s="181"/>
      <c r="F48" s="182">
        <f>A30</f>
        <v>73.393455508394453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645.90170022327118</v>
      </c>
      <c r="D49" s="189" t="s">
        <v>67</v>
      </c>
      <c r="E49" s="189"/>
      <c r="F49" s="190">
        <f>F46+F47+F48</f>
        <v>541.11650155824225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665.73219887553557</v>
      </c>
      <c r="D50" s="185" t="s">
        <v>67</v>
      </c>
      <c r="E50" s="185"/>
      <c r="F50" s="186">
        <f>A18+A21</f>
        <v>557.7298810417758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12.288965195079381</v>
      </c>
      <c r="D51" s="181" t="s">
        <v>67</v>
      </c>
      <c r="E51" s="181"/>
      <c r="F51" s="192">
        <f>A36</f>
        <v>10.295315605816967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-32.119463847343781</v>
      </c>
      <c r="D53" s="198" t="s">
        <v>67</v>
      </c>
      <c r="E53" s="198"/>
      <c r="F53" s="199">
        <f>F49-F50-F51</f>
        <v>-26.908695089350516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4790648.1824426781</v>
      </c>
      <c r="D57" s="207" t="s">
        <v>9</v>
      </c>
      <c r="E57" s="207"/>
      <c r="F57" s="208">
        <f>C57/'[4]R&amp;C-Painel de Controle'!$D$8</f>
        <v>151.0391659491757</v>
      </c>
      <c r="G57" s="207" t="s">
        <v>8</v>
      </c>
      <c r="H57" s="56">
        <f>F57/$F$99</f>
        <v>0.31606224673816918</v>
      </c>
    </row>
    <row r="58" spans="1:8" s="164" customFormat="1" ht="15" hidden="1" customHeight="1" outlineLevel="1" x14ac:dyDescent="0.3">
      <c r="B58" s="209" t="s">
        <v>76</v>
      </c>
      <c r="C58" s="210">
        <f>('[4]R&amp;C-Painel de Controle'!D8-'[4]R&amp;C-Painel de Controle'!D9)</f>
        <v>25880.236824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IF('[4]R-Definição'!E121="Novo",(('[4]R&amp;C-Painel de Controle'!L73*'[4]C-Dados RT Simplif.'!C105+'[4]R&amp;C-Painel de Controle'!P73*'[4]C-Dados RT Simplif.'!C105*'[4]C-Dados RT Simplif.'!C7)/('[4]C-Dados RT Simplif.'!C7*'[4]C-Dados RT Simplif.'!C105)),('[4]R&amp;C-Painel de Controle'!D88+'[4]R&amp;C-Painel de Controle'!D89))</f>
        <v>185.10835951856814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2655392.0435663396</v>
      </c>
      <c r="D61" s="220" t="s">
        <v>9</v>
      </c>
      <c r="E61" s="220"/>
      <c r="F61" s="221">
        <f>C61/'[4]R&amp;C-Painel de Controle'!$D$8</f>
        <v>83.718984207234897</v>
      </c>
      <c r="G61" s="220" t="s">
        <v>8</v>
      </c>
      <c r="H61" s="59">
        <f>F61/$F$99</f>
        <v>0.17518906488188518</v>
      </c>
    </row>
    <row r="62" spans="1:8" s="164" customFormat="1" ht="15" hidden="1" customHeight="1" outlineLevel="1" x14ac:dyDescent="0.3">
      <c r="B62" s="222" t="str">
        <f>'[4]R&amp;C-Painel de Controle'!J36</f>
        <v>Mat. Recicl.: Papel/Papelão — Triagem Mecanizada</v>
      </c>
      <c r="C62" s="223">
        <f>'[4]R&amp;C-Painel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'[4]R&amp;C-Painel de Controle'!J37</f>
        <v>Mat. Recicl.: Plástico Filme — Triagem Mecanizada</v>
      </c>
      <c r="C63" s="210">
        <f>'[4]R&amp;C-Painel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'[4]R&amp;C-Painel de Controle'!J38</f>
        <v>Mat. Recicl.: Plástico Rígido — Triagem Mecanizada</v>
      </c>
      <c r="C64" s="210">
        <f>'[4]R&amp;C-Painel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'[4]R&amp;C-Painel de Controle'!J39</f>
        <v>Mat. Recicl.: Vidros — Triagem Mecânica</v>
      </c>
      <c r="C65" s="210">
        <f>'[4]R&amp;C-Painel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'[4]R&amp;C-Painel de Controle'!J40</f>
        <v>Mat. Recicl.: Metais Não Ferrosos — Triagem Mecanizada</v>
      </c>
      <c r="C66" s="210">
        <f>'[4]R&amp;C-Painel de Controle'!L40+'[4]R&amp;C-Painel de Controle'!L42</f>
        <v>90.004172381314461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'[4]R&amp;C-Painel de Controle'!J41</f>
        <v>Mat. Recicl.: Metais Ferrosos — Triagem Mecanizada</v>
      </c>
      <c r="C67" s="210">
        <f>'[4]R&amp;C-Painel de Controle'!L41+'[4]R&amp;C-Painel de Controle'!L43</f>
        <v>345.01599412837214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'[4]R&amp;C-Painel de Controle'!B98</f>
        <v>Doação Receitas Venda Materiais Recicláveis</v>
      </c>
      <c r="C68" s="210" t="str">
        <f>'[4]R&amp;C-Painel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'[4]R&amp;C-Painel de Controle'!B99</f>
        <v>% Doação das Receitas aos Catadores</v>
      </c>
      <c r="C69" s="60">
        <f>'[4]R&amp;C-Painel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'[4]R&amp;C-Painel de Controle'!B100</f>
        <v>% Venda Matetriais Reciclávevis fora do Estado</v>
      </c>
      <c r="C70" s="60">
        <f>'[4]R&amp;C-Painel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'[4]R&amp;C-Painel de Controle'!B101</f>
        <v>Preço Médio Bruto — Venda (FOB): Papel/Papelão</v>
      </c>
      <c r="C71" s="210">
        <f>'[4]R&amp;C-Painel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'[4]R&amp;C-Painel de Controle'!B102</f>
        <v>Preço Médio Bruto — Venda (FOB): Plástico Filme</v>
      </c>
      <c r="C72" s="210">
        <f>'[4]R&amp;C-Painel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'[4]R&amp;C-Painel de Controle'!B103</f>
        <v>Preço Médio Bruto — Venda (FOB): Plástico Rígido</v>
      </c>
      <c r="C73" s="210">
        <f>'[4]R&amp;C-Painel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'[4]R&amp;C-Painel de Controle'!B104</f>
        <v>Preço Médio Bruto — Venda(FOB): Vidros</v>
      </c>
      <c r="C74" s="210">
        <f>'[4]R&amp;C-Painel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'[4]R&amp;C-Painel de Controle'!B105</f>
        <v>Preço Médio Bruto — Venda (FOB): Metais Ferrosos</v>
      </c>
      <c r="C75" s="210">
        <f>'[4]R&amp;C-Painel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'[4]R&amp;C-Painel de Controle'!B106</f>
        <v>Preço Médio Bruto — Venda (FOB): Metais Não Ferrosos</v>
      </c>
      <c r="C76" s="210">
        <f>'[4]R&amp;C-Painel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</f>
        <v>1961773.6964574349</v>
      </c>
      <c r="D78" s="181" t="s">
        <v>9</v>
      </c>
      <c r="E78" s="181"/>
      <c r="F78" s="192">
        <f>C78/'[4]R&amp;C-Painel de Controle'!$D$8</f>
        <v>61.85064141839802</v>
      </c>
      <c r="G78" s="181" t="s">
        <v>8</v>
      </c>
      <c r="H78" s="61">
        <f>F78/$F$99</f>
        <v>0.1294277054964261</v>
      </c>
    </row>
    <row r="79" spans="2:8" ht="15" hidden="1" customHeight="1" outlineLevel="1" x14ac:dyDescent="0.3">
      <c r="B79" s="180" t="s">
        <v>81</v>
      </c>
      <c r="C79" s="219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Sanitário'!$U$26*1000000,0))))))/2.4*1.4</f>
        <v>2746483.1750404085</v>
      </c>
      <c r="D79" s="181" t="s">
        <v>9</v>
      </c>
      <c r="E79" s="181"/>
      <c r="F79" s="192">
        <f>C79/'[4]R&amp;C-Painel de Controle'!$D$8</f>
        <v>86.590897985757223</v>
      </c>
      <c r="G79" s="181" t="s">
        <v>8</v>
      </c>
      <c r="H79" s="61">
        <f>F79/$F$99</f>
        <v>0.18119878769499653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1000763.259889458</v>
      </c>
      <c r="D81" s="226" t="s">
        <v>9</v>
      </c>
      <c r="E81" s="226"/>
      <c r="F81" s="227">
        <f>C81/'[4]R&amp;C-Painel de Controle'!$D$8</f>
        <v>31.551982598148239</v>
      </c>
      <c r="G81" s="226" t="s">
        <v>8</v>
      </c>
      <c r="H81" s="62">
        <f>F81/$F$99</f>
        <v>6.6025195824836805E-2</v>
      </c>
    </row>
    <row r="82" spans="2:8" ht="15" hidden="1" customHeight="1" outlineLevel="1" x14ac:dyDescent="0.3">
      <c r="B82" s="228" t="s">
        <v>83</v>
      </c>
      <c r="C82" s="229">
        <f>'[4]R&amp;C-Painel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'[4]R&amp;C-Painel de Controle'!D33</f>
        <v>545.44961638466214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'[4]R&amp;C-Painel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'[4]R&amp;C-Painel de Controle'!H31</f>
        <v>172.29867360178693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'[4]C-FCL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50820.900355336649</v>
      </c>
      <c r="D88" s="226" t="s">
        <v>9</v>
      </c>
      <c r="E88" s="226"/>
      <c r="F88" s="227">
        <f>C88/'[4]R&amp;C-Painel de Controle'!$D$8</f>
        <v>1.602277209707845</v>
      </c>
      <c r="G88" s="226" t="s">
        <v>8</v>
      </c>
      <c r="H88" s="62">
        <f>F88/$F$99</f>
        <v>3.3529007632896687E-3</v>
      </c>
    </row>
    <row r="89" spans="2:8" ht="15" hidden="1" customHeight="1" outlineLevel="1" x14ac:dyDescent="0.3">
      <c r="B89" s="231" t="s">
        <v>89</v>
      </c>
      <c r="C89" s="64">
        <f>'[4]C-FCL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'[4]R&amp;C-Painel de Controle'!B100</f>
        <v>% Venda Matetriais Reciclávevis fora do Estado</v>
      </c>
      <c r="C90" s="64">
        <f>'[4]R&amp;C-Painel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'[4]R&amp;C-Painel de Controle'!D33*'[4]R&amp;C-Painel de Controle'!D8*(C93)+C36*1000000/'[4]R&amp;C-Painel de Controle'!D32</f>
        <v>1951412.0662160271</v>
      </c>
      <c r="D92" s="226" t="s">
        <v>9</v>
      </c>
      <c r="E92" s="234"/>
      <c r="F92" s="235">
        <f>C92/'[4]R&amp;C-Painel de Controle'!$D$8</f>
        <v>61.523960783557911</v>
      </c>
      <c r="G92" s="234" t="s">
        <v>8</v>
      </c>
      <c r="H92" s="66">
        <f>F92/$F$99</f>
        <v>0.12874409860039648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545.44961638466214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172.29867360178693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15157293.323967684</v>
      </c>
      <c r="D99" s="238" t="s">
        <v>9</v>
      </c>
      <c r="E99" s="239"/>
      <c r="F99" s="240">
        <f>C99/'[4]R&amp;C-Painel de Controle'!$D$8</f>
        <v>477.87791015197985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'[4]R&amp;C-Painel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'[4]R&amp;C-Painel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'[4]R&amp;C-Painel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'[4]R-Entrada'!E26/100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((IF('[4]C-Triagem Mec'!$E$7="SIM",'[4]C-Triagem Mec'!$E$33*'[4]C-Triagem Mec'!$H$2,IF('[4]C-Triagem Mec'!$I$7="SIM",'[4]C-Triagem Mec'!$I$33*'[4]C-Triagem Mec'!$H$2,IF('[4]C-Triagem Mec'!$M$7="SIM",'[4]C-Triagem Mec'!$M$33*'[4]C-Triagem Mec'!$H$2,IF('[4]C-Triagem Mec'!$Q$7="SIM",'[4]C-Triagem Mec'!$Q$33*'[4]C-Triagem Mec'!$H$2,IF('[4]C-Triagem Mec'!$U$7="SIM",'[4]C-Triagem Mec'!$U$33*'[4]C-Triagem Mec'!$H$2,0)))))+IF('[4]C-Produção CDR-TM'!$E$7="SIM",'[4]C-Produção CDR-TM'!$E$33*'[4]C-Produção CDR-TM'!$H$2,IF('[4]C-Produção CDR-TM'!$I$7="SIM",'[4]C-Produção CDR-TM'!$I$33*'[4]C-Produção CDR-TM'!$H$2,IF('[4]C-Produção CDR-TM'!$M$7="SIM",'[4]C-Produção CDR-TM'!$M$33*'[4]C-Produção CDR-TM'!$H$2,IF('[4]C-Produção CDR-TM'!$Q$7="SIM",'[4]C-Produção CDR-TM'!$Q$33*'[4]C-Produção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CDR-TMB'!$Q$33*'[4]C-Produção CDR-TMB'!$H$2,IF('[4]C-Produção CDR-TMB'!$U$7="SIM",'[4]C-Produção CDR-TMB'!$U$33*'[4]C-Produção CDR-TMB'!$H$2,0)))))+IF('[4]C-Biodigestão'!$E$7="SIM",'[4]C-Biodigestão'!$E$36*'[4]C-Biodigestão'!$H$2,IF('[4]C-Biodigestão'!$I$7="SIM",'[4]C-Biodigestão'!$I$36*'[4]C-Biodigestão'!$H$2,IF('[4]C-Biodigestão'!$M$7="SIM",'[4]C-Biodigestão'!$M$36*'[4]C-Biodigestão'!$H$2,IF('[4]C-Biodigestão'!$Q$7="SIM",'[4]C-Biodigestão'!$Q$36*'[4]C-Biodigestão'!$H$2,IF('[4]C-Biodigestão'!$U$7="SIM",'[4]C-Biodigestão'!$U$36*'[4]C-Biodigestão'!$H$2,0)))))+IF('[4]C-Compostagem'!$E$7="SIM",'[4]C-Compostagem'!$E$33*'[4]C-Compostagem'!$H$2,IF('[4]C-Compostagem'!$I$7="SIM",'[4]C-Compostagem'!$I$33*'[4]C-Compostagem'!$H$2,IF('[4]C-Compostagem'!$M$7="SIM",'[4]C-Compostagem'!$M$33*'[4]C-Compostagem'!$H$2,IF('[4]C-Compostagem'!$Q$7="SIM",'[4]C-Compostagem'!$Q$33*'[4]C-Compostagem'!$H$2,IF('[4]C-Compostagem'!$U$7="SIM",'[4]C-Compostagem'!$U$33*'[4]C-Compostagem'!$H$2,0)))))+IF('[4]C-Incineração'!$E$7="SIM",'[4]C-Incineração'!$E$35*'[4]C-Incineração'!$H$2,IF('[4]C-Incineração'!$I$7="SIM",'[4]C-Incineração'!$I$35*'[4]C-Incineração'!$H$2,IF('[4]C-Incineração'!$M$7="SIM",'[4]C-Incineração'!$M$35*'[4]C-Incineração'!$H$2,IF('[4]C-Incineração'!$Q$7="SIM",'[4]C-Incineração'!$Q$35*'[4]C-Incineração'!$H$2,IF('[4]C-Incineração'!$U$7="SIM",'[4]C-Incineração'!$U$35*'[4]C-Incineração'!$H$2,0)))))))/1000</f>
        <v>1068.6593513476564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'[4]R&amp;C-Painel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'[4]R-Resumo Bal. Massa'!G51</f>
        <v>74.293102965787199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25.130944028181275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'[4]R-Resumo Bal. Massa'!G49</f>
        <v>18.710523000000002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6.3291622974414841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'[4]R-Resumo Bal. Massa'!G50</f>
        <v>8.6563740342128117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2.9281702157599319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'[4]R-Resumo Bal. Massa'!D64</f>
        <v>8.6563740342128117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2.9281702157599319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'[4]R-Resumo Bal. Massa'!D73</f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0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'[4]R-Resumo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IF('[4]R-Definição'!E112&gt;0,'[4]R-Definição'!O111/'[4]R-Definição'!E112,0)</f>
        <v>634.06891385819074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69886.337038620579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21804.537156049621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IF(AND('[4]R-Definição'!O62&gt;0,'[4]R-Definição'!J65&gt;0),('[4]R-Definição'!O69/('[4]R-Definição'!O62*'[4]R-Definição'!J65/100)),0)</f>
        <v>0</v>
      </c>
      <c r="D133" s="164" t="s">
        <v>532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IF(AND('[4]R-Definição'!O62&gt;0,'[4]R-Definição'!J64&gt;0),('[4]R-Definição'!O70/('[4]R-Definição'!O62*'[4]R-Definição'!J64/100)),0)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topLeftCell="A6" zoomScale="75" zoomScaleNormal="75" workbookViewId="0">
      <selection activeCell="F16" sqref="F16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61" t="s">
        <v>26</v>
      </c>
      <c r="C3" s="1261"/>
      <c r="D3" s="1261"/>
      <c r="E3" s="1261"/>
      <c r="F3" s="1261"/>
      <c r="G3" s="1261"/>
      <c r="H3" s="1261"/>
      <c r="L3" s="1262" t="s">
        <v>159</v>
      </c>
      <c r="M3" s="1263"/>
      <c r="N3" s="301"/>
      <c r="O3" s="1264" t="s">
        <v>169</v>
      </c>
      <c r="P3" s="1264"/>
      <c r="Q3" s="1264"/>
      <c r="R3" s="1264"/>
      <c r="S3" s="1264"/>
      <c r="T3" s="1264"/>
      <c r="U3" s="1264"/>
      <c r="V3" s="1264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65" t="s">
        <v>106</v>
      </c>
      <c r="C5" s="1265"/>
      <c r="D5" s="86"/>
      <c r="E5" s="86"/>
      <c r="F5" s="910"/>
      <c r="G5" s="86"/>
      <c r="H5" s="910"/>
      <c r="L5" s="1266" t="s">
        <v>171</v>
      </c>
      <c r="M5" s="1267"/>
      <c r="N5"/>
      <c r="O5" s="1270" t="s">
        <v>158</v>
      </c>
      <c r="P5" s="1271"/>
      <c r="Q5" s="1271"/>
      <c r="R5" s="1271"/>
      <c r="S5" s="1271"/>
      <c r="T5" s="1271"/>
      <c r="U5" s="1271"/>
      <c r="V5" s="1272"/>
    </row>
    <row r="6" spans="2:22" s="90" customFormat="1" ht="15" customHeight="1" outlineLevel="1" thickTop="1" thickBot="1" x14ac:dyDescent="0.35">
      <c r="B6" s="1265"/>
      <c r="C6" s="1265"/>
      <c r="D6" s="87"/>
      <c r="E6" s="89"/>
      <c r="F6" s="913" t="s">
        <v>10</v>
      </c>
      <c r="G6" s="89"/>
      <c r="H6" s="913" t="s">
        <v>10</v>
      </c>
      <c r="L6" s="1268"/>
      <c r="M6" s="1269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617.3653331946125</v>
      </c>
      <c r="N7" s="272"/>
      <c r="O7" s="275">
        <f>M7</f>
        <v>617.3653331946125</v>
      </c>
      <c r="P7" s="276"/>
      <c r="Q7" s="277">
        <f>M7</f>
        <v>617.3653331946125</v>
      </c>
      <c r="R7" s="277"/>
      <c r="S7" s="277"/>
      <c r="T7" s="277"/>
      <c r="U7" s="277"/>
      <c r="V7" s="278">
        <f>Q7</f>
        <v>617.3653331946125</v>
      </c>
    </row>
    <row r="8" spans="2:22" s="84" customFormat="1" ht="15" customHeight="1" outlineLevel="1" x14ac:dyDescent="0.3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RT´s'!H29+'RESUMO GERAL Valoriz. RT´s'!H30</f>
        <v>432.58</v>
      </c>
      <c r="N8" s="274"/>
      <c r="O8" s="279"/>
      <c r="P8" s="280"/>
      <c r="Q8" s="281">
        <f>Q7+M8</f>
        <v>1049.9453331946124</v>
      </c>
      <c r="R8" s="281">
        <f>M7</f>
        <v>617.3653331946125</v>
      </c>
      <c r="S8" s="281">
        <f>IF(R8&gt;=0,IF(M8&gt;=0,Q7,Q8),IF(M8&gt;=0,S7,Q8))</f>
        <v>617.3653331946125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73" t="s">
        <v>107</v>
      </c>
      <c r="C9" s="84" t="s">
        <v>4</v>
      </c>
      <c r="D9" s="78" t="s">
        <v>33</v>
      </c>
      <c r="E9" s="97"/>
      <c r="F9" s="94">
        <f>'C-Dados RT4 Simplif.'!C108</f>
        <v>1068.6593513476564</v>
      </c>
      <c r="G9" s="94"/>
      <c r="H9" s="94">
        <f>'Demanda Preço &amp; Quantidade'!C42</f>
        <v>500</v>
      </c>
      <c r="L9" s="1025" t="s">
        <v>495</v>
      </c>
      <c r="M9" s="294">
        <f>'RESUMO GERAL Valoriz. RT´s'!H31</f>
        <v>0.71</v>
      </c>
      <c r="N9" s="274"/>
      <c r="O9" s="279"/>
      <c r="P9" s="280"/>
      <c r="Q9" s="281">
        <f>Q8+M9</f>
        <v>1050.6553331946125</v>
      </c>
      <c r="R9" s="281">
        <f>M8</f>
        <v>432.58</v>
      </c>
      <c r="S9" s="281">
        <f>IF(R9&gt;=0,IF(M9&gt;=0,Q8,Q9),IF(M9&gt;=0,S8,Q9))</f>
        <v>1049.9453331946124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73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1050.6553331946125</v>
      </c>
      <c r="N10" s="272"/>
      <c r="O10" s="275">
        <f>M10</f>
        <v>1050.6553331946125</v>
      </c>
      <c r="P10" s="276"/>
      <c r="Q10" s="277">
        <f>M10</f>
        <v>1050.6553331946125</v>
      </c>
      <c r="R10" s="277"/>
      <c r="S10" s="277"/>
      <c r="T10" s="277"/>
      <c r="U10" s="277"/>
      <c r="V10" s="278">
        <f>Q10</f>
        <v>1050.6553331946125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-10.116334425957875</v>
      </c>
      <c r="N11" s="274"/>
      <c r="O11" s="279"/>
      <c r="P11" s="280"/>
      <c r="Q11" s="281">
        <f>Q10+M11</f>
        <v>1040.5389987686547</v>
      </c>
      <c r="R11" s="281">
        <f t="shared" ref="R11:R22" si="0">M10</f>
        <v>1050.6553331946125</v>
      </c>
      <c r="S11" s="281">
        <f>IF(R11&gt;=0,IF(M11&gt;=0,Q10,Q11),IF(M11&gt;=0,S10,Q11))</f>
        <v>1040.5389987686547</v>
      </c>
      <c r="T11" s="281">
        <f>IF(M11&gt;=0,M11,0)</f>
        <v>0</v>
      </c>
      <c r="U11" s="281">
        <f t="shared" ref="U11:U22" si="1">IF(M11&lt;0,M11*-1,0)</f>
        <v>10.116334425957875</v>
      </c>
      <c r="V11" s="282">
        <f>SUM(T11:U11)</f>
        <v>10.116334425957875</v>
      </c>
    </row>
    <row r="12" spans="2:22" s="84" customFormat="1" ht="15" customHeight="1" outlineLevel="1" x14ac:dyDescent="0.3">
      <c r="B12" s="1273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1040.5389987686547</v>
      </c>
      <c r="R12" s="281">
        <f t="shared" si="0"/>
        <v>-10.116334425957875</v>
      </c>
      <c r="S12" s="281">
        <f>IF(R12&gt;=0,IF(M12&gt;=0,Q11,Q12),IF(M12&gt;=0,S11,Q12))</f>
        <v>1040.5389987686547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73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1040.5389987686547</v>
      </c>
      <c r="N13" s="272"/>
      <c r="O13" s="283">
        <f>M13</f>
        <v>1040.5389987686547</v>
      </c>
      <c r="P13" s="284"/>
      <c r="Q13" s="285">
        <f>Q12+M13-O13</f>
        <v>1040.5389987686547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1040.5389987686547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-305.01625442740948</v>
      </c>
      <c r="N14" s="274"/>
      <c r="O14" s="279"/>
      <c r="P14" s="280"/>
      <c r="Q14" s="281">
        <f>Q13+M14</f>
        <v>735.52274434124524</v>
      </c>
      <c r="R14" s="281">
        <f t="shared" si="0"/>
        <v>1040.5389987686547</v>
      </c>
      <c r="S14" s="281">
        <f>IF(R14&gt;=0,IF(M14&gt;=0,Q13,Q14),IF(M14&gt;=0,S13,Q14))</f>
        <v>735.52274434124524</v>
      </c>
      <c r="T14" s="281">
        <f>IF(M14&gt;=0,M14,0)</f>
        <v>0</v>
      </c>
      <c r="U14" s="281">
        <f t="shared" si="1"/>
        <v>305.01625442740948</v>
      </c>
      <c r="V14" s="282">
        <f>SUM(T14:U14)</f>
        <v>305.01625442740948</v>
      </c>
    </row>
    <row r="15" spans="2:22" s="84" customFormat="1" ht="15" customHeight="1" outlineLevel="1" x14ac:dyDescent="0.3">
      <c r="B15" s="1273" t="s">
        <v>109</v>
      </c>
      <c r="C15" s="84" t="s">
        <v>4</v>
      </c>
      <c r="D15" s="78" t="s">
        <v>33</v>
      </c>
      <c r="E15" s="103"/>
      <c r="F15" s="94">
        <f>IF((F9+F12)&lt;F21,F21-F12-F9,0)</f>
        <v>0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735.52274434124524</v>
      </c>
      <c r="R15" s="281">
        <f t="shared" si="0"/>
        <v>-305.01625442740948</v>
      </c>
      <c r="S15" s="281">
        <f>IF(R15&gt;=0,IF(M15&gt;=0,Q14,Q15),IF(M15&gt;=0,S14,Q15))</f>
        <v>735.52274434124524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73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735.52274434124524</v>
      </c>
      <c r="N16" s="272"/>
      <c r="O16" s="283">
        <f>M16</f>
        <v>735.52274434124524</v>
      </c>
      <c r="P16" s="284"/>
      <c r="Q16" s="285">
        <f>Q15+M16-O16</f>
        <v>735.52274434124524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735.52274434124524</v>
      </c>
    </row>
    <row r="17" spans="2:22" s="84" customFormat="1" ht="15" customHeight="1" outlineLevel="1" x14ac:dyDescent="0.3">
      <c r="B17" s="1273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735.52274434124524</v>
      </c>
      <c r="R17" s="281">
        <f t="shared" si="0"/>
        <v>735.52274434124524</v>
      </c>
      <c r="S17" s="281">
        <f>IF(R17&gt;=0,IF(M17&gt;=0,Q16,Q17),IF(M17&gt;=0,S16,Q17))</f>
        <v>735.52274434124524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73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735.52274434124524</v>
      </c>
      <c r="R18" s="281">
        <f t="shared" si="0"/>
        <v>0</v>
      </c>
      <c r="S18" s="281">
        <f>IF(R18&gt;=0,IF(M18&gt;=0,Q17,Q18),IF(M18&gt;=0,S17,Q18))</f>
        <v>735.52274434124524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911"/>
      <c r="C19" s="376" t="s">
        <v>102</v>
      </c>
      <c r="D19" s="78" t="s">
        <v>32</v>
      </c>
      <c r="E19" s="103"/>
      <c r="F19" s="99">
        <f>F25</f>
        <v>2.9281702157599323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1591.7462460535971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735.52274434124524</v>
      </c>
      <c r="R19" s="281">
        <f t="shared" si="0"/>
        <v>0</v>
      </c>
      <c r="S19" s="281">
        <f>IF(R19&gt;=0,IF(M19&gt;=0,Q18,Q19),IF(M19&gt;=0,S18,Q19))</f>
        <v>735.52274434124524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735.52274434124524</v>
      </c>
      <c r="R20" s="281">
        <f t="shared" si="0"/>
        <v>0</v>
      </c>
      <c r="S20" s="281">
        <f>IF(R20&gt;=0,IF(M20&gt;=0,Q19,Q20),IF(M20&gt;=0,S19,Q20))</f>
        <v>735.52274434124524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73" t="s">
        <v>110</v>
      </c>
      <c r="C21" s="91" t="s">
        <v>37</v>
      </c>
      <c r="D21" s="78" t="s">
        <v>33</v>
      </c>
      <c r="F21" s="94">
        <f>'C-Dados RT4 Simplif.'!C105*'C-Dados RT4 Simplif.'!C130/1000</f>
        <v>21804.537156049621</v>
      </c>
      <c r="H21" s="106"/>
      <c r="L21" s="273" t="s">
        <v>180</v>
      </c>
      <c r="M21" s="294">
        <f>J43*C53</f>
        <v>-123.00035822944253</v>
      </c>
      <c r="N21" s="274"/>
      <c r="O21" s="279"/>
      <c r="P21" s="280"/>
      <c r="Q21" s="281">
        <f>Q20+M21</f>
        <v>612.52238611180269</v>
      </c>
      <c r="R21" s="281">
        <f t="shared" si="0"/>
        <v>0</v>
      </c>
      <c r="S21" s="281">
        <f>IF(R21&gt;=0,IF(M21&gt;=0,Q20,Q21),IF(M21&gt;=0,S20,Q21))</f>
        <v>612.52238611180269</v>
      </c>
      <c r="T21" s="281">
        <f>IF(M21&gt;=0,M21,0)</f>
        <v>0</v>
      </c>
      <c r="U21" s="281">
        <f t="shared" si="1"/>
        <v>123.00035822944253</v>
      </c>
      <c r="V21" s="282">
        <f>SUM(T21:U21)</f>
        <v>123.00035822944253</v>
      </c>
    </row>
    <row r="22" spans="2:22" ht="15" customHeight="1" outlineLevel="1" thickBot="1" x14ac:dyDescent="0.35">
      <c r="B22" s="1273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612.52238611180269</v>
      </c>
      <c r="N22" s="272"/>
      <c r="O22" s="289">
        <f>M22</f>
        <v>612.52238611180269</v>
      </c>
      <c r="P22" s="290"/>
      <c r="Q22" s="291">
        <f>Q21+M22-O22</f>
        <v>612.52238611180269</v>
      </c>
      <c r="R22" s="291">
        <f t="shared" si="0"/>
        <v>-123.00035822944253</v>
      </c>
      <c r="S22" s="291">
        <v>0</v>
      </c>
      <c r="T22" s="291">
        <v>0</v>
      </c>
      <c r="U22" s="291">
        <f t="shared" si="1"/>
        <v>0</v>
      </c>
      <c r="V22" s="292">
        <f>Q22</f>
        <v>612.52238611180269</v>
      </c>
    </row>
    <row r="23" spans="2:22" ht="15" customHeight="1" outlineLevel="1" thickTop="1" x14ac:dyDescent="0.3">
      <c r="B23" s="1273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3">
      <c r="B24" s="1273"/>
      <c r="C24" s="91" t="s">
        <v>111</v>
      </c>
      <c r="D24" s="78" t="s">
        <v>32</v>
      </c>
      <c r="F24" s="426">
        <v>0</v>
      </c>
      <c r="H24" s="106"/>
    </row>
    <row r="25" spans="2:22" ht="15.6" outlineLevel="1" x14ac:dyDescent="0.3">
      <c r="B25" s="911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2.9281702157599323</v>
      </c>
    </row>
    <row r="26" spans="2:22" outlineLevel="1" x14ac:dyDescent="0.3"/>
    <row r="27" spans="2:22" x14ac:dyDescent="0.3">
      <c r="F27" s="109"/>
    </row>
    <row r="28" spans="2:22" s="84" customFormat="1" ht="40.200000000000003" customHeight="1" x14ac:dyDescent="0.3">
      <c r="B28" s="1274" t="s">
        <v>112</v>
      </c>
      <c r="C28" s="1274"/>
      <c r="D28" s="1274"/>
      <c r="E28" s="1274"/>
      <c r="F28" s="1274"/>
      <c r="G28" s="1274"/>
      <c r="H28" s="1274"/>
      <c r="I28" s="1274"/>
      <c r="J28" s="1274"/>
      <c r="K28" s="98"/>
    </row>
    <row r="29" spans="2:22" s="84" customFormat="1" ht="4.95" customHeight="1" outlineLevel="1" x14ac:dyDescent="0.3">
      <c r="D29" s="78"/>
    </row>
    <row r="30" spans="2:22" s="111" customFormat="1" ht="18" outlineLevel="1" x14ac:dyDescent="0.35">
      <c r="B30" s="1260" t="s">
        <v>30</v>
      </c>
      <c r="C30" s="1260"/>
      <c r="D30" s="110"/>
      <c r="F30" s="355"/>
      <c r="H30" s="355"/>
      <c r="J30" s="355"/>
    </row>
    <row r="31" spans="2:22" s="110" customFormat="1" ht="15.6" outlineLevel="1" x14ac:dyDescent="0.3">
      <c r="B31" s="1260"/>
      <c r="C31" s="1260"/>
      <c r="F31" s="112" t="s">
        <v>10</v>
      </c>
      <c r="H31" s="112" t="s">
        <v>10</v>
      </c>
      <c r="J31" s="112" t="s">
        <v>10</v>
      </c>
    </row>
    <row r="32" spans="2:22" ht="4.95" customHeight="1" outlineLevel="1" x14ac:dyDescent="0.3"/>
    <row r="33" spans="2:11" outlineLevel="1" x14ac:dyDescent="0.3">
      <c r="B33" s="1255" t="s">
        <v>27</v>
      </c>
      <c r="C33" s="98" t="s">
        <v>4</v>
      </c>
      <c r="D33" s="113" t="s">
        <v>33</v>
      </c>
      <c r="E33" s="103"/>
      <c r="F33" s="114">
        <f>'C-Dados RT4 Simplif.'!C108</f>
        <v>1068.6593513476564</v>
      </c>
      <c r="G33" s="103"/>
      <c r="H33" s="104">
        <f>H9</f>
        <v>500</v>
      </c>
      <c r="I33" s="115"/>
      <c r="J33" s="116">
        <f>-'RT4)Custos Valoriz E.Elétrica'!C20</f>
        <v>-10.116334425957875</v>
      </c>
      <c r="K33" s="115"/>
    </row>
    <row r="34" spans="2:11" outlineLevel="1" x14ac:dyDescent="0.3">
      <c r="B34" s="1255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5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3">
      <c r="B36" s="1255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-305.01625442740948</v>
      </c>
      <c r="K36" s="115"/>
    </row>
    <row r="37" spans="2:11" outlineLevel="1" x14ac:dyDescent="0.3">
      <c r="B37" s="1255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5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3">
      <c r="B39" s="1255" t="s">
        <v>29</v>
      </c>
      <c r="C39" s="98" t="s">
        <v>4</v>
      </c>
      <c r="D39" s="113" t="s">
        <v>33</v>
      </c>
      <c r="E39" s="103"/>
      <c r="F39" s="269">
        <f>F15</f>
        <v>0</v>
      </c>
      <c r="G39" s="103"/>
      <c r="H39" s="104">
        <f>H15</f>
        <v>549.4</v>
      </c>
      <c r="I39" s="115"/>
      <c r="J39" s="116">
        <f>-'RT4)Custos Valoriz E.Elétrica'!C30</f>
        <v>0</v>
      </c>
      <c r="K39" s="115"/>
    </row>
    <row r="40" spans="2:11" outlineLevel="1" x14ac:dyDescent="0.3">
      <c r="B40" s="1255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outlineLevel="1" x14ac:dyDescent="0.3">
      <c r="B41" s="1255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outlineLevel="1" x14ac:dyDescent="0.3">
      <c r="B42" s="1255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outlineLevel="1" x14ac:dyDescent="0.3">
      <c r="B43" s="912"/>
      <c r="C43" s="98" t="s">
        <v>102</v>
      </c>
      <c r="D43" s="117" t="s">
        <v>32</v>
      </c>
      <c r="E43" s="103"/>
      <c r="F43" s="118">
        <f t="shared" si="2"/>
        <v>2.9281702157599323</v>
      </c>
      <c r="G43" s="103"/>
      <c r="H43" s="104">
        <f>H19</f>
        <v>1591.7462460535971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-123.00035822944253</v>
      </c>
      <c r="K43" s="115"/>
    </row>
    <row r="44" spans="2:11" ht="15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3">
      <c r="B47" s="632"/>
      <c r="C47" s="633"/>
      <c r="D47" s="633"/>
      <c r="E47" s="633"/>
      <c r="F47" s="633"/>
      <c r="G47" s="633"/>
      <c r="H47" s="633"/>
      <c r="I47" s="86"/>
      <c r="J47" s="913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-438.13294708280989</v>
      </c>
      <c r="K49" s="86"/>
    </row>
    <row r="50" spans="2:11" ht="4.95" customHeight="1" x14ac:dyDescent="0.3">
      <c r="B50" s="85"/>
      <c r="C50" s="85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E51" s="127"/>
      <c r="F51" s="85"/>
      <c r="H51" s="420"/>
      <c r="I51" s="129"/>
      <c r="J51" s="351">
        <f>'C-Dados RT4 Simplif.'!C6+(-J33)</f>
        <v>617.3653331946125</v>
      </c>
      <c r="K51" s="416"/>
    </row>
    <row r="52" spans="2:11" ht="4.95" customHeight="1" x14ac:dyDescent="0.3">
      <c r="B52" s="85"/>
      <c r="C52" s="85"/>
      <c r="E52" s="85"/>
      <c r="F52" s="85"/>
      <c r="H52" s="85"/>
      <c r="I52" s="126"/>
      <c r="J52" s="131"/>
      <c r="K52" s="132"/>
    </row>
    <row r="53" spans="2:11" ht="25.2" customHeight="1" x14ac:dyDescent="0.3">
      <c r="B53" s="421" t="s">
        <v>116</v>
      </c>
      <c r="C53" s="656">
        <f>'Demanda Preço &amp; Quantidade'!D10</f>
        <v>1</v>
      </c>
      <c r="E53" s="127"/>
      <c r="F53" s="85"/>
      <c r="H53" s="423"/>
      <c r="I53" s="126"/>
      <c r="J53" s="1254"/>
      <c r="K53" s="1254"/>
    </row>
    <row r="54" spans="2:11" ht="4.95" customHeight="1" x14ac:dyDescent="0.3">
      <c r="B54" s="85"/>
      <c r="C54" s="85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E55" s="127"/>
      <c r="F55" s="85"/>
      <c r="H55" s="425"/>
      <c r="I55" s="86"/>
      <c r="J55" s="136">
        <f>$J$51+J49</f>
        <v>179.23238611180261</v>
      </c>
      <c r="K55" s="137"/>
    </row>
    <row r="56" spans="2:11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sort="0" autoFilter="0" pivotTables="0"/>
  <mergeCells count="16">
    <mergeCell ref="J53:K53"/>
    <mergeCell ref="B33:B34"/>
    <mergeCell ref="B36:B37"/>
    <mergeCell ref="B39:B42"/>
    <mergeCell ref="B30:C31"/>
    <mergeCell ref="B9:B10"/>
    <mergeCell ref="B12:B13"/>
    <mergeCell ref="B15:B18"/>
    <mergeCell ref="B21:B24"/>
    <mergeCell ref="B28:J28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3"/>
      <c r="B2" s="1288" t="s">
        <v>475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3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95" customHeight="1" thickTop="1" x14ac:dyDescent="0.3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3"/>
      <c r="M5" s="777"/>
      <c r="N5" s="1053"/>
      <c r="O5" s="1294" t="s">
        <v>378</v>
      </c>
      <c r="P5" s="1053"/>
      <c r="Q5" s="1294" t="s">
        <v>379</v>
      </c>
      <c r="R5" s="1053"/>
      <c r="S5" s="1294" t="s">
        <v>380</v>
      </c>
      <c r="T5" s="1053"/>
      <c r="U5" s="1294" t="s">
        <v>381</v>
      </c>
      <c r="V5" s="1053"/>
      <c r="W5" s="1294" t="s">
        <v>382</v>
      </c>
      <c r="X5" s="1053"/>
      <c r="Y5" s="1294" t="s">
        <v>383</v>
      </c>
      <c r="Z5" s="1053"/>
      <c r="AA5" s="1053"/>
      <c r="AB5" s="773"/>
    </row>
    <row r="6" spans="1:28" s="774" customFormat="1" ht="19.95" customHeight="1" outlineLevel="1" x14ac:dyDescent="0.3">
      <c r="A6" s="1053"/>
      <c r="B6" s="782" t="s">
        <v>384</v>
      </c>
      <c r="C6" s="783" t="s">
        <v>385</v>
      </c>
      <c r="D6" s="784">
        <f>D7*D8/1000000</f>
        <v>21.063589201400255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3"/>
      <c r="M6" s="789"/>
      <c r="N6" s="790"/>
      <c r="O6" s="1295"/>
      <c r="P6" s="1053"/>
      <c r="Q6" s="1295"/>
      <c r="R6" s="1053"/>
      <c r="S6" s="1295"/>
      <c r="T6" s="1053"/>
      <c r="U6" s="1295"/>
      <c r="V6" s="1053"/>
      <c r="W6" s="1295"/>
      <c r="X6" s="1053"/>
      <c r="Y6" s="1295"/>
      <c r="Z6" s="1053"/>
      <c r="AA6" s="1053"/>
      <c r="AB6" s="773"/>
    </row>
    <row r="7" spans="1:28" s="774" customFormat="1" ht="19.95" customHeight="1" outlineLevel="1" x14ac:dyDescent="0.3">
      <c r="A7" s="1053"/>
      <c r="B7" s="786" t="s">
        <v>387</v>
      </c>
      <c r="C7" s="791" t="s">
        <v>8</v>
      </c>
      <c r="D7" s="792">
        <f>'4)Incineração - E Elétrica'!M22</f>
        <v>612.52238611180269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95" customHeight="1" outlineLevel="1" thickBot="1" x14ac:dyDescent="0.35">
      <c r="A8" s="1053"/>
      <c r="B8" s="786" t="s">
        <v>391</v>
      </c>
      <c r="C8" s="791" t="s">
        <v>5</v>
      </c>
      <c r="D8" s="792">
        <f>'C-Dados RT4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3"/>
      <c r="M8" s="789"/>
      <c r="N8" s="790"/>
      <c r="O8" s="796">
        <f>(O12-O10)/O10</f>
        <v>0</v>
      </c>
      <c r="P8" s="790"/>
      <c r="Q8" s="796">
        <f>(Q12-Q10)/Q10</f>
        <v>5.9292925928744692E-3</v>
      </c>
      <c r="R8" s="790"/>
      <c r="S8" s="796">
        <f>(S12-S10)/S10</f>
        <v>1.5233061901367379E-2</v>
      </c>
      <c r="T8" s="1053"/>
      <c r="U8" s="796">
        <f>(U12-U10)/U10</f>
        <v>1.5233061901367384E-2</v>
      </c>
      <c r="V8" s="1053"/>
      <c r="W8" s="796">
        <f>(W12-W10)/W10</f>
        <v>1.5233061901367384E-2</v>
      </c>
      <c r="X8" s="1053"/>
      <c r="Y8" s="797" t="s">
        <v>393</v>
      </c>
      <c r="Z8" s="1053"/>
      <c r="AA8" s="1053"/>
      <c r="AB8" s="773"/>
    </row>
    <row r="9" spans="1:28" s="774" customFormat="1" ht="19.95" customHeight="1" outlineLevel="1" thickTop="1" x14ac:dyDescent="0.3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95" customHeight="1" outlineLevel="1" x14ac:dyDescent="0.3">
      <c r="A10" s="1053"/>
      <c r="B10" s="801" t="s">
        <v>398</v>
      </c>
      <c r="C10" s="791" t="s">
        <v>399</v>
      </c>
      <c r="D10" s="792">
        <f>D9*30*12*'C-Dados RT4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22.896384756787096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95" customHeight="1" outlineLevel="1" thickBot="1" x14ac:dyDescent="0.35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95" customHeight="1" outlineLevel="1" thickTop="1" thickBot="1" x14ac:dyDescent="0.35">
      <c r="A12" s="1053"/>
      <c r="B12" s="811" t="s">
        <v>406</v>
      </c>
      <c r="C12" s="812" t="s">
        <v>407</v>
      </c>
      <c r="D12" s="813">
        <f>D7/D11</f>
        <v>3.4203284272175831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23.032144121329118</v>
      </c>
      <c r="R12" s="790"/>
      <c r="S12" s="802">
        <f>S33</f>
        <v>34912.115286618908</v>
      </c>
      <c r="T12" s="1053"/>
      <c r="U12" s="802">
        <f>U33</f>
        <v>6252163.3856565878</v>
      </c>
      <c r="V12" s="1053"/>
      <c r="W12" s="802">
        <f>W33</f>
        <v>6252163.3856565878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99999999999999" customHeight="1" outlineLevel="1" thickTop="1" thickBot="1" x14ac:dyDescent="0.35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95" customHeight="1" outlineLevel="1" thickTop="1" x14ac:dyDescent="0.3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95" customHeight="1" outlineLevel="1" x14ac:dyDescent="0.3">
      <c r="A15" s="1053"/>
      <c r="B15" s="824" t="s">
        <v>410</v>
      </c>
      <c r="C15" s="783" t="s">
        <v>1</v>
      </c>
      <c r="D15" s="825">
        <v>1</v>
      </c>
      <c r="E15" s="1053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95" customHeight="1" outlineLevel="1" thickBot="1" x14ac:dyDescent="0.35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280"/>
      <c r="G16" s="1282"/>
      <c r="H16" s="1284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95" customHeight="1" outlineLevel="1" thickTop="1" x14ac:dyDescent="0.3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95" customHeight="1" outlineLevel="1" x14ac:dyDescent="0.3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95" customHeight="1" outlineLevel="1" x14ac:dyDescent="0.3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50000000000003" customHeight="1" outlineLevel="1" x14ac:dyDescent="0.3">
      <c r="A20" s="1053"/>
      <c r="B20" s="833" t="s">
        <v>416</v>
      </c>
      <c r="C20" s="783" t="s">
        <v>385</v>
      </c>
      <c r="D20" s="834">
        <f>D10*D12*(1+D17)*(1+D18)*(1+D19)*D15/1000000</f>
        <v>22.896384756787096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50000000000003" customHeight="1" outlineLevel="1" thickBot="1" x14ac:dyDescent="0.35">
      <c r="A21" s="1053"/>
      <c r="B21" s="835" t="s">
        <v>417</v>
      </c>
      <c r="C21" s="812" t="s">
        <v>407</v>
      </c>
      <c r="D21" s="813">
        <f>D20*1000000/D10</f>
        <v>3.7179397544908537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5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95" customHeight="1" outlineLevel="1" thickTop="1" x14ac:dyDescent="0.3">
      <c r="A23" s="1053"/>
      <c r="B23" s="818" t="s">
        <v>418</v>
      </c>
      <c r="C23" s="819" t="s">
        <v>371</v>
      </c>
      <c r="D23" s="820" t="s">
        <v>372</v>
      </c>
      <c r="E23" s="1053"/>
      <c r="F23" s="1285" t="s">
        <v>419</v>
      </c>
      <c r="G23" s="1286"/>
      <c r="H23" s="1287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95" customHeight="1" outlineLevel="1" x14ac:dyDescent="0.3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133.43736927651011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50000000000003" customHeight="1" outlineLevel="1" thickBot="1" x14ac:dyDescent="0.35">
      <c r="A25" s="1053"/>
      <c r="B25" s="801" t="s">
        <v>423</v>
      </c>
      <c r="C25" s="791" t="s">
        <v>385</v>
      </c>
      <c r="D25" s="828">
        <f>D20</f>
        <v>22.896384756787096</v>
      </c>
      <c r="E25" s="1053"/>
      <c r="F25" s="835" t="s">
        <v>424</v>
      </c>
      <c r="G25" s="812" t="s">
        <v>425</v>
      </c>
      <c r="H25" s="838">
        <f>H24/12</f>
        <v>11.119780773042509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50000000000003" customHeight="1" outlineLevel="1" thickTop="1" thickBot="1" x14ac:dyDescent="0.35">
      <c r="A26" s="1053"/>
      <c r="B26" s="835" t="s">
        <v>426</v>
      </c>
      <c r="C26" s="812" t="s">
        <v>407</v>
      </c>
      <c r="D26" s="813">
        <f>(D25*1000000/(D8*D11))*(1-D24)</f>
        <v>3.7179397544908537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2" customHeight="1" thickTop="1" x14ac:dyDescent="0.3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2" customHeight="1" x14ac:dyDescent="0.3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2" customHeight="1" x14ac:dyDescent="0.3">
      <c r="A29" s="1053"/>
      <c r="B29" s="1296" t="s">
        <v>427</v>
      </c>
      <c r="C29" s="1297"/>
      <c r="D29" s="1297"/>
      <c r="E29" s="1298"/>
      <c r="F29" s="1053"/>
      <c r="G29" s="1053"/>
      <c r="H29" s="777"/>
      <c r="I29" s="1053"/>
      <c r="J29" s="777"/>
      <c r="K29" s="1299" t="s">
        <v>428</v>
      </c>
      <c r="L29" s="1300"/>
      <c r="M29" s="1301"/>
      <c r="N29" s="1053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3"/>
      <c r="AB29" s="773"/>
    </row>
    <row r="30" spans="1:28" s="774" customFormat="1" ht="4.95" customHeight="1" x14ac:dyDescent="0.3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95" customHeight="1" x14ac:dyDescent="0.3">
      <c r="A31" s="1053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3"/>
      <c r="O31" s="1307" t="s">
        <v>433</v>
      </c>
      <c r="P31" s="1053"/>
      <c r="Q31" s="1307" t="s">
        <v>434</v>
      </c>
      <c r="R31" s="1053"/>
      <c r="S31" s="1307" t="s">
        <v>435</v>
      </c>
      <c r="T31" s="1053"/>
      <c r="U31" s="1307" t="s">
        <v>436</v>
      </c>
      <c r="V31" s="1053"/>
      <c r="W31" s="1307" t="s">
        <v>436</v>
      </c>
      <c r="X31" s="1053"/>
      <c r="Y31" s="1307" t="s">
        <v>437</v>
      </c>
      <c r="Z31" s="1053"/>
      <c r="AA31" s="1053"/>
      <c r="AB31" s="773"/>
    </row>
    <row r="32" spans="1:28" s="774" customFormat="1" ht="19.95" customHeight="1" x14ac:dyDescent="0.3">
      <c r="A32" s="1053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133.43736927651011</v>
      </c>
      <c r="M32" s="841">
        <f>H25</f>
        <v>11.119780773042509</v>
      </c>
      <c r="N32" s="842"/>
      <c r="O32" s="1308"/>
      <c r="P32" s="842"/>
      <c r="Q32" s="1308"/>
      <c r="R32" s="842"/>
      <c r="S32" s="1308"/>
      <c r="T32" s="1053"/>
      <c r="U32" s="1308"/>
      <c r="V32" s="1053"/>
      <c r="W32" s="1308"/>
      <c r="X32" s="1053"/>
      <c r="Y32" s="1309"/>
      <c r="Z32" s="1053"/>
      <c r="AA32" s="1053"/>
      <c r="AB32" s="773"/>
    </row>
    <row r="33" spans="1:28" s="774" customFormat="1" ht="15" customHeight="1" x14ac:dyDescent="0.3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23.032144121329118</v>
      </c>
      <c r="R33" s="1053"/>
      <c r="S33" s="802">
        <f>12*S34</f>
        <v>34912.115286618908</v>
      </c>
      <c r="T33" s="1053" t="s">
        <v>438</v>
      </c>
      <c r="U33" s="802">
        <f>12*U34</f>
        <v>6252163.3856565878</v>
      </c>
      <c r="V33" s="1053" t="s">
        <v>439</v>
      </c>
      <c r="W33" s="802">
        <f>12*W34</f>
        <v>6252163.3856565878</v>
      </c>
      <c r="X33" s="1053" t="s">
        <v>439</v>
      </c>
      <c r="Y33" s="1320">
        <v>0.1</v>
      </c>
      <c r="Z33" s="1053"/>
      <c r="AA33" s="1053"/>
      <c r="AB33" s="773"/>
    </row>
    <row r="34" spans="1:28" s="774" customFormat="1" ht="34.950000000000003" customHeight="1" outlineLevel="1" x14ac:dyDescent="0.3">
      <c r="A34" s="1053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2909.3429405515758</v>
      </c>
      <c r="T34" s="1053" t="s">
        <v>441</v>
      </c>
      <c r="U34" s="802">
        <f>U36+U49+U62+U75+U88</f>
        <v>521013.61547138228</v>
      </c>
      <c r="V34" s="1053" t="s">
        <v>442</v>
      </c>
      <c r="W34" s="802">
        <f>W36+W49+W62+W75+W88</f>
        <v>521013.61547138228</v>
      </c>
      <c r="X34" s="1053" t="s">
        <v>442</v>
      </c>
      <c r="Y34" s="1321"/>
      <c r="Z34" s="1053"/>
      <c r="AA34" s="1053"/>
      <c r="AB34" s="773"/>
    </row>
    <row r="35" spans="1:28" s="774" customFormat="1" ht="25.2" customHeight="1" outlineLevel="1" x14ac:dyDescent="0.3">
      <c r="A35" s="1053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16.588454207909898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3">
      <c r="A36" s="1053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3"/>
      <c r="O36" s="802">
        <f>O39+O41+O42+O43+O44+O45</f>
        <v>40</v>
      </c>
      <c r="P36" s="1053"/>
      <c r="Q36" s="849">
        <f>Q39+Q41+Q42+Q43+Q44+Q45</f>
        <v>663.53816831639597</v>
      </c>
      <c r="R36" s="1053"/>
      <c r="S36" s="1310">
        <f>IF(AND(Q36&lt;&gt;0,O36&lt;&gt;0),Q36*(1-D17-D18-D19)/(($D$25*1000000/$D$8)),0)</f>
        <v>0.9118649016968744</v>
      </c>
      <c r="T36" s="1335" t="s">
        <v>448</v>
      </c>
      <c r="U36" s="1310">
        <f>U39+U41+U42+U43+U44+U45</f>
        <v>163.29942497754257</v>
      </c>
      <c r="V36" s="1053" t="s">
        <v>449</v>
      </c>
      <c r="W36" s="1310">
        <f>W39*O39+W41*O41+W42*O42+W43*O43+W44*O44+W45*O45</f>
        <v>163.29942497754257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3">
      <c r="A37" s="1053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3"/>
      <c r="O37" s="855" t="s">
        <v>455</v>
      </c>
      <c r="P37" s="1053"/>
      <c r="Q37" s="856">
        <v>0.75</v>
      </c>
      <c r="R37" s="1053"/>
      <c r="S37" s="1334"/>
      <c r="T37" s="1336"/>
      <c r="U37" s="1334"/>
      <c r="V37" s="1053"/>
      <c r="W37" s="1311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3">
      <c r="A38" s="1053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3">
      <c r="A39" s="1053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33.359342319127528</v>
      </c>
      <c r="K39" s="872">
        <f>$M$32*H39*$B$38*$C$38</f>
        <v>2.7799451932606272</v>
      </c>
      <c r="L39" s="871">
        <f>J39*$D$38</f>
        <v>41.699177898909412</v>
      </c>
      <c r="M39" s="872">
        <f>K39*$D$38</f>
        <v>3.4749314915757838</v>
      </c>
      <c r="N39" s="1053"/>
      <c r="O39" s="873">
        <v>2</v>
      </c>
      <c r="P39" s="1053"/>
      <c r="Q39" s="874">
        <f>O39*$Q$37*M39+O39*(1-$Q$37)*K39</f>
        <v>6.6023698339939889</v>
      </c>
      <c r="R39" s="1053"/>
      <c r="S39" s="875">
        <f>IF(AND(Q39&lt;&gt;0,O39&lt;&gt;0),Q39*(1-D17-D18-D19)/O39/30/(($D$25*1000000/$D$8))*1000,0)</f>
        <v>0.15122137673248329</v>
      </c>
      <c r="T39" s="1053" t="s">
        <v>459</v>
      </c>
      <c r="U39" s="876">
        <f>S39*O39*30*$D$11*(1+$D$24)/1000</f>
        <v>1.624869900274055</v>
      </c>
      <c r="V39" s="1053" t="s">
        <v>460</v>
      </c>
      <c r="W39" s="876">
        <f>IF(O39&lt;&gt;0,U39/O39,0)</f>
        <v>0.81243495013702749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3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3">
      <c r="A41" s="1053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96.742092725469831</v>
      </c>
      <c r="K41" s="872">
        <f>$M$32*(H39+(G41-F41)*H41)*$B$38*$C$38</f>
        <v>8.0618410604558193</v>
      </c>
      <c r="L41" s="871">
        <f t="shared" ref="L41:M45" si="0">J41*$D$38</f>
        <v>120.92761590683729</v>
      </c>
      <c r="M41" s="872">
        <f t="shared" si="0"/>
        <v>10.077301325569774</v>
      </c>
      <c r="N41" s="1053"/>
      <c r="O41" s="873">
        <v>2</v>
      </c>
      <c r="P41" s="1053"/>
      <c r="Q41" s="874">
        <f>O41*$Q$37*M41+O41*(1-$Q$37)*K41</f>
        <v>19.146872518582569</v>
      </c>
      <c r="R41" s="1053"/>
      <c r="S41" s="875">
        <f>IF(AND(Q41&lt;&gt;0,O41&lt;&gt;0),Q41*(1-D17-D18-D19)/O41/30/(($D$25*1000000/$D$8))*1000,0)</f>
        <v>0.43854199252420162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3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163.4607773637249</v>
      </c>
      <c r="K42" s="872">
        <f>$M$32*(H39+(G41-F41)*H41+(G42-F42)*H42)*$B$38*$C$38</f>
        <v>13.621731446977074</v>
      </c>
      <c r="L42" s="871">
        <f t="shared" si="0"/>
        <v>204.32597170465613</v>
      </c>
      <c r="M42" s="872">
        <f t="shared" si="0"/>
        <v>17.027164308721343</v>
      </c>
      <c r="N42" s="1053"/>
      <c r="O42" s="873">
        <v>28</v>
      </c>
      <c r="P42" s="1053"/>
      <c r="Q42" s="874">
        <f>O42*$Q$37*M42+O42*(1-$Q$37)*K42</f>
        <v>452.92257061198768</v>
      </c>
      <c r="R42" s="1053"/>
      <c r="S42" s="875">
        <f>IF(AND(Q42&lt;&gt;0,O42&lt;&gt;0),Q42*(1-D17-D18-D19)/O42/30/(($D$25*1000000/$D$8))*1000,0)</f>
        <v>0.74098474598916819</v>
      </c>
      <c r="T42" s="1053" t="s">
        <v>459</v>
      </c>
      <c r="U42" s="876">
        <f>S42*O42*30*$D$11*(1+$D$24)/1000</f>
        <v>111.46607515880019</v>
      </c>
      <c r="V42" s="1053" t="s">
        <v>460</v>
      </c>
      <c r="W42" s="876">
        <f>IF(O42&lt;&gt;0,U42/O42,0)</f>
        <v>3.9809312556714356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3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233.51539623389269</v>
      </c>
      <c r="K43" s="872">
        <f>$M$32*(H39+(G41-F41)*H41+(G42-F42)*H42+(G43-F43)*H43)*$B$38*$C$38</f>
        <v>19.459616352824391</v>
      </c>
      <c r="L43" s="871">
        <f t="shared" si="0"/>
        <v>291.89424529236584</v>
      </c>
      <c r="M43" s="872">
        <f t="shared" si="0"/>
        <v>24.324520441030486</v>
      </c>
      <c r="N43" s="1053"/>
      <c r="O43" s="873">
        <v>8</v>
      </c>
      <c r="P43" s="1053"/>
      <c r="Q43" s="874">
        <f>O43*$Q$37*M43+O43*(1-$Q$37)*K43</f>
        <v>184.86635535183171</v>
      </c>
      <c r="R43" s="1053"/>
      <c r="S43" s="875">
        <f>IF(AND(Q43&lt;&gt;0,O43&lt;&gt;0),Q43*(1-D17-D18-D19)/O43/30/(($D$25*1000000/$D$8))*1000,0)</f>
        <v>1.0585496371273833</v>
      </c>
      <c r="T43" s="1053" t="s">
        <v>459</v>
      </c>
      <c r="U43" s="876">
        <f>S43*O43*30*$D$11*(1+$D$24)/1000</f>
        <v>45.496357207673562</v>
      </c>
      <c r="V43" s="1053" t="s">
        <v>460</v>
      </c>
      <c r="W43" s="876">
        <f>IF(O43&lt;&gt;0,U43/O43,0)</f>
        <v>5.6870446509591952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3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343.60122588701358</v>
      </c>
      <c r="K44" s="872">
        <f>$M$32*(H39+(G41-F41)*H41+(G42-F42)*H42+(G43-F43)*H43+(G44-F44)*H44)*$B$38*$C$38</f>
        <v>28.633435490584461</v>
      </c>
      <c r="L44" s="871">
        <f t="shared" si="0"/>
        <v>429.50153235876701</v>
      </c>
      <c r="M44" s="872">
        <f t="shared" si="0"/>
        <v>35.791794363230579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3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727.23366255698011</v>
      </c>
      <c r="K45" s="872">
        <f>$M$32*(H39+(G41-F41)*H41+(G42-F42)*H42+(G43-F43)*H43+(G44-F44)*H44+(G45-F45)*H45)*$B$38*$C$38</f>
        <v>60.602805213081673</v>
      </c>
      <c r="L45" s="871">
        <f t="shared" si="0"/>
        <v>909.04207819622513</v>
      </c>
      <c r="M45" s="872">
        <f t="shared" si="0"/>
        <v>75.75350651635209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50000000000003" customHeight="1" outlineLevel="1" x14ac:dyDescent="0.3">
      <c r="A47" s="1053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13.256762669889534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3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3"/>
      <c r="O49" s="802">
        <f>O52+O54+O55+O56+O57+O58</f>
        <v>127341</v>
      </c>
      <c r="P49" s="1053"/>
      <c r="Q49" s="890">
        <f>Q52+Q54+Q55+Q56+Q57+Q58</f>
        <v>1688129.4151464032</v>
      </c>
      <c r="R49" s="1053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415455.47180887189</v>
      </c>
      <c r="V49" s="1053" t="s">
        <v>449</v>
      </c>
      <c r="W49" s="1338">
        <f>W52*O52+W54*O54+W55*O55+W56*O56+W57*O57+W58*O58</f>
        <v>415455.47180887189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3">
      <c r="A50" s="1053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3"/>
      <c r="O50" s="891" t="s">
        <v>455</v>
      </c>
      <c r="P50" s="1053"/>
      <c r="Q50" s="856">
        <v>0.75</v>
      </c>
      <c r="R50" s="1053"/>
      <c r="S50" s="1334"/>
      <c r="T50" s="1336"/>
      <c r="U50" s="1334"/>
      <c r="V50" s="1053"/>
      <c r="W50" s="1339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3">
      <c r="A51" s="1053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3">
      <c r="A52" s="1053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46.786477602576362</v>
      </c>
      <c r="K52" s="872">
        <f>$M$32*H52*$B$51*$C$51</f>
        <v>3.89887313354803</v>
      </c>
      <c r="L52" s="871">
        <f>J52*$D$51</f>
        <v>58.48309700322045</v>
      </c>
      <c r="M52" s="872">
        <f>K52*$D$51</f>
        <v>4.8735914169350378</v>
      </c>
      <c r="N52" s="1053"/>
      <c r="O52" s="873">
        <v>62341</v>
      </c>
      <c r="P52" s="1053"/>
      <c r="Q52" s="874">
        <f>O52*$Q$50*M52+O52*(1-$Q$50)*K52</f>
        <v>288633.33439698984</v>
      </c>
      <c r="R52" s="1053"/>
      <c r="S52" s="875">
        <f>IF(AND(Q52&lt;&gt;0,O52&lt;&gt;0),Q52*(1-D17-D18-D19)/O52/30/(($D$25*1000000/$D$8))*1000,0)</f>
        <v>0.2120879808673079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3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3">
      <c r="A54" s="1053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148.86606509910658</v>
      </c>
      <c r="K54" s="872">
        <f>$M$32*(H52+(G54-F54)*H54)*$B$51*$C$51</f>
        <v>12.405505424925549</v>
      </c>
      <c r="L54" s="871">
        <f t="shared" ref="L54:M58" si="1">J54*$D$51</f>
        <v>186.08258137388322</v>
      </c>
      <c r="M54" s="872">
        <f t="shared" si="1"/>
        <v>15.506881781156936</v>
      </c>
      <c r="N54" s="1053"/>
      <c r="O54" s="873">
        <v>42500</v>
      </c>
      <c r="P54" s="1053"/>
      <c r="Q54" s="874">
        <f>O54*$Q$50*M54+O54*(1-$Q$50)*K54</f>
        <v>626090.35191421129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3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255.19896874132556</v>
      </c>
      <c r="K55" s="872">
        <f>$M$32*(H52+(G54-F54)*H54+(G55-F55)*H55)*$B$51*$C$51</f>
        <v>21.266580728443799</v>
      </c>
      <c r="L55" s="871">
        <f t="shared" si="1"/>
        <v>318.99871092665694</v>
      </c>
      <c r="M55" s="872">
        <f t="shared" si="1"/>
        <v>26.583225910554749</v>
      </c>
      <c r="N55" s="1053"/>
      <c r="O55" s="873">
        <v>10000</v>
      </c>
      <c r="P55" s="1053"/>
      <c r="Q55" s="874">
        <f>O55*$Q$50*M55+O55*(1-$Q$50)*K55</f>
        <v>252540.64615027013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3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421.07829842318722</v>
      </c>
      <c r="K56" s="872">
        <f>$M$32*(H52+(G54-F54)*H54+(G55-F55)*H55+(G56-F56)*H56)*$B$51*$C$51</f>
        <v>35.089858201932266</v>
      </c>
      <c r="L56" s="871">
        <f t="shared" si="1"/>
        <v>526.34787302898405</v>
      </c>
      <c r="M56" s="872">
        <f t="shared" si="1"/>
        <v>43.862322752415331</v>
      </c>
      <c r="N56" s="1053"/>
      <c r="O56" s="873">
        <v>12500</v>
      </c>
      <c r="P56" s="1053"/>
      <c r="Q56" s="874">
        <f>O56*$Q$50*M56+O56*(1-$Q$50)*K56</f>
        <v>520865.08268493204</v>
      </c>
      <c r="R56" s="1053"/>
      <c r="S56" s="875">
        <f>IF(AND(Q56&lt;&gt;0,O56&lt;&gt;0),Q56*(1-D17-D18-D19)/O56/30/(($D$25*1000000/$D$8))*1000,0)</f>
        <v>1.9087918278057705</v>
      </c>
      <c r="T56" s="1053" t="s">
        <v>459</v>
      </c>
      <c r="U56" s="876">
        <f>S56*O56*30*$D$11*(1+$D$24)/1000</f>
        <v>128187.0019763079</v>
      </c>
      <c r="V56" s="1053" t="s">
        <v>460</v>
      </c>
      <c r="W56" s="895">
        <f>IF(O56&lt;&gt;0,U56/O56,0)</f>
        <v>10.254960158104632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3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867.67649372050698</v>
      </c>
      <c r="K57" s="872">
        <f>$M$32*(H52+(G54-F54)*H54+(G55-F55)*H55+(G56-F56)*H56+(G57-F57)*H57)*$B$51*$C$51</f>
        <v>72.30637447670891</v>
      </c>
      <c r="L57" s="871">
        <f t="shared" si="1"/>
        <v>1084.5956171506336</v>
      </c>
      <c r="M57" s="872">
        <f t="shared" si="1"/>
        <v>90.382968095886142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3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1824.6726265004779</v>
      </c>
      <c r="K58" s="872">
        <f>$M$32*(H52+(G54-F54)*H54+(G55-F55)*H55+(G56-F56)*H56+(G57-F57)*H57+(G58-F58)*H58)*$B$51*$C$51</f>
        <v>152.05605220837313</v>
      </c>
      <c r="L58" s="871">
        <f t="shared" si="1"/>
        <v>2280.8407831255972</v>
      </c>
      <c r="M58" s="872">
        <f t="shared" si="1"/>
        <v>190.07006526046641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50000000000003" customHeight="1" outlineLevel="1" x14ac:dyDescent="0.3">
      <c r="A60" s="1053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4.6575921381281029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3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3"/>
      <c r="O62" s="802">
        <f>O65+O67+O68+O69+O70+O71</f>
        <v>42447</v>
      </c>
      <c r="P62" s="1053"/>
      <c r="Q62" s="849">
        <f>Q65+Q67+Q68+Q69+Q70+Q71</f>
        <v>197700.81348712358</v>
      </c>
      <c r="R62" s="1053"/>
      <c r="S62" s="1310">
        <f>IF(AND(Q62&lt;&gt;0,O62&lt;&gt;0),Q62*(1-D17-D18-D19)/(H15)/(($D$25*1000000/$D$8)),0)</f>
        <v>543.37924015206477</v>
      </c>
      <c r="T62" s="1335" t="s">
        <v>448</v>
      </c>
      <c r="U62" s="1310">
        <f>U65+U67+U68+U69+U70+U71</f>
        <v>97309.938452991701</v>
      </c>
      <c r="V62" s="1053" t="s">
        <v>449</v>
      </c>
      <c r="W62" s="1310">
        <f>W65*O65+W67*O67+W68*O68+W69*O69+W70*O70+W71*O71</f>
        <v>97309.938452991701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3">
      <c r="A63" s="1053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3"/>
      <c r="O63" s="891" t="s">
        <v>455</v>
      </c>
      <c r="P63" s="1053"/>
      <c r="Q63" s="856">
        <v>0.75</v>
      </c>
      <c r="R63" s="1053"/>
      <c r="S63" s="1334"/>
      <c r="T63" s="1336"/>
      <c r="U63" s="1334"/>
      <c r="V63" s="1053"/>
      <c r="W63" s="1311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3">
      <c r="A64" s="1053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3">
      <c r="A65" s="1053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23.393238801288181</v>
      </c>
      <c r="K65" s="872">
        <f>$M$32*H65*$B$64*$C$64</f>
        <v>1.949436566774015</v>
      </c>
      <c r="L65" s="871">
        <f>J65*$D$51</f>
        <v>29.241548501610225</v>
      </c>
      <c r="M65" s="872">
        <f>K65*$D$51</f>
        <v>2.4367957084675189</v>
      </c>
      <c r="N65" s="1053"/>
      <c r="O65" s="873">
        <v>25947</v>
      </c>
      <c r="P65" s="1053"/>
      <c r="Q65" s="874">
        <f>O65*$Q$63*M65+O65*(1-$Q$63)*K65</f>
        <v>60066.161335226381</v>
      </c>
      <c r="R65" s="1053"/>
      <c r="S65" s="875">
        <f>IF(AND(Q65&lt;&gt;0,O65&lt;&gt;0),Q65*(1-D17-D18-D19)/(H15)/O65/30/(($D$25*1000000/$D$8))*1000,0)</f>
        <v>0.21208798086730785</v>
      </c>
      <c r="T65" s="1053" t="s">
        <v>459</v>
      </c>
      <c r="U65" s="876">
        <f>S65*O65*30*$D$11*(1+$D$24)/1000</f>
        <v>29565.050135815654</v>
      </c>
      <c r="V65" s="1053" t="s">
        <v>460</v>
      </c>
      <c r="W65" s="876">
        <f>IF(O65&lt;&gt;0,U65/O65,0)</f>
        <v>1.1394400175671813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3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3">
      <c r="A67" s="1053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74.433032549553289</v>
      </c>
      <c r="K67" s="872">
        <f>$M$32*(H65+(G67-F67)*H67)*$B$64*$C$64</f>
        <v>6.2027527124627744</v>
      </c>
      <c r="L67" s="871">
        <f t="shared" ref="L67:M71" si="3">J67*$D$51</f>
        <v>93.041290686941608</v>
      </c>
      <c r="M67" s="872">
        <f t="shared" si="3"/>
        <v>7.7534408905784682</v>
      </c>
      <c r="N67" s="1053"/>
      <c r="O67" s="873">
        <v>15000</v>
      </c>
      <c r="P67" s="1053"/>
      <c r="Q67" s="874">
        <f>O67*$Q$63*M67+O67*(1-$Q$63)*K67</f>
        <v>110486.53269074316</v>
      </c>
      <c r="R67" s="1053"/>
      <c r="S67" s="875">
        <f>IF(AND(Q67&lt;&gt;0,O67&lt;&gt;0),Q67*(1-D17-D18-D19)/O67/30/(H15)/(($D$25*1000000/$D$8))*1000,0)</f>
        <v>0.67482539366870664</v>
      </c>
      <c r="T67" s="1053" t="s">
        <v>459</v>
      </c>
      <c r="U67" s="876">
        <f>S67*O67*30*$D$11*(1+$D$24)/1000</f>
        <v>54382.364474797287</v>
      </c>
      <c r="V67" s="1053" t="s">
        <v>460</v>
      </c>
      <c r="W67" s="876">
        <f>IF(O67&lt;&gt;0,U67/O67,0)</f>
        <v>3.6254909649864859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3.6254909649864859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3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127.59948437066278</v>
      </c>
      <c r="K68" s="872">
        <f>$M$32*(H65+(G67-F67)*H67+(G68-F68)*H68)*$B$64*$C$64</f>
        <v>10.633290364221899</v>
      </c>
      <c r="L68" s="871">
        <f t="shared" si="3"/>
        <v>159.49935546332847</v>
      </c>
      <c r="M68" s="872">
        <f t="shared" si="3"/>
        <v>13.291612955277374</v>
      </c>
      <c r="N68" s="1053"/>
      <c r="O68" s="873">
        <v>500</v>
      </c>
      <c r="P68" s="1053"/>
      <c r="Q68" s="874">
        <f>O68*$Q$63*M68+O68*(1-$Q$63)*K68</f>
        <v>6313.5161537567528</v>
      </c>
      <c r="R68" s="1053"/>
      <c r="S68" s="875">
        <f>IF(AND(Q68&lt;&gt;0,O68&lt;&gt;0),Q68*(1-D17-D18-D19)/O68/30/(H15)/(($D$25*1000000/$D$8))*1000,0)</f>
        <v>1.1568435320034973</v>
      </c>
      <c r="T68" s="1053" t="s">
        <v>459</v>
      </c>
      <c r="U68" s="876">
        <f>S68*O68*30*$D$11*(1+$D$24)/1000</f>
        <v>3107.563684274131</v>
      </c>
      <c r="V68" s="1053" t="s">
        <v>460</v>
      </c>
      <c r="W68" s="876">
        <f>IF(O68&lt;&gt;0,U68/O68,0)</f>
        <v>6.215127368548262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3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210.53914921159361</v>
      </c>
      <c r="K69" s="872">
        <f>$M$32*(H65+(G67-F67)*H67+(G68-F68)*H68+(G69-F69)*H69)*$B$64*$C$64</f>
        <v>17.544929100966133</v>
      </c>
      <c r="L69" s="871">
        <f t="shared" si="3"/>
        <v>263.17393651449203</v>
      </c>
      <c r="M69" s="872">
        <f t="shared" si="3"/>
        <v>21.931161376207665</v>
      </c>
      <c r="N69" s="1053"/>
      <c r="O69" s="873">
        <v>1000</v>
      </c>
      <c r="P69" s="1053"/>
      <c r="Q69" s="874">
        <f>O69*$Q$63*M69+O69*(1-$Q$63)*K69</f>
        <v>20834.603307397279</v>
      </c>
      <c r="R69" s="1053"/>
      <c r="S69" s="875">
        <f>IF(AND(Q69&lt;&gt;0,O69&lt;&gt;0),Q69*(1-D17-D18-D19)/O69/30/(H15)/(($D$25*1000000/$D$8))*1000,0)</f>
        <v>1.9087918278057705</v>
      </c>
      <c r="T69" s="1053" t="s">
        <v>459</v>
      </c>
      <c r="U69" s="876">
        <f>S69*O69*30*$D$11*(1+$D$24)/1000</f>
        <v>10254.960158104632</v>
      </c>
      <c r="V69" s="1053" t="s">
        <v>460</v>
      </c>
      <c r="W69" s="876">
        <f>IF(O69&lt;&gt;0,U69/O69,0)</f>
        <v>10.254960158104632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20.509920316209264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3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433.83824686025349</v>
      </c>
      <c r="K70" s="872">
        <f>$M$32*(H65+(G67-F67)*H67+(G68-F68)*H68+(G69-F69)*H69+(G70-F70)*H70)*$B$64*$C$64</f>
        <v>36.153187238354455</v>
      </c>
      <c r="L70" s="871">
        <f t="shared" si="3"/>
        <v>542.29780857531682</v>
      </c>
      <c r="M70" s="872">
        <f t="shared" si="3"/>
        <v>45.191484047943071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3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912.33631325023896</v>
      </c>
      <c r="K71" s="872">
        <f>$M$32*(H65+(G67-F67)*H67+(G68-F68)*H68+(G69-F69)*H69+(G70-F70)*H70+(G71-F71)*H71)*$B$64*$C$64</f>
        <v>76.028026104186566</v>
      </c>
      <c r="L71" s="871">
        <f t="shared" si="3"/>
        <v>1140.4203915627986</v>
      </c>
      <c r="M71" s="872">
        <f t="shared" si="3"/>
        <v>95.035032630233204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50000000000003" customHeight="1" outlineLevel="1" x14ac:dyDescent="0.3">
      <c r="A73" s="1053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18.410031359050674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3"/>
      <c r="O75" s="802">
        <f>O78+O80+O81+O82+O83+O84</f>
        <v>1741</v>
      </c>
      <c r="P75" s="1053"/>
      <c r="Q75" s="849">
        <f>Q78+Q80+Q81+Q82+Q83+Q84</f>
        <v>32051.864596107225</v>
      </c>
      <c r="R75" s="1053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7888.0934178704319</v>
      </c>
      <c r="V75" s="1053" t="s">
        <v>449</v>
      </c>
      <c r="W75" s="131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3"/>
      <c r="O76" s="891" t="s">
        <v>455</v>
      </c>
      <c r="P76" s="1053"/>
      <c r="Q76" s="856">
        <v>0.75</v>
      </c>
      <c r="R76" s="1053"/>
      <c r="S76" s="1334"/>
      <c r="T76" s="1336"/>
      <c r="U76" s="1334"/>
      <c r="V76" s="1053"/>
      <c r="W76" s="1311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3">
      <c r="A78" s="1053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45.035112130822164</v>
      </c>
      <c r="K78" s="872">
        <f>$M$32*H78*$B$77*$C$77</f>
        <v>3.752926010901847</v>
      </c>
      <c r="L78" s="871">
        <f>J78*$D$77</f>
        <v>56.293890163527706</v>
      </c>
      <c r="M78" s="872">
        <f>K78*$D$77</f>
        <v>4.6911575136273083</v>
      </c>
      <c r="N78" s="1053"/>
      <c r="O78" s="873">
        <v>264</v>
      </c>
      <c r="P78" s="1053"/>
      <c r="Q78" s="874">
        <f>O78*$Q$76*M78+O78*(1-$Q$76)*K78</f>
        <v>1176.5423044177289</v>
      </c>
      <c r="R78" s="1053"/>
      <c r="S78" s="875">
        <f>IF(AND(Q78&lt;&gt;0,O78&lt;&gt;0),Q78*(1-D17-D18-D19)/O78/30/(($D$25*1000000/$D$8))*1000,0)</f>
        <v>0.20414885858885248</v>
      </c>
      <c r="T78" s="1053" t="s">
        <v>459</v>
      </c>
      <c r="U78" s="876">
        <f>S78*O78*30*$D$11*(1+$D$24)/1000</f>
        <v>289.55181622883674</v>
      </c>
      <c r="V78" s="1053" t="s">
        <v>460</v>
      </c>
      <c r="W78" s="876">
        <f>IF(O78&lt;&gt;0,U78/O78,0)</f>
        <v>1.0967871826849878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3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3">
      <c r="A80" s="1053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165.12874447968125</v>
      </c>
      <c r="K80" s="872">
        <f>$M$32*(H78+(G80-F80)*H80)*$B$77*$C$77</f>
        <v>13.760728706640105</v>
      </c>
      <c r="L80" s="871">
        <f t="shared" ref="L80:M84" si="4">J80*$D$77</f>
        <v>206.41093059960156</v>
      </c>
      <c r="M80" s="872">
        <f t="shared" si="4"/>
        <v>17.200910883300132</v>
      </c>
      <c r="N80" s="1053"/>
      <c r="O80" s="873">
        <v>994</v>
      </c>
      <c r="P80" s="1053"/>
      <c r="Q80" s="874">
        <f>O80*$Q$76*M80+O80*(1-$Q$76)*K80</f>
        <v>16242.820147100316</v>
      </c>
      <c r="R80" s="1053"/>
      <c r="S80" s="875">
        <f>IF(AND(Q80&lt;&gt;0,O80&lt;&gt;0),Q80*(1-D17-D18-D19)/O80/30/(($D$25*1000000/$D$8))*1000,0)</f>
        <v>0.74854581482579252</v>
      </c>
      <c r="T80" s="1053" t="s">
        <v>459</v>
      </c>
      <c r="U80" s="876">
        <f>S80*O80*30*$D$11*(1+$D$24)/1000</f>
        <v>3997.4236851592182</v>
      </c>
      <c r="V80" s="1053" t="s">
        <v>460</v>
      </c>
      <c r="W80" s="876">
        <f>IF(O80&lt;&gt;0,U80/O80,0)</f>
        <v>4.0215530031782878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3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250.19506739345647</v>
      </c>
      <c r="K81" s="872">
        <f>$M$32*(H78+(G80-F80)*H80+(G81-F81)*H81)*$B$77*$C$77</f>
        <v>20.849588949454702</v>
      </c>
      <c r="L81" s="871">
        <f t="shared" si="4"/>
        <v>312.74383424182059</v>
      </c>
      <c r="M81" s="872">
        <f t="shared" si="4"/>
        <v>26.061986186818377</v>
      </c>
      <c r="N81" s="1053"/>
      <c r="O81" s="873">
        <v>183</v>
      </c>
      <c r="P81" s="1053"/>
      <c r="Q81" s="874">
        <f>O81*$Q$76*M81+O81*(1-$Q$76)*K81</f>
        <v>4530.8762985783751</v>
      </c>
      <c r="R81" s="1053"/>
      <c r="S81" s="875">
        <f>IF(AND(Q81&lt;&gt;0,O81&lt;&gt;0),Q81*(1-D17-D18-D19)/O81/30/(($D$25*1000000/$D$8))*1000,0)</f>
        <v>1.1341603254936248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3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340.26529165510078</v>
      </c>
      <c r="K82" s="872">
        <f>$M$32*(H78+(G80-F80)*H80+(G81-F81)*H81+(G82-F82)*H82)*$B$77*$C$77</f>
        <v>28.355440971258396</v>
      </c>
      <c r="L82" s="871">
        <f t="shared" si="4"/>
        <v>425.33161456887598</v>
      </c>
      <c r="M82" s="872">
        <f t="shared" si="4"/>
        <v>35.444301214072993</v>
      </c>
      <c r="N82" s="1053"/>
      <c r="O82" s="873">
        <v>300</v>
      </c>
      <c r="P82" s="1053"/>
      <c r="Q82" s="874">
        <f>O82*$Q$76*M82+O82*(1-$Q$76)*K82</f>
        <v>10101.625846010804</v>
      </c>
      <c r="R82" s="1053"/>
      <c r="S82" s="875">
        <f>IF(AND(Q82&lt;&gt;0,O82&lt;&gt;0),Q82*(1-D17-D18-D19)/O82/30/(($D$25*1000000/$D$8))*1000,0)</f>
        <v>1.5424580426713299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3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482.87648006937098</v>
      </c>
      <c r="K83" s="872">
        <f>$M$32*(H78+(G80-F80)*H80+(G81-F81)*H81+(G82-F82)*H82+(G83-F83)*H83)*$B$77*$C$77</f>
        <v>40.239706672447582</v>
      </c>
      <c r="L83" s="871">
        <f t="shared" si="4"/>
        <v>603.59560008671372</v>
      </c>
      <c r="M83" s="872">
        <f t="shared" si="4"/>
        <v>50.299633340559481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3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933.22760137759258</v>
      </c>
      <c r="K84" s="872">
        <f>$M$32*(H78+(G80-F80)*H80+(G81-F81)*H81+(G82-F82)*H82+(G83-F83)*H83+(G84-F84)*H84)*$B$77*$C$77</f>
        <v>77.768966781466034</v>
      </c>
      <c r="L84" s="871">
        <f t="shared" si="4"/>
        <v>1166.5345017219906</v>
      </c>
      <c r="M84" s="872">
        <f t="shared" si="4"/>
        <v>97.211208476832539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50000000000003" customHeight="1" outlineLevel="1" x14ac:dyDescent="0.3">
      <c r="A86" s="1053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39.985602307126094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3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3"/>
      <c r="O88" s="877">
        <f>O91+O93+O94+O95+O96</f>
        <v>20</v>
      </c>
      <c r="P88" s="1053"/>
      <c r="Q88" s="849">
        <f>Q91+Q93+Q94+Q95+Q96</f>
        <v>799.7120461425219</v>
      </c>
      <c r="R88" s="1053"/>
      <c r="S88" s="1310">
        <f>IF(AND(Q88&lt;&gt;0,O88&lt;&gt;0),Q88*(1-D17-D18-D19)/(($D$25*1000000/$D$8)),0)</f>
        <v>1.0990013554033222</v>
      </c>
      <c r="T88" s="1335" t="s">
        <v>448</v>
      </c>
      <c r="U88" s="1310">
        <f>U91+U93+U94+U95+U96+Z97</f>
        <v>196.81236667069493</v>
      </c>
      <c r="V88" s="1053" t="s">
        <v>449</v>
      </c>
      <c r="W88" s="1310">
        <f>W91*O91+W93*O93+W94*O94+W95*O95+W96*O96</f>
        <v>196.81236667069493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3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3"/>
      <c r="O89" s="891" t="s">
        <v>455</v>
      </c>
      <c r="P89" s="1053"/>
      <c r="Q89" s="856">
        <v>0.75</v>
      </c>
      <c r="R89" s="1053"/>
      <c r="S89" s="1334"/>
      <c r="T89" s="1336"/>
      <c r="U89" s="1334"/>
      <c r="V89" s="1053"/>
      <c r="W89" s="1311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3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3">
      <c r="A91" s="1053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35.0273094350839</v>
      </c>
      <c r="K91" s="872">
        <f>$M$32*H91*$B$90*$C$90</f>
        <v>2.9189424529236585</v>
      </c>
      <c r="L91" s="871">
        <f>J91*$D$90</f>
        <v>43.784136793854877</v>
      </c>
      <c r="M91" s="872">
        <f>K91*$D$90</f>
        <v>3.6486780661545732</v>
      </c>
      <c r="N91" s="1053"/>
      <c r="O91" s="873">
        <v>1</v>
      </c>
      <c r="P91" s="1053"/>
      <c r="Q91" s="874">
        <f>O91*$Q$76*M91+O91*(1-$Q$76)*K91</f>
        <v>3.4662441628468446</v>
      </c>
      <c r="R91" s="1053"/>
      <c r="S91" s="875">
        <f>IF(AND(Q91&lt;&gt;0,O91&lt;&gt;0),Q91*(1-D17-D18-D19)/O91/30/(($D$25*1000000/$D$8))*1000,0)</f>
        <v>0.15878244556910748</v>
      </c>
      <c r="T91" s="1053" t="s">
        <v>459</v>
      </c>
      <c r="U91" s="876">
        <f>S91*O91*30*$D$11*(1+$D$24)/1000</f>
        <v>0.85305669764387915</v>
      </c>
      <c r="V91" s="1053" t="s">
        <v>460</v>
      </c>
      <c r="W91" s="876">
        <f>IF(O91&lt;&gt;0,U91/O91,0)</f>
        <v>0.85305669764387915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3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3">
      <c r="A93" s="1053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110.08582965312087</v>
      </c>
      <c r="K93" s="872">
        <f>$M$32*(H91+(G93-F93)*H93)*$B$90*$C$90</f>
        <v>9.17381913776007</v>
      </c>
      <c r="L93" s="871">
        <f t="shared" ref="L93:M96" si="5">J93*$D$90</f>
        <v>137.60728706640108</v>
      </c>
      <c r="M93" s="872">
        <f t="shared" si="5"/>
        <v>11.467273922200087</v>
      </c>
      <c r="N93" s="1053"/>
      <c r="O93" s="873">
        <v>2</v>
      </c>
      <c r="P93" s="1053"/>
      <c r="Q93" s="874">
        <f>O93*$Q$76*M93+O93*(1-$Q$76)*K93</f>
        <v>21.787820452180167</v>
      </c>
      <c r="R93" s="1053"/>
      <c r="S93" s="875">
        <f>IF(AND(Q93&lt;&gt;0,O93&lt;&gt;0),Q93*(1-D17-D18-D19)/O93/30/(($D$25*1000000/$D$8))*1000,0)</f>
        <v>0.49903054321719487</v>
      </c>
      <c r="T93" s="1053" t="s">
        <v>459</v>
      </c>
      <c r="U93" s="876">
        <f>S93*O93*30*$D$11*(1+$D$24)/1000</f>
        <v>5.3620706709043828</v>
      </c>
      <c r="V93" s="1053" t="s">
        <v>460</v>
      </c>
      <c r="W93" s="876">
        <f>IF(O93&lt;&gt;0,U93/O93,0)</f>
        <v>2.6810353354521914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3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460.35892400395983</v>
      </c>
      <c r="K94" s="872">
        <f>$M$32*(H91+(G93-F93)*H93+(G94-F94)*H94)*$B$90*$C$90</f>
        <v>38.363243666996652</v>
      </c>
      <c r="L94" s="871">
        <f t="shared" si="5"/>
        <v>575.44865500494984</v>
      </c>
      <c r="M94" s="872">
        <f t="shared" si="5"/>
        <v>47.954054583745815</v>
      </c>
      <c r="N94" s="1053"/>
      <c r="O94" s="873">
        <v>17</v>
      </c>
      <c r="P94" s="1053"/>
      <c r="Q94" s="874">
        <f>O94*$Q$76*M94+O94*(1-$Q$76)*K94</f>
        <v>774.45798152749489</v>
      </c>
      <c r="R94" s="1053"/>
      <c r="S94" s="875">
        <f>IF(AND(Q94&lt;&gt;0,O94&lt;&gt;0),Q94*(1-D17-D18-D19)/O94/30/(($D$25*1000000/$D$8))*1000,0)</f>
        <v>2.0868549989082696</v>
      </c>
      <c r="T94" s="1053" t="s">
        <v>459</v>
      </c>
      <c r="U94" s="876">
        <f>S94*O94*30*$D$11*(1+$D$24)/1000</f>
        <v>190.59723930214668</v>
      </c>
      <c r="V94" s="1053" t="s">
        <v>460</v>
      </c>
      <c r="W94" s="876">
        <f>IF(O94&lt;&gt;0,U94/O94,0)</f>
        <v>11.211602311890982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3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2662.075517066377</v>
      </c>
      <c r="K95" s="872">
        <f>$M$32*(H91+(G93-F93)*H93+(G94-F94)*H94+(G95-F95)*H95)*$B$90*$C$90</f>
        <v>221.83962642219808</v>
      </c>
      <c r="L95" s="871">
        <f t="shared" si="5"/>
        <v>3327.594396332971</v>
      </c>
      <c r="M95" s="872">
        <f t="shared" si="5"/>
        <v>277.2995330277476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3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5664.4163257878545</v>
      </c>
      <c r="K96" s="872">
        <f>$M$32*(H91+(G93-F93)*H93+(G94-F94)*H94+(G95-F95)*H95+(G96-F96)*H96)*$B$90*$C$90</f>
        <v>472.03469381565446</v>
      </c>
      <c r="L96" s="871">
        <f t="shared" si="5"/>
        <v>7080.5204072348179</v>
      </c>
      <c r="M96" s="872">
        <f t="shared" si="5"/>
        <v>590.04336726956808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57" priority="17">
      <formula>OR(O36&lt;O35*99.75%,O36&gt;O35*100.25%)</formula>
    </cfRule>
  </conditionalFormatting>
  <conditionalFormatting sqref="O36">
    <cfRule type="expression" dxfId="156" priority="18">
      <formula>OR(O36&lt;O35*100.25%,O36&gt;O35*99.75%)</formula>
    </cfRule>
  </conditionalFormatting>
  <conditionalFormatting sqref="Y39">
    <cfRule type="expression" dxfId="155" priority="19">
      <formula>Y39="NOK"</formula>
    </cfRule>
  </conditionalFormatting>
  <conditionalFormatting sqref="Y39">
    <cfRule type="expression" dxfId="154" priority="20">
      <formula>Y39="OK"</formula>
    </cfRule>
  </conditionalFormatting>
  <conditionalFormatting sqref="Y41:Y45">
    <cfRule type="expression" dxfId="153" priority="21">
      <formula>Y41="NOK"</formula>
    </cfRule>
  </conditionalFormatting>
  <conditionalFormatting sqref="Y41:Y45">
    <cfRule type="expression" dxfId="152" priority="22">
      <formula>Y41="OK"</formula>
    </cfRule>
  </conditionalFormatting>
  <conditionalFormatting sqref="Y52">
    <cfRule type="expression" dxfId="151" priority="23">
      <formula>Y52="NOK"</formula>
    </cfRule>
  </conditionalFormatting>
  <conditionalFormatting sqref="Y52">
    <cfRule type="expression" dxfId="150" priority="24">
      <formula>Y52="OK"</formula>
    </cfRule>
  </conditionalFormatting>
  <conditionalFormatting sqref="Y54:Y58">
    <cfRule type="expression" dxfId="149" priority="25">
      <formula>Y54="NOK"</formula>
    </cfRule>
  </conditionalFormatting>
  <conditionalFormatting sqref="Y54:Y58">
    <cfRule type="expression" dxfId="148" priority="26">
      <formula>Y54="OK"</formula>
    </cfRule>
  </conditionalFormatting>
  <conditionalFormatting sqref="Y65">
    <cfRule type="expression" dxfId="147" priority="27">
      <formula>Y65="NOK"</formula>
    </cfRule>
  </conditionalFormatting>
  <conditionalFormatting sqref="Y65">
    <cfRule type="expression" dxfId="146" priority="28">
      <formula>Y65="OK"</formula>
    </cfRule>
  </conditionalFormatting>
  <conditionalFormatting sqref="Y67:Y71">
    <cfRule type="expression" dxfId="145" priority="29">
      <formula>Y67="NOK"</formula>
    </cfRule>
  </conditionalFormatting>
  <conditionalFormatting sqref="Y67:Y71">
    <cfRule type="expression" dxfId="144" priority="30">
      <formula>Y67="OK"</formula>
    </cfRule>
  </conditionalFormatting>
  <conditionalFormatting sqref="Y78">
    <cfRule type="expression" dxfId="143" priority="31">
      <formula>Y78="NOK"</formula>
    </cfRule>
  </conditionalFormatting>
  <conditionalFormatting sqref="Y78">
    <cfRule type="expression" dxfId="142" priority="32">
      <formula>Y78="OK"</formula>
    </cfRule>
  </conditionalFormatting>
  <conditionalFormatting sqref="Y80:Y84">
    <cfRule type="expression" dxfId="141" priority="33">
      <formula>Y80="NOK"</formula>
    </cfRule>
  </conditionalFormatting>
  <conditionalFormatting sqref="Y80:Y84">
    <cfRule type="expression" dxfId="140" priority="34">
      <formula>Y80="OK"</formula>
    </cfRule>
  </conditionalFormatting>
  <conditionalFormatting sqref="Y91">
    <cfRule type="expression" dxfId="139" priority="35">
      <formula>Y91="NOK"</formula>
    </cfRule>
  </conditionalFormatting>
  <conditionalFormatting sqref="Y91">
    <cfRule type="expression" dxfId="138" priority="36">
      <formula>Y91="OK"</formula>
    </cfRule>
  </conditionalFormatting>
  <conditionalFormatting sqref="Y93:Y96">
    <cfRule type="expression" dxfId="137" priority="37">
      <formula>Y93="NOK"</formula>
    </cfRule>
  </conditionalFormatting>
  <conditionalFormatting sqref="Y93:Y96">
    <cfRule type="expression" dxfId="136" priority="38">
      <formula>Y93="OK"</formula>
    </cfRule>
  </conditionalFormatting>
  <conditionalFormatting sqref="Y12">
    <cfRule type="expression" dxfId="135" priority="39">
      <formula>Y12&gt;20%</formula>
    </cfRule>
  </conditionalFormatting>
  <conditionalFormatting sqref="Y12">
    <cfRule type="expression" dxfId="134" priority="40">
      <formula>Y12&lt;=20%</formula>
    </cfRule>
  </conditionalFormatting>
  <conditionalFormatting sqref="O5">
    <cfRule type="expression" dxfId="133" priority="41">
      <formula>ABS(O8)&gt;=O7</formula>
    </cfRule>
    <cfRule type="expression" dxfId="132" priority="42">
      <formula>ABS(O8)&lt;O7</formula>
    </cfRule>
  </conditionalFormatting>
  <conditionalFormatting sqref="Q5">
    <cfRule type="expression" dxfId="131" priority="15">
      <formula>ABS(Q8)&gt;=Q7</formula>
    </cfRule>
    <cfRule type="expression" dxfId="130" priority="16">
      <formula>ABS(Q8)&lt;Q7</formula>
    </cfRule>
  </conditionalFormatting>
  <conditionalFormatting sqref="S5">
    <cfRule type="expression" dxfId="129" priority="13">
      <formula>ABS(S8)&gt;=S7</formula>
    </cfRule>
    <cfRule type="expression" dxfId="128" priority="14">
      <formula>ABS(S8)&lt;S7</formula>
    </cfRule>
  </conditionalFormatting>
  <conditionalFormatting sqref="U5">
    <cfRule type="expression" dxfId="127" priority="11">
      <formula>ABS(U8)&gt;=U7</formula>
    </cfRule>
    <cfRule type="expression" dxfId="126" priority="12">
      <formula>ABS(U8)&lt;U7</formula>
    </cfRule>
  </conditionalFormatting>
  <conditionalFormatting sqref="W5">
    <cfRule type="expression" dxfId="125" priority="9">
      <formula>ABS(W8)&gt;=W7</formula>
    </cfRule>
    <cfRule type="expression" dxfId="124" priority="10">
      <formula>ABS(W8)&lt;W7</formula>
    </cfRule>
  </conditionalFormatting>
  <conditionalFormatting sqref="Y5">
    <cfRule type="expression" dxfId="123" priority="7">
      <formula>ABS(Y12)&gt;=Y10</formula>
    </cfRule>
    <cfRule type="expression" dxfId="122" priority="8">
      <formula>ABS(Y12)&lt;Y10</formula>
    </cfRule>
  </conditionalFormatting>
  <conditionalFormatting sqref="O49 O62 O75 O88">
    <cfRule type="expression" dxfId="121" priority="1">
      <formula>OR(O49&lt;O48*99.75%,O49&gt;O48*100.25%)</formula>
    </cfRule>
  </conditionalFormatting>
  <conditionalFormatting sqref="O49 O62 O75 O88">
    <cfRule type="expression" dxfId="12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054"/>
      <c r="B2" s="1288" t="s">
        <v>475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054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95" customHeight="1" thickTop="1" x14ac:dyDescent="0.3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290" t="s">
        <v>376</v>
      </c>
      <c r="K5" s="1292" t="s">
        <v>377</v>
      </c>
      <c r="L5" s="1054"/>
      <c r="M5" s="777"/>
      <c r="N5" s="1054"/>
      <c r="O5" s="1294" t="s">
        <v>378</v>
      </c>
      <c r="P5" s="1054"/>
      <c r="Q5" s="1294" t="s">
        <v>379</v>
      </c>
      <c r="R5" s="1054"/>
      <c r="S5" s="1294" t="s">
        <v>380</v>
      </c>
      <c r="T5" s="1054"/>
      <c r="U5" s="1294" t="s">
        <v>381</v>
      </c>
      <c r="V5" s="1054"/>
      <c r="W5" s="1294" t="s">
        <v>382</v>
      </c>
      <c r="X5" s="1054"/>
      <c r="Y5" s="1294" t="s">
        <v>383</v>
      </c>
      <c r="Z5" s="1054"/>
      <c r="AA5" s="1054"/>
      <c r="AB5" s="773"/>
    </row>
    <row r="6" spans="1:28" s="774" customFormat="1" ht="19.95" customHeight="1" outlineLevel="1" x14ac:dyDescent="0.3">
      <c r="A6" s="1054"/>
      <c r="B6" s="782" t="s">
        <v>384</v>
      </c>
      <c r="C6" s="783" t="s">
        <v>385</v>
      </c>
      <c r="D6" s="784">
        <f>D7*D8/1000000</f>
        <v>6.163492858784549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291"/>
      <c r="K6" s="1293"/>
      <c r="L6" s="1054"/>
      <c r="M6" s="789"/>
      <c r="N6" s="790"/>
      <c r="O6" s="1295"/>
      <c r="P6" s="1054"/>
      <c r="Q6" s="1295"/>
      <c r="R6" s="1054"/>
      <c r="S6" s="1295"/>
      <c r="T6" s="1054"/>
      <c r="U6" s="1295"/>
      <c r="V6" s="1054"/>
      <c r="W6" s="1295"/>
      <c r="X6" s="1054"/>
      <c r="Y6" s="1295"/>
      <c r="Z6" s="1054"/>
      <c r="AA6" s="1054"/>
      <c r="AB6" s="773"/>
    </row>
    <row r="7" spans="1:28" s="774" customFormat="1" ht="19.95" customHeight="1" outlineLevel="1" x14ac:dyDescent="0.3">
      <c r="A7" s="1054"/>
      <c r="B7" s="786" t="s">
        <v>387</v>
      </c>
      <c r="C7" s="791" t="s">
        <v>8</v>
      </c>
      <c r="D7" s="792">
        <f>'4)Incineração - E Elétrica'!M22-'4)Incineração - E Elétrica'!M8-'4)Incineração - E Elétrica'!M9</f>
        <v>179.2323861118027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275">
        <f>126090+43698</f>
        <v>169788</v>
      </c>
      <c r="K7" s="1277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95" customHeight="1" outlineLevel="1" thickBot="1" x14ac:dyDescent="0.35">
      <c r="A8" s="1054"/>
      <c r="B8" s="786" t="s">
        <v>391</v>
      </c>
      <c r="C8" s="791" t="s">
        <v>5</v>
      </c>
      <c r="D8" s="792">
        <f>'C-Dados RT4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276"/>
      <c r="K8" s="1278"/>
      <c r="L8" s="1054"/>
      <c r="M8" s="789"/>
      <c r="N8" s="790"/>
      <c r="O8" s="796">
        <f>(O12-O10)/O10</f>
        <v>0</v>
      </c>
      <c r="P8" s="790"/>
      <c r="Q8" s="796">
        <f>(Q12-Q10)/Q10</f>
        <v>5.929292592874503E-3</v>
      </c>
      <c r="R8" s="790"/>
      <c r="S8" s="796">
        <f>(S12-S10)/S10</f>
        <v>1.5233061901367379E-2</v>
      </c>
      <c r="T8" s="1054"/>
      <c r="U8" s="796">
        <f>(U12-U10)/U10</f>
        <v>1.5233061901367384E-2</v>
      </c>
      <c r="V8" s="1054"/>
      <c r="W8" s="796">
        <f>(W12-W10)/W10</f>
        <v>1.5233061901367384E-2</v>
      </c>
      <c r="X8" s="1054"/>
      <c r="Y8" s="797" t="s">
        <v>393</v>
      </c>
      <c r="Z8" s="1054"/>
      <c r="AA8" s="1054"/>
      <c r="AB8" s="773"/>
    </row>
    <row r="9" spans="1:28" s="774" customFormat="1" ht="19.95" customHeight="1" outlineLevel="1" thickTop="1" x14ac:dyDescent="0.3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95" customHeight="1" outlineLevel="1" x14ac:dyDescent="0.3">
      <c r="A10" s="1054"/>
      <c r="B10" s="801" t="s">
        <v>398</v>
      </c>
      <c r="C10" s="791" t="s">
        <v>399</v>
      </c>
      <c r="D10" s="792">
        <f>D9*30*12*'C-Dados RT4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6.6997937811595376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95" customHeight="1" outlineLevel="1" thickBot="1" x14ac:dyDescent="0.35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95" customHeight="1" outlineLevel="1" thickTop="1" thickBot="1" x14ac:dyDescent="0.35">
      <c r="A12" s="1054"/>
      <c r="B12" s="811" t="s">
        <v>406</v>
      </c>
      <c r="C12" s="812" t="s">
        <v>407</v>
      </c>
      <c r="D12" s="813">
        <f>D7/D11</f>
        <v>1.0008346457142232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6.7395188187999535</v>
      </c>
      <c r="R12" s="790"/>
      <c r="S12" s="802">
        <f>S33</f>
        <v>34912.115286618908</v>
      </c>
      <c r="T12" s="1054"/>
      <c r="U12" s="802">
        <f>U33</f>
        <v>6252163.3856565878</v>
      </c>
      <c r="V12" s="1054"/>
      <c r="W12" s="802">
        <f>W33</f>
        <v>6252163.3856565878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99999999999999" customHeight="1" outlineLevel="1" thickTop="1" thickBot="1" x14ac:dyDescent="0.35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95" customHeight="1" outlineLevel="1" thickTop="1" x14ac:dyDescent="0.3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95" customHeight="1" outlineLevel="1" x14ac:dyDescent="0.3">
      <c r="A15" s="1054"/>
      <c r="B15" s="824" t="s">
        <v>410</v>
      </c>
      <c r="C15" s="783" t="s">
        <v>1</v>
      </c>
      <c r="D15" s="825">
        <v>1</v>
      </c>
      <c r="E15" s="1054"/>
      <c r="F15" s="1279" t="s">
        <v>411</v>
      </c>
      <c r="G15" s="1281" t="s">
        <v>1</v>
      </c>
      <c r="H15" s="1283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95" customHeight="1" outlineLevel="1" thickBot="1" x14ac:dyDescent="0.35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280"/>
      <c r="G16" s="1282"/>
      <c r="H16" s="1284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95" customHeight="1" outlineLevel="1" thickTop="1" x14ac:dyDescent="0.3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95" customHeight="1" outlineLevel="1" x14ac:dyDescent="0.3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95" customHeight="1" outlineLevel="1" x14ac:dyDescent="0.3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50000000000003" customHeight="1" outlineLevel="1" x14ac:dyDescent="0.3">
      <c r="A20" s="1054"/>
      <c r="B20" s="833" t="s">
        <v>416</v>
      </c>
      <c r="C20" s="783" t="s">
        <v>385</v>
      </c>
      <c r="D20" s="834">
        <f>D10*D12*(1+D17)*(1+D18)*(1+D19)*D15/1000000</f>
        <v>6.6997937811595376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50000000000003" customHeight="1" outlineLevel="1" thickBot="1" x14ac:dyDescent="0.35">
      <c r="A21" s="1054"/>
      <c r="B21" s="835" t="s">
        <v>417</v>
      </c>
      <c r="C21" s="812" t="s">
        <v>407</v>
      </c>
      <c r="D21" s="813">
        <f>D20*1000000/D10</f>
        <v>1.0879197703244319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5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95" customHeight="1" outlineLevel="1" thickTop="1" x14ac:dyDescent="0.3">
      <c r="A23" s="1054"/>
      <c r="B23" s="818" t="s">
        <v>418</v>
      </c>
      <c r="C23" s="819" t="s">
        <v>371</v>
      </c>
      <c r="D23" s="820" t="s">
        <v>372</v>
      </c>
      <c r="E23" s="1054"/>
      <c r="F23" s="1285" t="s">
        <v>419</v>
      </c>
      <c r="G23" s="1286"/>
      <c r="H23" s="1287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95" customHeight="1" outlineLevel="1" x14ac:dyDescent="0.3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39.045590225244844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50000000000003" customHeight="1" outlineLevel="1" thickBot="1" x14ac:dyDescent="0.35">
      <c r="A25" s="1054"/>
      <c r="B25" s="801" t="s">
        <v>423</v>
      </c>
      <c r="C25" s="791" t="s">
        <v>385</v>
      </c>
      <c r="D25" s="828">
        <f>D20</f>
        <v>6.6997937811595376</v>
      </c>
      <c r="E25" s="1054"/>
      <c r="F25" s="835" t="s">
        <v>424</v>
      </c>
      <c r="G25" s="812" t="s">
        <v>425</v>
      </c>
      <c r="H25" s="838">
        <f>H24/12</f>
        <v>3.2537991854370705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50000000000003" customHeight="1" outlineLevel="1" thickTop="1" thickBot="1" x14ac:dyDescent="0.35">
      <c r="A26" s="1054"/>
      <c r="B26" s="835" t="s">
        <v>426</v>
      </c>
      <c r="C26" s="812" t="s">
        <v>407</v>
      </c>
      <c r="D26" s="813">
        <f>(D25*1000000/(D8*D11))*(1-D24)</f>
        <v>1.0879197703244319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2" customHeight="1" thickTop="1" x14ac:dyDescent="0.3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2" customHeight="1" x14ac:dyDescent="0.3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2" customHeight="1" x14ac:dyDescent="0.3">
      <c r="A29" s="1054"/>
      <c r="B29" s="1296" t="s">
        <v>427</v>
      </c>
      <c r="C29" s="1297"/>
      <c r="D29" s="1297"/>
      <c r="E29" s="1298"/>
      <c r="F29" s="1054"/>
      <c r="G29" s="1054"/>
      <c r="H29" s="777"/>
      <c r="I29" s="1054"/>
      <c r="J29" s="777"/>
      <c r="K29" s="1299" t="s">
        <v>428</v>
      </c>
      <c r="L29" s="1300"/>
      <c r="M29" s="1301"/>
      <c r="N29" s="1054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054"/>
      <c r="AB29" s="773"/>
    </row>
    <row r="30" spans="1:28" s="774" customFormat="1" ht="4.95" customHeight="1" x14ac:dyDescent="0.3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95" customHeight="1" x14ac:dyDescent="0.3">
      <c r="A31" s="1054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054"/>
      <c r="O31" s="1307" t="s">
        <v>433</v>
      </c>
      <c r="P31" s="1054"/>
      <c r="Q31" s="1307" t="s">
        <v>434</v>
      </c>
      <c r="R31" s="1054"/>
      <c r="S31" s="1307" t="s">
        <v>435</v>
      </c>
      <c r="T31" s="1054"/>
      <c r="U31" s="1307" t="s">
        <v>436</v>
      </c>
      <c r="V31" s="1054"/>
      <c r="W31" s="1307" t="s">
        <v>436</v>
      </c>
      <c r="X31" s="1054"/>
      <c r="Y31" s="1307" t="s">
        <v>437</v>
      </c>
      <c r="Z31" s="1054"/>
      <c r="AA31" s="1054"/>
      <c r="AB31" s="773"/>
    </row>
    <row r="32" spans="1:28" s="774" customFormat="1" ht="19.95" customHeight="1" x14ac:dyDescent="0.3">
      <c r="A32" s="1054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39.045590225244844</v>
      </c>
      <c r="M32" s="841">
        <f>H25</f>
        <v>3.2537991854370705</v>
      </c>
      <c r="N32" s="842"/>
      <c r="O32" s="1308"/>
      <c r="P32" s="842"/>
      <c r="Q32" s="1308"/>
      <c r="R32" s="842"/>
      <c r="S32" s="1308"/>
      <c r="T32" s="1054"/>
      <c r="U32" s="1308"/>
      <c r="V32" s="1054"/>
      <c r="W32" s="1308"/>
      <c r="X32" s="1054"/>
      <c r="Y32" s="1309"/>
      <c r="Z32" s="1054"/>
      <c r="AA32" s="1054"/>
      <c r="AB32" s="773"/>
    </row>
    <row r="33" spans="1:28" s="774" customFormat="1" ht="15" customHeight="1" x14ac:dyDescent="0.3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6.7395188187999535</v>
      </c>
      <c r="R33" s="1054"/>
      <c r="S33" s="802">
        <f>12*S34</f>
        <v>34912.115286618908</v>
      </c>
      <c r="T33" s="1054" t="s">
        <v>438</v>
      </c>
      <c r="U33" s="802">
        <f>12*U34</f>
        <v>6252163.3856565878</v>
      </c>
      <c r="V33" s="1054" t="s">
        <v>439</v>
      </c>
      <c r="W33" s="802">
        <f>12*W34</f>
        <v>6252163.3856565878</v>
      </c>
      <c r="X33" s="1054" t="s">
        <v>439</v>
      </c>
      <c r="Y33" s="1320">
        <v>0.1</v>
      </c>
      <c r="Z33" s="1054"/>
      <c r="AA33" s="1054"/>
      <c r="AB33" s="773"/>
    </row>
    <row r="34" spans="1:28" s="774" customFormat="1" ht="34.950000000000003" customHeight="1" outlineLevel="1" x14ac:dyDescent="0.3">
      <c r="A34" s="1054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2909.3429405515753</v>
      </c>
      <c r="T34" s="1054" t="s">
        <v>441</v>
      </c>
      <c r="U34" s="802">
        <f>U36+U49+U62+U75+U88</f>
        <v>521013.61547138233</v>
      </c>
      <c r="V34" s="1054" t="s">
        <v>442</v>
      </c>
      <c r="W34" s="802">
        <f>W36+W49+W62+W75+W88</f>
        <v>521013.61547138233</v>
      </c>
      <c r="X34" s="1054" t="s">
        <v>442</v>
      </c>
      <c r="Y34" s="1321"/>
      <c r="Z34" s="1054"/>
      <c r="AA34" s="1054"/>
      <c r="AB34" s="773"/>
    </row>
    <row r="35" spans="1:28" s="774" customFormat="1" ht="25.2" customHeight="1" outlineLevel="1" x14ac:dyDescent="0.3">
      <c r="A35" s="1054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4.8540074567125675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3">
      <c r="A36" s="1054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054"/>
      <c r="O36" s="802">
        <f>O39+O41+O42+O43+O44+O45</f>
        <v>40</v>
      </c>
      <c r="P36" s="1054"/>
      <c r="Q36" s="849">
        <f>Q39+Q41+Q42+Q43+Q44+Q45</f>
        <v>194.16029826850269</v>
      </c>
      <c r="R36" s="1054"/>
      <c r="S36" s="1310">
        <f>IF(AND(Q36&lt;&gt;0,O36&lt;&gt;0),Q36*(1-D17-D18-D19)/(($D$25*1000000/$D$8)),0)</f>
        <v>0.91186490169687451</v>
      </c>
      <c r="T36" s="1335" t="s">
        <v>448</v>
      </c>
      <c r="U36" s="1310">
        <f>U39+U41+U42+U43+U44+U45</f>
        <v>163.29942497754263</v>
      </c>
      <c r="V36" s="1054" t="s">
        <v>449</v>
      </c>
      <c r="W36" s="131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3">
      <c r="A37" s="1054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054"/>
      <c r="O37" s="855" t="s">
        <v>455</v>
      </c>
      <c r="P37" s="1054"/>
      <c r="Q37" s="856">
        <v>0.75</v>
      </c>
      <c r="R37" s="1054"/>
      <c r="S37" s="1334"/>
      <c r="T37" s="1336"/>
      <c r="U37" s="1334"/>
      <c r="V37" s="1054"/>
      <c r="W37" s="1311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3">
      <c r="A38" s="1054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3">
      <c r="A39" s="1054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9.761397556311211</v>
      </c>
      <c r="K39" s="872">
        <f>$M$32*H39*$B$38*$C$38</f>
        <v>0.81344979635926762</v>
      </c>
      <c r="L39" s="871">
        <f>J39*$D$38</f>
        <v>12.201746945389013</v>
      </c>
      <c r="M39" s="872">
        <f>K39*$D$38</f>
        <v>1.0168122454490844</v>
      </c>
      <c r="N39" s="1054"/>
      <c r="O39" s="873">
        <v>2</v>
      </c>
      <c r="P39" s="1054"/>
      <c r="Q39" s="874">
        <f>O39*$Q$37*M39+O39*(1-$Q$37)*K39</f>
        <v>1.9319432663532605</v>
      </c>
      <c r="R39" s="1054"/>
      <c r="S39" s="875">
        <f>IF(AND(Q39&lt;&gt;0,O39&lt;&gt;0),Q39*(1-D17-D18-D19)/O39/30/(($D$25*1000000/$D$8))*1000,0)</f>
        <v>0.15122137673248334</v>
      </c>
      <c r="T39" s="1054" t="s">
        <v>459</v>
      </c>
      <c r="U39" s="876">
        <f>S39*O39*30*$D$11*(1+$D$24)/1000</f>
        <v>1.6248699002740556</v>
      </c>
      <c r="V39" s="1054" t="s">
        <v>460</v>
      </c>
      <c r="W39" s="876">
        <f>IF(O39&lt;&gt;0,U39/O39,0)</f>
        <v>0.81243495013702782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054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3">
      <c r="A41" s="1054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28.308052913302511</v>
      </c>
      <c r="K41" s="872">
        <f>$M$32*(H39+(G41-F41)*H41)*$B$38*$C$38</f>
        <v>2.3590044094418761</v>
      </c>
      <c r="L41" s="871">
        <f t="shared" ref="L41:M45" si="0">J41*$D$38</f>
        <v>35.385066141628137</v>
      </c>
      <c r="M41" s="872">
        <f t="shared" si="0"/>
        <v>2.9487555118023452</v>
      </c>
      <c r="N41" s="1054"/>
      <c r="O41" s="873">
        <v>2</v>
      </c>
      <c r="P41" s="1054"/>
      <c r="Q41" s="874">
        <f>O41*$Q$37*M41+O41*(1-$Q$37)*K41</f>
        <v>5.6026354724244563</v>
      </c>
      <c r="R41" s="1054"/>
      <c r="S41" s="875">
        <f>IF(AND(Q41&lt;&gt;0,O41&lt;&gt;0),Q41*(1-D17-D18-D19)/O41/30/(($D$25*1000000/$D$8))*1000,0)</f>
        <v>0.43854199252420167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054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47.830848025924936</v>
      </c>
      <c r="K42" s="872">
        <f>$M$32*(H39+(G41-F41)*H41+(G42-F42)*H42)*$B$38*$C$38</f>
        <v>3.9859040021604115</v>
      </c>
      <c r="L42" s="871">
        <f t="shared" si="0"/>
        <v>59.788560032406167</v>
      </c>
      <c r="M42" s="872">
        <f t="shared" si="0"/>
        <v>4.9823800027005145</v>
      </c>
      <c r="N42" s="1054"/>
      <c r="O42" s="873">
        <v>28</v>
      </c>
      <c r="P42" s="1054"/>
      <c r="Q42" s="874">
        <f>O42*$Q$37*M42+O42*(1-$Q$37)*K42</f>
        <v>132.53130807183368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054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68.329782894178479</v>
      </c>
      <c r="K43" s="872">
        <f>$M$32*(H39+(G41-F41)*H41+(G42-F42)*H42+(G43-F43)*H43)*$B$38*$C$38</f>
        <v>5.6941485745148732</v>
      </c>
      <c r="L43" s="871">
        <f t="shared" si="0"/>
        <v>85.412228617723102</v>
      </c>
      <c r="M43" s="872">
        <f t="shared" si="0"/>
        <v>7.1176857181435915</v>
      </c>
      <c r="N43" s="1054"/>
      <c r="O43" s="873">
        <v>8</v>
      </c>
      <c r="P43" s="1054"/>
      <c r="Q43" s="874">
        <f>O43*$Q$37*M43+O43*(1-$Q$37)*K43</f>
        <v>54.094411457891297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054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100.54239483000548</v>
      </c>
      <c r="K44" s="872">
        <f>$M$32*(H39+(G41-F41)*H41+(G42-F42)*H42+(G43-F43)*H43+(G44-F44)*H44)*$B$38*$C$38</f>
        <v>8.3785329025004565</v>
      </c>
      <c r="L44" s="871">
        <f t="shared" si="0"/>
        <v>125.67799353750685</v>
      </c>
      <c r="M44" s="872">
        <f t="shared" si="0"/>
        <v>10.47316612812557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054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212.79846672758441</v>
      </c>
      <c r="K45" s="872">
        <f>$M$32*(H39+(G41-F41)*H41+(G42-F42)*H42+(G43-F43)*H43+(G44-F44)*H44+(G45-F45)*H45)*$B$38*$C$38</f>
        <v>17.733205560632033</v>
      </c>
      <c r="L45" s="871">
        <f t="shared" si="0"/>
        <v>265.9980834094805</v>
      </c>
      <c r="M45" s="872">
        <f t="shared" si="0"/>
        <v>22.166506950790041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50000000000003" customHeight="1" outlineLevel="1" x14ac:dyDescent="0.3">
      <c r="A47" s="1054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3.8791091710539995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054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054"/>
      <c r="O49" s="802">
        <f>O52+O54+O55+O56+O57+O58</f>
        <v>127341</v>
      </c>
      <c r="P49" s="1054"/>
      <c r="Q49" s="890">
        <f>Q52+Q54+Q55+Q56+Q57+Q58</f>
        <v>493969.64095118735</v>
      </c>
      <c r="R49" s="1054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415455.47180887195</v>
      </c>
      <c r="V49" s="1054" t="s">
        <v>449</v>
      </c>
      <c r="W49" s="1338">
        <f>W52*O52+W54*O54+W55*O55+W56*O56+W57*O57+W58*O58</f>
        <v>415455.47180887195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3">
      <c r="A50" s="1054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054"/>
      <c r="O50" s="891" t="s">
        <v>455</v>
      </c>
      <c r="P50" s="1054"/>
      <c r="Q50" s="856">
        <v>0.75</v>
      </c>
      <c r="R50" s="1054"/>
      <c r="S50" s="1334"/>
      <c r="T50" s="1336"/>
      <c r="U50" s="1334"/>
      <c r="V50" s="1054"/>
      <c r="W50" s="1339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3">
      <c r="A51" s="1054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3">
      <c r="A52" s="1054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13.690360072726474</v>
      </c>
      <c r="K52" s="872">
        <f>$M$32*H52*$B$51*$C$51</f>
        <v>1.1408633393938727</v>
      </c>
      <c r="L52" s="871">
        <f>J52*$D$51</f>
        <v>17.112950090908093</v>
      </c>
      <c r="M52" s="872">
        <f>K52*$D$51</f>
        <v>1.4260791742423409</v>
      </c>
      <c r="N52" s="1054"/>
      <c r="O52" s="873">
        <v>62341</v>
      </c>
      <c r="P52" s="1054"/>
      <c r="Q52" s="874">
        <f>O52*$Q$50*M52+O52*(1-$Q$50)*K52</f>
        <v>84458.041711369675</v>
      </c>
      <c r="R52" s="1054"/>
      <c r="S52" s="875">
        <f>IF(AND(Q52&lt;&gt;0,O52&lt;&gt;0),Q52*(1-D17-D18-D19)/O52/30/(($D$25*1000000/$D$8))*1000,0)</f>
        <v>0.21208798086730785</v>
      </c>
      <c r="T52" s="1054" t="s">
        <v>459</v>
      </c>
      <c r="U52" s="876">
        <f>S52*O52*30*$D$11*(1+$D$24)/1000</f>
        <v>71033.830135155658</v>
      </c>
      <c r="V52" s="1054" t="s">
        <v>460</v>
      </c>
      <c r="W52" s="876">
        <f>IF(O52&lt;&gt;0,U52/O52,0)</f>
        <v>1.1394400175671815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054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3">
      <c r="A54" s="1054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43.560236595038774</v>
      </c>
      <c r="K54" s="872">
        <f>$M$32*(H52+(G54-F54)*H54)*$B$51*$C$51</f>
        <v>3.6300197162532313</v>
      </c>
      <c r="L54" s="871">
        <f t="shared" ref="L54:M58" si="1">J54*$D$51</f>
        <v>54.450295743798463</v>
      </c>
      <c r="M54" s="872">
        <f t="shared" si="1"/>
        <v>4.5375246453165392</v>
      </c>
      <c r="N54" s="1054"/>
      <c r="O54" s="873">
        <v>42500</v>
      </c>
      <c r="P54" s="1054"/>
      <c r="Q54" s="874">
        <f>O54*$Q$50*M54+O54*(1-$Q$50)*K54</f>
        <v>183202.5575546553</v>
      </c>
      <c r="R54" s="1054"/>
      <c r="S54" s="875">
        <f>IF(AND(Q54&lt;&gt;0,O54&lt;&gt;0),Q54*(1-D17-D18-D19)/O54/30/(($D$25*1000000/$D$8))*1000,0)</f>
        <v>0.67482539366870697</v>
      </c>
      <c r="T54" s="1054" t="s">
        <v>459</v>
      </c>
      <c r="U54" s="876">
        <f>S54*O54*30*$D$11*(1+$D$24)/1000</f>
        <v>154083.36601192574</v>
      </c>
      <c r="V54" s="1054" t="s">
        <v>460</v>
      </c>
      <c r="W54" s="894">
        <f>IF(O54&lt;&gt;0,U54/O54,0)</f>
        <v>3.6254909649864882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054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74.674691305780769</v>
      </c>
      <c r="K55" s="872">
        <f>$M$32*(H52+(G54-F54)*H54+(G55-F55)*H55)*$B$51*$C$51</f>
        <v>6.2228909421483962</v>
      </c>
      <c r="L55" s="871">
        <f t="shared" si="1"/>
        <v>93.343364132225958</v>
      </c>
      <c r="M55" s="872">
        <f t="shared" si="1"/>
        <v>7.7786136776854953</v>
      </c>
      <c r="N55" s="1054"/>
      <c r="O55" s="873">
        <v>10000</v>
      </c>
      <c r="P55" s="1054"/>
      <c r="Q55" s="874">
        <f>O55*$Q$50*M55+O55*(1-$Q$50)*K55</f>
        <v>73896.829938012204</v>
      </c>
      <c r="R55" s="1054"/>
      <c r="S55" s="875">
        <f>IF(AND(Q55&lt;&gt;0,O55&lt;&gt;0),Q55*(1-D17-D18-D19)/O55/30/(($D$25*1000000/$D$8))*1000,0)</f>
        <v>1.1568435320034973</v>
      </c>
      <c r="T55" s="1054" t="s">
        <v>459</v>
      </c>
      <c r="U55" s="876">
        <f>S55*O55*30*$D$11*(1+$D$24)/1000</f>
        <v>62151.273685482614</v>
      </c>
      <c r="V55" s="1054" t="s">
        <v>460</v>
      </c>
      <c r="W55" s="895">
        <f>IF(O55&lt;&gt;0,U55/O55,0)</f>
        <v>6.2151273685482611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054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123.21324065453827</v>
      </c>
      <c r="K56" s="872">
        <f>$M$32*(H52+(G54-F54)*H54+(G55-F55)*H55+(G56-F56)*H56)*$B$51*$C$51</f>
        <v>10.267770054544854</v>
      </c>
      <c r="L56" s="871">
        <f t="shared" si="1"/>
        <v>154.01655081817285</v>
      </c>
      <c r="M56" s="872">
        <f t="shared" si="1"/>
        <v>12.834712568181068</v>
      </c>
      <c r="N56" s="1054"/>
      <c r="O56" s="873">
        <v>12500</v>
      </c>
      <c r="P56" s="1054"/>
      <c r="Q56" s="874">
        <f>O56*$Q$50*M56+O56*(1-$Q$50)*K56</f>
        <v>152412.2117471502</v>
      </c>
      <c r="R56" s="1054"/>
      <c r="S56" s="875">
        <f>IF(AND(Q56&lt;&gt;0,O56&lt;&gt;0),Q56*(1-D17-D18-D19)/O56/30/(($D$25*1000000/$D$8))*1000,0)</f>
        <v>1.9087918278057709</v>
      </c>
      <c r="T56" s="1054" t="s">
        <v>459</v>
      </c>
      <c r="U56" s="876">
        <f>S56*O56*30*$D$11*(1+$D$24)/1000</f>
        <v>128187.00197630795</v>
      </c>
      <c r="V56" s="1054" t="s">
        <v>460</v>
      </c>
      <c r="W56" s="895">
        <f>IF(O56&lt;&gt;0,U56/O56,0)</f>
        <v>10.254960158104636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054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253.89395043965456</v>
      </c>
      <c r="K57" s="872">
        <f>$M$32*(H52+(G54-F54)*H54+(G55-F55)*H55+(G56-F56)*H56+(G57-F57)*H57)*$B$51*$C$51</f>
        <v>21.157829203304548</v>
      </c>
      <c r="L57" s="871">
        <f t="shared" si="1"/>
        <v>317.36743804956819</v>
      </c>
      <c r="M57" s="872">
        <f t="shared" si="1"/>
        <v>26.447286504130684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054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533.92404283633243</v>
      </c>
      <c r="K58" s="872">
        <f>$M$32*(H52+(G54-F54)*H54+(G55-F55)*H55+(G56-F56)*H56+(G57-F57)*H57+(G58-F58)*H58)*$B$51*$C$51</f>
        <v>44.493670236361041</v>
      </c>
      <c r="L58" s="871">
        <f t="shared" si="1"/>
        <v>667.40505354541551</v>
      </c>
      <c r="M58" s="872">
        <f t="shared" si="1"/>
        <v>55.617087795451297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50000000000003" customHeight="1" outlineLevel="1" x14ac:dyDescent="0.3">
      <c r="A60" s="1054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1.3628748456875164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054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054"/>
      <c r="O62" s="802">
        <f>O65+O67+O68+O69+O70+O71</f>
        <v>42447</v>
      </c>
      <c r="P62" s="1054"/>
      <c r="Q62" s="849">
        <f>Q65+Q67+Q68+Q69+Q70+Q71</f>
        <v>57849.948574898008</v>
      </c>
      <c r="R62" s="1054"/>
      <c r="S62" s="1310">
        <f>IF(AND(Q62&lt;&gt;0,O62&lt;&gt;0),Q62*(1-D17-D18-D19)/(H15)/(($D$25*1000000/$D$8)),0)</f>
        <v>543.37924015206465</v>
      </c>
      <c r="T62" s="1335" t="s">
        <v>448</v>
      </c>
      <c r="U62" s="1310">
        <f>U65+U67+U68+U69+U70+U71</f>
        <v>97309.93845299173</v>
      </c>
      <c r="V62" s="1054" t="s">
        <v>449</v>
      </c>
      <c r="W62" s="1310">
        <f>W65*O65+W67*O67+W68*O68+W69*O69+W70*O70+W71*O71</f>
        <v>97309.93845299173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3">
      <c r="A63" s="1054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054"/>
      <c r="O63" s="891" t="s">
        <v>455</v>
      </c>
      <c r="P63" s="1054"/>
      <c r="Q63" s="856">
        <v>0.75</v>
      </c>
      <c r="R63" s="1054"/>
      <c r="S63" s="1334"/>
      <c r="T63" s="1336"/>
      <c r="U63" s="1334"/>
      <c r="V63" s="1054"/>
      <c r="W63" s="1311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3">
      <c r="A64" s="1054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3">
      <c r="A65" s="1054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6.8451800363632369</v>
      </c>
      <c r="K65" s="872">
        <f>$M$32*H65*$B$64*$C$64</f>
        <v>0.57043166969693637</v>
      </c>
      <c r="L65" s="871">
        <f>J65*$D$51</f>
        <v>8.5564750454540466</v>
      </c>
      <c r="M65" s="872">
        <f>K65*$D$51</f>
        <v>0.71303958712117044</v>
      </c>
      <c r="N65" s="1054"/>
      <c r="O65" s="873">
        <v>25947</v>
      </c>
      <c r="P65" s="1054"/>
      <c r="Q65" s="874">
        <f>O65*$Q$63*M65+O65*(1-$Q$63)*K65</f>
        <v>17576.17625868136</v>
      </c>
      <c r="R65" s="1054"/>
      <c r="S65" s="875">
        <f>IF(AND(Q65&lt;&gt;0,O65&lt;&gt;0),Q65*(1-D17-D18-D19)/(H15)/O65/30/(($D$25*1000000/$D$8))*1000,0)</f>
        <v>0.21208798086730787</v>
      </c>
      <c r="T65" s="1054" t="s">
        <v>459</v>
      </c>
      <c r="U65" s="876">
        <f>S65*O65*30*$D$11*(1+$D$24)/1000</f>
        <v>29565.050135815662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054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3">
      <c r="A67" s="1054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21.780118297519387</v>
      </c>
      <c r="K67" s="872">
        <f>$M$32*(H65+(G67-F67)*H67)*$B$64*$C$64</f>
        <v>1.8150098581266156</v>
      </c>
      <c r="L67" s="871">
        <f t="shared" ref="L67:M71" si="3">J67*$D$51</f>
        <v>27.225147871899232</v>
      </c>
      <c r="M67" s="872">
        <f t="shared" si="3"/>
        <v>2.2687623226582696</v>
      </c>
      <c r="N67" s="1054"/>
      <c r="O67" s="873">
        <v>15000</v>
      </c>
      <c r="P67" s="1054"/>
      <c r="Q67" s="874">
        <f>O67*$Q$63*M67+O67*(1-$Q$63)*K67</f>
        <v>32329.863097880341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054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37.337345652890384</v>
      </c>
      <c r="K68" s="872">
        <f>$M$32*(H65+(G67-F67)*H67+(G68-F68)*H68)*$B$64*$C$64</f>
        <v>3.1114454710741981</v>
      </c>
      <c r="L68" s="871">
        <f t="shared" si="3"/>
        <v>46.671682066112979</v>
      </c>
      <c r="M68" s="872">
        <f t="shared" si="3"/>
        <v>3.8893068388427476</v>
      </c>
      <c r="N68" s="1054"/>
      <c r="O68" s="873">
        <v>500</v>
      </c>
      <c r="P68" s="1054"/>
      <c r="Q68" s="874">
        <f>O68*$Q$63*M68+O68*(1-$Q$63)*K68</f>
        <v>1847.4207484503052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054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61.606620327269134</v>
      </c>
      <c r="K69" s="872">
        <f>$M$32*(H65+(G67-F67)*H67+(G68-F68)*H68+(G69-F69)*H69)*$B$64*$C$64</f>
        <v>5.1338850272724272</v>
      </c>
      <c r="L69" s="871">
        <f t="shared" si="3"/>
        <v>77.008275409086423</v>
      </c>
      <c r="M69" s="872">
        <f t="shared" si="3"/>
        <v>6.417356284090534</v>
      </c>
      <c r="N69" s="1054"/>
      <c r="O69" s="873">
        <v>1000</v>
      </c>
      <c r="P69" s="1054"/>
      <c r="Q69" s="874">
        <f>O69*$Q$63*M69+O69*(1-$Q$63)*K69</f>
        <v>6096.4884698860069</v>
      </c>
      <c r="R69" s="1054"/>
      <c r="S69" s="875">
        <f>IF(AND(Q69&lt;&gt;0,O69&lt;&gt;0),Q69*(1-D17-D18-D19)/O69/30/(H15)/(($D$25*1000000/$D$8))*1000,0)</f>
        <v>1.9087918278057707</v>
      </c>
      <c r="T69" s="1054" t="s">
        <v>459</v>
      </c>
      <c r="U69" s="876">
        <f>S69*O69*30*$D$11*(1+$D$24)/1000</f>
        <v>10254.960158104634</v>
      </c>
      <c r="V69" s="1054" t="s">
        <v>460</v>
      </c>
      <c r="W69" s="876">
        <f>IF(O69&lt;&gt;0,U69/O69,0)</f>
        <v>10.254960158104634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054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126.94697521982728</v>
      </c>
      <c r="K70" s="872">
        <f>$M$32*(H65+(G67-F67)*H67+(G68-F68)*H68+(G69-F69)*H69+(G70-F70)*H70)*$B$64*$C$64</f>
        <v>10.578914601652274</v>
      </c>
      <c r="L70" s="871">
        <f t="shared" si="3"/>
        <v>158.6837190247841</v>
      </c>
      <c r="M70" s="872">
        <f t="shared" si="3"/>
        <v>13.223643252065342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054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266.96202141816622</v>
      </c>
      <c r="K71" s="872">
        <f>$M$32*(H65+(G67-F67)*H67+(G68-F68)*H68+(G69-F69)*H69+(G70-F70)*H70+(G71-F71)*H71)*$B$64*$C$64</f>
        <v>22.24683511818052</v>
      </c>
      <c r="L71" s="871">
        <f t="shared" si="3"/>
        <v>333.70252677270776</v>
      </c>
      <c r="M71" s="872">
        <f t="shared" si="3"/>
        <v>27.808543897725649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50000000000003" customHeight="1" outlineLevel="1" x14ac:dyDescent="0.3">
      <c r="A73" s="1054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5.3870257213317272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054"/>
      <c r="O75" s="802">
        <f>O78+O80+O81+O82+O83+O84</f>
        <v>1741</v>
      </c>
      <c r="P75" s="1054"/>
      <c r="Q75" s="849">
        <f>Q78+Q80+Q81+Q82+Q83+Q84</f>
        <v>9378.8117808385377</v>
      </c>
      <c r="R75" s="1054"/>
      <c r="S75" s="1310">
        <f>IF(AND(Q75&lt;&gt;0,O75&lt;&gt;0),Q75*(1-D17-D18-D19)/(($D$25*1000000/$D$8)),0)</f>
        <v>44.047157729130809</v>
      </c>
      <c r="T75" s="1335" t="s">
        <v>448</v>
      </c>
      <c r="U75" s="1310">
        <f>U78+U80+U81+U82+U83+U84</f>
        <v>7888.0934178704301</v>
      </c>
      <c r="V75" s="1054" t="s">
        <v>449</v>
      </c>
      <c r="W75" s="131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054"/>
      <c r="O76" s="891" t="s">
        <v>455</v>
      </c>
      <c r="P76" s="1054"/>
      <c r="Q76" s="856">
        <v>0.75</v>
      </c>
      <c r="R76" s="1054"/>
      <c r="S76" s="1334"/>
      <c r="T76" s="1336"/>
      <c r="U76" s="1334"/>
      <c r="V76" s="1054"/>
      <c r="W76" s="1311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3">
      <c r="A78" s="1054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13.177886701020135</v>
      </c>
      <c r="K78" s="872">
        <f>$M$32*H78*$B$77*$C$77</f>
        <v>1.0981572250850111</v>
      </c>
      <c r="L78" s="871">
        <f>J78*$D$77</f>
        <v>16.472358376275167</v>
      </c>
      <c r="M78" s="872">
        <f>K78*$D$77</f>
        <v>1.3726965313562638</v>
      </c>
      <c r="N78" s="1054"/>
      <c r="O78" s="873">
        <v>264</v>
      </c>
      <c r="P78" s="1054"/>
      <c r="Q78" s="874">
        <f>O78*$Q$76*M78+O78*(1-$Q$76)*K78</f>
        <v>344.27229006415098</v>
      </c>
      <c r="R78" s="1054"/>
      <c r="S78" s="875">
        <f>IF(AND(Q78&lt;&gt;0,O78&lt;&gt;0),Q78*(1-D17-D18-D19)/O78/30/(($D$25*1000000/$D$8))*1000,0)</f>
        <v>0.20414885858885246</v>
      </c>
      <c r="T78" s="1054" t="s">
        <v>459</v>
      </c>
      <c r="U78" s="876">
        <f>S78*O78*30*$D$11*(1+$D$24)/1000</f>
        <v>289.55181622883669</v>
      </c>
      <c r="V78" s="1054" t="s">
        <v>460</v>
      </c>
      <c r="W78" s="876">
        <f>IF(O78&lt;&gt;0,U78/O78,0)</f>
        <v>1.0967871826849875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054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3">
      <c r="A80" s="1054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48.318917903740484</v>
      </c>
      <c r="K80" s="872">
        <f>$M$32*(H78+(G80-F80)*H80)*$B$77*$C$77</f>
        <v>4.026576491978374</v>
      </c>
      <c r="L80" s="871">
        <f t="shared" ref="L80:M84" si="4">J80*$D$77</f>
        <v>60.398647379675609</v>
      </c>
      <c r="M80" s="872">
        <f t="shared" si="4"/>
        <v>5.0332206149729677</v>
      </c>
      <c r="N80" s="1054"/>
      <c r="O80" s="873">
        <v>994</v>
      </c>
      <c r="P80" s="1054"/>
      <c r="Q80" s="874">
        <f>O80*$Q$76*M80+O80*(1-$Q$76)*K80</f>
        <v>4752.8702267189728</v>
      </c>
      <c r="R80" s="1054"/>
      <c r="S80" s="875">
        <f>IF(AND(Q80&lt;&gt;0,O80&lt;&gt;0),Q80*(1-D17-D18-D19)/O80/30/(($D$25*1000000/$D$8))*1000,0)</f>
        <v>0.7485458148257923</v>
      </c>
      <c r="T80" s="1054" t="s">
        <v>459</v>
      </c>
      <c r="U80" s="876">
        <f>S80*O80*30*$D$11*(1+$D$24)/1000</f>
        <v>3997.4236851592168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054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73.210481672334083</v>
      </c>
      <c r="K81" s="872">
        <f>$M$32*(H78+(G80-F80)*H80+(G81-F81)*H81)*$B$77*$C$77</f>
        <v>6.1008734726945066</v>
      </c>
      <c r="L81" s="871">
        <f t="shared" si="4"/>
        <v>91.513102090417604</v>
      </c>
      <c r="M81" s="872">
        <f t="shared" si="4"/>
        <v>7.6260918408681331</v>
      </c>
      <c r="N81" s="1054"/>
      <c r="O81" s="873">
        <v>183</v>
      </c>
      <c r="P81" s="1054"/>
      <c r="Q81" s="874">
        <f>O81*$Q$76*M81+O81*(1-$Q$76)*K81</f>
        <v>1325.7960665349249</v>
      </c>
      <c r="R81" s="1054"/>
      <c r="S81" s="875">
        <f>IF(AND(Q81&lt;&gt;0,O81&lt;&gt;0),Q81*(1-D17-D18-D19)/O81/30/(($D$25*1000000/$D$8))*1000,0)</f>
        <v>1.1341603254936248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054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99.56625507437434</v>
      </c>
      <c r="K82" s="872">
        <f>$M$32*(H78+(G80-F80)*H80+(G81-F81)*H81+(G82-F82)*H82)*$B$77*$C$77</f>
        <v>8.2971879228645307</v>
      </c>
      <c r="L82" s="871">
        <f t="shared" si="4"/>
        <v>124.45781884296792</v>
      </c>
      <c r="M82" s="872">
        <f t="shared" si="4"/>
        <v>10.371484903580663</v>
      </c>
      <c r="N82" s="1054"/>
      <c r="O82" s="873">
        <v>300</v>
      </c>
      <c r="P82" s="1054"/>
      <c r="Q82" s="874">
        <f>O82*$Q$76*M82+O82*(1-$Q$76)*K82</f>
        <v>2955.8731975204887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054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141.29622962760479</v>
      </c>
      <c r="K83" s="872">
        <f>$M$32*(H78+(G80-F80)*H80+(G81-F81)*H81+(G82-F82)*H82+(G83-F83)*H83)*$B$77*$C$77</f>
        <v>11.774685802300398</v>
      </c>
      <c r="L83" s="871">
        <f t="shared" si="4"/>
        <v>176.62028703450599</v>
      </c>
      <c r="M83" s="872">
        <f t="shared" si="4"/>
        <v>14.718357252875498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054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273.07509663780615</v>
      </c>
      <c r="K84" s="872">
        <f>$M$32*(H78+(G80-F80)*H80+(G81-F81)*H81+(G82-F82)*H82+(G83-F83)*H83+(G84-F84)*H84)*$B$77*$C$77</f>
        <v>22.756258053150511</v>
      </c>
      <c r="L84" s="871">
        <f t="shared" si="4"/>
        <v>341.34387079725769</v>
      </c>
      <c r="M84" s="872">
        <f t="shared" si="4"/>
        <v>28.445322566438136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50000000000003" customHeight="1" outlineLevel="1" x14ac:dyDescent="0.3">
      <c r="A86" s="1054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11.700331406851934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054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054"/>
      <c r="O88" s="877">
        <f>O91+O93+O94+O95+O96</f>
        <v>20</v>
      </c>
      <c r="P88" s="1054"/>
      <c r="Q88" s="849">
        <f>Q91+Q93+Q94+Q95+Q96</f>
        <v>234.00662813703866</v>
      </c>
      <c r="R88" s="1054"/>
      <c r="S88" s="1310">
        <f>IF(AND(Q88&lt;&gt;0,O88&lt;&gt;0),Q88*(1-D17-D18-D19)/(($D$25*1000000/$D$8)),0)</f>
        <v>1.0990013554033227</v>
      </c>
      <c r="T88" s="1335" t="s">
        <v>448</v>
      </c>
      <c r="U88" s="1310">
        <f>U91+U93+U94+U95+U96+Z97</f>
        <v>196.81236667069498</v>
      </c>
      <c r="V88" s="1054" t="s">
        <v>449</v>
      </c>
      <c r="W88" s="131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054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054"/>
      <c r="O89" s="891" t="s">
        <v>455</v>
      </c>
      <c r="P89" s="1054"/>
      <c r="Q89" s="856">
        <v>0.75</v>
      </c>
      <c r="R89" s="1054"/>
      <c r="S89" s="1334"/>
      <c r="T89" s="1336"/>
      <c r="U89" s="1334"/>
      <c r="V89" s="1054"/>
      <c r="W89" s="1311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054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3">
      <c r="A91" s="1054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10.249467434126771</v>
      </c>
      <c r="K91" s="872">
        <f>$M$32*H91*$B$90*$C$90</f>
        <v>0.85412228617723107</v>
      </c>
      <c r="L91" s="871">
        <f>J91*$D$90</f>
        <v>12.811834292658464</v>
      </c>
      <c r="M91" s="872">
        <f>K91*$D$90</f>
        <v>1.067652857721539</v>
      </c>
      <c r="N91" s="1054"/>
      <c r="O91" s="873">
        <v>1</v>
      </c>
      <c r="P91" s="1054"/>
      <c r="Q91" s="874">
        <f>O91*$Q$76*M91+O91*(1-$Q$76)*K91</f>
        <v>1.0142702148354621</v>
      </c>
      <c r="R91" s="1054"/>
      <c r="S91" s="875">
        <f>IF(AND(Q91&lt;&gt;0,O91&lt;&gt;0),Q91*(1-D17-D18-D19)/O91/30/(($D$25*1000000/$D$8))*1000,0)</f>
        <v>0.15878244556910756</v>
      </c>
      <c r="T91" s="1054" t="s">
        <v>459</v>
      </c>
      <c r="U91" s="876">
        <f>S91*O91*30*$D$11*(1+$D$24)/1000</f>
        <v>0.85305669764387959</v>
      </c>
      <c r="V91" s="1054" t="s">
        <v>460</v>
      </c>
      <c r="W91" s="876">
        <f>IF(O91&lt;&gt;0,U91/O91,0)</f>
        <v>0.85305669764387959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054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3">
      <c r="A93" s="1054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32.212611935826999</v>
      </c>
      <c r="K93" s="872">
        <f>$M$32*(H91+(G93-F93)*H93)*$B$90*$C$90</f>
        <v>2.6843843279855832</v>
      </c>
      <c r="L93" s="871">
        <f t="shared" ref="L93:M96" si="5">J93*$D$90</f>
        <v>40.265764919783749</v>
      </c>
      <c r="M93" s="872">
        <f t="shared" si="5"/>
        <v>3.3554804099819791</v>
      </c>
      <c r="N93" s="1054"/>
      <c r="O93" s="873">
        <v>2</v>
      </c>
      <c r="P93" s="1054"/>
      <c r="Q93" s="874">
        <f>O93*$Q$76*M93+O93*(1-$Q$76)*K93</f>
        <v>6.3754127789657602</v>
      </c>
      <c r="R93" s="1054"/>
      <c r="S93" s="875">
        <f>IF(AND(Q93&lt;&gt;0,O93&lt;&gt;0),Q93*(1-D17-D18-D19)/O93/30/(($D$25*1000000/$D$8))*1000,0)</f>
        <v>0.49903054321719498</v>
      </c>
      <c r="T93" s="1054" t="s">
        <v>459</v>
      </c>
      <c r="U93" s="876">
        <f>S93*O93*30*$D$11*(1+$D$24)/1000</f>
        <v>5.3620706709043837</v>
      </c>
      <c r="V93" s="1054" t="s">
        <v>460</v>
      </c>
      <c r="W93" s="876">
        <f>IF(O93&lt;&gt;0,U93/O93,0)</f>
        <v>2.6810353354521919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054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134.70728627709468</v>
      </c>
      <c r="K94" s="872">
        <f>$M$32*(H91+(G93-F93)*H93+(G94-F94)*H94)*$B$90*$C$90</f>
        <v>11.225607189757891</v>
      </c>
      <c r="L94" s="871">
        <f t="shared" si="5"/>
        <v>168.38410784636835</v>
      </c>
      <c r="M94" s="872">
        <f t="shared" si="5"/>
        <v>14.032008987197365</v>
      </c>
      <c r="N94" s="1054"/>
      <c r="O94" s="873">
        <v>17</v>
      </c>
      <c r="P94" s="1054"/>
      <c r="Q94" s="874">
        <f>O94*$Q$76*M94+O94*(1-$Q$76)*K94</f>
        <v>226.61694514323744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054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778.95952499363466</v>
      </c>
      <c r="K95" s="872">
        <f>$M$32*(H91+(G93-F93)*H93+(G94-F94)*H94+(G95-F95)*H95)*$B$90*$C$90</f>
        <v>64.91329374946956</v>
      </c>
      <c r="L95" s="871">
        <f t="shared" si="5"/>
        <v>973.69940624204332</v>
      </c>
      <c r="M95" s="872">
        <f t="shared" si="5"/>
        <v>81.141617186836953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054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1657.4853050616434</v>
      </c>
      <c r="K96" s="872">
        <f>$M$32*(H91+(G93-F93)*H93+(G94-F94)*H94+(G95-F95)*H95+(G96-F96)*H96)*$B$90*$C$90</f>
        <v>138.12377542180366</v>
      </c>
      <c r="L96" s="871">
        <f t="shared" si="5"/>
        <v>2071.8566313270544</v>
      </c>
      <c r="M96" s="872">
        <f t="shared" si="5"/>
        <v>172.65471927725457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119" priority="17">
      <formula>OR(O36&lt;O35*99.75%,O36&gt;O35*100.25%)</formula>
    </cfRule>
  </conditionalFormatting>
  <conditionalFormatting sqref="O36">
    <cfRule type="expression" dxfId="118" priority="18">
      <formula>OR(O36&lt;O35*100.25%,O36&gt;O35*99.75%)</formula>
    </cfRule>
  </conditionalFormatting>
  <conditionalFormatting sqref="Y39">
    <cfRule type="expression" dxfId="117" priority="19">
      <formula>Y39="NOK"</formula>
    </cfRule>
  </conditionalFormatting>
  <conditionalFormatting sqref="Y39">
    <cfRule type="expression" dxfId="116" priority="20">
      <formula>Y39="OK"</formula>
    </cfRule>
  </conditionalFormatting>
  <conditionalFormatting sqref="Y41:Y45">
    <cfRule type="expression" dxfId="115" priority="21">
      <formula>Y41="NOK"</formula>
    </cfRule>
  </conditionalFormatting>
  <conditionalFormatting sqref="Y41:Y45">
    <cfRule type="expression" dxfId="114" priority="22">
      <formula>Y41="OK"</formula>
    </cfRule>
  </conditionalFormatting>
  <conditionalFormatting sqref="Y52">
    <cfRule type="expression" dxfId="113" priority="23">
      <formula>Y52="NOK"</formula>
    </cfRule>
  </conditionalFormatting>
  <conditionalFormatting sqref="Y52">
    <cfRule type="expression" dxfId="112" priority="24">
      <formula>Y52="OK"</formula>
    </cfRule>
  </conditionalFormatting>
  <conditionalFormatting sqref="Y54:Y58">
    <cfRule type="expression" dxfId="111" priority="25">
      <formula>Y54="NOK"</formula>
    </cfRule>
  </conditionalFormatting>
  <conditionalFormatting sqref="Y54:Y58">
    <cfRule type="expression" dxfId="110" priority="26">
      <formula>Y54="OK"</formula>
    </cfRule>
  </conditionalFormatting>
  <conditionalFormatting sqref="Y65">
    <cfRule type="expression" dxfId="109" priority="27">
      <formula>Y65="NOK"</formula>
    </cfRule>
  </conditionalFormatting>
  <conditionalFormatting sqref="Y65">
    <cfRule type="expression" dxfId="108" priority="28">
      <formula>Y65="OK"</formula>
    </cfRule>
  </conditionalFormatting>
  <conditionalFormatting sqref="Y67:Y71">
    <cfRule type="expression" dxfId="107" priority="29">
      <formula>Y67="NOK"</formula>
    </cfRule>
  </conditionalFormatting>
  <conditionalFormatting sqref="Y67:Y71">
    <cfRule type="expression" dxfId="106" priority="30">
      <formula>Y67="OK"</formula>
    </cfRule>
  </conditionalFormatting>
  <conditionalFormatting sqref="Y78">
    <cfRule type="expression" dxfId="105" priority="31">
      <formula>Y78="NOK"</formula>
    </cfRule>
  </conditionalFormatting>
  <conditionalFormatting sqref="Y78">
    <cfRule type="expression" dxfId="104" priority="32">
      <formula>Y78="OK"</formula>
    </cfRule>
  </conditionalFormatting>
  <conditionalFormatting sqref="Y80:Y84">
    <cfRule type="expression" dxfId="103" priority="33">
      <formula>Y80="NOK"</formula>
    </cfRule>
  </conditionalFormatting>
  <conditionalFormatting sqref="Y80:Y84">
    <cfRule type="expression" dxfId="102" priority="34">
      <formula>Y80="OK"</formula>
    </cfRule>
  </conditionalFormatting>
  <conditionalFormatting sqref="Y91">
    <cfRule type="expression" dxfId="101" priority="35">
      <formula>Y91="NOK"</formula>
    </cfRule>
  </conditionalFormatting>
  <conditionalFormatting sqref="Y91">
    <cfRule type="expression" dxfId="100" priority="36">
      <formula>Y91="OK"</formula>
    </cfRule>
  </conditionalFormatting>
  <conditionalFormatting sqref="Y93:Y96">
    <cfRule type="expression" dxfId="99" priority="37">
      <formula>Y93="NOK"</formula>
    </cfRule>
  </conditionalFormatting>
  <conditionalFormatting sqref="Y93:Y96">
    <cfRule type="expression" dxfId="98" priority="38">
      <formula>Y93="OK"</formula>
    </cfRule>
  </conditionalFormatting>
  <conditionalFormatting sqref="Y12">
    <cfRule type="expression" dxfId="97" priority="39">
      <formula>Y12&gt;20%</formula>
    </cfRule>
  </conditionalFormatting>
  <conditionalFormatting sqref="Y12">
    <cfRule type="expression" dxfId="96" priority="40">
      <formula>Y12&lt;=20%</formula>
    </cfRule>
  </conditionalFormatting>
  <conditionalFormatting sqref="O5">
    <cfRule type="expression" dxfId="95" priority="41">
      <formula>ABS(O8)&gt;=O7</formula>
    </cfRule>
    <cfRule type="expression" dxfId="94" priority="42">
      <formula>ABS(O8)&lt;O7</formula>
    </cfRule>
  </conditionalFormatting>
  <conditionalFormatting sqref="Q5">
    <cfRule type="expression" dxfId="93" priority="15">
      <formula>ABS(Q8)&gt;=Q7</formula>
    </cfRule>
    <cfRule type="expression" dxfId="92" priority="16">
      <formula>ABS(Q8)&lt;Q7</formula>
    </cfRule>
  </conditionalFormatting>
  <conditionalFormatting sqref="S5">
    <cfRule type="expression" dxfId="91" priority="13">
      <formula>ABS(S8)&gt;=S7</formula>
    </cfRule>
    <cfRule type="expression" dxfId="90" priority="14">
      <formula>ABS(S8)&lt;S7</formula>
    </cfRule>
  </conditionalFormatting>
  <conditionalFormatting sqref="U5">
    <cfRule type="expression" dxfId="89" priority="11">
      <formula>ABS(U8)&gt;=U7</formula>
    </cfRule>
    <cfRule type="expression" dxfId="88" priority="12">
      <formula>ABS(U8)&lt;U7</formula>
    </cfRule>
  </conditionalFormatting>
  <conditionalFormatting sqref="W5">
    <cfRule type="expression" dxfId="87" priority="9">
      <formula>ABS(W8)&gt;=W7</formula>
    </cfRule>
    <cfRule type="expression" dxfId="86" priority="10">
      <formula>ABS(W8)&lt;W7</formula>
    </cfRule>
  </conditionalFormatting>
  <conditionalFormatting sqref="Y5">
    <cfRule type="expression" dxfId="85" priority="7">
      <formula>ABS(Y12)&gt;=Y10</formula>
    </cfRule>
    <cfRule type="expression" dxfId="84" priority="8">
      <formula>ABS(Y12)&lt;Y10</formula>
    </cfRule>
  </conditionalFormatting>
  <conditionalFormatting sqref="O49 O62 O75 O88">
    <cfRule type="expression" dxfId="83" priority="1">
      <formula>OR(O49&lt;O48*99.75%,O49&gt;O48*100.25%)</formula>
    </cfRule>
  </conditionalFormatting>
  <conditionalFormatting sqref="O49 O62 O75 O88">
    <cfRule type="expression" dxfId="8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16.6640625" style="258" customWidth="1"/>
    <col min="5" max="5" width="3.33203125" style="1" customWidth="1"/>
    <col min="6" max="16384" width="8.88671875" style="1"/>
  </cols>
  <sheetData>
    <row r="1" spans="2:17" ht="4.95" customHeight="1" thickBot="1" x14ac:dyDescent="0.35">
      <c r="C1" s="1"/>
      <c r="D1" s="1"/>
    </row>
    <row r="2" spans="2:17" s="261" customFormat="1" ht="19.95" customHeight="1" thickTop="1" thickBot="1" x14ac:dyDescent="0.35">
      <c r="B2" s="507" t="s">
        <v>535</v>
      </c>
      <c r="C2" s="505"/>
      <c r="D2" s="506"/>
    </row>
    <row r="3" spans="2:17" ht="4.95" customHeight="1" outlineLevel="1" thickTop="1" thickBot="1" x14ac:dyDescent="0.35"/>
    <row r="4" spans="2:17" ht="15" customHeight="1" outlineLevel="1" thickTop="1" x14ac:dyDescent="0.3">
      <c r="B4" s="1348" t="s">
        <v>120</v>
      </c>
      <c r="C4" s="516">
        <f>'C-Dados RT4 Simplif.'!C106</f>
        <v>110.21883506853425</v>
      </c>
      <c r="D4" s="510" t="s">
        <v>44</v>
      </c>
    </row>
    <row r="5" spans="2:17" ht="15" customHeight="1" outlineLevel="1" x14ac:dyDescent="0.3">
      <c r="B5" s="1349"/>
      <c r="C5" s="517">
        <f>'C-Dados RT4 Simplif.'!C105</f>
        <v>34388.276541382686</v>
      </c>
      <c r="D5" s="511" t="s">
        <v>5</v>
      </c>
    </row>
    <row r="6" spans="2:17" ht="15" customHeight="1" outlineLevel="1" x14ac:dyDescent="0.3">
      <c r="B6" s="501" t="s">
        <v>152</v>
      </c>
      <c r="C6" s="518">
        <f>'C-Dados RT4 Simplif.'!C107</f>
        <v>0.48399999999999999</v>
      </c>
      <c r="D6" s="499" t="s">
        <v>1</v>
      </c>
    </row>
    <row r="7" spans="2:17" ht="15" customHeight="1" outlineLevel="1" thickBot="1" x14ac:dyDescent="0.35">
      <c r="B7" s="502" t="s">
        <v>31</v>
      </c>
      <c r="C7" s="519">
        <f>'C-Dados RT4 Simplif.'!C7</f>
        <v>35</v>
      </c>
      <c r="D7" s="512" t="s">
        <v>121</v>
      </c>
    </row>
    <row r="8" spans="2:17" ht="4.95" customHeight="1" outlineLevel="1" thickTop="1" thickBot="1" x14ac:dyDescent="0.35"/>
    <row r="9" spans="2:17" ht="15" customHeight="1" outlineLevel="1" thickTop="1" x14ac:dyDescent="0.3">
      <c r="B9" s="508" t="s">
        <v>122</v>
      </c>
      <c r="C9" s="1045">
        <v>0.2</v>
      </c>
      <c r="D9" s="513"/>
    </row>
    <row r="10" spans="2:17" ht="15" customHeight="1" outlineLevel="1" x14ac:dyDescent="0.3">
      <c r="B10" s="1043" t="s">
        <v>123</v>
      </c>
      <c r="C10" s="1044">
        <f>'C-Dados RT4 Simplif.'!C18*1000000/(C5)*C9</f>
        <v>538.90812463778116</v>
      </c>
      <c r="D10" s="514" t="s">
        <v>530</v>
      </c>
    </row>
    <row r="11" spans="2:17" ht="15" customHeight="1" outlineLevel="1" x14ac:dyDescent="0.3">
      <c r="B11" s="504" t="s">
        <v>125</v>
      </c>
      <c r="C11" s="1046">
        <v>0.2</v>
      </c>
      <c r="D11" s="514"/>
    </row>
    <row r="12" spans="2:17" ht="15" customHeight="1" outlineLevel="1" x14ac:dyDescent="0.3">
      <c r="B12" s="1043" t="s">
        <v>123</v>
      </c>
      <c r="C12" s="1044">
        <f>'C-Dados RT4 Simplif.'!C21*1000000/(C7*C5)*C11</f>
        <v>95.227069622935403</v>
      </c>
      <c r="D12" s="514" t="s">
        <v>531</v>
      </c>
    </row>
    <row r="13" spans="2:17" ht="15" customHeight="1" outlineLevel="1" x14ac:dyDescent="0.3">
      <c r="B13" s="504" t="s">
        <v>126</v>
      </c>
      <c r="C13" s="522"/>
      <c r="D13" s="514"/>
    </row>
    <row r="14" spans="2:17" ht="15" customHeight="1" outlineLevel="1" thickBot="1" x14ac:dyDescent="0.35">
      <c r="B14" s="502" t="s">
        <v>127</v>
      </c>
      <c r="C14" s="768">
        <f>'C-Dados RT4 Simplif.'!C130</f>
        <v>634.06891385819074</v>
      </c>
      <c r="D14" s="512" t="s">
        <v>155</v>
      </c>
    </row>
    <row r="15" spans="2:17" s="2" customFormat="1" ht="15" customHeight="1" thickTop="1" x14ac:dyDescent="0.3">
      <c r="B15" s="600" t="s">
        <v>134</v>
      </c>
      <c r="C15" s="601">
        <f>(C10*C5+C12*C5*C7)*1000/(C14*C5*C7)</f>
        <v>174.46754161067011</v>
      </c>
      <c r="D15" s="60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5" customHeight="1" x14ac:dyDescent="0.3"/>
    <row r="17" spans="2:17" s="2" customFormat="1" ht="15" customHeight="1" thickBot="1" x14ac:dyDescent="0.35">
      <c r="B17" s="509" t="s">
        <v>319</v>
      </c>
      <c r="C17" s="523">
        <f>'Demanda Preço &amp; Quantidade'!C42</f>
        <v>500</v>
      </c>
      <c r="D17" s="51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" thickTop="1" x14ac:dyDescent="0.3">
      <c r="B18" s="1345" t="s">
        <v>358</v>
      </c>
      <c r="C18" s="558">
        <f>'4)Incineração - E Elétrica'!F9*(C17-C15)/1000000</f>
        <v>0.34788330582494931</v>
      </c>
      <c r="D18" s="449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3">
      <c r="B19" s="1346"/>
      <c r="C19" s="558">
        <f>C18*C7</f>
        <v>12.175915703873226</v>
      </c>
      <c r="D19" s="449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" thickBot="1" x14ac:dyDescent="0.35">
      <c r="B20" s="1347"/>
      <c r="C20" s="598">
        <f>C18*1000000/C5</f>
        <v>10.116334425957875</v>
      </c>
      <c r="D20" s="593" t="s">
        <v>8</v>
      </c>
      <c r="E20" s="393"/>
    </row>
    <row r="21" spans="2:17" ht="4.95" customHeight="1" thickTop="1" x14ac:dyDescent="0.3"/>
    <row r="22" spans="2:17" s="2" customFormat="1" ht="15" customHeight="1" thickBot="1" x14ac:dyDescent="0.35">
      <c r="B22" s="509" t="s">
        <v>354</v>
      </c>
      <c r="C22" s="523">
        <f>'RT1A)BIODIG Energia Elétrica'!H12</f>
        <v>520</v>
      </c>
      <c r="D22" s="515" t="s">
        <v>0</v>
      </c>
    </row>
    <row r="23" spans="2:17" s="2" customFormat="1" ht="15" thickTop="1" x14ac:dyDescent="0.3">
      <c r="B23" s="1345" t="s">
        <v>318</v>
      </c>
      <c r="C23" s="558">
        <f>'4)Incineração - E Elétrica'!F12*(C22-C15)/1000000</f>
        <v>10.488983306866499</v>
      </c>
      <c r="D23" s="449" t="s">
        <v>289</v>
      </c>
    </row>
    <row r="24" spans="2:17" s="2" customFormat="1" x14ac:dyDescent="0.3">
      <c r="B24" s="1346"/>
      <c r="C24" s="558">
        <f>C23*C7</f>
        <v>367.1144157403275</v>
      </c>
      <c r="D24" s="449" t="s">
        <v>353</v>
      </c>
    </row>
    <row r="25" spans="2:17" s="2" customFormat="1" ht="15" thickBot="1" x14ac:dyDescent="0.35">
      <c r="B25" s="1347"/>
      <c r="C25" s="598">
        <f>C23*1000000/C5</f>
        <v>305.01625442740948</v>
      </c>
      <c r="D25" s="593" t="s">
        <v>8</v>
      </c>
      <c r="E25" s="393"/>
    </row>
    <row r="26" spans="2:17" ht="4.95" customHeight="1" thickTop="1" x14ac:dyDescent="0.3"/>
    <row r="27" spans="2:17" s="2" customFormat="1" ht="15" customHeight="1" thickBot="1" x14ac:dyDescent="0.35">
      <c r="B27" s="509" t="s">
        <v>356</v>
      </c>
      <c r="C27" s="523">
        <f>'4)Incineração - E Elétrica'!H15</f>
        <v>549.4</v>
      </c>
      <c r="D27" s="515" t="s">
        <v>0</v>
      </c>
    </row>
    <row r="28" spans="2:17" s="2" customFormat="1" ht="15" thickTop="1" x14ac:dyDescent="0.3">
      <c r="B28" s="1345" t="s">
        <v>355</v>
      </c>
      <c r="C28" s="558">
        <f>'4)Incineração - E Elétrica'!F15*(C27-C15)/1000000</f>
        <v>0</v>
      </c>
      <c r="D28" s="449" t="s">
        <v>289</v>
      </c>
    </row>
    <row r="29" spans="2:17" s="2" customFormat="1" x14ac:dyDescent="0.3">
      <c r="B29" s="1346"/>
      <c r="C29" s="558">
        <f>C28*C7</f>
        <v>0</v>
      </c>
      <c r="D29" s="449" t="s">
        <v>353</v>
      </c>
    </row>
    <row r="30" spans="2:17" s="2" customFormat="1" ht="15" thickBot="1" x14ac:dyDescent="0.35">
      <c r="B30" s="1347"/>
      <c r="C30" s="598">
        <f>C28*1000000/C5</f>
        <v>0</v>
      </c>
      <c r="D30" s="593" t="s">
        <v>8</v>
      </c>
      <c r="E30" s="393"/>
    </row>
    <row r="31" spans="2:17" ht="15" customHeight="1" thickTop="1" x14ac:dyDescent="0.3"/>
    <row r="32" spans="2:17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/>
  </sheetViews>
  <sheetFormatPr defaultColWidth="8.88671875" defaultRowHeight="14.4" outlineLevelRow="1" x14ac:dyDescent="0.3"/>
  <cols>
    <col min="1" max="1" width="6.5546875" style="1" customWidth="1"/>
    <col min="2" max="2" width="85.6640625" style="141" customWidth="1"/>
    <col min="3" max="3" width="13.6640625" style="142" bestFit="1" customWidth="1"/>
    <col min="4" max="8" width="14.6640625" style="1" customWidth="1"/>
    <col min="9" max="60" width="10.6640625" style="1" customWidth="1"/>
    <col min="61" max="16384" width="8.88671875" style="1"/>
  </cols>
  <sheetData>
    <row r="1" spans="1:60" ht="15" thickBot="1" x14ac:dyDescent="0.35">
      <c r="D1" s="143"/>
      <c r="E1" s="143"/>
      <c r="F1" s="143"/>
      <c r="G1" s="143"/>
      <c r="H1" s="143"/>
    </row>
    <row r="2" spans="1:60" ht="22.2" thickTop="1" thickBot="1" x14ac:dyDescent="0.35">
      <c r="B2" s="48" t="s">
        <v>118</v>
      </c>
      <c r="C2" s="1236" t="str">
        <f>'[5]R&amp;C-Painel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5" customHeight="1" thickTop="1" thickBot="1" x14ac:dyDescent="0.35"/>
    <row r="4" spans="1:60" ht="18.600000000000001" thickTop="1" x14ac:dyDescent="0.3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95" customHeight="1" x14ac:dyDescent="0.3">
      <c r="B5" s="49" t="s">
        <v>515</v>
      </c>
      <c r="C5" s="50">
        <f>'[5]R&amp;C-Painel de Controle'!D33</f>
        <v>1396.7092707049733</v>
      </c>
      <c r="D5" s="51" t="s">
        <v>8</v>
      </c>
      <c r="E5" s="149"/>
      <c r="F5" s="149"/>
      <c r="G5" s="149"/>
      <c r="H5" s="150"/>
    </row>
    <row r="6" spans="1:60" ht="19.95" customHeight="1" x14ac:dyDescent="0.3">
      <c r="B6" s="49" t="s">
        <v>516</v>
      </c>
      <c r="C6" s="50">
        <f>'[5]R&amp;C-Painel de Controle'!H33</f>
        <v>1491.675405776728</v>
      </c>
      <c r="D6" s="51" t="s">
        <v>8</v>
      </c>
      <c r="E6" s="149"/>
      <c r="F6" s="149"/>
      <c r="G6" s="149"/>
      <c r="H6" s="150"/>
    </row>
    <row r="7" spans="1:60" ht="18" x14ac:dyDescent="0.3">
      <c r="B7" s="49" t="s">
        <v>31</v>
      </c>
      <c r="C7" s="50">
        <f>'[5]R&amp;C-Painel de Controle'!D32</f>
        <v>35</v>
      </c>
      <c r="D7" s="51" t="s">
        <v>3</v>
      </c>
      <c r="E7" s="149"/>
      <c r="F7" s="149"/>
      <c r="G7" s="149"/>
      <c r="H7" s="150"/>
    </row>
    <row r="8" spans="1:60" ht="18.600000000000001" thickBot="1" x14ac:dyDescent="0.35">
      <c r="B8" s="52" t="s">
        <v>45</v>
      </c>
      <c r="C8" s="267">
        <f>'[5]C-FCL Real'!C28</f>
        <v>9.611299999999999E-2</v>
      </c>
      <c r="D8" s="53" t="s">
        <v>1</v>
      </c>
      <c r="E8" s="151"/>
      <c r="F8" s="151"/>
      <c r="G8" s="151"/>
      <c r="H8" s="152"/>
    </row>
    <row r="9" spans="1:60" ht="4.95" customHeight="1" thickTop="1" thickBot="1" x14ac:dyDescent="0.35"/>
    <row r="10" spans="1:60" s="153" customFormat="1" ht="19.95" customHeight="1" thickTop="1" x14ac:dyDescent="0.3">
      <c r="B10" s="1239" t="s">
        <v>624</v>
      </c>
      <c r="C10" s="1240"/>
      <c r="D10" s="1243" t="s">
        <v>48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95" customHeight="1" thickBot="1" x14ac:dyDescent="0.35">
      <c r="B11" s="1241"/>
      <c r="C11" s="1242"/>
      <c r="D11" s="1246"/>
      <c r="E11" s="1247"/>
      <c r="F11" s="1247"/>
      <c r="G11" s="1247"/>
      <c r="H11" s="1248"/>
    </row>
    <row r="12" spans="1:60" ht="4.95" customHeight="1" thickTop="1" thickBot="1" x14ac:dyDescent="0.35"/>
    <row r="13" spans="1:60" s="155" customFormat="1" ht="25.2" customHeight="1" collapsed="1" thickTop="1" thickBot="1" x14ac:dyDescent="0.35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3">
      <c r="B14" s="156" t="str">
        <f>'[5]C-FCL Real'!B32</f>
        <v>Ano do Contrato</v>
      </c>
      <c r="C14" s="157"/>
      <c r="D14" s="158">
        <f>'[5]C-FCL Real'!C32</f>
        <v>0</v>
      </c>
      <c r="E14" s="156">
        <f>'[5]C-FCL Real'!D32</f>
        <v>1</v>
      </c>
      <c r="F14" s="156">
        <f>'[5]C-FCL Real'!E32</f>
        <v>2</v>
      </c>
      <c r="G14" s="156">
        <f>'[5]C-FCL Real'!F32</f>
        <v>3</v>
      </c>
      <c r="H14" s="156">
        <f>'[5]C-FCL Real'!G32</f>
        <v>4</v>
      </c>
      <c r="I14" s="156">
        <f>'[5]C-FCL Real'!H32</f>
        <v>5</v>
      </c>
      <c r="J14" s="156">
        <f>'[5]C-FCL Real'!I32</f>
        <v>6</v>
      </c>
      <c r="K14" s="156">
        <f>'[5]C-FCL Real'!J32</f>
        <v>7</v>
      </c>
      <c r="L14" s="156">
        <f>'[5]C-FCL Real'!K32</f>
        <v>8</v>
      </c>
      <c r="M14" s="156">
        <f>'[5]C-FCL Real'!L32</f>
        <v>9</v>
      </c>
      <c r="N14" s="156">
        <f>'[5]C-FCL Real'!M32</f>
        <v>10</v>
      </c>
      <c r="O14" s="156">
        <f>'[5]C-FCL Real'!N32</f>
        <v>11</v>
      </c>
      <c r="P14" s="156">
        <f>'[5]C-FCL Real'!O32</f>
        <v>12</v>
      </c>
      <c r="Q14" s="156">
        <f>'[5]C-FCL Real'!P32</f>
        <v>13</v>
      </c>
      <c r="R14" s="156">
        <f>'[5]C-FCL Real'!Q32</f>
        <v>14</v>
      </c>
      <c r="S14" s="156">
        <f>'[5]C-FCL Real'!R32</f>
        <v>15</v>
      </c>
      <c r="T14" s="156">
        <f>'[5]C-FCL Real'!S32</f>
        <v>16</v>
      </c>
      <c r="U14" s="156">
        <f>'[5]C-FCL Real'!T32</f>
        <v>17</v>
      </c>
      <c r="V14" s="156">
        <f>'[5]C-FCL Real'!U32</f>
        <v>18</v>
      </c>
      <c r="W14" s="156">
        <f>'[5]C-FCL Real'!V32</f>
        <v>19</v>
      </c>
      <c r="X14" s="156">
        <f>'[5]C-FCL Real'!W32</f>
        <v>20</v>
      </c>
      <c r="Y14" s="156">
        <f>'[5]C-FCL Real'!X32</f>
        <v>21</v>
      </c>
      <c r="Z14" s="156">
        <f>'[5]C-FCL Real'!Y32</f>
        <v>22</v>
      </c>
      <c r="AA14" s="156">
        <f>'[5]C-FCL Real'!Z32</f>
        <v>23</v>
      </c>
      <c r="AB14" s="156">
        <f>'[5]C-FCL Real'!AA32</f>
        <v>24</v>
      </c>
      <c r="AC14" s="156">
        <f>'[5]C-FCL Real'!AB32</f>
        <v>25</v>
      </c>
      <c r="AD14" s="156">
        <f>'[5]C-FCL Real'!AC32</f>
        <v>26</v>
      </c>
      <c r="AE14" s="156">
        <f>'[5]C-FCL Real'!AD32</f>
        <v>27</v>
      </c>
      <c r="AF14" s="156">
        <f>'[5]C-FCL Real'!AE32</f>
        <v>28</v>
      </c>
      <c r="AG14" s="156">
        <f>'[5]C-FCL Real'!AF32</f>
        <v>29</v>
      </c>
      <c r="AH14" s="156">
        <f>'[5]C-FCL Real'!AG32</f>
        <v>30</v>
      </c>
      <c r="AI14" s="156">
        <f>'[5]C-FCL Real'!AH32</f>
        <v>31</v>
      </c>
      <c r="AJ14" s="156">
        <f>'[5]C-FCL Real'!AI32</f>
        <v>32</v>
      </c>
      <c r="AK14" s="156">
        <f>'[5]C-FCL Real'!AJ32</f>
        <v>33</v>
      </c>
      <c r="AL14" s="156">
        <f>'[5]C-FCL Real'!AK32</f>
        <v>34</v>
      </c>
      <c r="AM14" s="156">
        <f>'[5]C-FCL Real'!AL32</f>
        <v>35</v>
      </c>
      <c r="AN14" s="156">
        <f>'[5]C-FCL Real'!AM32</f>
        <v>36</v>
      </c>
      <c r="AO14" s="156">
        <f>'[5]C-FCL Real'!AN32</f>
        <v>37</v>
      </c>
      <c r="AP14" s="156">
        <f>'[5]C-FCL Real'!AO32</f>
        <v>38</v>
      </c>
      <c r="AQ14" s="156">
        <f>'[5]C-FCL Real'!AP32</f>
        <v>39</v>
      </c>
      <c r="AR14" s="156">
        <f>'[5]C-FCL Real'!AQ32</f>
        <v>40</v>
      </c>
      <c r="AS14" s="156">
        <f>'[5]C-FCL Real'!AR32</f>
        <v>41</v>
      </c>
      <c r="AT14" s="156">
        <f>'[5]C-FCL Real'!AS32</f>
        <v>42</v>
      </c>
      <c r="AU14" s="156">
        <f>'[5]C-FCL Real'!AT32</f>
        <v>43</v>
      </c>
      <c r="AV14" s="156">
        <f>'[5]C-FCL Real'!AU32</f>
        <v>44</v>
      </c>
      <c r="AW14" s="156">
        <f>'[5]C-FCL Real'!AV32</f>
        <v>45</v>
      </c>
      <c r="AX14" s="156">
        <f>'[5]C-FCL Real'!AW32</f>
        <v>46</v>
      </c>
      <c r="AY14" s="156">
        <f>'[5]C-FCL Real'!AX32</f>
        <v>47</v>
      </c>
      <c r="AZ14" s="156">
        <f>'[5]C-FCL Real'!AY32</f>
        <v>48</v>
      </c>
      <c r="BA14" s="156">
        <f>'[5]C-FCL Real'!AZ32</f>
        <v>49</v>
      </c>
      <c r="BB14" s="156">
        <f>'[5]C-FCL Real'!BA32</f>
        <v>50</v>
      </c>
      <c r="BC14" s="156">
        <f>'[5]C-FCL Real'!BB32</f>
        <v>51</v>
      </c>
      <c r="BD14" s="156">
        <f>'[5]C-FCL Real'!BC32</f>
        <v>52</v>
      </c>
      <c r="BE14" s="156">
        <f>'[5]C-FCL Real'!BD32</f>
        <v>0</v>
      </c>
      <c r="BF14" s="156">
        <f>'[5]C-FCL Real'!BE32</f>
        <v>0</v>
      </c>
      <c r="BG14" s="156">
        <f>'[5]C-FCL Real'!BF32</f>
        <v>0</v>
      </c>
      <c r="BH14" s="156">
        <f>'[5]C-FCL Real'!BD32</f>
        <v>0</v>
      </c>
    </row>
    <row r="15" spans="1:60" s="164" customFormat="1" ht="15" hidden="1" customHeight="1" outlineLevel="1" x14ac:dyDescent="0.3">
      <c r="A15" s="1230" t="s">
        <v>50</v>
      </c>
      <c r="B15" s="159" t="s">
        <v>51</v>
      </c>
      <c r="C15" s="160"/>
      <c r="D15" s="161">
        <f>'[5]C-FCL Real'!C33</f>
        <v>1</v>
      </c>
      <c r="E15" s="162">
        <f>'[5]C-FCL Real'!D33</f>
        <v>1</v>
      </c>
      <c r="F15" s="162">
        <f>'[5]C-FCL Real'!E33</f>
        <v>1</v>
      </c>
      <c r="G15" s="162">
        <f>'[5]C-FCL Real'!F33</f>
        <v>1</v>
      </c>
      <c r="H15" s="162">
        <f>'[5]C-FCL Real'!G33</f>
        <v>1</v>
      </c>
      <c r="I15" s="162">
        <f>'[5]C-FCL Real'!H33</f>
        <v>1</v>
      </c>
      <c r="J15" s="162">
        <f>'[5]C-FCL Real'!I33</f>
        <v>1</v>
      </c>
      <c r="K15" s="162">
        <f>'[5]C-FCL Real'!J33</f>
        <v>1</v>
      </c>
      <c r="L15" s="162">
        <f>'[5]C-FCL Real'!K33</f>
        <v>1</v>
      </c>
      <c r="M15" s="162">
        <f>'[5]C-FCL Real'!L33</f>
        <v>1</v>
      </c>
      <c r="N15" s="162">
        <f>'[5]C-FCL Real'!M33</f>
        <v>1</v>
      </c>
      <c r="O15" s="162">
        <f>'[5]C-FCL Real'!N33</f>
        <v>1</v>
      </c>
      <c r="P15" s="162">
        <f>'[5]C-FCL Real'!O33</f>
        <v>1</v>
      </c>
      <c r="Q15" s="162">
        <f>'[5]C-FCL Real'!P33</f>
        <v>1</v>
      </c>
      <c r="R15" s="162">
        <f>'[5]C-FCL Real'!Q33</f>
        <v>1</v>
      </c>
      <c r="S15" s="162">
        <f>'[5]C-FCL Real'!R33</f>
        <v>1</v>
      </c>
      <c r="T15" s="162">
        <f>'[5]C-FCL Real'!S33</f>
        <v>1</v>
      </c>
      <c r="U15" s="162">
        <f>'[5]C-FCL Real'!T33</f>
        <v>1</v>
      </c>
      <c r="V15" s="162">
        <f>'[5]C-FCL Real'!U33</f>
        <v>1</v>
      </c>
      <c r="W15" s="162">
        <f>'[5]C-FCL Real'!V33</f>
        <v>1</v>
      </c>
      <c r="X15" s="162">
        <f>'[5]C-FCL Real'!W33</f>
        <v>1</v>
      </c>
      <c r="Y15" s="162">
        <f>'[5]C-FCL Real'!X33</f>
        <v>1</v>
      </c>
      <c r="Z15" s="162">
        <f>'[5]C-FCL Real'!Y33</f>
        <v>1</v>
      </c>
      <c r="AA15" s="162">
        <f>'[5]C-FCL Real'!Z33</f>
        <v>1</v>
      </c>
      <c r="AB15" s="162">
        <f>'[5]C-FCL Real'!AA33</f>
        <v>1</v>
      </c>
      <c r="AC15" s="162">
        <f>'[5]C-FCL Real'!AB33</f>
        <v>1</v>
      </c>
      <c r="AD15" s="162">
        <f>'[5]C-FCL Real'!AC33</f>
        <v>1</v>
      </c>
      <c r="AE15" s="162">
        <f>'[5]C-FCL Real'!AD33</f>
        <v>1</v>
      </c>
      <c r="AF15" s="162">
        <f>'[5]C-FCL Real'!AE33</f>
        <v>1</v>
      </c>
      <c r="AG15" s="162">
        <f>'[5]C-FCL Real'!AF33</f>
        <v>1</v>
      </c>
      <c r="AH15" s="162">
        <f>'[5]C-FCL Real'!AG33</f>
        <v>1</v>
      </c>
      <c r="AI15" s="162">
        <f>'[5]C-FCL Real'!AH33</f>
        <v>1</v>
      </c>
      <c r="AJ15" s="162">
        <f>'[5]C-FCL Real'!AI33</f>
        <v>1</v>
      </c>
      <c r="AK15" s="162">
        <f>'[5]C-FCL Real'!AJ33</f>
        <v>1</v>
      </c>
      <c r="AL15" s="162">
        <f>'[5]C-FCL Real'!AK33</f>
        <v>1</v>
      </c>
      <c r="AM15" s="162">
        <f>'[5]C-FCL Real'!AL33</f>
        <v>0</v>
      </c>
      <c r="AN15" s="162">
        <f>'[5]C-FCL Real'!AM33</f>
        <v>0</v>
      </c>
      <c r="AO15" s="162">
        <f>'[5]C-FCL Real'!AN33</f>
        <v>0</v>
      </c>
      <c r="AP15" s="162">
        <f>'[5]C-FCL Real'!AO33</f>
        <v>0</v>
      </c>
      <c r="AQ15" s="162">
        <f>'[5]C-FCL Real'!AP33</f>
        <v>0</v>
      </c>
      <c r="AR15" s="162">
        <f>'[5]C-FCL Real'!AQ33</f>
        <v>0</v>
      </c>
      <c r="AS15" s="162">
        <f>'[5]C-FCL Real'!AR33</f>
        <v>0</v>
      </c>
      <c r="AT15" s="162">
        <f>'[5]C-FCL Real'!AS33</f>
        <v>0</v>
      </c>
      <c r="AU15" s="162">
        <f>'[5]C-FCL Real'!AT33</f>
        <v>0</v>
      </c>
      <c r="AV15" s="162">
        <f>'[5]C-FCL Real'!AU33</f>
        <v>0</v>
      </c>
      <c r="AW15" s="162">
        <f>'[5]C-FCL Real'!AV33</f>
        <v>0</v>
      </c>
      <c r="AX15" s="162">
        <f>'[5]C-FCL Real'!AW33</f>
        <v>0</v>
      </c>
      <c r="AY15" s="162">
        <f>'[5]C-FCL Real'!AX33</f>
        <v>0</v>
      </c>
      <c r="AZ15" s="162">
        <f>'[5]C-FCL Real'!AY33</f>
        <v>0</v>
      </c>
      <c r="BA15" s="162">
        <f>'[5]C-FCL Real'!AZ33</f>
        <v>0</v>
      </c>
      <c r="BB15" s="162">
        <f>'[5]C-FCL Real'!BA33</f>
        <v>0</v>
      </c>
      <c r="BC15" s="162">
        <f>'[5]C-FCL Real'!BB33</f>
        <v>0</v>
      </c>
      <c r="BD15" s="162">
        <f>'[5]C-FCL Real'!BC33</f>
        <v>0</v>
      </c>
      <c r="BE15" s="162">
        <f>'[5]C-FCL Real'!BD33</f>
        <v>0</v>
      </c>
      <c r="BF15" s="162">
        <f>'[5]C-FCL Real'!BE33</f>
        <v>0</v>
      </c>
      <c r="BG15" s="162">
        <f>'[5]C-FCL Real'!BF33</f>
        <v>0</v>
      </c>
      <c r="BH15" s="163">
        <f>'[5]C-FCL Real'!BG33</f>
        <v>0</v>
      </c>
    </row>
    <row r="16" spans="1:60" s="168" customFormat="1" ht="15" hidden="1" customHeight="1" outlineLevel="1" x14ac:dyDescent="0.3">
      <c r="A16" s="1230"/>
      <c r="B16" s="141" t="str">
        <f>'[5]C-FCL Real'!B35</f>
        <v>Dados Quantitativos RSU</v>
      </c>
      <c r="C16" s="165">
        <f>SUMIF($D$15:$BG$15,1,D16:BG16)</f>
        <v>1193646.2820174235</v>
      </c>
      <c r="D16" s="166">
        <f>'[5]C-FCL Real'!C35</f>
        <v>31717.919999999998</v>
      </c>
      <c r="E16" s="167">
        <f>'[5]C-FCL Real'!D35</f>
        <v>31866.994223999995</v>
      </c>
      <c r="F16" s="167">
        <f>'[5]C-FCL Real'!E35</f>
        <v>32016.769096852793</v>
      </c>
      <c r="G16" s="167">
        <f>'[5]C-FCL Real'!F35</f>
        <v>32167.247911607999</v>
      </c>
      <c r="H16" s="167">
        <f>'[5]C-FCL Real'!G35</f>
        <v>32318.433976792556</v>
      </c>
      <c r="I16" s="167">
        <f>'[5]C-FCL Real'!H35</f>
        <v>32470.330616483479</v>
      </c>
      <c r="J16" s="167">
        <f>'[5]C-FCL Real'!I35</f>
        <v>32622.941170380949</v>
      </c>
      <c r="K16" s="167">
        <f>'[5]C-FCL Real'!J35</f>
        <v>32776.268993881735</v>
      </c>
      <c r="L16" s="167">
        <f>'[5]C-FCL Real'!K35</f>
        <v>32930.317458152975</v>
      </c>
      <c r="M16" s="167">
        <f>'[5]C-FCL Real'!L35</f>
        <v>33085.089950206289</v>
      </c>
      <c r="N16" s="167">
        <f>'[5]C-FCL Real'!M35</f>
        <v>33240.589872972254</v>
      </c>
      <c r="O16" s="167">
        <f>'[5]C-FCL Real'!N35</f>
        <v>33396.820645375221</v>
      </c>
      <c r="P16" s="167">
        <f>'[5]C-FCL Real'!O35</f>
        <v>33553.785702408481</v>
      </c>
      <c r="Q16" s="167">
        <f>'[5]C-FCL Real'!P35</f>
        <v>33711.4884952098</v>
      </c>
      <c r="R16" s="167">
        <f>'[5]C-FCL Real'!Q35</f>
        <v>33869.932491137282</v>
      </c>
      <c r="S16" s="167">
        <f>'[5]C-FCL Real'!O35</f>
        <v>33553.785702408481</v>
      </c>
      <c r="T16" s="167">
        <f>'[5]C-FCL Real'!P35</f>
        <v>33711.4884952098</v>
      </c>
      <c r="U16" s="167">
        <f>'[5]C-FCL Real'!Q35</f>
        <v>33869.932491137282</v>
      </c>
      <c r="V16" s="167">
        <f>'[5]C-FCL Real'!R35</f>
        <v>34029.121173845626</v>
      </c>
      <c r="W16" s="167">
        <f>'[5]C-FCL Real'!S35</f>
        <v>34189.058043362696</v>
      </c>
      <c r="X16" s="167">
        <f>'[5]C-FCL Real'!T35</f>
        <v>34349.7466161665</v>
      </c>
      <c r="Y16" s="167">
        <f>'[5]C-FCL Real'!U35</f>
        <v>34511.190425262481</v>
      </c>
      <c r="Z16" s="167">
        <f>'[5]C-FCL Real'!V35</f>
        <v>34673.39302026121</v>
      </c>
      <c r="AA16" s="167">
        <f>'[5]C-FCL Real'!W35</f>
        <v>34836.357967456432</v>
      </c>
      <c r="AB16" s="167">
        <f>'[5]C-FCL Real'!X35</f>
        <v>35000.088849903477</v>
      </c>
      <c r="AC16" s="167">
        <f>'[5]C-FCL Real'!Y35</f>
        <v>35164.58926749802</v>
      </c>
      <c r="AD16" s="167">
        <f>'[5]C-FCL Real'!Z35</f>
        <v>35329.862837055261</v>
      </c>
      <c r="AE16" s="167">
        <f>'[5]C-FCL Real'!AA35</f>
        <v>35495.913192389417</v>
      </c>
      <c r="AF16" s="167">
        <f>'[5]C-FCL Real'!AB35</f>
        <v>35662.743984393644</v>
      </c>
      <c r="AG16" s="167">
        <f>'[5]C-FCL Real'!AC35</f>
        <v>35830.358881120294</v>
      </c>
      <c r="AH16" s="167">
        <f>'[5]C-FCL Real'!AD35</f>
        <v>35998.761567861555</v>
      </c>
      <c r="AI16" s="167">
        <f>'[5]C-FCL Real'!AE35</f>
        <v>36167.955747230502</v>
      </c>
      <c r="AJ16" s="167">
        <f>'[5]C-FCL Real'!AF35</f>
        <v>36337.945139242482</v>
      </c>
      <c r="AK16" s="167">
        <f>'[5]C-FCL Real'!AG35</f>
        <v>36508.733481396921</v>
      </c>
      <c r="AL16" s="167">
        <f>'[5]C-FCL Real'!AH35</f>
        <v>36680.324528759484</v>
      </c>
      <c r="AM16" s="167">
        <f>'[5]C-FCL Real'!AI35</f>
        <v>36852.722054044651</v>
      </c>
      <c r="AN16" s="167">
        <f>'[5]C-FCL Real'!AJ35</f>
        <v>37025.929847698659</v>
      </c>
      <c r="AO16" s="167">
        <f>'[5]C-FCL Real'!AK35</f>
        <v>37199.95171798284</v>
      </c>
      <c r="AP16" s="167">
        <f>'[5]C-FCL Real'!AL35</f>
        <v>37374.79149105736</v>
      </c>
      <c r="AQ16" s="167">
        <f>'[5]C-FCL Real'!AM35</f>
        <v>37550.453011065329</v>
      </c>
      <c r="AR16" s="167">
        <f>'[5]C-FCL Real'!AN35</f>
        <v>37726.940140217332</v>
      </c>
      <c r="AS16" s="167">
        <f>'[5]C-FCL Real'!AO35</f>
        <v>37904.256758876349</v>
      </c>
      <c r="AT16" s="167">
        <f>'[5]C-FCL Real'!AP35</f>
        <v>38082.406765643063</v>
      </c>
      <c r="AU16" s="167">
        <f>'[5]C-FCL Real'!AQ35</f>
        <v>38261.394077441582</v>
      </c>
      <c r="AV16" s="167">
        <f>'[5]C-FCL Real'!AR35</f>
        <v>38441.222629605552</v>
      </c>
      <c r="AW16" s="167">
        <f>'[5]C-FCL Real'!AS35</f>
        <v>38621.896375964694</v>
      </c>
      <c r="AX16" s="167">
        <f>'[5]C-FCL Real'!AT35</f>
        <v>38803.419288931727</v>
      </c>
      <c r="AY16" s="167">
        <f>'[5]C-FCL Real'!AU35</f>
        <v>38985.795359589705</v>
      </c>
      <c r="AZ16" s="167">
        <f>'[5]C-FCL Real'!AV35</f>
        <v>39169.028597779776</v>
      </c>
      <c r="BA16" s="167">
        <f>'[5]C-FCL Real'!AW35</f>
        <v>39353.123032189338</v>
      </c>
      <c r="BB16" s="167">
        <f>'[5]C-FCL Real'!AX35</f>
        <v>39538.082710440627</v>
      </c>
      <c r="BC16" s="167">
        <f>'[5]C-FCL Real'!AY35</f>
        <v>39723.911699179698</v>
      </c>
      <c r="BD16" s="167">
        <f>'[5]C-FCL Real'!AZ35</f>
        <v>39910.614084165842</v>
      </c>
      <c r="BE16" s="167">
        <f>'[5]C-FCL Real'!BA35</f>
        <v>40098.193970361419</v>
      </c>
      <c r="BF16" s="167">
        <f>'[5]C-FCL Real'!BB35</f>
        <v>40286.655482022114</v>
      </c>
      <c r="BG16" s="167">
        <f>'[5]C-FCL Real'!BC35</f>
        <v>40476.002762787612</v>
      </c>
      <c r="BH16" s="167">
        <f>'[5]C-FCL Real'!BD35</f>
        <v>0</v>
      </c>
    </row>
    <row r="17" spans="1:60" ht="15" hidden="1" customHeight="1" outlineLevel="1" x14ac:dyDescent="0.3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3">
      <c r="A18" s="172">
        <f>C18*1000000/$C$16</f>
        <v>92.73716569454777</v>
      </c>
      <c r="B18" s="173" t="str">
        <f>'[5]C-FCL Real'!B63</f>
        <v>Dados de Capex</v>
      </c>
      <c r="C18" s="174">
        <f>SUMIF($D$15:$BG$15,1,D18:BG18)</f>
        <v>110.69537303613069</v>
      </c>
      <c r="D18" s="175">
        <f>'[5]C-FCL Real'!C63</f>
        <v>29.726971231631744</v>
      </c>
      <c r="E18" s="20">
        <f>'[5]C-FCL Real'!D63</f>
        <v>43.206328630450415</v>
      </c>
      <c r="F18" s="20">
        <f>'[5]C-FCL Real'!E63</f>
        <v>37.762073174048545</v>
      </c>
      <c r="G18" s="20">
        <f>'[5]C-FCL Real'!F63</f>
        <v>0</v>
      </c>
      <c r="H18" s="20">
        <f>'[5]C-FCL Real'!G63</f>
        <v>0</v>
      </c>
      <c r="I18" s="20">
        <f>'[5]C-FCL Real'!H63</f>
        <v>0</v>
      </c>
      <c r="J18" s="20">
        <f>'[5]C-FCL Real'!I63</f>
        <v>0</v>
      </c>
      <c r="K18" s="20">
        <f>'[5]C-FCL Real'!J63</f>
        <v>0</v>
      </c>
      <c r="L18" s="20">
        <f>'[5]C-FCL Real'!K63</f>
        <v>0</v>
      </c>
      <c r="M18" s="20">
        <f>'[5]C-FCL Real'!L63</f>
        <v>0</v>
      </c>
      <c r="N18" s="20">
        <f>'[5]C-FCL Real'!M63</f>
        <v>0</v>
      </c>
      <c r="O18" s="20">
        <f>'[5]C-FCL Real'!N63</f>
        <v>0</v>
      </c>
      <c r="P18" s="20">
        <f>'[5]C-FCL Real'!O63</f>
        <v>0</v>
      </c>
      <c r="Q18" s="20">
        <f>'[5]C-FCL Real'!P63</f>
        <v>0</v>
      </c>
      <c r="R18" s="20">
        <f>'[5]C-FCL Real'!Q63</f>
        <v>0</v>
      </c>
      <c r="S18" s="20">
        <f>'[5]C-FCL Real'!O63</f>
        <v>0</v>
      </c>
      <c r="T18" s="20">
        <f>'[5]C-FCL Real'!P63</f>
        <v>0</v>
      </c>
      <c r="U18" s="20">
        <f>'[5]C-FCL Real'!Q63</f>
        <v>0</v>
      </c>
      <c r="V18" s="20">
        <f>'[5]C-FCL Real'!R63</f>
        <v>0</v>
      </c>
      <c r="W18" s="20">
        <f>'[5]C-FCL Real'!S63</f>
        <v>0</v>
      </c>
      <c r="X18" s="20">
        <f>'[5]C-FCL Real'!T63</f>
        <v>0</v>
      </c>
      <c r="Y18" s="20">
        <f>'[5]C-FCL Real'!U63</f>
        <v>0</v>
      </c>
      <c r="Z18" s="20">
        <f>'[5]C-FCL Real'!V63</f>
        <v>0</v>
      </c>
      <c r="AA18" s="20">
        <f>'[5]C-FCL Real'!W63</f>
        <v>0</v>
      </c>
      <c r="AB18" s="20">
        <f>'[5]C-FCL Real'!X63</f>
        <v>0</v>
      </c>
      <c r="AC18" s="20">
        <f>'[5]C-FCL Real'!Y63</f>
        <v>0</v>
      </c>
      <c r="AD18" s="20">
        <f>'[5]C-FCL Real'!Z63</f>
        <v>0</v>
      </c>
      <c r="AE18" s="20">
        <f>'[5]C-FCL Real'!AA63</f>
        <v>0</v>
      </c>
      <c r="AF18" s="20">
        <f>'[5]C-FCL Real'!AB63</f>
        <v>0</v>
      </c>
      <c r="AG18" s="20">
        <f>'[5]C-FCL Real'!AC63</f>
        <v>0</v>
      </c>
      <c r="AH18" s="20">
        <f>'[5]C-FCL Real'!AD63</f>
        <v>0</v>
      </c>
      <c r="AI18" s="20">
        <f>'[5]C-FCL Real'!AE63</f>
        <v>0</v>
      </c>
      <c r="AJ18" s="20">
        <f>'[5]C-FCL Real'!AF63</f>
        <v>0</v>
      </c>
      <c r="AK18" s="20">
        <f>'[5]C-FCL Real'!AG63</f>
        <v>0</v>
      </c>
      <c r="AL18" s="20">
        <f>'[5]C-FCL Real'!AH63</f>
        <v>0</v>
      </c>
      <c r="AM18" s="20">
        <f>'[5]C-FCL Real'!AI63</f>
        <v>0</v>
      </c>
      <c r="AN18" s="20">
        <f>'[5]C-FCL Real'!AJ63</f>
        <v>0</v>
      </c>
      <c r="AO18" s="20">
        <f>'[5]C-FCL Real'!AK63</f>
        <v>0</v>
      </c>
      <c r="AP18" s="20">
        <f>'[5]C-FCL Real'!AL63</f>
        <v>0</v>
      </c>
      <c r="AQ18" s="20">
        <f>'[5]C-FCL Real'!AM63</f>
        <v>0</v>
      </c>
      <c r="AR18" s="20">
        <f>'[5]C-FCL Real'!AN63</f>
        <v>0</v>
      </c>
      <c r="AS18" s="20">
        <f>'[5]C-FCL Real'!AO63</f>
        <v>0</v>
      </c>
      <c r="AT18" s="20">
        <f>'[5]C-FCL Real'!AP63</f>
        <v>0</v>
      </c>
      <c r="AU18" s="20">
        <f>'[5]C-FCL Real'!AQ63</f>
        <v>0</v>
      </c>
      <c r="AV18" s="20">
        <f>'[5]C-FCL Real'!AR63</f>
        <v>0</v>
      </c>
      <c r="AW18" s="20">
        <f>'[5]C-FCL Real'!AS63</f>
        <v>0</v>
      </c>
      <c r="AX18" s="20">
        <f>'[5]C-FCL Real'!AT63</f>
        <v>0</v>
      </c>
      <c r="AY18" s="20">
        <f>'[5]C-FCL Real'!AU63</f>
        <v>0</v>
      </c>
      <c r="AZ18" s="20">
        <f>'[5]C-FCL Real'!AV63</f>
        <v>0</v>
      </c>
      <c r="BA18" s="20">
        <f>'[5]C-FCL Real'!AW63</f>
        <v>0</v>
      </c>
      <c r="BB18" s="20">
        <f>'[5]C-FCL Real'!AX63</f>
        <v>0</v>
      </c>
      <c r="BC18" s="20">
        <f>'[5]C-FCL Real'!AY63</f>
        <v>0</v>
      </c>
      <c r="BD18" s="20">
        <f>'[5]C-FCL Real'!AZ63</f>
        <v>0</v>
      </c>
      <c r="BE18" s="20">
        <f>'[5]C-FCL Real'!BA63</f>
        <v>0</v>
      </c>
      <c r="BF18" s="20">
        <f>'[5]C-FCL Real'!BB63</f>
        <v>0</v>
      </c>
      <c r="BG18" s="20">
        <f>'[5]C-FCL Real'!BC63</f>
        <v>0</v>
      </c>
      <c r="BH18" s="20">
        <f>'[5]C-FCL Real'!BD63</f>
        <v>0</v>
      </c>
    </row>
    <row r="19" spans="1:60" ht="15" hidden="1" customHeight="1" outlineLevel="1" x14ac:dyDescent="0.3">
      <c r="A19" s="172">
        <f>C19*1000000/$C$16</f>
        <v>84.605479265867459</v>
      </c>
      <c r="B19" s="176" t="s">
        <v>52</v>
      </c>
      <c r="C19" s="169">
        <f>SUMIF($D$15:$BG$15,1,D19:BG19)</f>
        <v>100.9890157640049</v>
      </c>
      <c r="D19" s="175">
        <f t="shared" ref="D19:AJ19" si="0">NPV($C$8,D18:D18)</f>
        <v>27.12035276621274</v>
      </c>
      <c r="E19" s="20">
        <f t="shared" si="0"/>
        <v>39.417768633754385</v>
      </c>
      <c r="F19" s="20">
        <f t="shared" si="0"/>
        <v>34.450894364037786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3">
      <c r="A20" s="172"/>
      <c r="B20" s="1"/>
      <c r="C20" s="1128">
        <f>C18*1000000/(C16/C43)</f>
        <v>3245.8007993091715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3">
      <c r="A21" s="172">
        <f>C21*1000000/$C$16</f>
        <v>748.84765460394215</v>
      </c>
      <c r="B21" s="173" t="str">
        <f>'[5]C-FCL Real'!B119</f>
        <v>Dados de Opex + Gestão do Contrato</v>
      </c>
      <c r="C21" s="174">
        <f>SUMIF($D$15:$BG$15,1,D21:BG21)</f>
        <v>893.85921871546327</v>
      </c>
      <c r="D21" s="175">
        <f>'[5]C-FCL Real'!C119</f>
        <v>5.00414475505496</v>
      </c>
      <c r="E21" s="20">
        <f>'[5]C-FCL Real'!D119</f>
        <v>5.00414475505496</v>
      </c>
      <c r="F21" s="20">
        <f>'[5]C-FCL Real'!E119</f>
        <v>5.00414475505496</v>
      </c>
      <c r="G21" s="20">
        <f>'[5]C-FCL Real'!F119</f>
        <v>27.463962014071814</v>
      </c>
      <c r="H21" s="20">
        <f>'[5]C-FCL Real'!G119</f>
        <v>27.463962014071814</v>
      </c>
      <c r="I21" s="20">
        <f>'[5]C-FCL Real'!H119</f>
        <v>27.463962014071814</v>
      </c>
      <c r="J21" s="20">
        <f>'[5]C-FCL Real'!I119</f>
        <v>27.463962014071814</v>
      </c>
      <c r="K21" s="20">
        <f>'[5]C-FCL Real'!J119</f>
        <v>27.463962014071814</v>
      </c>
      <c r="L21" s="20">
        <f>'[5]C-FCL Real'!K119</f>
        <v>27.463962014071814</v>
      </c>
      <c r="M21" s="20">
        <f>'[5]C-FCL Real'!L119</f>
        <v>27.463962014071814</v>
      </c>
      <c r="N21" s="20">
        <f>'[5]C-FCL Real'!M119</f>
        <v>27.463962014071814</v>
      </c>
      <c r="O21" s="20">
        <f>'[5]C-FCL Real'!N119</f>
        <v>27.463962014071814</v>
      </c>
      <c r="P21" s="20">
        <f>'[5]C-FCL Real'!O119</f>
        <v>27.463962014071814</v>
      </c>
      <c r="Q21" s="20">
        <f>'[5]C-FCL Real'!P119</f>
        <v>27.463962014071814</v>
      </c>
      <c r="R21" s="20">
        <f>'[5]C-FCL Real'!Q119</f>
        <v>27.463962014071814</v>
      </c>
      <c r="S21" s="20">
        <f>'[5]C-FCL Real'!O119</f>
        <v>27.463962014071814</v>
      </c>
      <c r="T21" s="20">
        <f>'[5]C-FCL Real'!P119</f>
        <v>27.463962014071814</v>
      </c>
      <c r="U21" s="20">
        <f>'[5]C-FCL Real'!Q119</f>
        <v>27.463962014071814</v>
      </c>
      <c r="V21" s="20">
        <f>'[5]C-FCL Real'!R119</f>
        <v>27.463962014071814</v>
      </c>
      <c r="W21" s="20">
        <f>'[5]C-FCL Real'!S119</f>
        <v>27.463962014071814</v>
      </c>
      <c r="X21" s="20">
        <f>'[5]C-FCL Real'!T119</f>
        <v>27.463962014071814</v>
      </c>
      <c r="Y21" s="20">
        <f>'[5]C-FCL Real'!U119</f>
        <v>27.463962014071814</v>
      </c>
      <c r="Z21" s="20">
        <f>'[5]C-FCL Real'!V119</f>
        <v>27.463962014071814</v>
      </c>
      <c r="AA21" s="20">
        <f>'[5]C-FCL Real'!W119</f>
        <v>27.463962014071814</v>
      </c>
      <c r="AB21" s="20">
        <f>'[5]C-FCL Real'!X119</f>
        <v>27.463962014071814</v>
      </c>
      <c r="AC21" s="20">
        <f>'[5]C-FCL Real'!Y119</f>
        <v>27.463962014071814</v>
      </c>
      <c r="AD21" s="20">
        <f>'[5]C-FCL Real'!Z119</f>
        <v>27.463962014071814</v>
      </c>
      <c r="AE21" s="20">
        <f>'[5]C-FCL Real'!AA119</f>
        <v>27.463962014071814</v>
      </c>
      <c r="AF21" s="20">
        <f>'[5]C-FCL Real'!AB119</f>
        <v>27.463962014071814</v>
      </c>
      <c r="AG21" s="20">
        <f>'[5]C-FCL Real'!AC119</f>
        <v>27.463962014071814</v>
      </c>
      <c r="AH21" s="20">
        <f>'[5]C-FCL Real'!AD119</f>
        <v>27.463962014071814</v>
      </c>
      <c r="AI21" s="20">
        <f>'[5]C-FCL Real'!AE119</f>
        <v>27.463962014071814</v>
      </c>
      <c r="AJ21" s="20">
        <f>'[5]C-FCL Real'!AF119</f>
        <v>27.463962014071814</v>
      </c>
      <c r="AK21" s="20">
        <f>'[5]C-FCL Real'!AG119</f>
        <v>27.463962014071814</v>
      </c>
      <c r="AL21" s="20">
        <f>'[5]C-FCL Real'!AH119</f>
        <v>27.463962014071814</v>
      </c>
      <c r="AM21" s="20">
        <f>'[5]C-FCL Real'!AI119</f>
        <v>27.463962014071814</v>
      </c>
      <c r="AN21" s="20">
        <f>'[5]C-FCL Real'!AJ119</f>
        <v>27.463962014071814</v>
      </c>
      <c r="AO21" s="20">
        <f>'[5]C-FCL Real'!AK119</f>
        <v>27.463962014071814</v>
      </c>
      <c r="AP21" s="20">
        <f>'[5]C-FCL Real'!AL119</f>
        <v>27.463962014071814</v>
      </c>
      <c r="AQ21" s="20">
        <f>'[5]C-FCL Real'!AM119</f>
        <v>27.463962014071814</v>
      </c>
      <c r="AR21" s="20">
        <f>'[5]C-FCL Real'!AN119</f>
        <v>27.463962014071814</v>
      </c>
      <c r="AS21" s="20">
        <f>'[5]C-FCL Real'!AO119</f>
        <v>27.463962014071814</v>
      </c>
      <c r="AT21" s="20">
        <f>'[5]C-FCL Real'!AP119</f>
        <v>27.463962014071814</v>
      </c>
      <c r="AU21" s="20">
        <f>'[5]C-FCL Real'!AQ119</f>
        <v>27.463962014071814</v>
      </c>
      <c r="AV21" s="20">
        <f>'[5]C-FCL Real'!AR119</f>
        <v>27.463962014071814</v>
      </c>
      <c r="AW21" s="20">
        <f>'[5]C-FCL Real'!AS119</f>
        <v>27.463962014071814</v>
      </c>
      <c r="AX21" s="20">
        <f>'[5]C-FCL Real'!AT119</f>
        <v>27.463962014071814</v>
      </c>
      <c r="AY21" s="20">
        <f>'[5]C-FCL Real'!AU119</f>
        <v>27.463962014071814</v>
      </c>
      <c r="AZ21" s="20">
        <f>'[5]C-FCL Real'!AV119</f>
        <v>27.463962014071814</v>
      </c>
      <c r="BA21" s="20">
        <f>'[5]C-FCL Real'!AW119</f>
        <v>27.463962014071814</v>
      </c>
      <c r="BB21" s="20">
        <f>'[5]C-FCL Real'!AX119</f>
        <v>27.463962014071814</v>
      </c>
      <c r="BC21" s="20">
        <f>'[5]C-FCL Real'!AY119</f>
        <v>27.463962014071814</v>
      </c>
      <c r="BD21" s="20">
        <f>'[5]C-FCL Real'!AZ119</f>
        <v>27.463962014071814</v>
      </c>
      <c r="BE21" s="20">
        <f>'[5]C-FCL Real'!BA119</f>
        <v>27.463962014071814</v>
      </c>
      <c r="BF21" s="20">
        <f>'[5]C-FCL Real'!BB119</f>
        <v>27.463962014071814</v>
      </c>
      <c r="BG21" s="20">
        <f>'[5]C-FCL Real'!BC119</f>
        <v>27.463962014071814</v>
      </c>
      <c r="BH21" s="20">
        <f>'[5]C-FCL Real'!BD119</f>
        <v>0</v>
      </c>
    </row>
    <row r="22" spans="1:60" ht="15" hidden="1" customHeight="1" outlineLevel="1" x14ac:dyDescent="0.3">
      <c r="A22" s="172">
        <f>C22*1000000/$C$16</f>
        <v>641.20281012096382</v>
      </c>
      <c r="B22" s="176" t="s">
        <v>53</v>
      </c>
      <c r="C22" s="169">
        <f>SUMIF($D$15:$BG$15,1,D22:BG22)</f>
        <v>765.36935032001247</v>
      </c>
      <c r="D22" s="175">
        <f t="shared" ref="D22:AJ22" si="1">NPV($C$8,D21:D21)</f>
        <v>4.5653548083591389</v>
      </c>
      <c r="E22" s="20">
        <f t="shared" si="1"/>
        <v>4.5653548083591389</v>
      </c>
      <c r="F22" s="20">
        <f t="shared" si="1"/>
        <v>4.5653548083591389</v>
      </c>
      <c r="G22" s="20">
        <f t="shared" si="1"/>
        <v>25.055776196497821</v>
      </c>
      <c r="H22" s="20">
        <f t="shared" si="1"/>
        <v>25.055776196497821</v>
      </c>
      <c r="I22" s="20">
        <f t="shared" si="1"/>
        <v>25.055776196497821</v>
      </c>
      <c r="J22" s="20">
        <f t="shared" si="1"/>
        <v>25.055776196497821</v>
      </c>
      <c r="K22" s="20">
        <f t="shared" si="1"/>
        <v>25.055776196497821</v>
      </c>
      <c r="L22" s="20">
        <f t="shared" si="1"/>
        <v>25.055776196497821</v>
      </c>
      <c r="M22" s="20">
        <f t="shared" si="1"/>
        <v>25.055776196497821</v>
      </c>
      <c r="N22" s="20">
        <f t="shared" si="1"/>
        <v>25.055776196497821</v>
      </c>
      <c r="O22" s="20">
        <f t="shared" si="1"/>
        <v>25.055776196497821</v>
      </c>
      <c r="P22" s="20">
        <f t="shared" si="1"/>
        <v>25.055776196497821</v>
      </c>
      <c r="Q22" s="20">
        <f t="shared" si="1"/>
        <v>25.055776196497821</v>
      </c>
      <c r="R22" s="20">
        <f t="shared" si="1"/>
        <v>25.055776196497821</v>
      </c>
      <c r="S22" s="20">
        <f t="shared" si="1"/>
        <v>25.055776196497821</v>
      </c>
      <c r="T22" s="20">
        <f t="shared" si="1"/>
        <v>25.055776196497821</v>
      </c>
      <c r="U22" s="20">
        <f t="shared" si="1"/>
        <v>25.055776196497821</v>
      </c>
      <c r="V22" s="20">
        <f t="shared" si="1"/>
        <v>25.055776196497821</v>
      </c>
      <c r="W22" s="20">
        <f t="shared" si="1"/>
        <v>25.055776196497821</v>
      </c>
      <c r="X22" s="20">
        <f t="shared" si="1"/>
        <v>25.055776196497821</v>
      </c>
      <c r="Y22" s="20">
        <f t="shared" si="1"/>
        <v>25.055776196497821</v>
      </c>
      <c r="Z22" s="20">
        <f t="shared" si="1"/>
        <v>25.055776196497821</v>
      </c>
      <c r="AA22" s="20">
        <f t="shared" si="1"/>
        <v>25.055776196497821</v>
      </c>
      <c r="AB22" s="20">
        <f t="shared" si="1"/>
        <v>25.055776196497821</v>
      </c>
      <c r="AC22" s="20">
        <f t="shared" si="1"/>
        <v>25.055776196497821</v>
      </c>
      <c r="AD22" s="20">
        <f t="shared" si="1"/>
        <v>25.055776196497821</v>
      </c>
      <c r="AE22" s="20">
        <f t="shared" si="1"/>
        <v>25.055776196497821</v>
      </c>
      <c r="AF22" s="20">
        <f t="shared" si="1"/>
        <v>25.055776196497821</v>
      </c>
      <c r="AG22" s="20">
        <f t="shared" si="1"/>
        <v>25.055776196497821</v>
      </c>
      <c r="AH22" s="20">
        <f t="shared" si="1"/>
        <v>25.055776196497821</v>
      </c>
      <c r="AI22" s="20">
        <f t="shared" si="1"/>
        <v>25.055776196497821</v>
      </c>
      <c r="AJ22" s="20">
        <f t="shared" si="1"/>
        <v>25.055776196497821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3">
      <c r="A23" s="172"/>
      <c r="C23" s="1129">
        <f>C21*1000000/C16</f>
        <v>748.84765460394215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3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'[5]C-FCL Real'!C121</f>
        <v>0</v>
      </c>
      <c r="E24" s="20">
        <f>'[5]C-FCL Real'!D121</f>
        <v>0</v>
      </c>
      <c r="F24" s="20">
        <f>'[5]C-FCL Real'!E121</f>
        <v>0</v>
      </c>
      <c r="G24" s="20">
        <f>'[5]C-FCL Real'!F121</f>
        <v>0</v>
      </c>
      <c r="H24" s="20">
        <f>'[5]C-FCL Real'!G121</f>
        <v>0</v>
      </c>
      <c r="I24" s="20">
        <f>'[5]C-FCL Real'!H121</f>
        <v>0</v>
      </c>
      <c r="J24" s="20">
        <f>'[5]C-FCL Real'!I121</f>
        <v>0</v>
      </c>
      <c r="K24" s="20">
        <f>'[5]C-FCL Real'!J121</f>
        <v>0</v>
      </c>
      <c r="L24" s="20">
        <f>'[5]C-FCL Real'!K121</f>
        <v>0</v>
      </c>
      <c r="M24" s="20">
        <f>'[5]C-FCL Real'!L121</f>
        <v>0</v>
      </c>
      <c r="N24" s="20">
        <f>'[5]C-FCL Real'!M121</f>
        <v>0</v>
      </c>
      <c r="O24" s="20">
        <f>'[5]C-FCL Real'!N121</f>
        <v>0</v>
      </c>
      <c r="P24" s="20">
        <f>'[5]C-FCL Real'!O121</f>
        <v>0</v>
      </c>
      <c r="Q24" s="20">
        <f>'[5]C-FCL Real'!P121</f>
        <v>0</v>
      </c>
      <c r="R24" s="20">
        <f>'[5]C-FCL Real'!Q121</f>
        <v>0</v>
      </c>
      <c r="S24" s="20">
        <f>'[5]C-FCL Real'!O121</f>
        <v>0</v>
      </c>
      <c r="T24" s="20">
        <f>'[5]C-FCL Real'!P121</f>
        <v>0</v>
      </c>
      <c r="U24" s="20">
        <f>'[5]C-FCL Real'!Q121</f>
        <v>0</v>
      </c>
      <c r="V24" s="20">
        <f>'[5]C-FCL Real'!R121</f>
        <v>0</v>
      </c>
      <c r="W24" s="20">
        <f>'[5]C-FCL Real'!S121</f>
        <v>0</v>
      </c>
      <c r="X24" s="20">
        <f>'[5]C-FCL Real'!T121</f>
        <v>0</v>
      </c>
      <c r="Y24" s="20">
        <f>'[5]C-FCL Real'!U121</f>
        <v>0</v>
      </c>
      <c r="Z24" s="20">
        <f>'[5]C-FCL Real'!V121</f>
        <v>0</v>
      </c>
      <c r="AA24" s="20">
        <f>'[5]C-FCL Real'!W121</f>
        <v>0</v>
      </c>
      <c r="AB24" s="20">
        <f>'[5]C-FCL Real'!X121</f>
        <v>0</v>
      </c>
      <c r="AC24" s="20">
        <f>'[5]C-FCL Real'!Y121</f>
        <v>0</v>
      </c>
      <c r="AD24" s="20">
        <f>'[5]C-FCL Real'!Z121</f>
        <v>0</v>
      </c>
      <c r="AE24" s="20">
        <f>'[5]C-FCL Real'!AA121</f>
        <v>0</v>
      </c>
      <c r="AF24" s="20">
        <f>'[5]C-FCL Real'!AB121</f>
        <v>0</v>
      </c>
      <c r="AG24" s="20">
        <f>'[5]C-FCL Real'!AC121</f>
        <v>0</v>
      </c>
      <c r="AH24" s="20">
        <f>'[5]C-FCL Real'!AD121</f>
        <v>0</v>
      </c>
      <c r="AI24" s="20">
        <f>'[5]C-FCL Real'!AE121</f>
        <v>0</v>
      </c>
      <c r="AJ24" s="20">
        <f>'[5]C-FCL Real'!AF121</f>
        <v>0</v>
      </c>
      <c r="AK24" s="20">
        <f>'[5]C-FCL Real'!AG121</f>
        <v>0</v>
      </c>
      <c r="AL24" s="20">
        <f>'[5]C-FCL Real'!AH121</f>
        <v>0</v>
      </c>
      <c r="AM24" s="20">
        <f>'[5]C-FCL Real'!AI121</f>
        <v>0</v>
      </c>
      <c r="AN24" s="20">
        <f>'[5]C-FCL Real'!AJ121</f>
        <v>0</v>
      </c>
      <c r="AO24" s="20">
        <f>'[5]C-FCL Real'!AK121</f>
        <v>0</v>
      </c>
      <c r="AP24" s="20">
        <f>'[5]C-FCL Real'!AL121</f>
        <v>0</v>
      </c>
      <c r="AQ24" s="20">
        <f>'[5]C-FCL Real'!AM121</f>
        <v>0</v>
      </c>
      <c r="AR24" s="20">
        <f>'[5]C-FCL Real'!AN121</f>
        <v>0</v>
      </c>
      <c r="AS24" s="20">
        <f>'[5]C-FCL Real'!AO121</f>
        <v>0</v>
      </c>
      <c r="AT24" s="20">
        <f>'[5]C-FCL Real'!AP121</f>
        <v>0</v>
      </c>
      <c r="AU24" s="20">
        <f>'[5]C-FCL Real'!AQ121</f>
        <v>0</v>
      </c>
      <c r="AV24" s="20">
        <f>'[5]C-FCL Real'!AR121</f>
        <v>0</v>
      </c>
      <c r="AW24" s="20">
        <f>'[5]C-FCL Real'!AS121</f>
        <v>0</v>
      </c>
      <c r="AX24" s="20">
        <f>'[5]C-FCL Real'!AT121</f>
        <v>0</v>
      </c>
      <c r="AY24" s="20">
        <f>'[5]C-FCL Real'!AU121</f>
        <v>0</v>
      </c>
      <c r="AZ24" s="20">
        <f>'[5]C-FCL Real'!AV121</f>
        <v>0</v>
      </c>
      <c r="BA24" s="20">
        <f>'[5]C-FCL Real'!AW121</f>
        <v>0</v>
      </c>
      <c r="BB24" s="20">
        <f>'[5]C-FCL Real'!AX121</f>
        <v>0</v>
      </c>
      <c r="BC24" s="20">
        <f>'[5]C-FCL Real'!AY121</f>
        <v>0</v>
      </c>
      <c r="BD24" s="20">
        <f>'[5]C-FCL Real'!AZ121</f>
        <v>0</v>
      </c>
      <c r="BE24" s="20">
        <f>'[5]C-FCL Real'!BA121</f>
        <v>0</v>
      </c>
      <c r="BF24" s="20">
        <f>'[5]C-FCL Real'!BB121</f>
        <v>0</v>
      </c>
      <c r="BG24" s="20">
        <f>'[5]C-FCL Real'!BC121</f>
        <v>0</v>
      </c>
      <c r="BH24" s="20">
        <f>'[5]C-FCL Real'!BD121</f>
        <v>0</v>
      </c>
    </row>
    <row r="25" spans="1:60" ht="15" hidden="1" customHeight="1" outlineLevel="1" x14ac:dyDescent="0.3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3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3">
      <c r="A27" s="172">
        <f>C27*1000000/$C$16</f>
        <v>1197.6781996295147</v>
      </c>
      <c r="B27" s="173" t="str">
        <f>'[5]C-FCL Real'!B148</f>
        <v>Dados de Receitas Diretas</v>
      </c>
      <c r="C27" s="174">
        <f>SUMIF($D$15:$BG$15,1,D27:BG27)</f>
        <v>1429.6041300410916</v>
      </c>
      <c r="D27" s="175">
        <f>'[5]C-FCL Real'!C148-D30</f>
        <v>37.987861321592966</v>
      </c>
      <c r="E27" s="20">
        <f>'[5]C-FCL Real'!D148-E30</f>
        <v>38.166404269804445</v>
      </c>
      <c r="F27" s="20">
        <f>'[5]C-FCL Real'!E148-F30</f>
        <v>38.345786369872535</v>
      </c>
      <c r="G27" s="20">
        <f>'[5]C-FCL Real'!F148-G30</f>
        <v>38.526011565810933</v>
      </c>
      <c r="H27" s="20">
        <f>'[5]C-FCL Real'!G148-H30</f>
        <v>38.70708382017024</v>
      </c>
      <c r="I27" s="20">
        <f>'[5]C-FCL Real'!H148-I30</f>
        <v>38.889007114125036</v>
      </c>
      <c r="J27" s="20">
        <f>'[5]C-FCL Real'!I148-J30</f>
        <v>39.07178544756141</v>
      </c>
      <c r="K27" s="20">
        <f>'[5]C-FCL Real'!J148-K30</f>
        <v>39.255422839164957</v>
      </c>
      <c r="L27" s="20">
        <f>'[5]C-FCL Real'!K148-L30</f>
        <v>39.439923326509025</v>
      </c>
      <c r="M27" s="20">
        <f>'[5]C-FCL Real'!L148-M30</f>
        <v>39.625290966143616</v>
      </c>
      <c r="N27" s="20">
        <f>'[5]C-FCL Real'!M148-N30</f>
        <v>39.811529833684482</v>
      </c>
      <c r="O27" s="20">
        <f>'[5]C-FCL Real'!N148-O30</f>
        <v>39.998644023902798</v>
      </c>
      <c r="P27" s="20">
        <f>'[5]C-FCL Real'!O148-P30</f>
        <v>40.186637650815136</v>
      </c>
      <c r="Q27" s="20">
        <f>'[5]C-FCL Real'!P148-Q30</f>
        <v>40.375514847773971</v>
      </c>
      <c r="R27" s="20">
        <f>'[5]C-FCL Real'!Q148-R30</f>
        <v>40.565279767558501</v>
      </c>
      <c r="S27" s="20">
        <f>'[5]C-FCL Real'!O148-S30</f>
        <v>40.186637650815136</v>
      </c>
      <c r="T27" s="20">
        <f>'[5]C-FCL Real'!P148-T30</f>
        <v>40.375514847773971</v>
      </c>
      <c r="U27" s="20">
        <f>'[5]C-FCL Real'!Q148-U30</f>
        <v>40.565279767558501</v>
      </c>
      <c r="V27" s="20">
        <f>'[5]C-FCL Real'!R148-V30</f>
        <v>40.75593658246602</v>
      </c>
      <c r="W27" s="20">
        <f>'[5]C-FCL Real'!S148-W30</f>
        <v>40.947489484403604</v>
      </c>
      <c r="X27" s="20">
        <f>'[5]C-FCL Real'!T148-X30</f>
        <v>41.139942684980298</v>
      </c>
      <c r="Y27" s="20">
        <f>'[5]C-FCL Real'!U148-Y30</f>
        <v>41.333300415599709</v>
      </c>
      <c r="Z27" s="20">
        <f>'[5]C-FCL Real'!V148-Z30</f>
        <v>41.527566927553018</v>
      </c>
      <c r="AA27" s="20">
        <f>'[5]C-FCL Real'!W148-AA30</f>
        <v>41.722746492112513</v>
      </c>
      <c r="AB27" s="20">
        <f>'[5]C-FCL Real'!X148-AB30</f>
        <v>41.918843400625434</v>
      </c>
      <c r="AC27" s="20">
        <f>'[5]C-FCL Real'!Y148-AC30</f>
        <v>42.115861964608378</v>
      </c>
      <c r="AD27" s="20">
        <f>'[5]C-FCL Real'!Z148-AD30</f>
        <v>42.313806515842039</v>
      </c>
      <c r="AE27" s="20">
        <f>'[5]C-FCL Real'!AA148-AE30</f>
        <v>42.512681406466484</v>
      </c>
      <c r="AF27" s="20">
        <f>'[5]C-FCL Real'!AB148-AF30</f>
        <v>42.712491009076878</v>
      </c>
      <c r="AG27" s="20">
        <f>'[5]C-FCL Real'!AC148-AG30</f>
        <v>42.91323971681954</v>
      </c>
      <c r="AH27" s="20">
        <f>'[5]C-FCL Real'!AD148-AH30</f>
        <v>43.114931943488592</v>
      </c>
      <c r="AI27" s="20">
        <f>'[5]C-FCL Real'!AE148-AI30</f>
        <v>43.317572123622973</v>
      </c>
      <c r="AJ27" s="20">
        <f>'[5]C-FCL Real'!AF148-AJ30</f>
        <v>43.521164712603998</v>
      </c>
      <c r="AK27" s="20">
        <f>'[5]C-FCL Real'!AG148-AK30</f>
        <v>43.725714186753244</v>
      </c>
      <c r="AL27" s="20">
        <f>'[5]C-FCL Real'!AH148-AL30</f>
        <v>43.931225043430977</v>
      </c>
      <c r="AM27" s="20">
        <f>'[5]C-FCL Real'!AI148-AM30</f>
        <v>44.137701801135101</v>
      </c>
      <c r="AN27" s="20">
        <f>'[5]C-FCL Real'!AJ148-AN30</f>
        <v>44.345148999600433</v>
      </c>
      <c r="AO27" s="20">
        <f>'[5]C-FCL Real'!AK148-AO30</f>
        <v>44.553571199898556</v>
      </c>
      <c r="AP27" s="20">
        <f>'[5]C-FCL Real'!AL148-AP30</f>
        <v>44.762972984538081</v>
      </c>
      <c r="AQ27" s="20">
        <f>'[5]C-FCL Real'!AM148-AQ30</f>
        <v>44.973358957565402</v>
      </c>
      <c r="AR27" s="20">
        <f>'[5]C-FCL Real'!AN148-AR30</f>
        <v>45.184733744665955</v>
      </c>
      <c r="AS27" s="20">
        <f>'[5]C-FCL Real'!AO148-AS30</f>
        <v>45.397101993265885</v>
      </c>
      <c r="AT27" s="20">
        <f>'[5]C-FCL Real'!AP148-AT30</f>
        <v>45.610468372634223</v>
      </c>
      <c r="AU27" s="20">
        <f>'[5]C-FCL Real'!AQ148-AU30</f>
        <v>45.824837573985604</v>
      </c>
      <c r="AV27" s="20">
        <f>'[5]C-FCL Real'!AR148-AV30</f>
        <v>46.04021431058333</v>
      </c>
      <c r="AW27" s="20">
        <f>'[5]C-FCL Real'!AS148-AW30</f>
        <v>46.256603317843066</v>
      </c>
      <c r="AX27" s="20">
        <f>'[5]C-FCL Real'!AT148-AX30</f>
        <v>46.474009353436927</v>
      </c>
      <c r="AY27" s="20">
        <f>'[5]C-FCL Real'!AU148-AY30</f>
        <v>46.692437197398078</v>
      </c>
      <c r="AZ27" s="20">
        <f>'[5]C-FCL Real'!AV148-AZ30</f>
        <v>46.911891652225847</v>
      </c>
      <c r="BA27" s="20">
        <f>'[5]C-FCL Real'!AW148-BA30</f>
        <v>47.132377542991307</v>
      </c>
      <c r="BB27" s="20">
        <f>'[5]C-FCL Real'!AX148-BB30</f>
        <v>47.353899717443362</v>
      </c>
      <c r="BC27" s="20">
        <f>'[5]C-FCL Real'!AY148-BC30</f>
        <v>47.57646304611535</v>
      </c>
      <c r="BD27" s="20">
        <f>'[5]C-FCL Real'!AZ148-BD30</f>
        <v>47.800072422432088</v>
      </c>
      <c r="BE27" s="20">
        <f>'[5]C-FCL Real'!BA148-BE30</f>
        <v>48.024732762817514</v>
      </c>
      <c r="BF27" s="20">
        <f>'[5]C-FCL Real'!BB148-BF30</f>
        <v>48.250449006802761</v>
      </c>
      <c r="BG27" s="20">
        <f>'[5]C-FCL Real'!BC148-BG30</f>
        <v>48.47722611713472</v>
      </c>
      <c r="BH27" s="20">
        <f>'[5]C-FCL Real'!BD148-BH30</f>
        <v>0</v>
      </c>
    </row>
    <row r="28" spans="1:60" ht="15" hidden="1" customHeight="1" outlineLevel="1" x14ac:dyDescent="0.3">
      <c r="A28" s="172">
        <f>C28*1000000/$C$16</f>
        <v>1025.6624293680582</v>
      </c>
      <c r="B28" s="176" t="s">
        <v>56</v>
      </c>
      <c r="C28" s="169">
        <f>SUMIF($D$15:$BG$15,1,D28:BG28)</f>
        <v>1224.2781454201411</v>
      </c>
      <c r="D28" s="175">
        <f t="shared" ref="D28:AJ28" si="3">NPV($C$8,D27:D27)</f>
        <v>34.656884209559571</v>
      </c>
      <c r="E28" s="20">
        <f t="shared" si="3"/>
        <v>34.819771565344496</v>
      </c>
      <c r="F28" s="20">
        <f t="shared" si="3"/>
        <v>34.983424491701619</v>
      </c>
      <c r="G28" s="20">
        <f t="shared" si="3"/>
        <v>35.147846586812612</v>
      </c>
      <c r="H28" s="20">
        <f t="shared" si="3"/>
        <v>35.313041465770631</v>
      </c>
      <c r="I28" s="20">
        <f t="shared" si="3"/>
        <v>35.479012760659749</v>
      </c>
      <c r="J28" s="20">
        <f t="shared" si="3"/>
        <v>35.645764120634837</v>
      </c>
      <c r="K28" s="20">
        <f t="shared" si="3"/>
        <v>35.81329921200183</v>
      </c>
      <c r="L28" s="20">
        <f t="shared" si="3"/>
        <v>35.981621718298229</v>
      </c>
      <c r="M28" s="20">
        <f t="shared" si="3"/>
        <v>36.150735340374233</v>
      </c>
      <c r="N28" s="20">
        <f t="shared" si="3"/>
        <v>36.320643796473981</v>
      </c>
      <c r="O28" s="20">
        <f t="shared" si="3"/>
        <v>36.491350822317408</v>
      </c>
      <c r="P28" s="20">
        <f t="shared" si="3"/>
        <v>36.662860171182295</v>
      </c>
      <c r="Q28" s="20">
        <f t="shared" si="3"/>
        <v>36.835175613986856</v>
      </c>
      <c r="R28" s="20">
        <f t="shared" si="3"/>
        <v>37.008300939372589</v>
      </c>
      <c r="S28" s="20">
        <f t="shared" si="3"/>
        <v>36.662860171182295</v>
      </c>
      <c r="T28" s="20">
        <f t="shared" si="3"/>
        <v>36.835175613986856</v>
      </c>
      <c r="U28" s="20">
        <f t="shared" si="3"/>
        <v>37.008300939372589</v>
      </c>
      <c r="V28" s="20">
        <f t="shared" si="3"/>
        <v>37.182239953787636</v>
      </c>
      <c r="W28" s="20">
        <f t="shared" si="3"/>
        <v>37.356996481570427</v>
      </c>
      <c r="X28" s="20">
        <f t="shared" si="3"/>
        <v>37.53257436503381</v>
      </c>
      <c r="Y28" s="20">
        <f t="shared" si="3"/>
        <v>37.70897746454947</v>
      </c>
      <c r="Z28" s="20">
        <f t="shared" si="3"/>
        <v>37.886209658632843</v>
      </c>
      <c r="AA28" s="20">
        <f t="shared" si="3"/>
        <v>38.064274844028411</v>
      </c>
      <c r="AB28" s="20">
        <f t="shared" si="3"/>
        <v>38.24317693579534</v>
      </c>
      <c r="AC28" s="20">
        <f t="shared" si="3"/>
        <v>38.422919867393581</v>
      </c>
      <c r="AD28" s="20">
        <f t="shared" si="3"/>
        <v>38.603507590770334</v>
      </c>
      <c r="AE28" s="20">
        <f t="shared" si="3"/>
        <v>38.784944076446941</v>
      </c>
      <c r="AF28" s="20">
        <f t="shared" si="3"/>
        <v>38.967233313606243</v>
      </c>
      <c r="AG28" s="20">
        <f t="shared" si="3"/>
        <v>39.150379310180192</v>
      </c>
      <c r="AH28" s="20">
        <f t="shared" si="3"/>
        <v>39.33438609293804</v>
      </c>
      <c r="AI28" s="20">
        <f t="shared" si="3"/>
        <v>39.519257707574837</v>
      </c>
      <c r="AJ28" s="20">
        <f t="shared" si="3"/>
        <v>39.704998218800434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3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3">
      <c r="A30" s="172">
        <f>C30*1000000/$C$16</f>
        <v>73.393455508394453</v>
      </c>
      <c r="B30" s="173" t="str">
        <f>'[5]C-FCL Real'!B149</f>
        <v>Receita do Ente Público pela disposição do RPU</v>
      </c>
      <c r="C30" s="174">
        <f>SUMIF($D$15:$BG$15,1,D30:BG30)</f>
        <v>87.605825292006244</v>
      </c>
      <c r="D30" s="175">
        <f>'[5]C-FCL Real'!C149</f>
        <v>2.3278877503388147</v>
      </c>
      <c r="E30" s="20">
        <f>'[5]C-FCL Real'!D149</f>
        <v>2.3388288227654068</v>
      </c>
      <c r="F30" s="20">
        <f>'[5]C-FCL Real'!E149</f>
        <v>2.3498213182324039</v>
      </c>
      <c r="G30" s="20">
        <f>'[5]C-FCL Real'!F149</f>
        <v>2.3608654784280962</v>
      </c>
      <c r="H30" s="20">
        <f>'[5]C-FCL Real'!G149</f>
        <v>2.3719615461767081</v>
      </c>
      <c r="I30" s="20">
        <f>'[5]C-FCL Real'!H149</f>
        <v>2.3831097654437383</v>
      </c>
      <c r="J30" s="20">
        <f>'[5]C-FCL Real'!I149</f>
        <v>2.3943103813413238</v>
      </c>
      <c r="K30" s="20">
        <f>'[5]C-FCL Real'!J149</f>
        <v>2.4055636401336278</v>
      </c>
      <c r="L30" s="20">
        <f>'[5]C-FCL Real'!K149</f>
        <v>2.4168697892422557</v>
      </c>
      <c r="M30" s="20">
        <f>'[5]C-FCL Real'!L149</f>
        <v>2.4282290772516943</v>
      </c>
      <c r="N30" s="20">
        <f>'[5]C-FCL Real'!M149</f>
        <v>2.4396417539147772</v>
      </c>
      <c r="O30" s="20">
        <f>'[5]C-FCL Real'!N149</f>
        <v>2.4511080701581767</v>
      </c>
      <c r="P30" s="20">
        <f>'[5]C-FCL Real'!O149</f>
        <v>2.4626282780879198</v>
      </c>
      <c r="Q30" s="20">
        <f>'[5]C-FCL Real'!P149</f>
        <v>2.4742026309949328</v>
      </c>
      <c r="R30" s="20">
        <f>'[5]C-FCL Real'!Q149</f>
        <v>2.4858313833606087</v>
      </c>
      <c r="S30" s="20">
        <f>'[5]C-FCL Real'!O149</f>
        <v>2.4626282780879198</v>
      </c>
      <c r="T30" s="20">
        <f>'[5]C-FCL Real'!P149</f>
        <v>2.4742026309949328</v>
      </c>
      <c r="U30" s="20">
        <f>'[5]C-FCL Real'!Q149</f>
        <v>2.4858313833606087</v>
      </c>
      <c r="V30" s="20">
        <f>'[5]C-FCL Real'!R149</f>
        <v>2.4975147908624034</v>
      </c>
      <c r="W30" s="20">
        <f>'[5]C-FCL Real'!S149</f>
        <v>2.5092531103794564</v>
      </c>
      <c r="X30" s="20">
        <f>'[5]C-FCL Real'!T149</f>
        <v>2.5210465999982397</v>
      </c>
      <c r="Y30" s="20">
        <f>'[5]C-FCL Real'!U149</f>
        <v>2.5328955190182314</v>
      </c>
      <c r="Z30" s="20">
        <f>'[5]C-FCL Real'!V149</f>
        <v>2.5448001279576169</v>
      </c>
      <c r="AA30" s="20">
        <f>'[5]C-FCL Real'!W149</f>
        <v>2.5567606885590175</v>
      </c>
      <c r="AB30" s="20">
        <f>'[5]C-FCL Real'!X149</f>
        <v>2.5687774637952447</v>
      </c>
      <c r="AC30" s="20">
        <f>'[5]C-FCL Real'!Y149</f>
        <v>2.5808507178750824</v>
      </c>
      <c r="AD30" s="20">
        <f>'[5]C-FCL Real'!Z149</f>
        <v>2.592980716249095</v>
      </c>
      <c r="AE30" s="20">
        <f>'[5]C-FCL Real'!AA149</f>
        <v>2.6051677256154657</v>
      </c>
      <c r="AF30" s="20">
        <f>'[5]C-FCL Real'!AB149</f>
        <v>2.6174120139258581</v>
      </c>
      <c r="AG30" s="20">
        <f>'[5]C-FCL Real'!AC149</f>
        <v>2.6297138503913096</v>
      </c>
      <c r="AH30" s="20">
        <f>'[5]C-FCL Real'!AD149</f>
        <v>2.6420735054881486</v>
      </c>
      <c r="AI30" s="20">
        <f>'[5]C-FCL Real'!AE149</f>
        <v>2.6544912509639427</v>
      </c>
      <c r="AJ30" s="20">
        <f>'[5]C-FCL Real'!AF149</f>
        <v>2.6669673598434729</v>
      </c>
      <c r="AK30" s="20">
        <f>'[5]C-FCL Real'!AG149</f>
        <v>2.6795021064347369</v>
      </c>
      <c r="AL30" s="20">
        <f>'[5]C-FCL Real'!AH149</f>
        <v>2.69209576633498</v>
      </c>
      <c r="AM30" s="20">
        <f>'[5]C-FCL Real'!AI149</f>
        <v>2.7047486164367545</v>
      </c>
      <c r="AN30" s="20">
        <f>'[5]C-FCL Real'!AJ149</f>
        <v>2.7174609349340071</v>
      </c>
      <c r="AO30" s="20">
        <f>'[5]C-FCL Real'!AK149</f>
        <v>2.7302330013281968</v>
      </c>
      <c r="AP30" s="20">
        <f>'[5]C-FCL Real'!AL149</f>
        <v>2.7430650964344392</v>
      </c>
      <c r="AQ30" s="20">
        <f>'[5]C-FCL Real'!AM149</f>
        <v>2.7559575023876808</v>
      </c>
      <c r="AR30" s="20">
        <f>'[5]C-FCL Real'!AN149</f>
        <v>2.7689105026489025</v>
      </c>
      <c r="AS30" s="20">
        <f>'[5]C-FCL Real'!AO149</f>
        <v>2.7819243820113519</v>
      </c>
      <c r="AT30" s="20">
        <f>'[5]C-FCL Real'!AP149</f>
        <v>2.7949994266068052</v>
      </c>
      <c r="AU30" s="20">
        <f>'[5]C-FCL Real'!AQ149</f>
        <v>2.8081359239118568</v>
      </c>
      <c r="AV30" s="20">
        <f>'[5]C-FCL Real'!AR149</f>
        <v>2.8213341627542423</v>
      </c>
      <c r="AW30" s="20">
        <f>'[5]C-FCL Real'!AS149</f>
        <v>2.8345944333191873</v>
      </c>
      <c r="AX30" s="20">
        <f>'[5]C-FCL Real'!AT149</f>
        <v>2.8479170271557872</v>
      </c>
      <c r="AY30" s="20">
        <f>'[5]C-FCL Real'!AU149</f>
        <v>2.8613022371834194</v>
      </c>
      <c r="AZ30" s="20">
        <f>'[5]C-FCL Real'!AV149</f>
        <v>2.8747503576981814</v>
      </c>
      <c r="BA30" s="20">
        <f>'[5]C-FCL Real'!AW149</f>
        <v>2.8882616843793625</v>
      </c>
      <c r="BB30" s="20">
        <f>'[5]C-FCL Real'!AX149</f>
        <v>2.9018365142959452</v>
      </c>
      <c r="BC30" s="20">
        <f>'[5]C-FCL Real'!AY149</f>
        <v>2.9154751459131361</v>
      </c>
      <c r="BD30" s="20">
        <f>'[5]C-FCL Real'!AZ149</f>
        <v>2.9291778790989276</v>
      </c>
      <c r="BE30" s="20">
        <f>'[5]C-FCL Real'!BA149</f>
        <v>2.9429450151306922</v>
      </c>
      <c r="BF30" s="20">
        <f>'[5]C-FCL Real'!BB149</f>
        <v>2.956776856701806</v>
      </c>
      <c r="BG30" s="20">
        <f>'[5]C-FCL Real'!BC149</f>
        <v>2.9706737079283041</v>
      </c>
      <c r="BH30" s="20">
        <f>'[5]C-FCL Real'!BD149</f>
        <v>0</v>
      </c>
    </row>
    <row r="31" spans="1:60" ht="15" hidden="1" customHeight="1" outlineLevel="1" x14ac:dyDescent="0.3">
      <c r="A31" s="172">
        <f>C31*1000000/$C$16</f>
        <v>62.852367104738384</v>
      </c>
      <c r="B31" s="176" t="s">
        <v>57</v>
      </c>
      <c r="C31" s="169">
        <f>SUMIF($D$15:$BG$15,1,D31:BG31)</f>
        <v>75.023494310565184</v>
      </c>
      <c r="D31" s="175">
        <f t="shared" ref="D31:AJ31" si="4">NPV($C$8,D30:D30)</f>
        <v>2.1237662087201001</v>
      </c>
      <c r="E31" s="20">
        <f t="shared" si="4"/>
        <v>2.1337479099010843</v>
      </c>
      <c r="F31" s="20">
        <f t="shared" si="4"/>
        <v>2.1437765250776191</v>
      </c>
      <c r="G31" s="20">
        <f t="shared" si="4"/>
        <v>2.1538522747454838</v>
      </c>
      <c r="H31" s="20">
        <f t="shared" si="4"/>
        <v>2.1639753804367872</v>
      </c>
      <c r="I31" s="20">
        <f t="shared" si="4"/>
        <v>2.1741460647248401</v>
      </c>
      <c r="J31" s="20">
        <f t="shared" si="4"/>
        <v>2.1843645512290468</v>
      </c>
      <c r="K31" s="20">
        <f t="shared" si="4"/>
        <v>2.194631064619823</v>
      </c>
      <c r="L31" s="20">
        <f t="shared" si="4"/>
        <v>2.2049458306235361</v>
      </c>
      <c r="M31" s="20">
        <f t="shared" si="4"/>
        <v>2.2153090760274665</v>
      </c>
      <c r="N31" s="20">
        <f t="shared" si="4"/>
        <v>2.2257210286847955</v>
      </c>
      <c r="O31" s="20">
        <f t="shared" si="4"/>
        <v>2.2361819175196143</v>
      </c>
      <c r="P31" s="20">
        <f t="shared" si="4"/>
        <v>2.2466919725319561</v>
      </c>
      <c r="Q31" s="20">
        <f t="shared" si="4"/>
        <v>2.2572514248028561</v>
      </c>
      <c r="R31" s="20">
        <f t="shared" si="4"/>
        <v>2.2678605064994293</v>
      </c>
      <c r="S31" s="20">
        <f t="shared" si="4"/>
        <v>2.2466919725319561</v>
      </c>
      <c r="T31" s="20">
        <f t="shared" si="4"/>
        <v>2.2572514248028561</v>
      </c>
      <c r="U31" s="20">
        <f t="shared" si="4"/>
        <v>2.2678605064994293</v>
      </c>
      <c r="V31" s="20">
        <f t="shared" si="4"/>
        <v>2.2785194508799762</v>
      </c>
      <c r="W31" s="20">
        <f t="shared" si="4"/>
        <v>2.2892284922991122</v>
      </c>
      <c r="X31" s="20">
        <f t="shared" si="4"/>
        <v>2.2999878662129176</v>
      </c>
      <c r="Y31" s="20">
        <f t="shared" si="4"/>
        <v>2.3107978091841184</v>
      </c>
      <c r="Z31" s="20">
        <f t="shared" si="4"/>
        <v>2.3216585588872838</v>
      </c>
      <c r="AA31" s="20">
        <f t="shared" si="4"/>
        <v>2.3325703541140537</v>
      </c>
      <c r="AB31" s="20">
        <f t="shared" si="4"/>
        <v>2.3435334347783896</v>
      </c>
      <c r="AC31" s="20">
        <f t="shared" si="4"/>
        <v>2.3545480419218481</v>
      </c>
      <c r="AD31" s="20">
        <f t="shared" si="4"/>
        <v>2.3656144177188803</v>
      </c>
      <c r="AE31" s="20">
        <f t="shared" si="4"/>
        <v>2.3767328054821593</v>
      </c>
      <c r="AF31" s="20">
        <f t="shared" si="4"/>
        <v>2.3879034496679252</v>
      </c>
      <c r="AG31" s="20">
        <f t="shared" si="4"/>
        <v>2.3991265958813641</v>
      </c>
      <c r="AH31" s="20">
        <f t="shared" si="4"/>
        <v>2.4104024908820065</v>
      </c>
      <c r="AI31" s="20">
        <f t="shared" si="4"/>
        <v>2.4217313825891518</v>
      </c>
      <c r="AJ31" s="20">
        <f t="shared" si="4"/>
        <v>2.4331135200873204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3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3">
      <c r="A33" s="172">
        <f>C33*1000000/$C$16</f>
        <v>429.48683483941915</v>
      </c>
      <c r="B33" s="173" t="s">
        <v>58</v>
      </c>
      <c r="C33" s="174">
        <f>SUMIF($D$15:$BG$15,1,D33:BG33)</f>
        <v>512.65536358150393</v>
      </c>
      <c r="D33" s="175">
        <f>'[5]C-FCL Real'!C153</f>
        <v>5.5846330852450805</v>
      </c>
      <c r="E33" s="20">
        <f>'[5]C-FCL Real'!D153</f>
        <v>-7.705240292935521</v>
      </c>
      <c r="F33" s="20">
        <f>'[5]C-FCL Real'!E153</f>
        <v>-2.0706102409985689</v>
      </c>
      <c r="G33" s="20">
        <f>'[5]C-FCL Real'!F153</f>
        <v>13.422915030167214</v>
      </c>
      <c r="H33" s="20">
        <f>'[5]C-FCL Real'!G153</f>
        <v>13.615083352275132</v>
      </c>
      <c r="I33" s="20">
        <f>'[5]C-FCL Real'!H153</f>
        <v>13.808154865496963</v>
      </c>
      <c r="J33" s="20">
        <f>'[5]C-FCL Real'!I153</f>
        <v>14.002133814830923</v>
      </c>
      <c r="K33" s="20">
        <f>'[5]C-FCL Real'!J153</f>
        <v>14.197024465226772</v>
      </c>
      <c r="L33" s="20">
        <f>'[5]C-FCL Real'!K153</f>
        <v>14.392831101679466</v>
      </c>
      <c r="M33" s="20">
        <f>'[5]C-FCL Real'!L153</f>
        <v>14.589558029323495</v>
      </c>
      <c r="N33" s="20">
        <f>'[5]C-FCL Real'!M153</f>
        <v>14.787209573527445</v>
      </c>
      <c r="O33" s="20">
        <f>'[5]C-FCL Real'!N153</f>
        <v>14.985790079989162</v>
      </c>
      <c r="P33" s="20">
        <f>'[5]C-FCL Real'!O153</f>
        <v>15.185303914831241</v>
      </c>
      <c r="Q33" s="20">
        <f>'[5]C-FCL Real'!P153</f>
        <v>15.385755464697088</v>
      </c>
      <c r="R33" s="20">
        <f>'[5]C-FCL Real'!Q153</f>
        <v>15.587149136847298</v>
      </c>
      <c r="S33" s="20">
        <f>'[5]C-FCL Real'!O153</f>
        <v>15.185303914831241</v>
      </c>
      <c r="T33" s="20">
        <f>'[5]C-FCL Real'!P153</f>
        <v>15.385755464697088</v>
      </c>
      <c r="U33" s="20">
        <f>'[5]C-FCL Real'!Q153</f>
        <v>15.587149136847298</v>
      </c>
      <c r="V33" s="20">
        <f>'[5]C-FCL Real'!R153</f>
        <v>15.78948935925661</v>
      </c>
      <c r="W33" s="20">
        <f>'[5]C-FCL Real'!S153</f>
        <v>15.992780580711244</v>
      </c>
      <c r="X33" s="20">
        <f>'[5]C-FCL Real'!T153</f>
        <v>16.197027270906727</v>
      </c>
      <c r="Y33" s="20">
        <f>'[5]C-FCL Real'!U153</f>
        <v>16.402233920546127</v>
      </c>
      <c r="Z33" s="20">
        <f>'[5]C-FCL Real'!V153</f>
        <v>16.608405041438818</v>
      </c>
      <c r="AA33" s="20">
        <f>'[5]C-FCL Real'!W153</f>
        <v>16.815545166599716</v>
      </c>
      <c r="AB33" s="20">
        <f>'[5]C-FCL Real'!X153</f>
        <v>17.023658850348863</v>
      </c>
      <c r="AC33" s="20">
        <f>'[5]C-FCL Real'!Y153</f>
        <v>17.232750668411644</v>
      </c>
      <c r="AD33" s="20">
        <f>'[5]C-FCL Real'!Z153</f>
        <v>17.442825218019319</v>
      </c>
      <c r="AE33" s="20">
        <f>'[5]C-FCL Real'!AA153</f>
        <v>17.653887118010136</v>
      </c>
      <c r="AF33" s="20">
        <f>'[5]C-FCL Real'!AB153</f>
        <v>17.865941008930921</v>
      </c>
      <c r="AG33" s="20">
        <f>'[5]C-FCL Real'!AC153</f>
        <v>18.078991553139037</v>
      </c>
      <c r="AH33" s="20">
        <f>'[5]C-FCL Real'!AD153</f>
        <v>18.293043434904927</v>
      </c>
      <c r="AI33" s="20">
        <f>'[5]C-FCL Real'!AE153</f>
        <v>18.508101360515102</v>
      </c>
      <c r="AJ33" s="20">
        <f>'[5]C-FCL Real'!AF153</f>
        <v>18.724170058375659</v>
      </c>
      <c r="AK33" s="20">
        <f>'[5]C-FCL Real'!AG153</f>
        <v>18.941254279116169</v>
      </c>
      <c r="AL33" s="20">
        <f>'[5]C-FCL Real'!AH153</f>
        <v>19.159358795694143</v>
      </c>
      <c r="AM33" s="20">
        <f>'[5]C-FCL Real'!AI153</f>
        <v>19.37848840350004</v>
      </c>
      <c r="AN33" s="20">
        <f>'[5]C-FCL Real'!AJ153</f>
        <v>19.598647920462628</v>
      </c>
      <c r="AO33" s="20">
        <f>'[5]C-FCL Real'!AK153</f>
        <v>19.819842187154936</v>
      </c>
      <c r="AP33" s="20">
        <f>'[5]C-FCL Real'!AL153</f>
        <v>20.042076066900709</v>
      </c>
      <c r="AQ33" s="20">
        <f>'[5]C-FCL Real'!AM153</f>
        <v>20.265354445881268</v>
      </c>
      <c r="AR33" s="20">
        <f>'[5]C-FCL Real'!AN153</f>
        <v>20.489682233243041</v>
      </c>
      <c r="AS33" s="20">
        <f>'[5]C-FCL Real'!AO153</f>
        <v>20.715064361205425</v>
      </c>
      <c r="AT33" s="20">
        <f>'[5]C-FCL Real'!AP153</f>
        <v>20.941505785169216</v>
      </c>
      <c r="AU33" s="20">
        <f>'[5]C-FCL Real'!AQ153</f>
        <v>21.169011483825646</v>
      </c>
      <c r="AV33" s="20">
        <f>'[5]C-FCL Real'!AR153</f>
        <v>21.397586459265757</v>
      </c>
      <c r="AW33" s="20">
        <f>'[5]C-FCL Real'!AS153</f>
        <v>21.627235737090441</v>
      </c>
      <c r="AX33" s="20">
        <f>'[5]C-FCL Real'!AT153</f>
        <v>21.8579643665209</v>
      </c>
      <c r="AY33" s="20">
        <f>'[5]C-FCL Real'!AU153</f>
        <v>22.08977742050968</v>
      </c>
      <c r="AZ33" s="20">
        <f>'[5]C-FCL Real'!AV153</f>
        <v>22.322679995852216</v>
      </c>
      <c r="BA33" s="20">
        <f>'[5]C-FCL Real'!AW153</f>
        <v>22.556677213298858</v>
      </c>
      <c r="BB33" s="20">
        <f>'[5]C-FCL Real'!AX153</f>
        <v>22.791774217667491</v>
      </c>
      <c r="BC33" s="20">
        <f>'[5]C-FCL Real'!AY153</f>
        <v>23.027976177956671</v>
      </c>
      <c r="BD33" s="20">
        <f>'[5]C-FCL Real'!AZ153</f>
        <v>23.265288287459203</v>
      </c>
      <c r="BE33" s="20">
        <f>'[5]C-FCL Real'!BA153</f>
        <v>23.503715763876389</v>
      </c>
      <c r="BF33" s="20">
        <f>'[5]C-FCL Real'!BB153</f>
        <v>23.743263849432754</v>
      </c>
      <c r="BG33" s="20">
        <f>'[5]C-FCL Real'!BC153</f>
        <v>23.983937810991211</v>
      </c>
      <c r="BH33" s="20">
        <f>'[5]C-FCL Real'!BD153</f>
        <v>0</v>
      </c>
    </row>
    <row r="34" spans="1:60" ht="15" hidden="1" customHeight="1" outlineLevel="1" x14ac:dyDescent="0.3">
      <c r="A34" s="172">
        <f>C34*1000000/$C$16</f>
        <v>362.70650708596594</v>
      </c>
      <c r="B34" s="176" t="s">
        <v>59</v>
      </c>
      <c r="C34" s="169">
        <f>SUMIF($D$15:$BG$15,1,D34:BG34)</f>
        <v>432.94327364668953</v>
      </c>
      <c r="D34" s="175">
        <f t="shared" ref="D34:AJ34" si="5">NPV($C$8,D33:D33)</f>
        <v>5.0949428437077939</v>
      </c>
      <c r="E34" s="20">
        <f t="shared" si="5"/>
        <v>-7.0296039668679429</v>
      </c>
      <c r="F34" s="20">
        <f t="shared" si="5"/>
        <v>-1.8890481556176864</v>
      </c>
      <c r="G34" s="20">
        <f t="shared" si="5"/>
        <v>12.245922665060277</v>
      </c>
      <c r="H34" s="20">
        <f t="shared" si="5"/>
        <v>12.421240649709596</v>
      </c>
      <c r="I34" s="20">
        <f t="shared" si="5"/>
        <v>12.59738262888677</v>
      </c>
      <c r="J34" s="20">
        <f t="shared" si="5"/>
        <v>12.774352475366067</v>
      </c>
      <c r="K34" s="20">
        <f t="shared" si="5"/>
        <v>12.952154080123831</v>
      </c>
      <c r="L34" s="20">
        <f t="shared" si="5"/>
        <v>13.130791352423945</v>
      </c>
      <c r="M34" s="20">
        <f t="shared" si="5"/>
        <v>13.310268219903875</v>
      </c>
      <c r="N34" s="20">
        <f t="shared" si="5"/>
        <v>13.490588628660955</v>
      </c>
      <c r="O34" s="20">
        <f t="shared" si="5"/>
        <v>13.671756543339203</v>
      </c>
      <c r="P34" s="20">
        <f t="shared" si="5"/>
        <v>13.85377594721643</v>
      </c>
      <c r="Q34" s="20">
        <f t="shared" si="5"/>
        <v>14.036650842291889</v>
      </c>
      <c r="R34" s="20">
        <f t="shared" si="5"/>
        <v>14.220385249374198</v>
      </c>
      <c r="S34" s="20">
        <f t="shared" si="5"/>
        <v>13.85377594721643</v>
      </c>
      <c r="T34" s="20">
        <f t="shared" si="5"/>
        <v>14.036650842291889</v>
      </c>
      <c r="U34" s="20">
        <f t="shared" si="5"/>
        <v>14.220385249374198</v>
      </c>
      <c r="V34" s="20">
        <f t="shared" si="5"/>
        <v>14.404983208169789</v>
      </c>
      <c r="W34" s="20">
        <f t="shared" si="5"/>
        <v>14.590448777371718</v>
      </c>
      <c r="X34" s="20">
        <f t="shared" si="5"/>
        <v>14.776786034748907</v>
      </c>
      <c r="Y34" s="20">
        <f t="shared" si="5"/>
        <v>14.963999077235767</v>
      </c>
      <c r="Z34" s="20">
        <f t="shared" si="5"/>
        <v>15.152092021022304</v>
      </c>
      <c r="AA34" s="20">
        <f t="shared" si="5"/>
        <v>15.341069001644646</v>
      </c>
      <c r="AB34" s="20">
        <f t="shared" si="5"/>
        <v>15.530934174075906</v>
      </c>
      <c r="AC34" s="20">
        <f t="shared" si="5"/>
        <v>15.721691712817607</v>
      </c>
      <c r="AD34" s="20">
        <f t="shared" si="5"/>
        <v>15.913345811991393</v>
      </c>
      <c r="AE34" s="20">
        <f t="shared" si="5"/>
        <v>16.10590068543128</v>
      </c>
      <c r="AF34" s="20">
        <f t="shared" si="5"/>
        <v>16.299360566776347</v>
      </c>
      <c r="AG34" s="20">
        <f t="shared" si="5"/>
        <v>16.493729709563738</v>
      </c>
      <c r="AH34" s="20">
        <f t="shared" si="5"/>
        <v>16.689012387322229</v>
      </c>
      <c r="AI34" s="20">
        <f t="shared" si="5"/>
        <v>16.885212893666168</v>
      </c>
      <c r="AJ34" s="20">
        <f t="shared" si="5"/>
        <v>17.082335542389938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3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3">
      <c r="A36" s="172">
        <f>C36*1000000/$C$16</f>
        <v>148.81009179623629</v>
      </c>
      <c r="B36" s="178" t="s">
        <v>60</v>
      </c>
      <c r="C36" s="174">
        <f>SUMIF($D$15:$BG$15,1,D36:BG36)</f>
        <v>177.62661279924896</v>
      </c>
      <c r="D36" s="175">
        <f>IF(D33&gt;0,D33*0.34,0)</f>
        <v>1.8987752489833276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4.5637911102568536</v>
      </c>
      <c r="H36" s="20">
        <f t="shared" si="6"/>
        <v>4.629128339773545</v>
      </c>
      <c r="I36" s="20">
        <f t="shared" si="6"/>
        <v>4.6947726542689674</v>
      </c>
      <c r="J36" s="20">
        <f t="shared" si="6"/>
        <v>4.7607254970425146</v>
      </c>
      <c r="K36" s="20">
        <f t="shared" si="6"/>
        <v>4.8269883181771025</v>
      </c>
      <c r="L36" s="20">
        <f t="shared" si="6"/>
        <v>4.8935625745710185</v>
      </c>
      <c r="M36" s="20">
        <f t="shared" si="6"/>
        <v>4.960449729969989</v>
      </c>
      <c r="N36" s="20">
        <f t="shared" si="6"/>
        <v>5.0276512549993315</v>
      </c>
      <c r="O36" s="20">
        <f t="shared" si="6"/>
        <v>5.0951686271963155</v>
      </c>
      <c r="P36" s="20">
        <f>IF(P33&gt;0,P33*0.34,0)</f>
        <v>5.1630033310426224</v>
      </c>
      <c r="Q36" s="20">
        <f>IF(Q33&gt;0,Q33*0.34,0)</f>
        <v>5.2311568579970098</v>
      </c>
      <c r="R36" s="20">
        <f>IF(R33&gt;0,R33*0.34,0)</f>
        <v>5.2996307065280819</v>
      </c>
      <c r="S36" s="20">
        <f t="shared" si="6"/>
        <v>5.1630033310426224</v>
      </c>
      <c r="T36" s="20">
        <f t="shared" si="6"/>
        <v>5.2311568579970098</v>
      </c>
      <c r="U36" s="20">
        <f t="shared" si="6"/>
        <v>5.2996307065280819</v>
      </c>
      <c r="V36" s="20">
        <f t="shared" si="6"/>
        <v>5.3684263821472475</v>
      </c>
      <c r="W36" s="20">
        <f t="shared" si="6"/>
        <v>5.4375453974418235</v>
      </c>
      <c r="X36" s="20">
        <f t="shared" si="6"/>
        <v>5.5069892721082878</v>
      </c>
      <c r="Y36" s="20">
        <f t="shared" si="6"/>
        <v>5.5767595329856841</v>
      </c>
      <c r="Z36" s="20">
        <f t="shared" si="6"/>
        <v>5.6468577140891982</v>
      </c>
      <c r="AA36" s="20">
        <f t="shared" si="6"/>
        <v>5.7172853566439041</v>
      </c>
      <c r="AB36" s="20">
        <f t="shared" si="6"/>
        <v>5.7880440091186136</v>
      </c>
      <c r="AC36" s="20">
        <f t="shared" si="6"/>
        <v>5.8591352272599595</v>
      </c>
      <c r="AD36" s="20">
        <f t="shared" si="6"/>
        <v>5.9305605741265692</v>
      </c>
      <c r="AE36" s="20">
        <f t="shared" si="6"/>
        <v>6.0023216201234471</v>
      </c>
      <c r="AF36" s="20">
        <f t="shared" si="6"/>
        <v>6.0744199430365136</v>
      </c>
      <c r="AG36" s="20">
        <f t="shared" si="6"/>
        <v>6.146857128067273</v>
      </c>
      <c r="AH36" s="20">
        <f t="shared" si="6"/>
        <v>6.2196347678676753</v>
      </c>
      <c r="AI36" s="20">
        <f t="shared" si="6"/>
        <v>6.292754462575135</v>
      </c>
      <c r="AJ36" s="20">
        <f t="shared" si="6"/>
        <v>6.3662178198477246</v>
      </c>
      <c r="AK36" s="20">
        <f t="shared" si="6"/>
        <v>6.4400264548994981</v>
      </c>
      <c r="AL36" s="20">
        <f t="shared" si="6"/>
        <v>6.5141819905360085</v>
      </c>
      <c r="AM36" s="20">
        <f t="shared" si="6"/>
        <v>6.5886860571900137</v>
      </c>
      <c r="AN36" s="20">
        <f t="shared" si="6"/>
        <v>6.6635402929572942</v>
      </c>
      <c r="AO36" s="20">
        <f t="shared" si="6"/>
        <v>6.7387463436326787</v>
      </c>
      <c r="AP36" s="20">
        <f t="shared" si="6"/>
        <v>6.8143058627462416</v>
      </c>
      <c r="AQ36" s="20">
        <f t="shared" si="6"/>
        <v>6.8902205115996313</v>
      </c>
      <c r="AR36" s="20">
        <f t="shared" si="6"/>
        <v>6.9664919593026342</v>
      </c>
      <c r="AS36" s="20">
        <f t="shared" si="6"/>
        <v>7.043121882809845</v>
      </c>
      <c r="AT36" s="20">
        <f t="shared" si="6"/>
        <v>7.1201119669575341</v>
      </c>
      <c r="AU36" s="20">
        <f t="shared" si="6"/>
        <v>7.1974639045007196</v>
      </c>
      <c r="AV36" s="20">
        <f t="shared" si="6"/>
        <v>7.2751793961503575</v>
      </c>
      <c r="AW36" s="20">
        <f t="shared" si="6"/>
        <v>7.3532601506107502</v>
      </c>
      <c r="AX36" s="20">
        <f t="shared" si="6"/>
        <v>7.4317078846171061</v>
      </c>
      <c r="AY36" s="20">
        <f t="shared" si="6"/>
        <v>7.5105243229732919</v>
      </c>
      <c r="AZ36" s="20">
        <f t="shared" si="6"/>
        <v>7.5897111985897538</v>
      </c>
      <c r="BA36" s="20">
        <f t="shared" si="6"/>
        <v>7.6692702525216125</v>
      </c>
      <c r="BB36" s="20">
        <f t="shared" si="6"/>
        <v>7.7492032340069477</v>
      </c>
      <c r="BC36" s="20">
        <f t="shared" si="6"/>
        <v>7.8295119005052687</v>
      </c>
      <c r="BD36" s="20">
        <f t="shared" si="6"/>
        <v>7.9101980177361293</v>
      </c>
      <c r="BE36" s="20">
        <f t="shared" si="6"/>
        <v>7.9912633597179727</v>
      </c>
      <c r="BF36" s="20">
        <f t="shared" si="6"/>
        <v>8.0727097088071371</v>
      </c>
      <c r="BG36" s="20">
        <f t="shared" si="6"/>
        <v>8.1545388557370124</v>
      </c>
      <c r="BH36" s="20">
        <f>BH33*0.34</f>
        <v>0</v>
      </c>
    </row>
    <row r="37" spans="1:60" ht="15" hidden="1" customHeight="1" outlineLevel="1" x14ac:dyDescent="0.3">
      <c r="A37" s="172">
        <f>C37*1000000/$C$16</f>
        <v>125.8606146769086</v>
      </c>
      <c r="B37" s="176" t="s">
        <v>61</v>
      </c>
      <c r="C37" s="169">
        <f>SUMIF($D$15:$BG$15,1,D37:BG37)</f>
        <v>150.23305476151953</v>
      </c>
      <c r="D37" s="175">
        <f t="shared" ref="D37:AJ37" si="7">NPV($C$8,D36:D36)</f>
        <v>1.7322805668606502</v>
      </c>
      <c r="E37" s="20">
        <f t="shared" si="7"/>
        <v>0</v>
      </c>
      <c r="F37" s="20">
        <f t="shared" si="7"/>
        <v>0</v>
      </c>
      <c r="G37" s="20">
        <f t="shared" si="7"/>
        <v>4.1636137061204952</v>
      </c>
      <c r="H37" s="20">
        <f t="shared" si="7"/>
        <v>4.2232218209012622</v>
      </c>
      <c r="I37" s="20">
        <f t="shared" si="7"/>
        <v>4.2831100938215014</v>
      </c>
      <c r="J37" s="20">
        <f t="shared" si="7"/>
        <v>4.3432798416244633</v>
      </c>
      <c r="K37" s="20">
        <f t="shared" si="7"/>
        <v>4.403732387242103</v>
      </c>
      <c r="L37" s="20">
        <f t="shared" si="7"/>
        <v>4.4644690598241414</v>
      </c>
      <c r="M37" s="20">
        <f t="shared" si="7"/>
        <v>4.5254911947673184</v>
      </c>
      <c r="N37" s="20">
        <f t="shared" si="7"/>
        <v>4.5868001337447248</v>
      </c>
      <c r="O37" s="20">
        <f t="shared" si="7"/>
        <v>4.6483972247353291</v>
      </c>
      <c r="P37" s="20">
        <f t="shared" si="7"/>
        <v>4.7102838220535865</v>
      </c>
      <c r="Q37" s="20">
        <f t="shared" si="7"/>
        <v>4.7724612863792419</v>
      </c>
      <c r="R37" s="20">
        <f t="shared" si="7"/>
        <v>4.8349309847872277</v>
      </c>
      <c r="S37" s="20">
        <f t="shared" si="7"/>
        <v>4.7102838220535865</v>
      </c>
      <c r="T37" s="20">
        <f t="shared" si="7"/>
        <v>4.7724612863792419</v>
      </c>
      <c r="U37" s="20">
        <f t="shared" si="7"/>
        <v>4.8349309847872277</v>
      </c>
      <c r="V37" s="20">
        <f t="shared" si="7"/>
        <v>4.8976942907777286</v>
      </c>
      <c r="W37" s="20">
        <f t="shared" si="7"/>
        <v>4.9607525843063849</v>
      </c>
      <c r="X37" s="20">
        <f t="shared" si="7"/>
        <v>5.0241072518146286</v>
      </c>
      <c r="Y37" s="20">
        <f t="shared" si="7"/>
        <v>5.0877596862601617</v>
      </c>
      <c r="Z37" s="20">
        <f t="shared" si="7"/>
        <v>5.1517112871475828</v>
      </c>
      <c r="AA37" s="20">
        <f t="shared" si="7"/>
        <v>5.2159634605591805</v>
      </c>
      <c r="AB37" s="20">
        <f t="shared" si="7"/>
        <v>5.280517619185809</v>
      </c>
      <c r="AC37" s="20">
        <f t="shared" si="7"/>
        <v>5.3453751823579871</v>
      </c>
      <c r="AD37" s="20">
        <f t="shared" si="7"/>
        <v>5.4105375760770738</v>
      </c>
      <c r="AE37" s="20">
        <f t="shared" si="7"/>
        <v>5.4760062330466361</v>
      </c>
      <c r="AF37" s="20">
        <f t="shared" si="7"/>
        <v>5.5417825927039583</v>
      </c>
      <c r="AG37" s="20">
        <f t="shared" si="7"/>
        <v>5.6078681012516718</v>
      </c>
      <c r="AH37" s="20">
        <f t="shared" si="7"/>
        <v>5.6742642116895574</v>
      </c>
      <c r="AI37" s="20">
        <f t="shared" si="7"/>
        <v>5.740972383846497</v>
      </c>
      <c r="AJ37" s="20">
        <f t="shared" si="7"/>
        <v>5.807994084412579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3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3">
      <c r="A39" s="172">
        <f>C39*1000000/$C$16</f>
        <v>280.67674304318291</v>
      </c>
      <c r="B39" s="173" t="s">
        <v>62</v>
      </c>
      <c r="C39" s="174">
        <f>SUMIF($D$15:$BG$15,1,D39:BG39)</f>
        <v>335.02875078225503</v>
      </c>
      <c r="D39" s="175">
        <f>'[5]C-FCL Real'!C156</f>
        <v>3.6858578362617531</v>
      </c>
      <c r="E39" s="20">
        <f>'[5]C-FCL Real'!D156</f>
        <v>-7.705240292935521</v>
      </c>
      <c r="F39" s="20">
        <f>'[5]C-FCL Real'!E156</f>
        <v>-2.0706102409985689</v>
      </c>
      <c r="G39" s="20">
        <f>'[5]C-FCL Real'!F156</f>
        <v>8.8591239199103615</v>
      </c>
      <c r="H39" s="20">
        <f>'[5]C-FCL Real'!G156</f>
        <v>8.9859550125015879</v>
      </c>
      <c r="I39" s="20">
        <f>'[5]C-FCL Real'!H156</f>
        <v>9.1133822112279965</v>
      </c>
      <c r="J39" s="20">
        <f>'[5]C-FCL Real'!I156</f>
        <v>9.2414083177884105</v>
      </c>
      <c r="K39" s="20">
        <f>'[5]C-FCL Real'!J156</f>
        <v>9.3700361470496691</v>
      </c>
      <c r="L39" s="20">
        <f>'[5]C-FCL Real'!K156</f>
        <v>9.4992685271084483</v>
      </c>
      <c r="M39" s="20">
        <f>'[5]C-FCL Real'!L156</f>
        <v>9.6291082993535078</v>
      </c>
      <c r="N39" s="20">
        <f>'[5]C-FCL Real'!M156</f>
        <v>9.7595583185281143</v>
      </c>
      <c r="O39" s="20">
        <f>'[5]C-FCL Real'!N156</f>
        <v>9.890621452792848</v>
      </c>
      <c r="P39" s="20">
        <f>'[5]C-FCL Real'!O156</f>
        <v>10.022300583788621</v>
      </c>
      <c r="Q39" s="20">
        <f>'[5]C-FCL Real'!P156</f>
        <v>10.154598606700079</v>
      </c>
      <c r="R39" s="20">
        <f>'[5]C-FCL Real'!Q156</f>
        <v>10.287518430319217</v>
      </c>
      <c r="S39" s="20">
        <f>'[5]C-FCL Real'!O156</f>
        <v>10.022300583788621</v>
      </c>
      <c r="T39" s="20">
        <f>'[5]C-FCL Real'!P156</f>
        <v>10.154598606700079</v>
      </c>
      <c r="U39" s="20">
        <f>'[5]C-FCL Real'!Q156</f>
        <v>10.287518430319217</v>
      </c>
      <c r="V39" s="20">
        <f>'[5]C-FCL Real'!R156</f>
        <v>10.421062977109363</v>
      </c>
      <c r="W39" s="20">
        <f>'[5]C-FCL Real'!S156</f>
        <v>10.555235183269422</v>
      </c>
      <c r="X39" s="20">
        <f>'[5]C-FCL Real'!T156</f>
        <v>10.69003799879844</v>
      </c>
      <c r="Y39" s="20">
        <f>'[5]C-FCL Real'!U156</f>
        <v>10.825474387560444</v>
      </c>
      <c r="Z39" s="20">
        <f>'[5]C-FCL Real'!V156</f>
        <v>10.961547327349621</v>
      </c>
      <c r="AA39" s="20">
        <f>'[5]C-FCL Real'!W156</f>
        <v>11.098259809955813</v>
      </c>
      <c r="AB39" s="20">
        <f>'[5]C-FCL Real'!X156</f>
        <v>11.23561484123025</v>
      </c>
      <c r="AC39" s="20">
        <f>'[5]C-FCL Real'!Y156</f>
        <v>11.373615441151685</v>
      </c>
      <c r="AD39" s="20">
        <f>'[5]C-FCL Real'!Z156</f>
        <v>11.512264643892751</v>
      </c>
      <c r="AE39" s="20">
        <f>'[5]C-FCL Real'!AA156</f>
        <v>11.65156549788669</v>
      </c>
      <c r="AF39" s="20">
        <f>'[5]C-FCL Real'!AB156</f>
        <v>11.791521065894409</v>
      </c>
      <c r="AG39" s="20">
        <f>'[5]C-FCL Real'!AC156</f>
        <v>11.932134425071766</v>
      </c>
      <c r="AH39" s="20">
        <f>'[5]C-FCL Real'!AD156</f>
        <v>12.073408667037253</v>
      </c>
      <c r="AI39" s="20">
        <f>'[5]C-FCL Real'!AE156</f>
        <v>12.215346897939968</v>
      </c>
      <c r="AJ39" s="20">
        <f>'[5]C-FCL Real'!AF156</f>
        <v>12.357952238527936</v>
      </c>
      <c r="AK39" s="20">
        <f>'[5]C-FCL Real'!AG156</f>
        <v>12.501227824216672</v>
      </c>
      <c r="AL39" s="20">
        <f>'[5]C-FCL Real'!AH156</f>
        <v>12.645176805158135</v>
      </c>
      <c r="AM39" s="20">
        <f>'[5]C-FCL Real'!AI156</f>
        <v>12.789802346310026</v>
      </c>
      <c r="AN39" s="20">
        <f>'[5]C-FCL Real'!AJ156</f>
        <v>12.935107627505335</v>
      </c>
      <c r="AO39" s="20">
        <f>'[5]C-FCL Real'!AK156</f>
        <v>13.08109584352226</v>
      </c>
      <c r="AP39" s="20">
        <f>'[5]C-FCL Real'!AL156</f>
        <v>13.227770204154469</v>
      </c>
      <c r="AQ39" s="20">
        <f>'[5]C-FCL Real'!AM156</f>
        <v>13.375133934281637</v>
      </c>
      <c r="AR39" s="20">
        <f>'[5]C-FCL Real'!AN156</f>
        <v>13.523190273940408</v>
      </c>
      <c r="AS39" s="20">
        <f>'[5]C-FCL Real'!AO156</f>
        <v>13.671942478395581</v>
      </c>
      <c r="AT39" s="20">
        <f>'[5]C-FCL Real'!AP156</f>
        <v>13.821393818211684</v>
      </c>
      <c r="AU39" s="20">
        <f>'[5]C-FCL Real'!AQ156</f>
        <v>13.971547579324927</v>
      </c>
      <c r="AV39" s="20">
        <f>'[5]C-FCL Real'!AR156</f>
        <v>14.1224070631154</v>
      </c>
      <c r="AW39" s="20">
        <f>'[5]C-FCL Real'!AS156</f>
        <v>14.273975586479692</v>
      </c>
      <c r="AX39" s="20">
        <f>'[5]C-FCL Real'!AT156</f>
        <v>14.426256481903794</v>
      </c>
      <c r="AY39" s="20">
        <f>'[5]C-FCL Real'!AU156</f>
        <v>14.579253097536389</v>
      </c>
      <c r="AZ39" s="20">
        <f>'[5]C-FCL Real'!AV156</f>
        <v>14.732968797262464</v>
      </c>
      <c r="BA39" s="20">
        <f>'[5]C-FCL Real'!AW156</f>
        <v>14.887406960777247</v>
      </c>
      <c r="BB39" s="20">
        <f>'[5]C-FCL Real'!AX156</f>
        <v>15.042570983660545</v>
      </c>
      <c r="BC39" s="20">
        <f>'[5]C-FCL Real'!AY156</f>
        <v>15.198464277451404</v>
      </c>
      <c r="BD39" s="20">
        <f>'[5]C-FCL Real'!AZ156</f>
        <v>15.355090269723075</v>
      </c>
      <c r="BE39" s="20">
        <f>'[5]C-FCL Real'!BA156</f>
        <v>15.512452404158418</v>
      </c>
      <c r="BF39" s="20">
        <f>'[5]C-FCL Real'!BB156</f>
        <v>15.670554140625619</v>
      </c>
      <c r="BG39" s="20">
        <f>'[5]C-FCL Real'!BC156</f>
        <v>15.8293989552542</v>
      </c>
      <c r="BH39" s="20">
        <f>'[5]C-FCL Real'!BD156</f>
        <v>0</v>
      </c>
    </row>
    <row r="40" spans="1:60" ht="15" hidden="1" customHeight="1" outlineLevel="1" x14ac:dyDescent="0.3">
      <c r="A40" s="172">
        <f>C40*1000000/$C$16</f>
        <v>246.40069440728021</v>
      </c>
      <c r="B40" s="176" t="s">
        <v>63</v>
      </c>
      <c r="C40" s="169">
        <f>SUMIF($D$15:$BG$15,1,D40:BG40)</f>
        <v>294.11527276576135</v>
      </c>
      <c r="D40" s="175">
        <f t="shared" ref="D40:AK40" si="8">NPV($C$8,D39:D39)</f>
        <v>3.3626622768471441</v>
      </c>
      <c r="E40" s="20">
        <f t="shared" si="8"/>
        <v>-7.0296039668679429</v>
      </c>
      <c r="F40" s="20">
        <f t="shared" si="8"/>
        <v>-1.8890481556176864</v>
      </c>
      <c r="G40" s="20">
        <f t="shared" si="8"/>
        <v>8.0823089589397838</v>
      </c>
      <c r="H40" s="20">
        <f t="shared" si="8"/>
        <v>8.1980188288083333</v>
      </c>
      <c r="I40" s="20">
        <f t="shared" si="8"/>
        <v>8.3142725350652693</v>
      </c>
      <c r="J40" s="20">
        <f t="shared" si="8"/>
        <v>8.4310726337416053</v>
      </c>
      <c r="K40" s="20">
        <f t="shared" si="8"/>
        <v>8.5484216928817283</v>
      </c>
      <c r="L40" s="20">
        <f t="shared" si="8"/>
        <v>8.6663222925998049</v>
      </c>
      <c r="M40" s="20">
        <f t="shared" si="8"/>
        <v>8.7847770251365578</v>
      </c>
      <c r="N40" s="20">
        <f t="shared" si="8"/>
        <v>8.9037884949162311</v>
      </c>
      <c r="O40" s="20">
        <f t="shared" si="8"/>
        <v>9.023359318603875</v>
      </c>
      <c r="P40" s="20">
        <f t="shared" si="8"/>
        <v>9.1434921251628456</v>
      </c>
      <c r="Q40" s="20">
        <f t="shared" si="8"/>
        <v>9.2641895559126475</v>
      </c>
      <c r="R40" s="20">
        <f t="shared" si="8"/>
        <v>9.3854542645869703</v>
      </c>
      <c r="S40" s="20">
        <f t="shared" si="8"/>
        <v>9.1434921251628456</v>
      </c>
      <c r="T40" s="20">
        <f t="shared" si="8"/>
        <v>9.2641895559126475</v>
      </c>
      <c r="U40" s="20">
        <f t="shared" si="8"/>
        <v>9.3854542645869703</v>
      </c>
      <c r="V40" s="20">
        <f t="shared" si="8"/>
        <v>9.5072889173920618</v>
      </c>
      <c r="W40" s="20">
        <f t="shared" si="8"/>
        <v>9.6296961930653353</v>
      </c>
      <c r="X40" s="20">
        <f t="shared" si="8"/>
        <v>9.7526787829342787</v>
      </c>
      <c r="Y40" s="20">
        <f t="shared" si="8"/>
        <v>9.8762393909756074</v>
      </c>
      <c r="Z40" s="20">
        <f t="shared" si="8"/>
        <v>10.000380733874721</v>
      </c>
      <c r="AA40" s="20">
        <f t="shared" si="8"/>
        <v>10.125105541085468</v>
      </c>
      <c r="AB40" s="20">
        <f t="shared" si="8"/>
        <v>10.2504165548901</v>
      </c>
      <c r="AC40" s="20">
        <f t="shared" si="8"/>
        <v>10.37631653045962</v>
      </c>
      <c r="AD40" s="20">
        <f t="shared" si="8"/>
        <v>10.502808235914319</v>
      </c>
      <c r="AE40" s="20">
        <f t="shared" si="8"/>
        <v>10.629894452384645</v>
      </c>
      <c r="AF40" s="20">
        <f t="shared" si="8"/>
        <v>10.75757797407239</v>
      </c>
      <c r="AG40" s="20">
        <f t="shared" si="8"/>
        <v>10.885861608312069</v>
      </c>
      <c r="AH40" s="20">
        <f t="shared" si="8"/>
        <v>11.01474817563267</v>
      </c>
      <c r="AI40" s="20">
        <f t="shared" si="8"/>
        <v>11.144240509819671</v>
      </c>
      <c r="AJ40" s="20">
        <f t="shared" si="8"/>
        <v>11.274341457977359</v>
      </c>
      <c r="AK40" s="20">
        <f t="shared" si="8"/>
        <v>11.405053880591392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3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3">
      <c r="A42" s="172">
        <f>A24+A27+A30</f>
        <v>1271.0716551379091</v>
      </c>
      <c r="B42" s="141" t="s">
        <v>64</v>
      </c>
      <c r="C42" s="169"/>
      <c r="D42" s="175">
        <f>'[5]C-FCL Real'!C157</f>
        <v>3.6858578362617531</v>
      </c>
      <c r="E42" s="20">
        <f>'[5]C-FCL Real'!D157</f>
        <v>-4.0193824566737675</v>
      </c>
      <c r="F42" s="20">
        <f>'[5]C-FCL Real'!E157</f>
        <v>-6.0899926976723364</v>
      </c>
      <c r="G42" s="20">
        <f>'[5]C-FCL Real'!F157</f>
        <v>2.7691312222380251</v>
      </c>
      <c r="H42" s="20">
        <f>'[5]C-FCL Real'!G157</f>
        <v>11.755086234739613</v>
      </c>
      <c r="I42" s="20">
        <f>'[5]C-FCL Real'!H157</f>
        <v>20.868468445967608</v>
      </c>
      <c r="J42" s="20">
        <f>'[5]C-FCL Real'!I157</f>
        <v>30.10987676375602</v>
      </c>
      <c r="K42" s="20">
        <f>'[5]C-FCL Real'!J157</f>
        <v>39.479912910805687</v>
      </c>
      <c r="L42" s="20">
        <f>'[5]C-FCL Real'!K157</f>
        <v>48.979181437914136</v>
      </c>
      <c r="M42" s="20">
        <f>'[5]C-FCL Real'!L157</f>
        <v>58.60828973726764</v>
      </c>
      <c r="N42" s="20">
        <f>'[5]C-FCL Real'!M157</f>
        <v>68.367848055795747</v>
      </c>
      <c r="O42" s="20">
        <f>'[5]C-FCL Real'!N157</f>
        <v>78.25846950858859</v>
      </c>
      <c r="P42" s="20">
        <f>'[5]C-FCL Real'!O157</f>
        <v>88.28077009237721</v>
      </c>
      <c r="Q42" s="20">
        <f>'[5]C-FCL Real'!P157</f>
        <v>98.435368699077287</v>
      </c>
      <c r="R42" s="20">
        <f>'[5]C-FCL Real'!Q157</f>
        <v>108.7228871293965</v>
      </c>
      <c r="S42" s="20">
        <f>'[5]C-FCL Real'!O157</f>
        <v>88.28077009237721</v>
      </c>
      <c r="T42" s="20">
        <f>'[5]C-FCL Real'!P157</f>
        <v>98.435368699077287</v>
      </c>
      <c r="U42" s="20">
        <f>'[5]C-FCL Real'!Q157</f>
        <v>108.7228871293965</v>
      </c>
      <c r="V42" s="20">
        <f>'[5]C-FCL Real'!R157</f>
        <v>119.14395010650586</v>
      </c>
      <c r="W42" s="20">
        <f>'[5]C-FCL Real'!S157</f>
        <v>129.69918528977527</v>
      </c>
      <c r="X42" s="20">
        <f>'[5]C-FCL Real'!T157</f>
        <v>140.3892232885737</v>
      </c>
      <c r="Y42" s="20">
        <f>'[5]C-FCL Real'!U157</f>
        <v>151.21469767613414</v>
      </c>
      <c r="Z42" s="20">
        <f>'[5]C-FCL Real'!V157</f>
        <v>162.17624500348376</v>
      </c>
      <c r="AA42" s="20">
        <f>'[5]C-FCL Real'!W157</f>
        <v>173.27450481343956</v>
      </c>
      <c r="AB42" s="20">
        <f>'[5]C-FCL Real'!X157</f>
        <v>184.51011965466981</v>
      </c>
      <c r="AC42" s="20">
        <f>'[5]C-FCL Real'!Y157</f>
        <v>195.88373509582149</v>
      </c>
      <c r="AD42" s="20">
        <f>'[5]C-FCL Real'!Z157</f>
        <v>207.39599973971426</v>
      </c>
      <c r="AE42" s="20">
        <f>'[5]C-FCL Real'!AA157</f>
        <v>219.04756523760094</v>
      </c>
      <c r="AF42" s="20">
        <f>'[5]C-FCL Real'!AB157</f>
        <v>230.83908630349535</v>
      </c>
      <c r="AG42" s="20">
        <f>'[5]C-FCL Real'!AC157</f>
        <v>242.77122072856713</v>
      </c>
      <c r="AH42" s="20">
        <f>'[5]C-FCL Real'!AD157</f>
        <v>254.84462939560439</v>
      </c>
      <c r="AI42" s="20">
        <f>'[5]C-FCL Real'!AE157</f>
        <v>267.05997629354437</v>
      </c>
      <c r="AJ42" s="20">
        <f>'[5]C-FCL Real'!AF157</f>
        <v>279.41792853207232</v>
      </c>
      <c r="AK42" s="20">
        <f>'[5]C-FCL Real'!AG157</f>
        <v>291.91915635628902</v>
      </c>
      <c r="AL42" s="20">
        <f>'[5]C-FCL Real'!AH157</f>
        <v>304.56433316144717</v>
      </c>
      <c r="AM42" s="20">
        <f>'[5]C-FCL Real'!AI157</f>
        <v>317.35413550775718</v>
      </c>
      <c r="AN42" s="20">
        <f>'[5]C-FCL Real'!AJ157</f>
        <v>330.2892431352625</v>
      </c>
      <c r="AO42" s="20">
        <f>'[5]C-FCL Real'!AK157</f>
        <v>343.37033897878473</v>
      </c>
      <c r="AP42" s="20">
        <f>'[5]C-FCL Real'!AL157</f>
        <v>356.5981091829392</v>
      </c>
      <c r="AQ42" s="20">
        <f>'[5]C-FCL Real'!AM157</f>
        <v>369.97324311722082</v>
      </c>
      <c r="AR42" s="20">
        <f>'[5]C-FCL Real'!AN157</f>
        <v>383.49643339116125</v>
      </c>
      <c r="AS42" s="20">
        <f>'[5]C-FCL Real'!AO157</f>
        <v>397.16837586955683</v>
      </c>
      <c r="AT42" s="20">
        <f>'[5]C-FCL Real'!AP157</f>
        <v>410.9897696877685</v>
      </c>
      <c r="AU42" s="20">
        <f>'[5]C-FCL Real'!AQ157</f>
        <v>424.96131726709342</v>
      </c>
      <c r="AV42" s="20">
        <f>'[5]C-FCL Real'!AR157</f>
        <v>439.08372433020884</v>
      </c>
      <c r="AW42" s="20">
        <f>'[5]C-FCL Real'!AS157</f>
        <v>453.35769991668855</v>
      </c>
      <c r="AX42" s="20">
        <f>'[5]C-FCL Real'!AT157</f>
        <v>467.78395639859235</v>
      </c>
      <c r="AY42" s="20">
        <f>'[5]C-FCL Real'!AU157</f>
        <v>482.36320949612872</v>
      </c>
      <c r="AZ42" s="20">
        <f>'[5]C-FCL Real'!AV157</f>
        <v>497.09617829339118</v>
      </c>
      <c r="BA42" s="20">
        <f>'[5]C-FCL Real'!AW157</f>
        <v>511.98358525416842</v>
      </c>
      <c r="BB42" s="20">
        <f>'[5]C-FCL Real'!AX157</f>
        <v>527.02615623782901</v>
      </c>
      <c r="BC42" s="20">
        <f>'[5]C-FCL Real'!AY157</f>
        <v>542.22462051528044</v>
      </c>
      <c r="BD42" s="20">
        <f>'[5]C-FCL Real'!AZ157</f>
        <v>557.5797107850035</v>
      </c>
      <c r="BE42" s="20">
        <f>'[5]C-FCL Real'!BA157</f>
        <v>573.09216318916197</v>
      </c>
      <c r="BF42" s="20">
        <f>'[5]C-FCL Real'!BB157</f>
        <v>588.76271732978762</v>
      </c>
      <c r="BG42" s="20">
        <f>'[5]C-FCL Real'!BC157</f>
        <v>604.59211628504181</v>
      </c>
      <c r="BH42" s="20">
        <f>'[5]C-FCL Real'!BD157</f>
        <v>0</v>
      </c>
    </row>
    <row r="43" spans="1:60" ht="15" hidden="1" customHeight="1" outlineLevel="1" x14ac:dyDescent="0.3">
      <c r="A43" s="172">
        <f>A18+A21+A36</f>
        <v>990.39491209472624</v>
      </c>
      <c r="B43" s="141" t="s">
        <v>65</v>
      </c>
      <c r="C43" s="177">
        <f>'[5]R&amp;C-Painel de Controle'!D32</f>
        <v>35</v>
      </c>
      <c r="D43" s="164" t="s">
        <v>3</v>
      </c>
    </row>
    <row r="44" spans="1:60" ht="15" hidden="1" customHeight="1" outlineLevel="1" x14ac:dyDescent="0.3">
      <c r="A44" s="172">
        <f>A42-A43</f>
        <v>280.67674304318291</v>
      </c>
      <c r="B44" s="141" t="s">
        <v>45</v>
      </c>
      <c r="C44" s="1"/>
      <c r="F44" s="179"/>
      <c r="G44" s="179"/>
    </row>
    <row r="45" spans="1:60" ht="15" hidden="1" customHeight="1" outlineLevel="1" x14ac:dyDescent="0.3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3">
      <c r="B46" s="180" t="s">
        <v>66</v>
      </c>
      <c r="C46" s="174">
        <f>F46*$C$16/1000000</f>
        <v>1429.6041300410916</v>
      </c>
      <c r="D46" s="181" t="s">
        <v>67</v>
      </c>
      <c r="E46" s="181"/>
      <c r="F46" s="182">
        <f>A27</f>
        <v>1197.6781996295147</v>
      </c>
      <c r="G46" s="181" t="s">
        <v>8</v>
      </c>
      <c r="H46" s="181"/>
    </row>
    <row r="47" spans="1:60" ht="15" hidden="1" customHeight="1" outlineLevel="1" x14ac:dyDescent="0.3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5">
      <c r="B48" s="180" t="s">
        <v>69</v>
      </c>
      <c r="C48" s="174">
        <f>F48*$C$16/1000000</f>
        <v>87.605825292006244</v>
      </c>
      <c r="D48" s="181" t="s">
        <v>67</v>
      </c>
      <c r="E48" s="181"/>
      <c r="F48" s="182">
        <f>A30</f>
        <v>73.393455508394453</v>
      </c>
      <c r="G48" s="181" t="s">
        <v>8</v>
      </c>
      <c r="H48" s="181"/>
    </row>
    <row r="49" spans="1:8" s="155" customFormat="1" ht="15" hidden="1" customHeight="1" outlineLevel="1" thickTop="1" x14ac:dyDescent="0.3">
      <c r="B49" s="187" t="s">
        <v>70</v>
      </c>
      <c r="C49" s="188">
        <f>C46+C47+C48</f>
        <v>1517.2099553330979</v>
      </c>
      <c r="D49" s="189" t="s">
        <v>67</v>
      </c>
      <c r="E49" s="189"/>
      <c r="F49" s="190">
        <f>F46+F47+F48</f>
        <v>1271.0716551379091</v>
      </c>
      <c r="G49" s="189" t="s">
        <v>8</v>
      </c>
      <c r="H49" s="189"/>
    </row>
    <row r="50" spans="1:8" ht="15" hidden="1" customHeight="1" outlineLevel="1" x14ac:dyDescent="0.3">
      <c r="B50" s="183" t="s">
        <v>71</v>
      </c>
      <c r="C50" s="184">
        <f>F50*$C$16/1000000</f>
        <v>1004.5545917515941</v>
      </c>
      <c r="D50" s="185" t="s">
        <v>67</v>
      </c>
      <c r="E50" s="185"/>
      <c r="F50" s="186">
        <f>A18+A21</f>
        <v>841.58482029848994</v>
      </c>
      <c r="G50" s="185" t="s">
        <v>8</v>
      </c>
      <c r="H50" s="185"/>
    </row>
    <row r="51" spans="1:8" ht="15" hidden="1" customHeight="1" outlineLevel="1" x14ac:dyDescent="0.3">
      <c r="B51" s="180" t="s">
        <v>72</v>
      </c>
      <c r="C51" s="191">
        <f>F51*$C$16/1000000</f>
        <v>177.62661279924896</v>
      </c>
      <c r="D51" s="181" t="s">
        <v>67</v>
      </c>
      <c r="E51" s="181"/>
      <c r="F51" s="192">
        <f>A36</f>
        <v>148.81009179623629</v>
      </c>
      <c r="G51" s="181" t="s">
        <v>8</v>
      </c>
      <c r="H51" s="181"/>
    </row>
    <row r="52" spans="1:8" s="164" customFormat="1" ht="15" hidden="1" customHeight="1" outlineLevel="1" thickBot="1" x14ac:dyDescent="0.35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3">
      <c r="B53" s="196" t="s">
        <v>73</v>
      </c>
      <c r="C53" s="197">
        <f>C49-C50-C51</f>
        <v>335.02875078225486</v>
      </c>
      <c r="D53" s="198" t="s">
        <v>67</v>
      </c>
      <c r="E53" s="198"/>
      <c r="F53" s="199">
        <f>F49-F50-F51</f>
        <v>280.67674304318291</v>
      </c>
      <c r="G53" s="198" t="s">
        <v>8</v>
      </c>
      <c r="H53" s="198"/>
    </row>
    <row r="54" spans="1:8" ht="15" customHeight="1" thickTop="1" thickBot="1" x14ac:dyDescent="0.35">
      <c r="A54" s="172"/>
      <c r="C54" s="54"/>
      <c r="F54" s="179"/>
      <c r="G54" s="179"/>
    </row>
    <row r="55" spans="1:8" s="200" customFormat="1" ht="25.2" customHeight="1" collapsed="1" thickTop="1" thickBot="1" x14ac:dyDescent="0.35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3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3">
      <c r="B57" s="205" t="s">
        <v>75</v>
      </c>
      <c r="C57" s="206">
        <f>C58*C59</f>
        <v>4790648.1824426781</v>
      </c>
      <c r="D57" s="207" t="s">
        <v>9</v>
      </c>
      <c r="E57" s="207"/>
      <c r="F57" s="208">
        <f>C57/'[5]R&amp;C-Painel de Controle'!$D$8</f>
        <v>151.0391659491757</v>
      </c>
      <c r="G57" s="207" t="s">
        <v>8</v>
      </c>
      <c r="H57" s="56">
        <f>F57/$F$99</f>
        <v>0.16502839540265457</v>
      </c>
    </row>
    <row r="58" spans="1:8" s="164" customFormat="1" ht="15" hidden="1" customHeight="1" outlineLevel="1" x14ac:dyDescent="0.3">
      <c r="B58" s="209" t="s">
        <v>76</v>
      </c>
      <c r="C58" s="210">
        <f>('[5]R&amp;C-Painel de Controle'!D8-'[5]R&amp;C-Painel de Controle'!D9)</f>
        <v>25880.236824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3">
      <c r="B59" s="211" t="s">
        <v>77</v>
      </c>
      <c r="C59" s="212">
        <f>IF('[5]R-Definição'!E121="Novo",(('[5]R&amp;C-Painel de Controle'!L73*'[5]C-Dados RT Simplif.'!C105+'[5]R&amp;C-Painel de Controle'!P73*'[5]C-Dados RT Simplif.'!C105*'[5]C-Dados RT Simplif.'!C7)/('[5]C-Dados RT Simplif.'!C7*'[5]C-Dados RT Simplif.'!C105)),('[5]R&amp;C-Painel de Controle'!D88+'[5]R&amp;C-Painel de Controle'!D89))</f>
        <v>185.10835951856814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3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3">
      <c r="B61" s="180" t="s">
        <v>78</v>
      </c>
      <c r="C61" s="219">
        <f>IF(C68="Sim",(C62*C71+C63*C72+C64*C73+C65*C74+C66*C76+C67*C75)*C69*((1-C93)+(1-C70)*(1-C89)),0)</f>
        <v>2655392.0435663396</v>
      </c>
      <c r="D61" s="220" t="s">
        <v>9</v>
      </c>
      <c r="E61" s="220"/>
      <c r="F61" s="221">
        <f>C61/'[5]R&amp;C-Painel de Controle'!$D$8</f>
        <v>83.718984207234897</v>
      </c>
      <c r="G61" s="220" t="s">
        <v>8</v>
      </c>
      <c r="H61" s="59">
        <f>F61/$F$99</f>
        <v>9.1473026493732151E-2</v>
      </c>
    </row>
    <row r="62" spans="1:8" s="164" customFormat="1" ht="15" hidden="1" customHeight="1" outlineLevel="1" x14ac:dyDescent="0.3">
      <c r="B62" s="222" t="str">
        <f>'[5]R&amp;C-Painel de Controle'!J36</f>
        <v>Mat. Recicl.: Papel/Papelão — Triagem Mecanizada</v>
      </c>
      <c r="C62" s="223">
        <f>'[5]R&amp;C-Painel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3">
      <c r="B63" s="209" t="str">
        <f>'[5]R&amp;C-Painel de Controle'!J37</f>
        <v>Mat. Recicl.: Plástico Filme — Triagem Mecanizada</v>
      </c>
      <c r="C63" s="210">
        <f>'[5]R&amp;C-Painel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3">
      <c r="B64" s="209" t="str">
        <f>'[5]R&amp;C-Painel de Controle'!J38</f>
        <v>Mat. Recicl.: Plástico Rígido — Triagem Mecanizada</v>
      </c>
      <c r="C64" s="210">
        <f>'[5]R&amp;C-Painel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3">
      <c r="B65" s="209" t="str">
        <f>'[5]R&amp;C-Painel de Controle'!J39</f>
        <v>Mat. Recicl.: Vidros — Triagem Mecânica</v>
      </c>
      <c r="C65" s="210">
        <f>'[5]R&amp;C-Painel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3">
      <c r="B66" s="209" t="str">
        <f>'[5]R&amp;C-Painel de Controle'!J40</f>
        <v>Mat. Recicl.: Metais Não Ferrosos — Triagem Mecanizada</v>
      </c>
      <c r="C66" s="210">
        <f>'[5]R&amp;C-Painel de Controle'!L40+'[5]R&amp;C-Painel de Controle'!L42</f>
        <v>90.004172381314461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3">
      <c r="B67" s="209" t="str">
        <f>'[5]R&amp;C-Painel de Controle'!J41</f>
        <v>Mat. Recicl.: Metais Ferrosos — Triagem Mecanizada</v>
      </c>
      <c r="C67" s="210">
        <f>'[5]R&amp;C-Painel de Controle'!L41+'[5]R&amp;C-Painel de Controle'!L43</f>
        <v>345.01599412837214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3">
      <c r="B68" s="209" t="str">
        <f>'[5]R&amp;C-Painel de Controle'!B98</f>
        <v>Doação Receitas Venda Materiais Recicláveis</v>
      </c>
      <c r="C68" s="210" t="str">
        <f>'[5]R&amp;C-Painel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3">
      <c r="B69" s="209" t="str">
        <f>'[5]R&amp;C-Painel de Controle'!B99</f>
        <v>% Doação das Receitas aos Catadores</v>
      </c>
      <c r="C69" s="60">
        <f>'[5]R&amp;C-Painel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3">
      <c r="B70" s="209" t="str">
        <f>'[5]R&amp;C-Painel de Controle'!B100</f>
        <v>% Venda Matetriais Reciclávevis fora do Estado</v>
      </c>
      <c r="C70" s="60">
        <f>'[5]R&amp;C-Painel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3">
      <c r="B71" s="209" t="str">
        <f>'[5]R&amp;C-Painel de Controle'!B101</f>
        <v>Preço Médio Bruto — Venda (FOB): Papel/Papelão</v>
      </c>
      <c r="C71" s="210">
        <f>'[5]R&amp;C-Painel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3">
      <c r="B72" s="209" t="str">
        <f>'[5]R&amp;C-Painel de Controle'!B102</f>
        <v>Preço Médio Bruto — Venda (FOB): Plástico Filme</v>
      </c>
      <c r="C72" s="210">
        <f>'[5]R&amp;C-Painel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3">
      <c r="B73" s="209" t="str">
        <f>'[5]R&amp;C-Painel de Controle'!B103</f>
        <v>Preço Médio Bruto — Venda (FOB): Plástico Rígido</v>
      </c>
      <c r="C73" s="210">
        <f>'[5]R&amp;C-Painel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3">
      <c r="B74" s="209" t="str">
        <f>'[5]R&amp;C-Painel de Controle'!B104</f>
        <v>Preço Médio Bruto — Venda(FOB): Vidros</v>
      </c>
      <c r="C74" s="210">
        <f>'[5]R&amp;C-Painel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3">
      <c r="B75" s="209" t="str">
        <f>'[5]R&amp;C-Painel de Controle'!B105</f>
        <v>Preço Médio Bruto — Venda (FOB): Metais Ferrosos</v>
      </c>
      <c r="C75" s="210">
        <f>'[5]R&amp;C-Painel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3">
      <c r="B76" s="209" t="str">
        <f>'[5]R&amp;C-Painel de Controle'!B106</f>
        <v>Preço Médio Bruto — Venda (FOB): Metais Não Ferrosos</v>
      </c>
      <c r="C76" s="210">
        <f>'[5]R&amp;C-Painel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3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3">
      <c r="B78" s="180" t="s">
        <v>80</v>
      </c>
      <c r="C78" s="219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</f>
        <v>4170308.3246057313</v>
      </c>
      <c r="D78" s="181" t="s">
        <v>9</v>
      </c>
      <c r="E78" s="181"/>
      <c r="F78" s="192">
        <f>C78/'[5]R&amp;C-Painel de Controle'!$D$8</f>
        <v>131.48114140541787</v>
      </c>
      <c r="G78" s="181" t="s">
        <v>8</v>
      </c>
      <c r="H78" s="61">
        <f>F78/$F$99</f>
        <v>0.14365890896899552</v>
      </c>
    </row>
    <row r="79" spans="2:8" ht="15" hidden="1" customHeight="1" outlineLevel="1" x14ac:dyDescent="0.3">
      <c r="B79" s="180" t="s">
        <v>81</v>
      </c>
      <c r="C79" s="219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Sanitário'!$U$26*1000000,0))))))/2.4*1.4</f>
        <v>5838431.6544480231</v>
      </c>
      <c r="D79" s="181" t="s">
        <v>9</v>
      </c>
      <c r="E79" s="181"/>
      <c r="F79" s="192">
        <f>C79/'[5]R&amp;C-Painel de Controle'!$D$8</f>
        <v>184.07359796758499</v>
      </c>
      <c r="G79" s="181" t="s">
        <v>8</v>
      </c>
      <c r="H79" s="61">
        <f>F79/$F$99</f>
        <v>0.20112247255659368</v>
      </c>
    </row>
    <row r="80" spans="2:8" s="164" customFormat="1" ht="15" hidden="1" customHeight="1" outlineLevel="1" x14ac:dyDescent="0.3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3">
      <c r="B81" s="224" t="s">
        <v>82</v>
      </c>
      <c r="C81" s="225">
        <f>(C82*C83+C84*C85)*C86</f>
        <v>2350772.5406374219</v>
      </c>
      <c r="D81" s="226" t="s">
        <v>9</v>
      </c>
      <c r="E81" s="226"/>
      <c r="F81" s="227">
        <f>C81/'[5]R&amp;C-Painel de Controle'!$D$8</f>
        <v>74.114965314163797</v>
      </c>
      <c r="G81" s="226" t="s">
        <v>8</v>
      </c>
      <c r="H81" s="62">
        <f>F81/$F$99</f>
        <v>8.0979484521488801E-2</v>
      </c>
    </row>
    <row r="82" spans="2:8" ht="15" hidden="1" customHeight="1" outlineLevel="1" x14ac:dyDescent="0.3">
      <c r="B82" s="228" t="s">
        <v>83</v>
      </c>
      <c r="C82" s="229">
        <f>'[5]R&amp;C-Painel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3">
      <c r="B83" s="228" t="s">
        <v>84</v>
      </c>
      <c r="C83" s="229">
        <f>'[5]R&amp;C-Painel de Controle'!D33</f>
        <v>1396.7092707049733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3">
      <c r="B84" s="228" t="s">
        <v>85</v>
      </c>
      <c r="C84" s="229">
        <f>'[5]R&amp;C-Painel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3">
      <c r="B85" s="228" t="s">
        <v>86</v>
      </c>
      <c r="C85" s="229">
        <f>'[5]R&amp;C-Painel de Controle'!H31</f>
        <v>172.29867360178693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3">
      <c r="B86" s="231" t="s">
        <v>87</v>
      </c>
      <c r="C86" s="64">
        <f>'[5]C-FCL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3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3">
      <c r="B88" s="224" t="s">
        <v>88</v>
      </c>
      <c r="C88" s="225">
        <f>(C62*C71+C63*C72+C64*C73+C65*C74+C66*C76+C67*C75)*C89*C90</f>
        <v>50820.900355336649</v>
      </c>
      <c r="D88" s="226" t="s">
        <v>9</v>
      </c>
      <c r="E88" s="226"/>
      <c r="F88" s="227">
        <f>C88/'[5]R&amp;C-Painel de Controle'!$D$8</f>
        <v>1.602277209707845</v>
      </c>
      <c r="G88" s="226" t="s">
        <v>8</v>
      </c>
      <c r="H88" s="62">
        <f>F88/$F$99</f>
        <v>1.7506799328943952E-3</v>
      </c>
    </row>
    <row r="89" spans="2:8" ht="15" hidden="1" customHeight="1" outlineLevel="1" x14ac:dyDescent="0.3">
      <c r="B89" s="231" t="s">
        <v>89</v>
      </c>
      <c r="C89" s="64">
        <f>'[5]C-FCL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3">
      <c r="B90" s="231" t="str">
        <f>'[5]R&amp;C-Painel de Controle'!B100</f>
        <v>% Venda Matetriais Reciclávevis fora do Estado</v>
      </c>
      <c r="C90" s="64">
        <f>'[5]R&amp;C-Painel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3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3">
      <c r="B92" s="224" t="s">
        <v>90</v>
      </c>
      <c r="C92" s="225">
        <f>'[5]R&amp;C-Painel de Controle'!D33*'[5]R&amp;C-Painel de Controle'!D8*(C93)+C36*1000000/'[5]R&amp;C-Painel de Controle'!D32</f>
        <v>9172862.0242903195</v>
      </c>
      <c r="D92" s="226" t="s">
        <v>9</v>
      </c>
      <c r="E92" s="234"/>
      <c r="F92" s="235">
        <f>C92/'[5]R&amp;C-Painel de Controle'!$D$8</f>
        <v>289.20124725361308</v>
      </c>
      <c r="G92" s="234" t="s">
        <v>8</v>
      </c>
      <c r="H92" s="66">
        <f>F92/$F$99</f>
        <v>0.31598703212364104</v>
      </c>
    </row>
    <row r="93" spans="2:8" ht="15" hidden="1" customHeight="1" outlineLevel="1" x14ac:dyDescent="0.3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3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3">
      <c r="B95" s="228" t="s">
        <v>84</v>
      </c>
      <c r="C95" s="229">
        <f>C83</f>
        <v>1396.7092707049733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3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3">
      <c r="B97" s="228" t="s">
        <v>86</v>
      </c>
      <c r="C97" s="229">
        <f>C85</f>
        <v>172.29867360178693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5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3">
      <c r="B99" s="236" t="s">
        <v>92</v>
      </c>
      <c r="C99" s="237">
        <f>C57+C61+C78+C79+C81+C88+C92</f>
        <v>29029235.670345847</v>
      </c>
      <c r="D99" s="238" t="s">
        <v>9</v>
      </c>
      <c r="E99" s="239"/>
      <c r="F99" s="240">
        <f>C99/'[5]R&amp;C-Painel de Controle'!$D$8</f>
        <v>915.23137930689802</v>
      </c>
      <c r="G99" s="239" t="s">
        <v>8</v>
      </c>
      <c r="H99" s="68">
        <f>F99/$F$99</f>
        <v>1</v>
      </c>
    </row>
    <row r="100" spans="2:8" ht="15" customHeight="1" thickTop="1" thickBot="1" x14ac:dyDescent="0.35">
      <c r="D100" s="164"/>
      <c r="E100" s="164"/>
      <c r="F100" s="164"/>
      <c r="G100" s="164"/>
      <c r="H100" s="164"/>
    </row>
    <row r="101" spans="2:8" ht="25.2" customHeight="1" collapsed="1" thickTop="1" thickBot="1" x14ac:dyDescent="0.35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3">
      <c r="B102" s="159" t="s">
        <v>367</v>
      </c>
      <c r="C102" s="70">
        <f>'[5]R&amp;C-Painel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3">
      <c r="B103" s="69" t="s">
        <v>94</v>
      </c>
      <c r="C103" s="70">
        <f>'[5]R&amp;C-Painel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3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3">
      <c r="B105" s="72" t="s">
        <v>95</v>
      </c>
      <c r="C105" s="70">
        <f>'[5]R&amp;C-Painel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3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3">
      <c r="B107" s="72" t="s">
        <v>152</v>
      </c>
      <c r="C107" s="757">
        <f>'[5]R-Entrada'!E26/100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3">
      <c r="B108" s="73" t="s">
        <v>97</v>
      </c>
      <c r="C108" s="243">
        <f>((IF('[5]C-Triagem Mec'!$E$7="SIM",'[5]C-Triagem Mec'!$E$33*'[5]C-Triagem Mec'!$H$2,IF('[5]C-Triagem Mec'!$I$7="SIM",'[5]C-Triagem Mec'!$I$33*'[5]C-Triagem Mec'!$H$2,IF('[5]C-Triagem Mec'!$M$7="SIM",'[5]C-Triagem Mec'!$M$33*'[5]C-Triagem Mec'!$H$2,IF('[5]C-Triagem Mec'!$Q$7="SIM",'[5]C-Triagem Mec'!$Q$33*'[5]C-Triagem Mec'!$H$2,IF('[5]C-Triagem Mec'!$U$7="SIM",'[5]C-Triagem Mec'!$U$33*'[5]C-Triagem Mec'!$H$2,0)))))+IF('[5]C-Produção CDR-TM'!$E$7="SIM",'[5]C-Produção CDR-TM'!$E$33*'[5]C-Produção CDR-TM'!$H$2,IF('[5]C-Produção CDR-TM'!$I$7="SIM",'[5]C-Produção CDR-TM'!$I$33*'[5]C-Produção CDR-TM'!$H$2,IF('[5]C-Produção CDR-TM'!$M$7="SIM",'[5]C-Produção CDR-TM'!$M$33*'[5]C-Produção CDR-TM'!$H$2,IF('[5]C-Produção CDR-TM'!$Q$7="SIM",'[5]C-Produção CDR-TM'!$Q$33*'[5]C-Produção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CDR-TMB'!$Q$33*'[5]C-Produção CDR-TMB'!$H$2,IF('[5]C-Produção CDR-TMB'!$U$7="SIM",'[5]C-Produção CDR-TMB'!$U$33*'[5]C-Produção CDR-TMB'!$H$2,0)))))+IF('[5]C-Biodigestão'!$E$7="SIM",'[5]C-Biodigestão'!$E$36*'[5]C-Biodigestão'!$H$2,IF('[5]C-Biodigestão'!$I$7="SIM",'[5]C-Biodigestão'!$I$36*'[5]C-Biodigestão'!$H$2,IF('[5]C-Biodigestão'!$M$7="SIM",'[5]C-Biodigestão'!$M$36*'[5]C-Biodigestão'!$H$2,IF('[5]C-Biodigestão'!$Q$7="SIM",'[5]C-Biodigestão'!$Q$36*'[5]C-Biodigestão'!$H$2,IF('[5]C-Biodigestão'!$U$7="SIM",'[5]C-Biodigestão'!$U$36*'[5]C-Biodigestão'!$H$2,0)))))+IF('[5]C-Compostagem'!$E$7="SIM",'[5]C-Compostagem'!$E$33*'[5]C-Compostagem'!$H$2,IF('[5]C-Compostagem'!$I$7="SIM",'[5]C-Compostagem'!$I$33*'[5]C-Compostagem'!$H$2,IF('[5]C-Compostagem'!$M$7="SIM",'[5]C-Compostagem'!$M$33*'[5]C-Compostagem'!$H$2,IF('[5]C-Compostagem'!$Q$7="SIM",'[5]C-Compostagem'!$Q$33*'[5]C-Compostagem'!$H$2,IF('[5]C-Compostagem'!$U$7="SIM",'[5]C-Compostagem'!$U$33*'[5]C-Compostagem'!$H$2,0)))))+IF('[5]C-Incineração'!$E$7="SIM",'[5]C-Incineração'!$E$35*'[5]C-Incineração'!$H$2,IF('[5]C-Incineração'!$I$7="SIM",'[5]C-Incineração'!$I$35*'[5]C-Incineração'!$H$2,IF('[5]C-Incineração'!$M$7="SIM",'[5]C-Incineração'!$M$35*'[5]C-Incineração'!$H$2,IF('[5]C-Incineração'!$Q$7="SIM",'[5]C-Incineração'!$Q$35*'[5]C-Incineração'!$H$2,IF('[5]C-Incineração'!$U$7="SIM",'[5]C-Incineração'!$U$35*'[5]C-Incineração'!$H$2,0)))))))/1000</f>
        <v>3672.7063404246328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3">
      <c r="B109" s="73" t="s">
        <v>98</v>
      </c>
      <c r="C109" s="75">
        <f>'[5]R&amp;C-Painel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5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3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3">
      <c r="B112" s="245"/>
      <c r="C112" s="246">
        <f>'[5]R-Resumo Bal. Massa'!G51</f>
        <v>74.293102965787199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3">
      <c r="C113" s="174">
        <f>C112*312*$C$106/$C$104/1000</f>
        <v>25.130944028181275</v>
      </c>
      <c r="D113" s="78" t="s">
        <v>32</v>
      </c>
    </row>
    <row r="114" spans="2:8" ht="15" hidden="1" customHeight="1" outlineLevel="1" x14ac:dyDescent="0.3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3">
      <c r="B115" s="245"/>
      <c r="C115" s="246">
        <f>'[5]R-Resumo Bal. Massa'!G49</f>
        <v>18.710523000000002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3">
      <c r="B116" s="250"/>
      <c r="C116" s="174">
        <f>C115*312*$C$106/$C$104/1000</f>
        <v>6.3291622974414841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3">
      <c r="B117" s="81" t="s">
        <v>101</v>
      </c>
      <c r="C117" s="229"/>
    </row>
    <row r="118" spans="2:8" s="164" customFormat="1" ht="15" hidden="1" customHeight="1" outlineLevel="1" x14ac:dyDescent="0.3">
      <c r="B118" s="245"/>
      <c r="C118" s="246">
        <f>'[5]R-Resumo Bal. Massa'!G50</f>
        <v>8.6563740342128117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5">
      <c r="B119" s="253"/>
      <c r="C119" s="758">
        <f>C118*312*$C$106/$C$104/1000</f>
        <v>2.9281702157599319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5">
      <c r="C120" s="167"/>
    </row>
    <row r="121" spans="2:8" ht="15" hidden="1" customHeight="1" outlineLevel="1" thickTop="1" x14ac:dyDescent="0.3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3">
      <c r="B122" s="1235"/>
      <c r="C122" s="257">
        <f>'[5]R-Resumo Bal. Massa'!D64</f>
        <v>8.6563740342128117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3">
      <c r="B123" s="1253"/>
      <c r="C123" s="174">
        <f>C122*312*$C$106/$C$104/1000</f>
        <v>2.9281702157599319</v>
      </c>
      <c r="D123" s="78" t="s">
        <v>32</v>
      </c>
    </row>
    <row r="124" spans="2:8" ht="15" hidden="1" customHeight="1" outlineLevel="1" x14ac:dyDescent="0.3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3">
      <c r="B125" s="1235"/>
      <c r="C125" s="257">
        <f>'[5]R-Resumo Bal. Massa'!D73</f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3">
      <c r="B126" s="1253"/>
      <c r="C126" s="174">
        <f>C125*312*$C$106/$C$104/1000</f>
        <v>0</v>
      </c>
      <c r="D126" s="78" t="s">
        <v>32</v>
      </c>
    </row>
    <row r="127" spans="2:8" ht="15" hidden="1" customHeight="1" outlineLevel="1" x14ac:dyDescent="0.3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3">
      <c r="B128" s="1235"/>
      <c r="C128" s="257">
        <f>'[5]R-Resumo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3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3">
      <c r="B130" s="1234" t="s">
        <v>533</v>
      </c>
      <c r="C130" s="1126">
        <f>IF('[5]R-Definição'!E112&gt;0,'[5]R-Definição'!O111/'[5]R-Definição'!E112,0)</f>
        <v>634.06891385819074</v>
      </c>
      <c r="D130" s="164" t="s">
        <v>532</v>
      </c>
    </row>
    <row r="131" spans="2:8" ht="15" hidden="1" customHeight="1" outlineLevel="1" x14ac:dyDescent="0.3">
      <c r="B131" s="1235"/>
      <c r="C131" s="1127">
        <f>C130*C106</f>
        <v>69886.337038620579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3">
      <c r="B132" s="1253"/>
      <c r="C132" s="251">
        <f>C130*C105/1000</f>
        <v>21804.537156049621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3">
      <c r="B133" s="1234" t="s">
        <v>534</v>
      </c>
      <c r="C133" s="229">
        <f>IF(AND('[5]R-Definição'!O62&gt;0,'[5]R-Definição'!J65&gt;0),('[5]R-Definição'!O69/('[5]R-Definição'!O62*'[5]R-Definição'!J65/100)),0)</f>
        <v>0</v>
      </c>
      <c r="D133" s="164" t="s">
        <v>532</v>
      </c>
    </row>
    <row r="134" spans="2:8" ht="15" hidden="1" customHeight="1" outlineLevel="1" x14ac:dyDescent="0.3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3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3">
      <c r="B136" s="1234" t="s">
        <v>7</v>
      </c>
      <c r="C136" s="229">
        <f>IF(AND('[5]R-Definição'!O62&gt;0,'[5]R-Definição'!J64&gt;0),('[5]R-Definição'!O70/('[5]R-Definição'!O62*'[5]R-Definição'!J64/100)),0)</f>
        <v>0</v>
      </c>
      <c r="D136" s="74" t="s">
        <v>628</v>
      </c>
    </row>
    <row r="137" spans="2:8" ht="15" hidden="1" customHeight="1" outlineLevel="1" x14ac:dyDescent="0.3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3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5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3"/>
  </sheetData>
  <mergeCells count="13">
    <mergeCell ref="C2:H2"/>
    <mergeCell ref="B10:C11"/>
    <mergeCell ref="D10:H11"/>
    <mergeCell ref="B13:H13"/>
    <mergeCell ref="A15:A16"/>
    <mergeCell ref="B55:H55"/>
    <mergeCell ref="B136:B138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8671875" defaultRowHeight="14.4" outlineLevelRow="1" x14ac:dyDescent="0.3"/>
  <cols>
    <col min="1" max="1" width="2.6640625" style="98" customWidth="1"/>
    <col min="2" max="2" width="25.6640625" style="98" customWidth="1"/>
    <col min="3" max="3" width="23.33203125" style="98" customWidth="1"/>
    <col min="4" max="4" width="8.33203125" style="108" customWidth="1"/>
    <col min="5" max="5" width="1.6640625" style="98" customWidth="1"/>
    <col min="6" max="6" width="11.5546875" style="98" bestFit="1" customWidth="1"/>
    <col min="7" max="7" width="3.33203125" style="98" customWidth="1"/>
    <col min="8" max="8" width="10.109375" style="98" bestFit="1" customWidth="1"/>
    <col min="9" max="9" width="5.6640625" style="98" customWidth="1"/>
    <col min="10" max="10" width="8.88671875" style="98"/>
    <col min="11" max="11" width="3.33203125" style="98" customWidth="1"/>
    <col min="12" max="12" width="55.6640625" style="98" customWidth="1"/>
    <col min="13" max="13" width="9" style="98" bestFit="1" customWidth="1"/>
    <col min="14" max="14" width="3.33203125" style="98" customWidth="1"/>
    <col min="15" max="15" width="9" style="98" bestFit="1" customWidth="1"/>
    <col min="16" max="16" width="8.88671875" style="98"/>
    <col min="17" max="17" width="9" style="98" bestFit="1" customWidth="1"/>
    <col min="18" max="18" width="9.44140625" style="98" bestFit="1" customWidth="1"/>
    <col min="19" max="22" width="9" style="98" bestFit="1" customWidth="1"/>
    <col min="23" max="16384" width="8.88671875" style="98"/>
  </cols>
  <sheetData>
    <row r="1" spans="2:22" s="84" customFormat="1" ht="4.95" customHeight="1" x14ac:dyDescent="0.3">
      <c r="D1" s="78"/>
    </row>
    <row r="2" spans="2:22" s="84" customFormat="1" ht="15" thickBot="1" x14ac:dyDescent="0.35">
      <c r="D2" s="78"/>
      <c r="E2" s="78"/>
    </row>
    <row r="3" spans="2:22" s="85" customFormat="1" ht="30" customHeight="1" thickTop="1" thickBot="1" x14ac:dyDescent="0.35">
      <c r="B3" s="1261" t="s">
        <v>26</v>
      </c>
      <c r="C3" s="1261"/>
      <c r="D3" s="1261"/>
      <c r="E3" s="1261"/>
      <c r="F3" s="1261"/>
      <c r="G3" s="1261"/>
      <c r="H3" s="1261"/>
      <c r="L3" s="1262" t="s">
        <v>159</v>
      </c>
      <c r="M3" s="1263"/>
      <c r="N3" s="301"/>
      <c r="O3" s="1264" t="s">
        <v>169</v>
      </c>
      <c r="P3" s="1264"/>
      <c r="Q3" s="1264"/>
      <c r="R3" s="1264"/>
      <c r="S3" s="1264"/>
      <c r="T3" s="1264"/>
      <c r="U3" s="1264"/>
      <c r="V3" s="1264"/>
    </row>
    <row r="4" spans="2:22" s="84" customFormat="1" ht="4.95" customHeight="1" outlineLevel="1" thickTop="1" thickBot="1" x14ac:dyDescent="0.35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5">
      <c r="B5" s="1265" t="s">
        <v>106</v>
      </c>
      <c r="C5" s="1265"/>
      <c r="D5" s="86"/>
      <c r="E5" s="86"/>
      <c r="F5" s="1131"/>
      <c r="G5" s="86"/>
      <c r="H5" s="1131"/>
      <c r="L5" s="1266" t="s">
        <v>171</v>
      </c>
      <c r="M5" s="1267"/>
      <c r="N5"/>
      <c r="O5" s="1270" t="s">
        <v>158</v>
      </c>
      <c r="P5" s="1271"/>
      <c r="Q5" s="1271"/>
      <c r="R5" s="1271"/>
      <c r="S5" s="1271"/>
      <c r="T5" s="1271"/>
      <c r="U5" s="1271"/>
      <c r="V5" s="1272"/>
    </row>
    <row r="6" spans="2:22" s="90" customFormat="1" ht="15" customHeight="1" outlineLevel="1" thickTop="1" thickBot="1" x14ac:dyDescent="0.35">
      <c r="B6" s="1265"/>
      <c r="C6" s="1265"/>
      <c r="D6" s="87"/>
      <c r="E6" s="89"/>
      <c r="F6" s="1137" t="s">
        <v>10</v>
      </c>
      <c r="G6" s="89"/>
      <c r="H6" s="1137" t="s">
        <v>10</v>
      </c>
      <c r="L6" s="1268"/>
      <c r="M6" s="1269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3">
      <c r="D7" s="78"/>
      <c r="L7" s="1024" t="s">
        <v>492</v>
      </c>
      <c r="M7" s="293">
        <f>J51</f>
        <v>1516.9592597123251</v>
      </c>
      <c r="N7" s="272"/>
      <c r="O7" s="275">
        <f>M7</f>
        <v>1516.9592597123251</v>
      </c>
      <c r="P7" s="276"/>
      <c r="Q7" s="277">
        <f>M7</f>
        <v>1516.9592597123251</v>
      </c>
      <c r="R7" s="277"/>
      <c r="S7" s="277"/>
      <c r="T7" s="277"/>
      <c r="U7" s="277"/>
      <c r="V7" s="278">
        <f>Q7</f>
        <v>1516.9592597123251</v>
      </c>
    </row>
    <row r="8" spans="2:22" s="84" customFormat="1" ht="15" customHeight="1" outlineLevel="1" x14ac:dyDescent="0.3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RT´s'!I29+'RESUMO GERAL Valoriz. RT´s'!I30</f>
        <v>432.58</v>
      </c>
      <c r="N8" s="274"/>
      <c r="O8" s="279"/>
      <c r="P8" s="280"/>
      <c r="Q8" s="281">
        <f>Q7+M8</f>
        <v>1949.539259712325</v>
      </c>
      <c r="R8" s="281">
        <f>M7</f>
        <v>1516.9592597123251</v>
      </c>
      <c r="S8" s="281">
        <f>IF(R8&gt;=0,IF(M8&gt;=0,Q7,Q8),IF(M8&gt;=0,S7,Q8))</f>
        <v>1516.9592597123251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3">
      <c r="B9" s="1273" t="s">
        <v>107</v>
      </c>
      <c r="C9" s="84" t="s">
        <v>4</v>
      </c>
      <c r="D9" s="78" t="s">
        <v>33</v>
      </c>
      <c r="E9" s="97"/>
      <c r="F9" s="94">
        <f>'C-Dados RT5 Simplif.'!C108</f>
        <v>3672.7063404246328</v>
      </c>
      <c r="G9" s="94"/>
      <c r="H9" s="94">
        <f>'Demanda Preço &amp; Quantidade'!C42</f>
        <v>500</v>
      </c>
      <c r="L9" s="1025" t="s">
        <v>495</v>
      </c>
      <c r="M9" s="294">
        <f>'RESUMO GERAL Valoriz. RT´s'!I31</f>
        <v>0.71</v>
      </c>
      <c r="N9" s="274"/>
      <c r="O9" s="279"/>
      <c r="P9" s="280"/>
      <c r="Q9" s="281">
        <f>Q8+M9</f>
        <v>1950.2492597123251</v>
      </c>
      <c r="R9" s="281">
        <f>M8</f>
        <v>432.58</v>
      </c>
      <c r="S9" s="281">
        <f>IF(R9&gt;=0,IF(M9&gt;=0,Q8,Q9),IF(M9&gt;=0,S8,Q9))</f>
        <v>1949.539259712325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3">
      <c r="B10" s="1273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1950.2492597123251</v>
      </c>
      <c r="N10" s="272"/>
      <c r="O10" s="275">
        <f>M10</f>
        <v>1950.2492597123251</v>
      </c>
      <c r="P10" s="276"/>
      <c r="Q10" s="277">
        <f>M10</f>
        <v>1950.2492597123251</v>
      </c>
      <c r="R10" s="277"/>
      <c r="S10" s="277"/>
      <c r="T10" s="277"/>
      <c r="U10" s="277"/>
      <c r="V10" s="278">
        <f>Q10</f>
        <v>1950.2492597123251</v>
      </c>
    </row>
    <row r="11" spans="2:22" s="84" customFormat="1" ht="15" customHeight="1" outlineLevel="1" x14ac:dyDescent="0.3">
      <c r="B11" s="81"/>
      <c r="D11" s="78"/>
      <c r="E11" s="97"/>
      <c r="F11" s="101"/>
      <c r="G11" s="97"/>
      <c r="H11" s="97"/>
      <c r="L11" s="273" t="s">
        <v>172</v>
      </c>
      <c r="M11" s="294">
        <f>J33</f>
        <v>-25.283853935597026</v>
      </c>
      <c r="N11" s="274"/>
      <c r="O11" s="279"/>
      <c r="P11" s="280"/>
      <c r="Q11" s="281">
        <f>Q10+M11</f>
        <v>1924.9654057767279</v>
      </c>
      <c r="R11" s="281">
        <f t="shared" ref="R11:R22" si="0">M10</f>
        <v>1950.2492597123251</v>
      </c>
      <c r="S11" s="281">
        <f>IF(R11&gt;=0,IF(M11&gt;=0,Q10,Q11),IF(M11&gt;=0,S10,Q11))</f>
        <v>1924.9654057767279</v>
      </c>
      <c r="T11" s="281">
        <f>IF(M11&gt;=0,M11,0)</f>
        <v>0</v>
      </c>
      <c r="U11" s="281">
        <f t="shared" ref="U11:U22" si="1">IF(M11&lt;0,M11*-1,0)</f>
        <v>25.283853935597026</v>
      </c>
      <c r="V11" s="282">
        <f>SUM(T11:U11)</f>
        <v>25.283853935597026</v>
      </c>
    </row>
    <row r="12" spans="2:22" s="84" customFormat="1" ht="15" customHeight="1" outlineLevel="1" x14ac:dyDescent="0.3">
      <c r="B12" s="1273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1924.9654057767279</v>
      </c>
      <c r="R12" s="281">
        <f t="shared" si="0"/>
        <v>-25.283853935597026</v>
      </c>
      <c r="S12" s="281">
        <f>IF(R12&gt;=0,IF(M12&gt;=0,Q11,Q12),IF(M12&gt;=0,S11,Q12))</f>
        <v>1924.9654057767279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3">
      <c r="B13" s="1273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1924.9654057767279</v>
      </c>
      <c r="N13" s="272"/>
      <c r="O13" s="283">
        <f>M13</f>
        <v>1924.9654057767279</v>
      </c>
      <c r="P13" s="284"/>
      <c r="Q13" s="285">
        <f>Q12+M13-O13</f>
        <v>1924.9654057767279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1924.9654057767279</v>
      </c>
    </row>
    <row r="14" spans="2:22" s="84" customFormat="1" ht="15" customHeight="1" outlineLevel="1" x14ac:dyDescent="0.3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-226.63335615926886</v>
      </c>
      <c r="N14" s="274"/>
      <c r="O14" s="279"/>
      <c r="P14" s="280"/>
      <c r="Q14" s="281">
        <f>Q13+M14</f>
        <v>1698.332049617459</v>
      </c>
      <c r="R14" s="281">
        <f t="shared" si="0"/>
        <v>1924.9654057767279</v>
      </c>
      <c r="S14" s="281">
        <f>IF(R14&gt;=0,IF(M14&gt;=0,Q13,Q14),IF(M14&gt;=0,S13,Q14))</f>
        <v>1698.332049617459</v>
      </c>
      <c r="T14" s="281">
        <f>IF(M14&gt;=0,M14,0)</f>
        <v>0</v>
      </c>
      <c r="U14" s="281">
        <f t="shared" si="1"/>
        <v>226.63335615926886</v>
      </c>
      <c r="V14" s="282">
        <f>SUM(T14:U14)</f>
        <v>226.63335615926886</v>
      </c>
    </row>
    <row r="15" spans="2:22" s="84" customFormat="1" ht="15" customHeight="1" outlineLevel="1" x14ac:dyDescent="0.3">
      <c r="B15" s="1273" t="s">
        <v>109</v>
      </c>
      <c r="C15" s="84" t="s">
        <v>4</v>
      </c>
      <c r="D15" s="78" t="s">
        <v>33</v>
      </c>
      <c r="E15" s="103"/>
      <c r="F15" s="94">
        <f>IF((F9+F12)&lt;F21,F21-F12-F9,0)</f>
        <v>0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1698.332049617459</v>
      </c>
      <c r="R15" s="281">
        <f t="shared" si="0"/>
        <v>-226.63335615926886</v>
      </c>
      <c r="S15" s="281">
        <f>IF(R15&gt;=0,IF(M15&gt;=0,Q14,Q15),IF(M15&gt;=0,S14,Q15))</f>
        <v>1698.332049617459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3">
      <c r="B16" s="1273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1698.332049617459</v>
      </c>
      <c r="N16" s="272"/>
      <c r="O16" s="283">
        <f>M16</f>
        <v>1698.332049617459</v>
      </c>
      <c r="P16" s="284"/>
      <c r="Q16" s="285">
        <f>Q15+M16-O16</f>
        <v>1698.332049617459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1698.332049617459</v>
      </c>
    </row>
    <row r="17" spans="2:22" s="84" customFormat="1" ht="15" customHeight="1" outlineLevel="1" x14ac:dyDescent="0.3">
      <c r="B17" s="1273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1698.332049617459</v>
      </c>
      <c r="R17" s="281">
        <f t="shared" si="0"/>
        <v>1698.332049617459</v>
      </c>
      <c r="S17" s="281">
        <f>IF(R17&gt;=0,IF(M17&gt;=0,Q16,Q17),IF(M17&gt;=0,S16,Q17))</f>
        <v>1698.332049617459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3">
      <c r="B18" s="1273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1698.332049617459</v>
      </c>
      <c r="R18" s="281">
        <f t="shared" si="0"/>
        <v>0</v>
      </c>
      <c r="S18" s="281">
        <f>IF(R18&gt;=0,IF(M18&gt;=0,Q17,Q18),IF(M18&gt;=0,S17,Q18))</f>
        <v>1698.332049617459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3">
      <c r="B19" s="1132"/>
      <c r="C19" s="376" t="s">
        <v>102</v>
      </c>
      <c r="D19" s="78" t="s">
        <v>32</v>
      </c>
      <c r="E19" s="103"/>
      <c r="F19" s="99">
        <f>F25</f>
        <v>2.9281702157599323</v>
      </c>
      <c r="G19" s="103"/>
      <c r="H19" s="94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1591.7462460535971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1698.332049617459</v>
      </c>
      <c r="R19" s="281">
        <f t="shared" si="0"/>
        <v>0</v>
      </c>
      <c r="S19" s="281">
        <f>IF(R19&gt;=0,IF(M19&gt;=0,Q18,Q19),IF(M19&gt;=0,S18,Q19))</f>
        <v>1698.332049617459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3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1698.332049617459</v>
      </c>
      <c r="R20" s="281">
        <f t="shared" si="0"/>
        <v>0</v>
      </c>
      <c r="S20" s="281">
        <f>IF(R20&gt;=0,IF(M20&gt;=0,Q19,Q20),IF(M20&gt;=0,S19,Q20))</f>
        <v>1698.332049617459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3">
      <c r="B21" s="1273" t="s">
        <v>110</v>
      </c>
      <c r="C21" s="91" t="s">
        <v>37</v>
      </c>
      <c r="D21" s="78" t="s">
        <v>33</v>
      </c>
      <c r="F21" s="94">
        <f>'C-Dados RT5 Simplif.'!C105*'C-Dados RT5 Simplif.'!C130/1000</f>
        <v>21804.537156049621</v>
      </c>
      <c r="H21" s="106"/>
      <c r="L21" s="273" t="s">
        <v>180</v>
      </c>
      <c r="M21" s="294">
        <f>J43*C53</f>
        <v>-123.00035822944253</v>
      </c>
      <c r="N21" s="274"/>
      <c r="O21" s="279"/>
      <c r="P21" s="280"/>
      <c r="Q21" s="281">
        <f>Q20+M21</f>
        <v>1575.3316913880165</v>
      </c>
      <c r="R21" s="281">
        <f t="shared" si="0"/>
        <v>0</v>
      </c>
      <c r="S21" s="281">
        <f>IF(R21&gt;=0,IF(M21&gt;=0,Q20,Q21),IF(M21&gt;=0,S20,Q21))</f>
        <v>1575.3316913880165</v>
      </c>
      <c r="T21" s="281">
        <f>IF(M21&gt;=0,M21,0)</f>
        <v>0</v>
      </c>
      <c r="U21" s="281">
        <f t="shared" si="1"/>
        <v>123.00035822944253</v>
      </c>
      <c r="V21" s="282">
        <f>SUM(T21:U21)</f>
        <v>123.00035822944253</v>
      </c>
    </row>
    <row r="22" spans="2:22" ht="15" customHeight="1" outlineLevel="1" thickBot="1" x14ac:dyDescent="0.35">
      <c r="B22" s="1273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1575.3316913880165</v>
      </c>
      <c r="N22" s="272"/>
      <c r="O22" s="289">
        <f>M22</f>
        <v>1575.3316913880165</v>
      </c>
      <c r="P22" s="290"/>
      <c r="Q22" s="291">
        <f>Q21+M22-O22</f>
        <v>1575.3316913880165</v>
      </c>
      <c r="R22" s="291">
        <f t="shared" si="0"/>
        <v>-123.00035822944253</v>
      </c>
      <c r="S22" s="291">
        <v>0</v>
      </c>
      <c r="T22" s="291">
        <v>0</v>
      </c>
      <c r="U22" s="291">
        <f t="shared" si="1"/>
        <v>0</v>
      </c>
      <c r="V22" s="292">
        <f>Q22</f>
        <v>1575.3316913880165</v>
      </c>
    </row>
    <row r="23" spans="2:22" ht="15" customHeight="1" outlineLevel="1" thickTop="1" x14ac:dyDescent="0.3">
      <c r="B23" s="1273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3">
      <c r="B24" s="1273"/>
      <c r="C24" s="91" t="s">
        <v>111</v>
      </c>
      <c r="D24" s="78" t="s">
        <v>32</v>
      </c>
      <c r="F24" s="426">
        <v>0</v>
      </c>
      <c r="H24" s="106"/>
    </row>
    <row r="25" spans="2:22" ht="15.6" outlineLevel="1" x14ac:dyDescent="0.3">
      <c r="B25" s="1132"/>
      <c r="C25" s="91" t="s">
        <v>102</v>
      </c>
      <c r="D25" s="78" t="s">
        <v>32</v>
      </c>
      <c r="F25" s="99">
        <f>('C-Dados RT5 Simplif.'!C62+'C-Dados RT5 Simplif.'!C63+'C-Dados RT5 Simplif.'!C64+'C-Dados RT5 Simplif.'!C65+'C-Dados RT5 Simplif.'!C66+'C-Dados RT5 Simplif.'!C67)/1000</f>
        <v>2.9281702157599323</v>
      </c>
    </row>
    <row r="26" spans="2:22" outlineLevel="1" x14ac:dyDescent="0.3"/>
    <row r="27" spans="2:22" x14ac:dyDescent="0.3">
      <c r="F27" s="109"/>
    </row>
    <row r="28" spans="2:22" s="84" customFormat="1" ht="40.200000000000003" customHeight="1" collapsed="1" x14ac:dyDescent="0.3">
      <c r="B28" s="1274" t="s">
        <v>112</v>
      </c>
      <c r="C28" s="1274"/>
      <c r="D28" s="1274"/>
      <c r="E28" s="1274"/>
      <c r="F28" s="1274"/>
      <c r="G28" s="1274"/>
      <c r="H28" s="1274"/>
      <c r="I28" s="1274"/>
      <c r="J28" s="1274"/>
      <c r="K28" s="98"/>
    </row>
    <row r="29" spans="2:22" s="84" customFormat="1" ht="4.95" hidden="1" customHeight="1" outlineLevel="1" x14ac:dyDescent="0.3">
      <c r="D29" s="78"/>
    </row>
    <row r="30" spans="2:22" s="111" customFormat="1" ht="18" hidden="1" outlineLevel="1" x14ac:dyDescent="0.35">
      <c r="B30" s="1260" t="s">
        <v>30</v>
      </c>
      <c r="C30" s="1260"/>
      <c r="D30" s="110"/>
      <c r="F30" s="355"/>
      <c r="H30" s="355"/>
      <c r="J30" s="355"/>
    </row>
    <row r="31" spans="2:22" s="110" customFormat="1" ht="15.6" hidden="1" outlineLevel="1" x14ac:dyDescent="0.3">
      <c r="B31" s="1260"/>
      <c r="C31" s="1260"/>
      <c r="F31" s="112" t="s">
        <v>10</v>
      </c>
      <c r="H31" s="112" t="s">
        <v>10</v>
      </c>
      <c r="J31" s="112" t="s">
        <v>10</v>
      </c>
    </row>
    <row r="32" spans="2:22" ht="4.95" hidden="1" customHeight="1" outlineLevel="1" x14ac:dyDescent="0.3"/>
    <row r="33" spans="2:11" hidden="1" outlineLevel="1" x14ac:dyDescent="0.3">
      <c r="B33" s="1255" t="s">
        <v>27</v>
      </c>
      <c r="C33" s="98" t="s">
        <v>4</v>
      </c>
      <c r="D33" s="113" t="s">
        <v>33</v>
      </c>
      <c r="E33" s="103"/>
      <c r="F33" s="114">
        <f>'C-Dados RT5 Simplif.'!C108</f>
        <v>3672.7063404246328</v>
      </c>
      <c r="G33" s="103"/>
      <c r="H33" s="104">
        <f>H9</f>
        <v>500</v>
      </c>
      <c r="I33" s="115"/>
      <c r="J33" s="116">
        <f>-'RT5)Custos Valoriz E.Elétrica'!C20</f>
        <v>-25.283853935597026</v>
      </c>
      <c r="K33" s="115"/>
    </row>
    <row r="34" spans="2:11" hidden="1" outlineLevel="1" x14ac:dyDescent="0.3">
      <c r="B34" s="1255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RT5 Simplif.'!$C$93)/'C-Dados RT5 Simplif.'!$C$105</f>
        <v>0</v>
      </c>
      <c r="K34" s="115"/>
    </row>
    <row r="35" spans="2:11" ht="4.95" hidden="1" customHeight="1" outlineLevel="1" x14ac:dyDescent="0.3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3">
      <c r="B36" s="1255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-'RT5)Custos Valoriz E.Elétrica'!C25</f>
        <v>-226.63335615926886</v>
      </c>
      <c r="K36" s="115"/>
    </row>
    <row r="37" spans="2:11" hidden="1" outlineLevel="1" x14ac:dyDescent="0.3">
      <c r="B37" s="1255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RT5 Simplif.'!$C$93)/'C-Dados RT5 Simplif.'!$C$105</f>
        <v>0</v>
      </c>
      <c r="K37" s="115"/>
    </row>
    <row r="38" spans="2:11" ht="4.95" hidden="1" customHeight="1" outlineLevel="1" x14ac:dyDescent="0.3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3">
      <c r="B39" s="1255" t="s">
        <v>29</v>
      </c>
      <c r="C39" s="98" t="s">
        <v>4</v>
      </c>
      <c r="D39" s="113" t="s">
        <v>33</v>
      </c>
      <c r="E39" s="103"/>
      <c r="F39" s="269">
        <f>F15</f>
        <v>0</v>
      </c>
      <c r="G39" s="103"/>
      <c r="H39" s="104">
        <f>H15</f>
        <v>549.4</v>
      </c>
      <c r="I39" s="115"/>
      <c r="J39" s="116">
        <f>-'RT5)Custos Valoriz E.Elétrica'!C30</f>
        <v>0</v>
      </c>
      <c r="K39" s="115"/>
    </row>
    <row r="40" spans="2:11" hidden="1" outlineLevel="1" x14ac:dyDescent="0.3">
      <c r="B40" s="1255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RT5 Simplif.'!$C$93)/'C-Dados RT5 Simplif.'!$C$105</f>
        <v>0</v>
      </c>
      <c r="K40" s="115"/>
    </row>
    <row r="41" spans="2:11" hidden="1" outlineLevel="1" x14ac:dyDescent="0.3">
      <c r="B41" s="1255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RT5 Simplif.'!$C$93)/'C-Dados RT5 Simplif.'!$C$105</f>
        <v>0</v>
      </c>
      <c r="K41" s="115"/>
    </row>
    <row r="42" spans="2:11" hidden="1" outlineLevel="1" x14ac:dyDescent="0.3">
      <c r="B42" s="1255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RT5 Simplif.'!$C$93)/'C-Dados RT5 Simplif.'!$C$105</f>
        <v>0</v>
      </c>
      <c r="K42" s="115"/>
    </row>
    <row r="43" spans="2:11" ht="21" hidden="1" outlineLevel="1" x14ac:dyDescent="0.3">
      <c r="B43" s="1130"/>
      <c r="C43" s="98" t="s">
        <v>102</v>
      </c>
      <c r="D43" s="117" t="s">
        <v>32</v>
      </c>
      <c r="E43" s="103"/>
      <c r="F43" s="118">
        <f t="shared" si="2"/>
        <v>2.9281702157599323</v>
      </c>
      <c r="G43" s="103"/>
      <c r="H43" s="104">
        <f>H19</f>
        <v>1591.7462460535971</v>
      </c>
      <c r="I43" s="115"/>
      <c r="J43" s="116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-123.00035822944253</v>
      </c>
      <c r="K43" s="115"/>
    </row>
    <row r="44" spans="2:11" ht="15" hidden="1" customHeight="1" outlineLevel="1" x14ac:dyDescent="0.3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3"/>
    <row r="46" spans="2:11" s="111" customFormat="1" ht="15.6" customHeight="1" x14ac:dyDescent="0.3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3">
      <c r="B47" s="632"/>
      <c r="C47" s="633"/>
      <c r="D47" s="633"/>
      <c r="E47" s="633"/>
      <c r="F47" s="633"/>
      <c r="G47" s="633"/>
      <c r="H47" s="633"/>
      <c r="I47" s="86"/>
      <c r="J47" s="1137" t="s">
        <v>10</v>
      </c>
      <c r="K47" s="86"/>
    </row>
    <row r="48" spans="2:11" ht="12.45" customHeight="1" x14ac:dyDescent="0.3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2" customHeight="1" x14ac:dyDescent="0.3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-374.91756832430838</v>
      </c>
      <c r="K49" s="86"/>
    </row>
    <row r="50" spans="2:11" ht="4.95" customHeight="1" x14ac:dyDescent="0.3">
      <c r="B50" s="85"/>
      <c r="C50" s="85"/>
      <c r="E50" s="85"/>
      <c r="F50" s="85"/>
      <c r="H50" s="85"/>
      <c r="I50" s="126"/>
      <c r="J50" s="128"/>
      <c r="K50" s="86"/>
    </row>
    <row r="51" spans="2:11" ht="25.2" customHeight="1" x14ac:dyDescent="0.3">
      <c r="B51" s="419" t="s">
        <v>115</v>
      </c>
      <c r="C51" s="420"/>
      <c r="E51" s="127"/>
      <c r="F51" s="85"/>
      <c r="H51" s="420"/>
      <c r="I51" s="129"/>
      <c r="J51" s="351">
        <f>'C-Dados RT5 Simplif.'!C6+(-J33)</f>
        <v>1516.9592597123251</v>
      </c>
      <c r="K51" s="416"/>
    </row>
    <row r="52" spans="2:11" ht="4.95" customHeight="1" x14ac:dyDescent="0.3">
      <c r="B52" s="85"/>
      <c r="C52" s="85"/>
      <c r="E52" s="85"/>
      <c r="F52" s="85"/>
      <c r="H52" s="85"/>
      <c r="I52" s="126"/>
      <c r="J52" s="131"/>
      <c r="K52" s="132"/>
    </row>
    <row r="53" spans="2:11" ht="25.2" customHeight="1" x14ac:dyDescent="0.3">
      <c r="B53" s="421" t="s">
        <v>116</v>
      </c>
      <c r="C53" s="656">
        <f>'Demanda Preço &amp; Quantidade'!D10</f>
        <v>1</v>
      </c>
      <c r="E53" s="127"/>
      <c r="F53" s="85"/>
      <c r="H53" s="423"/>
      <c r="I53" s="126"/>
      <c r="J53" s="1254"/>
      <c r="K53" s="1254"/>
    </row>
    <row r="54" spans="2:11" ht="4.95" customHeight="1" x14ac:dyDescent="0.3">
      <c r="B54" s="85"/>
      <c r="C54" s="85"/>
      <c r="E54" s="85"/>
      <c r="F54" s="85"/>
      <c r="H54" s="130"/>
      <c r="I54" s="133"/>
      <c r="J54" s="134"/>
      <c r="K54" s="135"/>
    </row>
    <row r="55" spans="2:11" ht="25.2" customHeight="1" x14ac:dyDescent="0.3">
      <c r="B55" s="424" t="s">
        <v>117</v>
      </c>
      <c r="C55" s="425"/>
      <c r="E55" s="127"/>
      <c r="F55" s="85"/>
      <c r="H55" s="425"/>
      <c r="I55" s="86"/>
      <c r="J55" s="136">
        <f>$J$51+J49</f>
        <v>1142.0416913880167</v>
      </c>
      <c r="K55" s="137"/>
    </row>
    <row r="56" spans="2:11" ht="12.45" customHeight="1" x14ac:dyDescent="0.3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" x14ac:dyDescent="0.35">
      <c r="E57" s="140"/>
      <c r="G57" s="140"/>
      <c r="H57" s="140"/>
      <c r="I57" s="140"/>
      <c r="J57" s="140"/>
      <c r="K57" s="140"/>
    </row>
    <row r="58" spans="2:11" customFormat="1" x14ac:dyDescent="0.3">
      <c r="B58" s="98"/>
      <c r="C58" s="98"/>
      <c r="D58" s="108"/>
      <c r="E58" s="98"/>
      <c r="F58" s="98"/>
      <c r="G58" s="98"/>
      <c r="H58" s="98"/>
      <c r="I58" s="98"/>
    </row>
    <row r="59" spans="2:11" customFormat="1" ht="55.2" customHeight="1" x14ac:dyDescent="0.3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6" x14ac:dyDescent="0.3"/>
    <row r="61" spans="2:11" customFormat="1" x14ac:dyDescent="0.3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3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6" x14ac:dyDescent="0.3"/>
    <row r="64" spans="2:11" customFormat="1" x14ac:dyDescent="0.3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3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6" x14ac:dyDescent="0.3"/>
    <row r="67" spans="2:9" s="270" customFormat="1" x14ac:dyDescent="0.3"/>
    <row r="68" spans="2:9" s="270" customFormat="1" x14ac:dyDescent="0.3"/>
    <row r="69" spans="2:9" s="270" customFormat="1" x14ac:dyDescent="0.3"/>
    <row r="70" spans="2:9" s="270" customFormat="1" x14ac:dyDescent="0.3"/>
    <row r="71" spans="2:9" s="270" customFormat="1" x14ac:dyDescent="0.3"/>
    <row r="72" spans="2:9" s="271" customFormat="1" ht="15.6" x14ac:dyDescent="0.3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E428-FD87-43F7-90DE-C3BE79F43F3D}">
  <sheetPr codeName="Planilha44">
    <tabColor theme="9" tint="0.59999389629810485"/>
    <outlinePr summaryBelow="0" summaryRight="0"/>
  </sheetPr>
  <dimension ref="A1:AB103"/>
  <sheetViews>
    <sheetView zoomScale="60" zoomScaleNormal="60" workbookViewId="0">
      <selection activeCell="D7" sqref="D7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135"/>
      <c r="B2" s="1288" t="s">
        <v>616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135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135"/>
      <c r="B4" s="1135"/>
      <c r="C4" s="777"/>
      <c r="D4" s="1135"/>
      <c r="E4" s="1135"/>
      <c r="F4" s="1135"/>
      <c r="G4" s="1135"/>
      <c r="H4" s="777"/>
      <c r="I4" s="1135"/>
      <c r="J4" s="777"/>
      <c r="K4" s="777"/>
      <c r="L4" s="777"/>
      <c r="M4" s="777"/>
      <c r="N4" s="1135"/>
      <c r="O4" s="1135"/>
      <c r="P4" s="1135"/>
      <c r="Q4" s="1135"/>
      <c r="R4" s="1135"/>
      <c r="S4" s="1135"/>
      <c r="T4" s="1135"/>
      <c r="U4" s="1135"/>
      <c r="V4" s="1135"/>
      <c r="W4" s="777"/>
      <c r="X4" s="1135"/>
      <c r="Y4" s="777"/>
      <c r="Z4" s="1135"/>
      <c r="AA4" s="1135"/>
      <c r="AB4" s="773"/>
    </row>
    <row r="5" spans="1:28" s="774" customFormat="1" ht="19.95" customHeight="1" thickTop="1" x14ac:dyDescent="0.3">
      <c r="A5" s="1135"/>
      <c r="B5" s="778" t="s">
        <v>370</v>
      </c>
      <c r="C5" s="779" t="s">
        <v>371</v>
      </c>
      <c r="D5" s="780" t="s">
        <v>372</v>
      </c>
      <c r="E5" s="1135"/>
      <c r="F5" s="781" t="s">
        <v>373</v>
      </c>
      <c r="G5" s="779" t="s">
        <v>374</v>
      </c>
      <c r="H5" s="780" t="s">
        <v>375</v>
      </c>
      <c r="I5" s="1135"/>
      <c r="J5" s="1290" t="s">
        <v>376</v>
      </c>
      <c r="K5" s="1292" t="s">
        <v>377</v>
      </c>
      <c r="L5" s="1135"/>
      <c r="M5" s="777"/>
      <c r="N5" s="1135"/>
      <c r="O5" s="1294" t="s">
        <v>378</v>
      </c>
      <c r="P5" s="1135"/>
      <c r="Q5" s="1294" t="s">
        <v>379</v>
      </c>
      <c r="R5" s="1135"/>
      <c r="S5" s="1294" t="s">
        <v>380</v>
      </c>
      <c r="T5" s="1135"/>
      <c r="U5" s="1294" t="s">
        <v>381</v>
      </c>
      <c r="V5" s="1135"/>
      <c r="W5" s="1294" t="s">
        <v>382</v>
      </c>
      <c r="X5" s="1135"/>
      <c r="Y5" s="1294" t="s">
        <v>383</v>
      </c>
      <c r="Z5" s="1135"/>
      <c r="AA5" s="1135"/>
      <c r="AB5" s="773"/>
    </row>
    <row r="6" spans="1:28" s="774" customFormat="1" ht="19.95" customHeight="1" outlineLevel="1" x14ac:dyDescent="0.3">
      <c r="A6" s="1135"/>
      <c r="B6" s="782" t="s">
        <v>384</v>
      </c>
      <c r="C6" s="783" t="s">
        <v>385</v>
      </c>
      <c r="D6" s="784">
        <f>D7*D8/1000000</f>
        <v>54.172941847855235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135"/>
      <c r="J6" s="1291"/>
      <c r="K6" s="1293"/>
      <c r="L6" s="1135"/>
      <c r="M6" s="789"/>
      <c r="N6" s="790"/>
      <c r="O6" s="1295"/>
      <c r="P6" s="1135"/>
      <c r="Q6" s="1295"/>
      <c r="R6" s="1135"/>
      <c r="S6" s="1295"/>
      <c r="T6" s="1135"/>
      <c r="U6" s="1295"/>
      <c r="V6" s="1135"/>
      <c r="W6" s="1295"/>
      <c r="X6" s="1135"/>
      <c r="Y6" s="1295"/>
      <c r="Z6" s="1135"/>
      <c r="AA6" s="1135"/>
      <c r="AB6" s="773"/>
    </row>
    <row r="7" spans="1:28" s="774" customFormat="1" ht="19.95" customHeight="1" outlineLevel="1" x14ac:dyDescent="0.3">
      <c r="A7" s="1135"/>
      <c r="B7" s="786" t="s">
        <v>387</v>
      </c>
      <c r="C7" s="791" t="s">
        <v>8</v>
      </c>
      <c r="D7" s="792">
        <f>'5)Incineração - E Elétrica'!M22</f>
        <v>1575.3316913880165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135"/>
      <c r="J7" s="1275">
        <f>126090+43698</f>
        <v>169788</v>
      </c>
      <c r="K7" s="1277">
        <v>0.25</v>
      </c>
      <c r="L7" s="1135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135"/>
      <c r="AB7" s="773"/>
    </row>
    <row r="8" spans="1:28" s="774" customFormat="1" ht="19.95" customHeight="1" outlineLevel="1" thickBot="1" x14ac:dyDescent="0.35">
      <c r="A8" s="1135"/>
      <c r="B8" s="786" t="s">
        <v>391</v>
      </c>
      <c r="C8" s="791" t="s">
        <v>5</v>
      </c>
      <c r="D8" s="792">
        <f>'C-Dados RT5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135"/>
      <c r="J8" s="1276"/>
      <c r="K8" s="1278"/>
      <c r="L8" s="1135"/>
      <c r="M8" s="789"/>
      <c r="N8" s="790"/>
      <c r="O8" s="796">
        <f>(O12-O10)/O10</f>
        <v>0</v>
      </c>
      <c r="P8" s="790"/>
      <c r="Q8" s="796">
        <f>(Q12-Q10)/Q10</f>
        <v>5.9292925928745438E-3</v>
      </c>
      <c r="R8" s="790"/>
      <c r="S8" s="796">
        <f>(S12-S10)/S10</f>
        <v>1.5233061901367591E-2</v>
      </c>
      <c r="T8" s="1135"/>
      <c r="U8" s="796">
        <f>(U12-U10)/U10</f>
        <v>1.5233061901367686E-2</v>
      </c>
      <c r="V8" s="1135"/>
      <c r="W8" s="796">
        <f>(W12-W10)/W10</f>
        <v>1.5233061901367686E-2</v>
      </c>
      <c r="X8" s="1135"/>
      <c r="Y8" s="797" t="s">
        <v>393</v>
      </c>
      <c r="Z8" s="1135"/>
      <c r="AA8" s="1135"/>
      <c r="AB8" s="773"/>
    </row>
    <row r="9" spans="1:28" s="774" customFormat="1" ht="19.95" customHeight="1" outlineLevel="1" thickTop="1" x14ac:dyDescent="0.3">
      <c r="A9" s="1135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135"/>
      <c r="J9" s="1135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135"/>
      <c r="W9" s="799" t="s">
        <v>397</v>
      </c>
      <c r="X9" s="1135"/>
      <c r="Y9" s="799" t="s">
        <v>397</v>
      </c>
      <c r="Z9" s="1135"/>
      <c r="AA9" s="1135"/>
      <c r="AB9" s="773"/>
    </row>
    <row r="10" spans="1:28" s="774" customFormat="1" ht="19.95" customHeight="1" outlineLevel="1" x14ac:dyDescent="0.3">
      <c r="A10" s="1135"/>
      <c r="B10" s="801" t="s">
        <v>398</v>
      </c>
      <c r="C10" s="791" t="s">
        <v>399</v>
      </c>
      <c r="D10" s="792">
        <f>D9*30*12*'C-Dados RT5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135"/>
      <c r="J10" s="1135"/>
      <c r="K10" s="789"/>
      <c r="L10" s="789"/>
      <c r="M10" s="789"/>
      <c r="N10" s="790"/>
      <c r="O10" s="802">
        <f>G11</f>
        <v>171589</v>
      </c>
      <c r="P10" s="790"/>
      <c r="Q10" s="803">
        <f>D25</f>
        <v>58.88666495039174</v>
      </c>
      <c r="R10" s="790"/>
      <c r="S10" s="802">
        <f>D8</f>
        <v>34388.276541382686</v>
      </c>
      <c r="T10" s="1135"/>
      <c r="U10" s="802">
        <f>D10*(1+D24)</f>
        <v>6158352.8159999996</v>
      </c>
      <c r="V10" s="1135"/>
      <c r="W10" s="802">
        <f>D10*(1+D24)</f>
        <v>6158352.8159999996</v>
      </c>
      <c r="X10" s="1135"/>
      <c r="Y10" s="804">
        <f>Y7</f>
        <v>0.05</v>
      </c>
      <c r="Z10" s="1135"/>
      <c r="AA10" s="1135"/>
      <c r="AB10" s="773"/>
    </row>
    <row r="11" spans="1:28" s="774" customFormat="1" ht="19.95" customHeight="1" outlineLevel="1" thickBot="1" x14ac:dyDescent="0.35">
      <c r="A11" s="1135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135"/>
      <c r="J11" s="1135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135"/>
      <c r="U11" s="810" t="s">
        <v>405</v>
      </c>
      <c r="V11" s="1135"/>
      <c r="W11" s="810" t="s">
        <v>405</v>
      </c>
      <c r="X11" s="1135"/>
      <c r="Y11" s="810" t="s">
        <v>405</v>
      </c>
      <c r="Z11" s="1135"/>
      <c r="AA11" s="1135"/>
      <c r="AB11" s="773"/>
    </row>
    <row r="12" spans="1:28" s="774" customFormat="1" ht="19.95" customHeight="1" outlineLevel="1" thickTop="1" thickBot="1" x14ac:dyDescent="0.35">
      <c r="A12" s="1135"/>
      <c r="B12" s="811" t="s">
        <v>406</v>
      </c>
      <c r="C12" s="812" t="s">
        <v>407</v>
      </c>
      <c r="D12" s="813">
        <f>D7/D11</f>
        <v>8.7966609686779655</v>
      </c>
      <c r="E12" s="1135"/>
      <c r="F12" s="1135"/>
      <c r="G12" s="1135"/>
      <c r="H12" s="777"/>
      <c r="I12" s="1135"/>
      <c r="J12" s="777"/>
      <c r="K12" s="777"/>
      <c r="L12" s="777"/>
      <c r="M12" s="777"/>
      <c r="N12" s="1135"/>
      <c r="O12" s="802">
        <f>O33</f>
        <v>171589</v>
      </c>
      <c r="P12" s="790"/>
      <c r="Q12" s="803">
        <f>Q33</f>
        <v>59.235821216701183</v>
      </c>
      <c r="R12" s="790"/>
      <c r="S12" s="802">
        <f>S33</f>
        <v>34912.115286618915</v>
      </c>
      <c r="T12" s="1135"/>
      <c r="U12" s="802">
        <f>U33</f>
        <v>6252163.3856565896</v>
      </c>
      <c r="V12" s="1135"/>
      <c r="W12" s="802">
        <f>W33</f>
        <v>6252163.3856565896</v>
      </c>
      <c r="X12" s="1135"/>
      <c r="Y12" s="814">
        <f>1-((AA39+AA41+AA42+AA43+AA44+AA45+AA52+AA54+AA55+AA56+AA57+AA58+AA65+AA67+AA68+AA69+AA70+AA71+AA78+AA80+AA81+AA82+AA83+AA84+AA91+AA93+AA94+AA95+AA96)/29)</f>
        <v>0.48275862068965514</v>
      </c>
      <c r="Z12" s="1135"/>
      <c r="AA12" s="1135"/>
      <c r="AB12" s="773"/>
    </row>
    <row r="13" spans="1:28" s="774" customFormat="1" ht="10.199999999999999" customHeight="1" outlineLevel="1" thickTop="1" thickBot="1" x14ac:dyDescent="0.35">
      <c r="A13" s="1135"/>
      <c r="B13" s="1135"/>
      <c r="C13" s="777"/>
      <c r="D13" s="1135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135"/>
      <c r="AB13" s="773"/>
    </row>
    <row r="14" spans="1:28" s="774" customFormat="1" ht="19.95" customHeight="1" outlineLevel="1" thickTop="1" x14ac:dyDescent="0.3">
      <c r="A14" s="1135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135"/>
      <c r="J14" s="1135"/>
      <c r="K14" s="789"/>
      <c r="L14" s="789"/>
      <c r="M14" s="789"/>
      <c r="N14" s="790"/>
      <c r="O14" s="816"/>
      <c r="P14" s="790"/>
      <c r="Q14" s="823"/>
      <c r="R14" s="790"/>
      <c r="S14" s="816"/>
      <c r="T14" s="1135"/>
      <c r="U14" s="816"/>
      <c r="V14" s="1135"/>
      <c r="W14" s="777"/>
      <c r="X14" s="1135"/>
      <c r="Y14" s="777"/>
      <c r="Z14" s="1135"/>
      <c r="AA14" s="1135"/>
      <c r="AB14" s="773"/>
    </row>
    <row r="15" spans="1:28" s="774" customFormat="1" ht="19.95" customHeight="1" outlineLevel="1" x14ac:dyDescent="0.3">
      <c r="A15" s="1135"/>
      <c r="B15" s="824" t="s">
        <v>410</v>
      </c>
      <c r="C15" s="783" t="s">
        <v>1</v>
      </c>
      <c r="D15" s="825">
        <v>1</v>
      </c>
      <c r="E15" s="1135"/>
      <c r="F15" s="1279" t="s">
        <v>411</v>
      </c>
      <c r="G15" s="1281" t="s">
        <v>1</v>
      </c>
      <c r="H15" s="1283">
        <v>0.5</v>
      </c>
      <c r="I15" s="1135"/>
      <c r="J15" s="826"/>
      <c r="K15" s="789"/>
      <c r="L15" s="789"/>
      <c r="M15" s="789"/>
      <c r="N15" s="790"/>
      <c r="O15" s="790"/>
      <c r="P15" s="790"/>
      <c r="R15" s="790"/>
      <c r="S15" s="1135"/>
      <c r="T15" s="1135"/>
      <c r="U15" s="789"/>
      <c r="V15" s="1135"/>
      <c r="W15" s="777"/>
      <c r="X15" s="1135"/>
      <c r="Y15" s="777"/>
      <c r="Z15" s="1135"/>
      <c r="AA15" s="1135"/>
      <c r="AB15" s="773"/>
    </row>
    <row r="16" spans="1:28" s="774" customFormat="1" ht="19.95" customHeight="1" outlineLevel="1" thickBot="1" x14ac:dyDescent="0.35">
      <c r="A16" s="1135"/>
      <c r="B16" s="827" t="s">
        <v>412</v>
      </c>
      <c r="C16" s="791" t="s">
        <v>385</v>
      </c>
      <c r="D16" s="828">
        <f>D10*D12*(1-D15)/1000000</f>
        <v>0</v>
      </c>
      <c r="E16" s="1135"/>
      <c r="F16" s="1280"/>
      <c r="G16" s="1282"/>
      <c r="H16" s="1284"/>
      <c r="I16" s="1135"/>
      <c r="J16" s="829"/>
      <c r="K16" s="777"/>
      <c r="L16" s="777"/>
      <c r="M16" s="777"/>
      <c r="N16" s="1135"/>
      <c r="O16" s="1135"/>
      <c r="P16" s="1135"/>
      <c r="Q16" s="1135"/>
      <c r="R16" s="1135"/>
      <c r="S16" s="1135"/>
      <c r="T16" s="1135"/>
      <c r="U16" s="789"/>
      <c r="V16" s="1135"/>
      <c r="W16" s="777"/>
      <c r="X16" s="1135"/>
      <c r="Y16" s="777"/>
      <c r="Z16" s="1135"/>
      <c r="AA16" s="1135"/>
      <c r="AB16" s="773"/>
    </row>
    <row r="17" spans="1:28" s="774" customFormat="1" ht="19.95" customHeight="1" outlineLevel="1" thickTop="1" x14ac:dyDescent="0.3">
      <c r="A17" s="1135"/>
      <c r="B17" s="782" t="s">
        <v>413</v>
      </c>
      <c r="C17" s="783" t="s">
        <v>1</v>
      </c>
      <c r="D17" s="1133">
        <v>0.01</v>
      </c>
      <c r="E17" s="1135"/>
      <c r="F17" s="1135"/>
      <c r="G17" s="1135"/>
      <c r="H17" s="777"/>
      <c r="I17" s="1135"/>
      <c r="J17" s="1135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789"/>
      <c r="V17" s="1135"/>
      <c r="W17" s="777"/>
      <c r="X17" s="1135"/>
      <c r="Y17" s="777"/>
      <c r="Z17" s="1135"/>
      <c r="AA17" s="1135"/>
      <c r="AB17" s="773"/>
    </row>
    <row r="18" spans="1:28" s="774" customFormat="1" ht="19.95" customHeight="1" outlineLevel="1" x14ac:dyDescent="0.3">
      <c r="A18" s="1135"/>
      <c r="B18" s="782" t="s">
        <v>414</v>
      </c>
      <c r="C18" s="783" t="s">
        <v>1</v>
      </c>
      <c r="D18" s="1133">
        <v>0.05</v>
      </c>
      <c r="E18" s="1135"/>
      <c r="F18" s="1135"/>
      <c r="G18" s="1135"/>
      <c r="H18" s="777"/>
      <c r="I18" s="1135"/>
      <c r="J18" s="1135"/>
      <c r="K18" s="1135"/>
      <c r="L18" s="1135"/>
      <c r="M18" s="1135"/>
      <c r="N18" s="1135"/>
      <c r="O18" s="1135"/>
      <c r="P18" s="1135"/>
      <c r="Q18" s="1135"/>
      <c r="R18" s="1135"/>
      <c r="S18" s="1135"/>
      <c r="T18" s="1135"/>
      <c r="U18" s="789"/>
      <c r="V18" s="1135"/>
      <c r="W18" s="777"/>
      <c r="X18" s="1135"/>
      <c r="Y18" s="777"/>
      <c r="Z18" s="1135"/>
      <c r="AA18" s="1135"/>
      <c r="AB18" s="773"/>
    </row>
    <row r="19" spans="1:28" s="774" customFormat="1" ht="19.95" customHeight="1" outlineLevel="1" x14ac:dyDescent="0.3">
      <c r="A19" s="1135"/>
      <c r="B19" s="782" t="s">
        <v>415</v>
      </c>
      <c r="C19" s="831" t="s">
        <v>1</v>
      </c>
      <c r="D19" s="832">
        <v>2.5000000000000001E-2</v>
      </c>
      <c r="E19" s="1135"/>
      <c r="F19" s="1135"/>
      <c r="G19" s="1135"/>
      <c r="H19" s="777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35"/>
      <c r="U19" s="789"/>
      <c r="V19" s="1135"/>
      <c r="W19" s="777"/>
      <c r="X19" s="1135"/>
      <c r="Y19" s="777"/>
      <c r="Z19" s="1135"/>
      <c r="AA19" s="1135"/>
      <c r="AB19" s="773"/>
    </row>
    <row r="20" spans="1:28" s="774" customFormat="1" ht="34.950000000000003" customHeight="1" outlineLevel="1" x14ac:dyDescent="0.3">
      <c r="A20" s="1135"/>
      <c r="B20" s="833" t="s">
        <v>416</v>
      </c>
      <c r="C20" s="783" t="s">
        <v>385</v>
      </c>
      <c r="D20" s="834">
        <f>D10*D12*(1+D17)*(1+D18)*(1+D19)*D15/1000000</f>
        <v>58.88666495039174</v>
      </c>
      <c r="E20" s="1135"/>
      <c r="F20" s="1135"/>
      <c r="G20" s="1135"/>
      <c r="H20" s="777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35"/>
      <c r="U20" s="789"/>
      <c r="V20" s="1135"/>
      <c r="W20" s="777"/>
      <c r="X20" s="1135"/>
      <c r="Y20" s="777"/>
      <c r="Z20" s="1135"/>
      <c r="AA20" s="1135"/>
      <c r="AB20" s="773"/>
    </row>
    <row r="21" spans="1:28" s="774" customFormat="1" ht="34.950000000000003" customHeight="1" outlineLevel="1" thickBot="1" x14ac:dyDescent="0.35">
      <c r="A21" s="1135"/>
      <c r="B21" s="835" t="s">
        <v>417</v>
      </c>
      <c r="C21" s="812" t="s">
        <v>407</v>
      </c>
      <c r="D21" s="813">
        <f>D20*1000000/D10</f>
        <v>9.5620804312150582</v>
      </c>
      <c r="E21" s="1135"/>
      <c r="F21" s="1135"/>
      <c r="G21" s="1135"/>
      <c r="H21" s="777"/>
      <c r="I21" s="1135"/>
      <c r="J21" s="777"/>
      <c r="K21" s="777"/>
      <c r="L21" s="777"/>
      <c r="M21" s="777"/>
      <c r="N21" s="1135"/>
      <c r="O21" s="816"/>
      <c r="P21" s="1135"/>
      <c r="Q21" s="823"/>
      <c r="R21" s="1135"/>
      <c r="S21" s="816"/>
      <c r="T21" s="1135"/>
      <c r="U21" s="816"/>
      <c r="V21" s="1135"/>
      <c r="W21" s="777"/>
      <c r="X21" s="1135"/>
      <c r="Y21" s="777"/>
      <c r="Z21" s="1135"/>
      <c r="AA21" s="1135"/>
      <c r="AB21" s="773"/>
    </row>
    <row r="22" spans="1:28" s="774" customFormat="1" ht="7.5" customHeight="1" outlineLevel="1" thickTop="1" thickBot="1" x14ac:dyDescent="0.35">
      <c r="A22" s="1135"/>
      <c r="B22" s="1135"/>
      <c r="C22" s="777"/>
      <c r="D22" s="1135"/>
      <c r="E22" s="785"/>
      <c r="F22" s="1135"/>
      <c r="G22" s="1135"/>
      <c r="H22" s="777"/>
      <c r="I22" s="1135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135"/>
      <c r="U22" s="816"/>
      <c r="V22" s="1135"/>
      <c r="W22" s="777"/>
      <c r="X22" s="1135"/>
      <c r="Y22" s="777"/>
      <c r="Z22" s="1135"/>
      <c r="AA22" s="1135"/>
      <c r="AB22" s="773"/>
    </row>
    <row r="23" spans="1:28" s="774" customFormat="1" ht="19.95" customHeight="1" outlineLevel="1" thickTop="1" x14ac:dyDescent="0.3">
      <c r="A23" s="1135"/>
      <c r="B23" s="818" t="s">
        <v>418</v>
      </c>
      <c r="C23" s="819" t="s">
        <v>371</v>
      </c>
      <c r="D23" s="820" t="s">
        <v>372</v>
      </c>
      <c r="E23" s="1135"/>
      <c r="F23" s="1285" t="s">
        <v>419</v>
      </c>
      <c r="G23" s="1286"/>
      <c r="H23" s="1287"/>
      <c r="I23" s="1135"/>
      <c r="J23" s="1135"/>
      <c r="K23" s="777"/>
      <c r="L23" s="777"/>
      <c r="M23" s="777"/>
      <c r="N23" s="1135"/>
      <c r="O23" s="1135"/>
      <c r="P23" s="1135"/>
      <c r="Q23" s="1135"/>
      <c r="R23" s="1135"/>
      <c r="S23" s="1135"/>
      <c r="T23" s="1135"/>
      <c r="U23" s="789"/>
      <c r="V23" s="1135"/>
      <c r="W23" s="777"/>
      <c r="X23" s="1135"/>
      <c r="Y23" s="777"/>
      <c r="Z23" s="1135"/>
      <c r="AA23" s="1135"/>
      <c r="AB23" s="773"/>
    </row>
    <row r="24" spans="1:28" s="774" customFormat="1" ht="19.95" customHeight="1" outlineLevel="1" x14ac:dyDescent="0.3">
      <c r="A24" s="1135"/>
      <c r="B24" s="833" t="s">
        <v>420</v>
      </c>
      <c r="C24" s="783" t="s">
        <v>1</v>
      </c>
      <c r="D24" s="836">
        <v>0</v>
      </c>
      <c r="E24" s="1135"/>
      <c r="F24" s="801" t="s">
        <v>421</v>
      </c>
      <c r="G24" s="791" t="s">
        <v>422</v>
      </c>
      <c r="H24" s="837">
        <f>D26*(D10)/G11</f>
        <v>343.18438215964744</v>
      </c>
      <c r="I24" s="1135"/>
      <c r="J24" s="1135"/>
      <c r="K24" s="777"/>
      <c r="L24" s="777"/>
      <c r="M24" s="777"/>
      <c r="N24" s="790"/>
      <c r="O24" s="790"/>
      <c r="P24" s="790"/>
      <c r="Q24" s="790"/>
      <c r="R24" s="790"/>
      <c r="S24" s="1135"/>
      <c r="T24" s="1135"/>
      <c r="U24" s="789"/>
      <c r="V24" s="1135"/>
      <c r="W24" s="777"/>
      <c r="X24" s="1135"/>
      <c r="Y24" s="777"/>
      <c r="Z24" s="1135"/>
      <c r="AA24" s="1135"/>
      <c r="AB24" s="773"/>
    </row>
    <row r="25" spans="1:28" s="774" customFormat="1" ht="34.950000000000003" customHeight="1" outlineLevel="1" thickBot="1" x14ac:dyDescent="0.35">
      <c r="A25" s="1135"/>
      <c r="B25" s="801" t="s">
        <v>423</v>
      </c>
      <c r="C25" s="791" t="s">
        <v>385</v>
      </c>
      <c r="D25" s="828">
        <f>D20</f>
        <v>58.88666495039174</v>
      </c>
      <c r="E25" s="1135"/>
      <c r="F25" s="835" t="s">
        <v>424</v>
      </c>
      <c r="G25" s="812" t="s">
        <v>425</v>
      </c>
      <c r="H25" s="838">
        <f>H24/12</f>
        <v>28.598698513303955</v>
      </c>
      <c r="I25" s="1135"/>
      <c r="J25" s="1135"/>
      <c r="K25" s="789"/>
      <c r="L25" s="789"/>
      <c r="M25" s="789"/>
      <c r="N25" s="790"/>
      <c r="O25" s="790"/>
      <c r="P25" s="790"/>
      <c r="Q25" s="790"/>
      <c r="R25" s="790"/>
      <c r="S25" s="1135"/>
      <c r="T25" s="1135"/>
      <c r="U25" s="789"/>
      <c r="V25" s="1135"/>
      <c r="W25" s="777"/>
      <c r="X25" s="1135"/>
      <c r="Y25" s="777"/>
      <c r="Z25" s="1135"/>
      <c r="AA25" s="1135"/>
      <c r="AB25" s="773"/>
    </row>
    <row r="26" spans="1:28" s="774" customFormat="1" ht="34.950000000000003" customHeight="1" outlineLevel="1" thickTop="1" thickBot="1" x14ac:dyDescent="0.35">
      <c r="A26" s="1135"/>
      <c r="B26" s="835" t="s">
        <v>426</v>
      </c>
      <c r="C26" s="812" t="s">
        <v>407</v>
      </c>
      <c r="D26" s="813">
        <f>(D25*1000000/(D8*D11))*(1-D24)</f>
        <v>9.5620804312150582</v>
      </c>
      <c r="E26" s="1135"/>
      <c r="F26" s="1135"/>
      <c r="G26" s="1135"/>
      <c r="H26" s="777"/>
      <c r="I26" s="1135"/>
      <c r="J26" s="777"/>
      <c r="K26" s="789"/>
      <c r="L26" s="789"/>
      <c r="M26" s="789"/>
      <c r="N26" s="790"/>
      <c r="O26" s="790"/>
      <c r="P26" s="790"/>
      <c r="Q26" s="790"/>
      <c r="R26" s="790"/>
      <c r="S26" s="1135"/>
      <c r="T26" s="1135"/>
      <c r="U26" s="789"/>
      <c r="V26" s="1135"/>
      <c r="W26" s="777"/>
      <c r="X26" s="1135"/>
      <c r="Y26" s="777"/>
      <c r="Z26" s="1135"/>
      <c r="AA26" s="1135"/>
      <c r="AB26" s="773"/>
    </row>
    <row r="27" spans="1:28" s="774" customFormat="1" ht="7.2" customHeight="1" thickTop="1" x14ac:dyDescent="0.3">
      <c r="A27" s="1135"/>
      <c r="B27" s="1135"/>
      <c r="C27" s="777"/>
      <c r="D27" s="1135"/>
      <c r="E27" s="1135"/>
      <c r="F27" s="1135"/>
      <c r="G27" s="1135"/>
      <c r="H27" s="777"/>
      <c r="I27" s="777"/>
      <c r="J27" s="777"/>
      <c r="K27" s="777"/>
      <c r="L27" s="777"/>
      <c r="M27" s="777"/>
      <c r="N27" s="1135"/>
      <c r="O27" s="1135"/>
      <c r="P27" s="1135"/>
      <c r="Q27" s="1135"/>
      <c r="R27" s="1135"/>
      <c r="S27" s="1135"/>
      <c r="T27" s="1135"/>
      <c r="U27" s="789"/>
      <c r="V27" s="1135"/>
      <c r="W27" s="777"/>
      <c r="X27" s="1135"/>
      <c r="Y27" s="777"/>
      <c r="Z27" s="1135"/>
      <c r="AA27" s="1135"/>
      <c r="AB27" s="773"/>
    </row>
    <row r="28" spans="1:28" s="774" customFormat="1" ht="7.2" customHeight="1" x14ac:dyDescent="0.3">
      <c r="A28" s="1135"/>
      <c r="B28" s="1135"/>
      <c r="C28" s="777"/>
      <c r="D28" s="1135"/>
      <c r="E28" s="1135"/>
      <c r="F28" s="1135"/>
      <c r="G28" s="1135"/>
      <c r="H28" s="777"/>
      <c r="I28" s="1135"/>
      <c r="J28" s="777"/>
      <c r="K28" s="777"/>
      <c r="L28" s="777"/>
      <c r="M28" s="777"/>
      <c r="N28" s="1135"/>
      <c r="O28" s="1135"/>
      <c r="P28" s="1135"/>
      <c r="Q28" s="1135"/>
      <c r="R28" s="1135"/>
      <c r="S28" s="1135"/>
      <c r="T28" s="1135"/>
      <c r="U28" s="789"/>
      <c r="V28" s="1135"/>
      <c r="W28" s="777"/>
      <c r="X28" s="1135"/>
      <c r="Y28" s="777"/>
      <c r="Z28" s="1135"/>
      <c r="AA28" s="1135"/>
      <c r="AB28" s="773"/>
    </row>
    <row r="29" spans="1:28" s="774" customFormat="1" ht="61.2" customHeight="1" x14ac:dyDescent="0.3">
      <c r="A29" s="1135"/>
      <c r="B29" s="1296" t="s">
        <v>427</v>
      </c>
      <c r="C29" s="1297"/>
      <c r="D29" s="1297"/>
      <c r="E29" s="1298"/>
      <c r="F29" s="1135"/>
      <c r="G29" s="1135"/>
      <c r="H29" s="777"/>
      <c r="I29" s="1135"/>
      <c r="J29" s="777"/>
      <c r="K29" s="1299" t="s">
        <v>428</v>
      </c>
      <c r="L29" s="1300"/>
      <c r="M29" s="1301"/>
      <c r="N29" s="1135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135"/>
      <c r="AB29" s="773"/>
    </row>
    <row r="30" spans="1:28" s="774" customFormat="1" ht="4.95" customHeight="1" x14ac:dyDescent="0.3">
      <c r="A30" s="1135"/>
      <c r="B30" s="1135"/>
      <c r="C30" s="777"/>
      <c r="D30" s="1135"/>
      <c r="E30" s="1135"/>
      <c r="F30" s="1135"/>
      <c r="G30" s="1135"/>
      <c r="H30" s="777"/>
      <c r="I30" s="1135"/>
      <c r="J30" s="777"/>
      <c r="K30" s="777"/>
      <c r="L30" s="777"/>
      <c r="M30" s="777"/>
      <c r="N30" s="1135"/>
      <c r="O30" s="1135"/>
      <c r="P30" s="1135"/>
      <c r="Q30" s="1135"/>
      <c r="R30" s="1135"/>
      <c r="S30" s="1135"/>
      <c r="T30" s="1135"/>
      <c r="U30" s="789"/>
      <c r="V30" s="1135"/>
      <c r="W30" s="777"/>
      <c r="X30" s="1135"/>
      <c r="Y30" s="777"/>
      <c r="Z30" s="1135"/>
      <c r="AA30" s="1135"/>
      <c r="AB30" s="773"/>
    </row>
    <row r="31" spans="1:28" s="774" customFormat="1" ht="19.95" customHeight="1" x14ac:dyDescent="0.3">
      <c r="A31" s="1135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135"/>
      <c r="O31" s="1307" t="s">
        <v>433</v>
      </c>
      <c r="P31" s="1135"/>
      <c r="Q31" s="1307" t="s">
        <v>434</v>
      </c>
      <c r="R31" s="1135"/>
      <c r="S31" s="1307" t="s">
        <v>435</v>
      </c>
      <c r="T31" s="1135"/>
      <c r="U31" s="1307" t="s">
        <v>436</v>
      </c>
      <c r="V31" s="1135"/>
      <c r="W31" s="1307" t="s">
        <v>436</v>
      </c>
      <c r="X31" s="1135"/>
      <c r="Y31" s="1307" t="s">
        <v>437</v>
      </c>
      <c r="Z31" s="1135"/>
      <c r="AA31" s="1135"/>
      <c r="AB31" s="773"/>
    </row>
    <row r="32" spans="1:28" s="774" customFormat="1" ht="19.95" customHeight="1" x14ac:dyDescent="0.3">
      <c r="A32" s="1135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343.18438215964744</v>
      </c>
      <c r="M32" s="841">
        <f>H25</f>
        <v>28.598698513303955</v>
      </c>
      <c r="N32" s="842"/>
      <c r="O32" s="1308"/>
      <c r="P32" s="842"/>
      <c r="Q32" s="1308"/>
      <c r="R32" s="842"/>
      <c r="S32" s="1308"/>
      <c r="T32" s="1135"/>
      <c r="U32" s="1308"/>
      <c r="V32" s="1135"/>
      <c r="W32" s="1308"/>
      <c r="X32" s="1135"/>
      <c r="Y32" s="1309"/>
      <c r="Z32" s="1135"/>
      <c r="AA32" s="1135"/>
      <c r="AB32" s="773"/>
    </row>
    <row r="33" spans="1:28" s="774" customFormat="1" ht="15" customHeight="1" x14ac:dyDescent="0.3">
      <c r="A33" s="1135"/>
      <c r="B33" s="1135"/>
      <c r="C33" s="777"/>
      <c r="D33" s="1135"/>
      <c r="E33" s="1135"/>
      <c r="F33" s="1135"/>
      <c r="G33" s="1135"/>
      <c r="H33" s="777"/>
      <c r="I33" s="1135"/>
      <c r="J33" s="777"/>
      <c r="K33" s="777"/>
      <c r="L33" s="777"/>
      <c r="M33" s="777"/>
      <c r="N33" s="1135"/>
      <c r="O33" s="802">
        <f>O36+O49+O62+O75+O88</f>
        <v>171589</v>
      </c>
      <c r="P33" s="1135"/>
      <c r="Q33" s="802">
        <f>(Q36+Q49+Q62+Q75+Q88)*12/1000000</f>
        <v>59.235821216701183</v>
      </c>
      <c r="R33" s="1135"/>
      <c r="S33" s="802">
        <f>12*S34</f>
        <v>34912.115286618915</v>
      </c>
      <c r="T33" s="1135" t="s">
        <v>438</v>
      </c>
      <c r="U33" s="802">
        <f>12*U34</f>
        <v>6252163.3856565896</v>
      </c>
      <c r="V33" s="1135" t="s">
        <v>439</v>
      </c>
      <c r="W33" s="802">
        <f>12*W34</f>
        <v>6252163.3856565896</v>
      </c>
      <c r="X33" s="1135" t="s">
        <v>439</v>
      </c>
      <c r="Y33" s="1320">
        <v>0.1</v>
      </c>
      <c r="Z33" s="1135"/>
      <c r="AA33" s="1135"/>
      <c r="AB33" s="773"/>
    </row>
    <row r="34" spans="1:28" s="774" customFormat="1" ht="34.950000000000003" customHeight="1" outlineLevel="1" x14ac:dyDescent="0.3">
      <c r="A34" s="1135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2909.3429405515762</v>
      </c>
      <c r="T34" s="1135" t="s">
        <v>441</v>
      </c>
      <c r="U34" s="802">
        <f>U36+U49+U62+U75+U88</f>
        <v>521013.61547138245</v>
      </c>
      <c r="V34" s="1135" t="s">
        <v>442</v>
      </c>
      <c r="W34" s="802">
        <f>W36+W49+W62+W75+W88</f>
        <v>521013.61547138245</v>
      </c>
      <c r="X34" s="1135" t="s">
        <v>442</v>
      </c>
      <c r="Y34" s="1321"/>
      <c r="Z34" s="1135"/>
      <c r="AA34" s="1135"/>
      <c r="AB34" s="773"/>
    </row>
    <row r="35" spans="1:28" s="774" customFormat="1" ht="25.2" customHeight="1" outlineLevel="1" x14ac:dyDescent="0.3">
      <c r="A35" s="1135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42.663449071213982</v>
      </c>
      <c r="R35" s="842"/>
      <c r="S35" s="843"/>
      <c r="T35" s="1135"/>
      <c r="U35" s="845"/>
      <c r="V35" s="1135"/>
      <c r="W35" s="845"/>
      <c r="X35" s="1135"/>
      <c r="Y35" s="846"/>
      <c r="Z35" s="1135"/>
      <c r="AA35" s="1135"/>
      <c r="AB35" s="773"/>
    </row>
    <row r="36" spans="1:28" s="774" customFormat="1" ht="36" customHeight="1" outlineLevel="1" x14ac:dyDescent="0.3">
      <c r="A36" s="1135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135"/>
      <c r="O36" s="802">
        <f>O39+O41+O42+O43+O44+O45</f>
        <v>40</v>
      </c>
      <c r="P36" s="1135"/>
      <c r="Q36" s="849">
        <f>Q39+Q41+Q42+Q43+Q44+Q45</f>
        <v>1706.5379628485593</v>
      </c>
      <c r="R36" s="1135"/>
      <c r="S36" s="1310">
        <f>IF(AND(Q36&lt;&gt;0,O36&lt;&gt;0),Q36*(1-D17-D18-D19)/(($D$25*1000000/$D$8)),0)</f>
        <v>0.91186490169687473</v>
      </c>
      <c r="T36" s="1335" t="s">
        <v>448</v>
      </c>
      <c r="U36" s="1310">
        <f>U39+U41+U42+U43+U44+U45</f>
        <v>163.29942497754263</v>
      </c>
      <c r="V36" s="1135" t="s">
        <v>449</v>
      </c>
      <c r="W36" s="1310">
        <f>W39*O39+W41*O41+W42*O42+W43*O43+W44*O44+W45*O45</f>
        <v>163.29942497754263</v>
      </c>
      <c r="X36" s="1135" t="s">
        <v>449</v>
      </c>
      <c r="Y36" s="850" t="s">
        <v>450</v>
      </c>
      <c r="Z36" s="1135"/>
      <c r="AA36" s="1135"/>
      <c r="AB36" s="773"/>
    </row>
    <row r="37" spans="1:28" s="774" customFormat="1" ht="24" customHeight="1" outlineLevel="1" x14ac:dyDescent="0.3">
      <c r="A37" s="1135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135"/>
      <c r="O37" s="855" t="s">
        <v>455</v>
      </c>
      <c r="P37" s="1135"/>
      <c r="Q37" s="856">
        <v>0.75</v>
      </c>
      <c r="R37" s="1135"/>
      <c r="S37" s="1334"/>
      <c r="T37" s="1336"/>
      <c r="U37" s="1334"/>
      <c r="V37" s="1135"/>
      <c r="W37" s="1311"/>
      <c r="X37" s="1135"/>
      <c r="Y37" s="857">
        <f>$Y$33</f>
        <v>0.1</v>
      </c>
      <c r="Z37" s="1135"/>
      <c r="AA37" s="1135"/>
      <c r="AB37" s="773"/>
    </row>
    <row r="38" spans="1:28" s="774" customFormat="1" ht="24" customHeight="1" outlineLevel="1" x14ac:dyDescent="0.3">
      <c r="A38" s="1135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135"/>
      <c r="O38" s="864"/>
      <c r="P38" s="1135"/>
      <c r="Q38" s="865"/>
      <c r="R38" s="1135"/>
      <c r="S38" s="866"/>
      <c r="T38" s="1135"/>
      <c r="U38" s="866"/>
      <c r="V38" s="1135"/>
      <c r="W38" s="867"/>
      <c r="X38" s="1135"/>
      <c r="Y38" s="867"/>
      <c r="Z38" s="1135"/>
      <c r="AA38" s="1135"/>
      <c r="AB38" s="773"/>
    </row>
    <row r="39" spans="1:28" s="774" customFormat="1" ht="24" customHeight="1" outlineLevel="1" x14ac:dyDescent="0.3">
      <c r="A39" s="1135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85.79609553991186</v>
      </c>
      <c r="K39" s="872">
        <f>$M$32*H39*$B$38*$C$38</f>
        <v>7.1496746283259887</v>
      </c>
      <c r="L39" s="871">
        <f>J39*$D$38</f>
        <v>107.24511942488982</v>
      </c>
      <c r="M39" s="872">
        <f>K39*$D$38</f>
        <v>8.9370932854074852</v>
      </c>
      <c r="N39" s="1135"/>
      <c r="O39" s="873">
        <v>2</v>
      </c>
      <c r="P39" s="1135"/>
      <c r="Q39" s="874">
        <f>O39*$Q$37*M39+O39*(1-$Q$37)*K39</f>
        <v>16.980477242274223</v>
      </c>
      <c r="R39" s="1135"/>
      <c r="S39" s="875">
        <f>IF(AND(Q39&lt;&gt;0,O39&lt;&gt;0),Q39*(1-D17-D18-D19)/O39/30/(($D$25*1000000/$D$8))*1000,0)</f>
        <v>0.15122137673248337</v>
      </c>
      <c r="T39" s="1135" t="s">
        <v>459</v>
      </c>
      <c r="U39" s="876">
        <f>S39*O39*30*$D$11*(1+$D$24)/1000</f>
        <v>1.6248699002740559</v>
      </c>
      <c r="V39" s="1135" t="s">
        <v>460</v>
      </c>
      <c r="W39" s="876">
        <f>IF(O39&lt;&gt;0,U39/O39,0)</f>
        <v>0.81243495013702793</v>
      </c>
      <c r="X39" s="1135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135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135"/>
      <c r="O40" s="864"/>
      <c r="P40" s="1135"/>
      <c r="Q40" s="865"/>
      <c r="R40" s="1135"/>
      <c r="S40" s="881"/>
      <c r="T40" s="1135"/>
      <c r="U40" s="882"/>
      <c r="V40" s="1135"/>
      <c r="W40" s="882"/>
      <c r="X40" s="1135"/>
      <c r="Y40" s="867"/>
      <c r="Z40" s="1135"/>
      <c r="AA40" s="777"/>
      <c r="AB40" s="773"/>
    </row>
    <row r="41" spans="1:28" s="774" customFormat="1" ht="24" customHeight="1" outlineLevel="1" x14ac:dyDescent="0.3">
      <c r="A41" s="1135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248.80867706574438</v>
      </c>
      <c r="K41" s="872">
        <f>$M$32*(H39+(G41-F41)*H41)*$B$38*$C$38</f>
        <v>20.734056422145365</v>
      </c>
      <c r="L41" s="871">
        <f t="shared" ref="L41:M45" si="0">J41*$D$38</f>
        <v>311.01084633218045</v>
      </c>
      <c r="M41" s="872">
        <f t="shared" si="0"/>
        <v>25.917570527681704</v>
      </c>
      <c r="N41" s="1135"/>
      <c r="O41" s="873">
        <v>2</v>
      </c>
      <c r="P41" s="1135"/>
      <c r="Q41" s="874">
        <f>O41*$Q$37*M41+O41*(1-$Q$37)*K41</f>
        <v>49.243384002595235</v>
      </c>
      <c r="R41" s="1135"/>
      <c r="S41" s="875">
        <f>IF(AND(Q41&lt;&gt;0,O41&lt;&gt;0),Q41*(1-D17-D18-D19)/O41/30/(($D$25*1000000/$D$8))*1000,0)</f>
        <v>0.43854199252420167</v>
      </c>
      <c r="T41" s="1135" t="s">
        <v>459</v>
      </c>
      <c r="U41" s="876">
        <f>S41*O41*30*$D$11*(1+$D$24)/1000</f>
        <v>4.7121227107947616</v>
      </c>
      <c r="V41" s="1135" t="s">
        <v>460</v>
      </c>
      <c r="W41" s="876">
        <f>IF(O41&lt;&gt;0,U41/O41,0)</f>
        <v>2.3560613553973808</v>
      </c>
      <c r="X41" s="1135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135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420.40086814556815</v>
      </c>
      <c r="K42" s="872">
        <f>$M$32*(H39+(G41-F41)*H41+(G42-F42)*H42)*$B$38*$C$38</f>
        <v>35.033405678797344</v>
      </c>
      <c r="L42" s="871">
        <f t="shared" si="0"/>
        <v>525.50108518196021</v>
      </c>
      <c r="M42" s="872">
        <f t="shared" si="0"/>
        <v>43.791757098496682</v>
      </c>
      <c r="N42" s="1135"/>
      <c r="O42" s="873">
        <v>28</v>
      </c>
      <c r="P42" s="1135"/>
      <c r="Q42" s="874">
        <f>O42*$Q$37*M42+O42*(1-$Q$37)*K42</f>
        <v>1164.8607388200116</v>
      </c>
      <c r="R42" s="1135"/>
      <c r="S42" s="875">
        <f>IF(AND(Q42&lt;&gt;0,O42&lt;&gt;0),Q42*(1-D17-D18-D19)/O42/30/(($D$25*1000000/$D$8))*1000,0)</f>
        <v>0.7409847459891683</v>
      </c>
      <c r="T42" s="1135" t="s">
        <v>459</v>
      </c>
      <c r="U42" s="876">
        <f>S42*O42*30*$D$11*(1+$D$24)/1000</f>
        <v>111.46607515880022</v>
      </c>
      <c r="V42" s="1135" t="s">
        <v>460</v>
      </c>
      <c r="W42" s="876">
        <f>IF(O42&lt;&gt;0,U42/O42,0)</f>
        <v>3.9809312556714365</v>
      </c>
      <c r="X42" s="1135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135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600.57266877938298</v>
      </c>
      <c r="K43" s="872">
        <f>$M$32*(H39+(G41-F41)*H41+(G42-F42)*H42+(G43-F43)*H43)*$B$38*$C$38</f>
        <v>50.04772239828192</v>
      </c>
      <c r="L43" s="871">
        <f t="shared" si="0"/>
        <v>750.71583597422875</v>
      </c>
      <c r="M43" s="872">
        <f t="shared" si="0"/>
        <v>62.559652997852396</v>
      </c>
      <c r="N43" s="1135"/>
      <c r="O43" s="873">
        <v>8</v>
      </c>
      <c r="P43" s="1135"/>
      <c r="Q43" s="874">
        <f>O43*$Q$37*M43+O43*(1-$Q$37)*K43</f>
        <v>475.45336278367824</v>
      </c>
      <c r="R43" s="1135"/>
      <c r="S43" s="875">
        <f>IF(AND(Q43&lt;&gt;0,O43&lt;&gt;0),Q43*(1-D17-D18-D19)/O43/30/(($D$25*1000000/$D$8))*1000,0)</f>
        <v>1.0585496371273837</v>
      </c>
      <c r="T43" s="1135" t="s">
        <v>459</v>
      </c>
      <c r="U43" s="876">
        <f>S43*O43*30*$D$11*(1+$D$24)/1000</f>
        <v>45.496357207673583</v>
      </c>
      <c r="V43" s="1135" t="s">
        <v>460</v>
      </c>
      <c r="W43" s="876">
        <f>IF(O43&lt;&gt;0,U43/O43,0)</f>
        <v>5.6870446509591979</v>
      </c>
      <c r="X43" s="1135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135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883.69978406109226</v>
      </c>
      <c r="K44" s="872">
        <f>$M$32*(H39+(G41-F41)*H41+(G42-F42)*H42+(G43-F43)*H43+(G44-F44)*H44)*$B$38*$C$38</f>
        <v>73.641648671757693</v>
      </c>
      <c r="L44" s="871">
        <f t="shared" si="0"/>
        <v>1104.6247300763653</v>
      </c>
      <c r="M44" s="872">
        <f t="shared" si="0"/>
        <v>92.05206083969712</v>
      </c>
      <c r="N44" s="1135"/>
      <c r="O44" s="873">
        <v>0</v>
      </c>
      <c r="P44" s="1135"/>
      <c r="Q44" s="874">
        <f>O44*$Q$37*M44+O44*(1-$Q$37)*K44</f>
        <v>0</v>
      </c>
      <c r="R44" s="1135"/>
      <c r="S44" s="875">
        <f>IF(AND(Q44&lt;&gt;0,O44&lt;&gt;0),Q44*(1-D17-D18-D19)/O44/30/(($D$25*1000000/$D$8))*1000,0)</f>
        <v>0</v>
      </c>
      <c r="T44" s="1135" t="s">
        <v>459</v>
      </c>
      <c r="U44" s="876">
        <f>S44*O44*30*$D$11*(1+$D$24)/1000</f>
        <v>0</v>
      </c>
      <c r="V44" s="1135" t="s">
        <v>460</v>
      </c>
      <c r="W44" s="876">
        <f>IF(O44&lt;&gt;0,U44/O44,0)</f>
        <v>0</v>
      </c>
      <c r="X44" s="1135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135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1870.3548827700786</v>
      </c>
      <c r="K45" s="872">
        <f>$M$32*(H39+(G41-F41)*H41+(G42-F42)*H42+(G43-F43)*H43+(G44-F44)*H44+(G45-F45)*H45)*$B$38*$C$38</f>
        <v>155.86290689750655</v>
      </c>
      <c r="L45" s="871">
        <f t="shared" si="0"/>
        <v>2337.9436034625983</v>
      </c>
      <c r="M45" s="872">
        <f t="shared" si="0"/>
        <v>194.82863362188317</v>
      </c>
      <c r="N45" s="1135"/>
      <c r="O45" s="873">
        <v>0</v>
      </c>
      <c r="P45" s="1135"/>
      <c r="Q45" s="874">
        <f>O45*$Q$37*M45+O45*(1-$Q$37)*K45</f>
        <v>0</v>
      </c>
      <c r="R45" s="1135"/>
      <c r="S45" s="875">
        <f>IF(AND(Q45&lt;&gt;0,O45&lt;&gt;0),Q45*(1-D17-D18-D19)/O45/30/(($D$25*1000000/$D$8))*1000,0)</f>
        <v>0</v>
      </c>
      <c r="T45" s="1135" t="s">
        <v>459</v>
      </c>
      <c r="U45" s="876">
        <f>S45*O45*30*$D$11*(1+$D$24)/1000</f>
        <v>0</v>
      </c>
      <c r="V45" s="1135" t="s">
        <v>460</v>
      </c>
      <c r="W45" s="876">
        <f>IF(O45&lt;&gt;0,U45/O45,0)</f>
        <v>0</v>
      </c>
      <c r="X45" s="1135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135"/>
      <c r="B46" s="1135"/>
      <c r="C46" s="777"/>
      <c r="D46" s="1135"/>
      <c r="E46" s="1135"/>
      <c r="F46" s="777"/>
      <c r="G46" s="777"/>
      <c r="H46" s="777"/>
      <c r="I46" s="1135"/>
      <c r="J46" s="777"/>
      <c r="K46" s="777"/>
      <c r="L46" s="777"/>
      <c r="M46" s="777"/>
      <c r="N46" s="1135"/>
      <c r="O46" s="1135"/>
      <c r="P46" s="1135"/>
      <c r="Q46" s="1135"/>
      <c r="R46" s="1135"/>
      <c r="S46" s="1135"/>
      <c r="T46" s="1135"/>
      <c r="U46" s="1135"/>
      <c r="V46" s="1135"/>
      <c r="W46" s="777"/>
      <c r="X46" s="1135"/>
      <c r="Y46" s="777"/>
      <c r="Z46" s="1135"/>
      <c r="AA46" s="1135"/>
      <c r="AB46" s="773"/>
    </row>
    <row r="47" spans="1:28" s="774" customFormat="1" ht="34.950000000000003" customHeight="1" outlineLevel="1" x14ac:dyDescent="0.3">
      <c r="A47" s="1135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135"/>
      <c r="P47" s="842"/>
      <c r="Q47" s="1135"/>
      <c r="R47" s="842"/>
      <c r="S47" s="1135"/>
      <c r="T47" s="1135"/>
      <c r="U47" s="1135"/>
      <c r="V47" s="1135"/>
      <c r="W47" s="777"/>
      <c r="X47" s="1135"/>
      <c r="Y47" s="777"/>
      <c r="Z47" s="1135"/>
      <c r="AA47" s="1135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34.094751200284648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135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135"/>
      <c r="O49" s="802">
        <f>O52+O54+O55+O56+O57+O58</f>
        <v>127341</v>
      </c>
      <c r="P49" s="1135"/>
      <c r="Q49" s="890">
        <f>Q52+Q54+Q55+Q56+Q57+Q58</f>
        <v>4341659.712595447</v>
      </c>
      <c r="R49" s="1135"/>
      <c r="S49" s="1337">
        <f>IF(AND(Q49&lt;&gt;0,O49&lt;&gt;0),Q49*(1-D17-D18-D19)/(($D$25*1000000/$D$8)),0)</f>
        <v>2319.9056764132802</v>
      </c>
      <c r="T49" s="1335" t="s">
        <v>448</v>
      </c>
      <c r="U49" s="1310">
        <f>U52+U54+U55+U56+U57+U58</f>
        <v>415455.47180887201</v>
      </c>
      <c r="V49" s="1135" t="s">
        <v>449</v>
      </c>
      <c r="W49" s="1338">
        <f>W52*O52+W54*O54+W55*O55+W56*O56+W57*O57+W58*O58</f>
        <v>415455.47180887201</v>
      </c>
      <c r="X49" s="1135" t="s">
        <v>449</v>
      </c>
      <c r="Y49" s="850" t="s">
        <v>450</v>
      </c>
      <c r="Z49" s="1135"/>
      <c r="AA49" s="1135"/>
      <c r="AB49" s="773"/>
    </row>
    <row r="50" spans="1:28" s="774" customFormat="1" ht="24" customHeight="1" outlineLevel="1" x14ac:dyDescent="0.3">
      <c r="A50" s="1135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135"/>
      <c r="O50" s="891" t="s">
        <v>455</v>
      </c>
      <c r="P50" s="1135"/>
      <c r="Q50" s="856">
        <v>0.75</v>
      </c>
      <c r="R50" s="1135"/>
      <c r="S50" s="1334"/>
      <c r="T50" s="1336"/>
      <c r="U50" s="1334"/>
      <c r="V50" s="1135"/>
      <c r="W50" s="1339"/>
      <c r="X50" s="1135"/>
      <c r="Y50" s="857">
        <f>$Y$33</f>
        <v>0.1</v>
      </c>
      <c r="Z50" s="1135"/>
      <c r="AA50" s="1135"/>
      <c r="AB50" s="773"/>
    </row>
    <row r="51" spans="1:28" s="774" customFormat="1" ht="24" customHeight="1" outlineLevel="1" x14ac:dyDescent="0.3">
      <c r="A51" s="1135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135"/>
      <c r="O51" s="864"/>
      <c r="P51" s="1135"/>
      <c r="Q51" s="865"/>
      <c r="R51" s="1135"/>
      <c r="S51" s="866"/>
      <c r="T51" s="1135"/>
      <c r="U51" s="866"/>
      <c r="V51" s="1135"/>
      <c r="W51" s="846"/>
      <c r="X51" s="1135"/>
      <c r="Y51" s="892"/>
      <c r="Z51" s="1135"/>
      <c r="AA51" s="1135"/>
      <c r="AB51" s="773"/>
    </row>
    <row r="52" spans="1:28" s="774" customFormat="1" ht="24" customHeight="1" outlineLevel="1" x14ac:dyDescent="0.3">
      <c r="A52" s="1135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120.32902399472638</v>
      </c>
      <c r="K52" s="872">
        <f>$M$32*H52*$B$51*$C$51</f>
        <v>10.027418666227199</v>
      </c>
      <c r="L52" s="871">
        <f>J52*$D$51</f>
        <v>150.41127999340799</v>
      </c>
      <c r="M52" s="872">
        <f>K52*$D$51</f>
        <v>12.534273332783998</v>
      </c>
      <c r="N52" s="1135"/>
      <c r="O52" s="873">
        <v>62341</v>
      </c>
      <c r="P52" s="1135"/>
      <c r="Q52" s="874">
        <f>O52*$Q$50*M52+O52*(1-$Q$50)*K52</f>
        <v>742329.17714713293</v>
      </c>
      <c r="R52" s="1135"/>
      <c r="S52" s="875">
        <f>IF(AND(Q52&lt;&gt;0,O52&lt;&gt;0),Q52*(1-D17-D18-D19)/O52/30/(($D$25*1000000/$D$8))*1000,0)</f>
        <v>0.2120879808673079</v>
      </c>
      <c r="T52" s="1135" t="s">
        <v>459</v>
      </c>
      <c r="U52" s="876">
        <f>S52*O52*30*$D$11*(1+$D$24)/1000</f>
        <v>71033.830135155673</v>
      </c>
      <c r="V52" s="1135" t="s">
        <v>460</v>
      </c>
      <c r="W52" s="876">
        <f>IF(O52&lt;&gt;0,U52/O52,0)</f>
        <v>1.1394400175671817</v>
      </c>
      <c r="X52" s="1135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135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135"/>
      <c r="O53" s="864"/>
      <c r="P53" s="1135"/>
      <c r="Q53" s="865"/>
      <c r="R53" s="1135"/>
      <c r="S53" s="881"/>
      <c r="T53" s="1135"/>
      <c r="U53" s="882"/>
      <c r="V53" s="1135"/>
      <c r="W53" s="893"/>
      <c r="X53" s="1135"/>
      <c r="Y53" s="892"/>
      <c r="Z53" s="1135"/>
      <c r="AA53" s="777"/>
      <c r="AB53" s="773"/>
    </row>
    <row r="54" spans="1:28" s="774" customFormat="1" ht="24" customHeight="1" outlineLevel="1" x14ac:dyDescent="0.3">
      <c r="A54" s="1135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382.8650763468566</v>
      </c>
      <c r="K54" s="872">
        <f>$M$32*(H52+(G54-F54)*H54)*$B$51*$C$51</f>
        <v>31.905423028904721</v>
      </c>
      <c r="L54" s="871">
        <f t="shared" ref="L54:M58" si="1">J54*$D$51</f>
        <v>478.58134543357073</v>
      </c>
      <c r="M54" s="872">
        <f t="shared" si="1"/>
        <v>39.881778786130901</v>
      </c>
      <c r="N54" s="1135"/>
      <c r="O54" s="873">
        <v>42500</v>
      </c>
      <c r="P54" s="1135"/>
      <c r="Q54" s="874">
        <f>O54*$Q$50*M54+O54*(1-$Q$50)*K54</f>
        <v>1610226.8184900351</v>
      </c>
      <c r="R54" s="1135"/>
      <c r="S54" s="875">
        <f>IF(AND(Q54&lt;&gt;0,O54&lt;&gt;0),Q54*(1-D17-D18-D19)/O54/30/(($D$25*1000000/$D$8))*1000,0)</f>
        <v>0.67482539366870697</v>
      </c>
      <c r="T54" s="1135" t="s">
        <v>459</v>
      </c>
      <c r="U54" s="876">
        <f>S54*O54*30*$D$11*(1+$D$24)/1000</f>
        <v>154083.36601192574</v>
      </c>
      <c r="V54" s="1135" t="s">
        <v>460</v>
      </c>
      <c r="W54" s="894">
        <f>IF(O54&lt;&gt;0,U54/O54,0)</f>
        <v>3.6254909649864882</v>
      </c>
      <c r="X54" s="1135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135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656.34013088032577</v>
      </c>
      <c r="K55" s="872">
        <f>$M$32*(H52+(G54-F54)*H54+(G55-F55)*H55)*$B$51*$C$51</f>
        <v>54.69501090669381</v>
      </c>
      <c r="L55" s="871">
        <f t="shared" si="1"/>
        <v>820.42516360040725</v>
      </c>
      <c r="M55" s="872">
        <f t="shared" si="1"/>
        <v>68.368763633367266</v>
      </c>
      <c r="N55" s="1135"/>
      <c r="O55" s="873">
        <v>10000</v>
      </c>
      <c r="P55" s="1135"/>
      <c r="Q55" s="874">
        <f>O55*$Q$50*M55+O55*(1-$Q$50)*K55</f>
        <v>649503.25451698899</v>
      </c>
      <c r="R55" s="1135"/>
      <c r="S55" s="875">
        <f>IF(AND(Q55&lt;&gt;0,O55&lt;&gt;0),Q55*(1-D17-D18-D19)/O55/30/(($D$25*1000000/$D$8))*1000,0)</f>
        <v>1.1568435320034978</v>
      </c>
      <c r="T55" s="1135" t="s">
        <v>459</v>
      </c>
      <c r="U55" s="876">
        <f>S55*O55*30*$D$11*(1+$D$24)/1000</f>
        <v>62151.273685482651</v>
      </c>
      <c r="V55" s="1135" t="s">
        <v>460</v>
      </c>
      <c r="W55" s="895">
        <f>IF(O55&lt;&gt;0,U55/O55,0)</f>
        <v>6.2151273685482646</v>
      </c>
      <c r="X55" s="1135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135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1082.9612159525375</v>
      </c>
      <c r="K56" s="872">
        <f>$M$32*(H52+(G54-F54)*H54+(G55-F55)*H55+(G56-F56)*H56)*$B$51*$C$51</f>
        <v>90.246767996044795</v>
      </c>
      <c r="L56" s="871">
        <f t="shared" si="1"/>
        <v>1353.7015199406719</v>
      </c>
      <c r="M56" s="872">
        <f t="shared" si="1"/>
        <v>112.808459995056</v>
      </c>
      <c r="N56" s="1135"/>
      <c r="O56" s="873">
        <v>12500</v>
      </c>
      <c r="P56" s="1135"/>
      <c r="Q56" s="874">
        <f>O56*$Q$50*M56+O56*(1-$Q$50)*K56</f>
        <v>1339600.4624412898</v>
      </c>
      <c r="R56" s="1135"/>
      <c r="S56" s="875">
        <f>IF(AND(Q56&lt;&gt;0,O56&lt;&gt;0),Q56*(1-D17-D18-D19)/O56/30/(($D$25*1000000/$D$8))*1000,0)</f>
        <v>1.9087918278057712</v>
      </c>
      <c r="T56" s="1135" t="s">
        <v>459</v>
      </c>
      <c r="U56" s="876">
        <f>S56*O56*30*$D$11*(1+$D$24)/1000</f>
        <v>128187.00197630795</v>
      </c>
      <c r="V56" s="1135" t="s">
        <v>460</v>
      </c>
      <c r="W56" s="895">
        <f>IF(O56&lt;&gt;0,U56/O56,0)</f>
        <v>10.254960158104636</v>
      </c>
      <c r="X56" s="1135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135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2231.5564449931071</v>
      </c>
      <c r="K57" s="872">
        <f>$M$32*(H52+(G54-F54)*H54+(G55-F55)*H55+(G56-F56)*H56+(G57-F57)*H57)*$B$51*$C$51</f>
        <v>185.96303708275892</v>
      </c>
      <c r="L57" s="871">
        <f t="shared" si="1"/>
        <v>2789.4455562413841</v>
      </c>
      <c r="M57" s="872">
        <f t="shared" si="1"/>
        <v>232.45379635344864</v>
      </c>
      <c r="N57" s="1135"/>
      <c r="O57" s="873">
        <v>0</v>
      </c>
      <c r="P57" s="1135"/>
      <c r="Q57" s="874">
        <f>O57*$Q$50*M57+O57*(1-$Q$50)*K57</f>
        <v>0</v>
      </c>
      <c r="R57" s="1135"/>
      <c r="S57" s="875">
        <f>IF(AND(Q57&lt;&gt;0,O57&lt;&gt;0),Q57*(1-D17-D18-D19)/O57/30/(($D$25*1000000/$D$8))*1000,0)</f>
        <v>0</v>
      </c>
      <c r="T57" s="1135" t="s">
        <v>459</v>
      </c>
      <c r="U57" s="876">
        <f>S57*O57*30*$D$11*(1+$D$24)/1000</f>
        <v>0</v>
      </c>
      <c r="V57" s="1135" t="s">
        <v>460</v>
      </c>
      <c r="W57" s="895">
        <f>IF(O57&lt;&gt;0,U57/O57,0)</f>
        <v>0</v>
      </c>
      <c r="X57" s="1135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135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4692.8319357943283</v>
      </c>
      <c r="K58" s="872">
        <f>$M$32*(H52+(G54-F54)*H54+(G55-F55)*H55+(G56-F56)*H56+(G57-F57)*H57+(G58-F58)*H58)*$B$51*$C$51</f>
        <v>391.06932798286073</v>
      </c>
      <c r="L58" s="871">
        <f t="shared" si="1"/>
        <v>5866.0399197429106</v>
      </c>
      <c r="M58" s="872">
        <f t="shared" si="1"/>
        <v>488.83665997857588</v>
      </c>
      <c r="N58" s="1135"/>
      <c r="O58" s="873">
        <v>0</v>
      </c>
      <c r="P58" s="1135"/>
      <c r="Q58" s="874">
        <f>O58*$Q$50*M58+O58*(1-$Q$50)*K58</f>
        <v>0</v>
      </c>
      <c r="R58" s="1135"/>
      <c r="S58" s="875">
        <f>IF(AND(Q58&lt;&gt;0,O58&lt;&gt;0),Q58*(1-D17-D18-D19)/O58/30/(($D$25*1000000/$D$8))*1000,0)</f>
        <v>0</v>
      </c>
      <c r="T58" s="1135" t="s">
        <v>459</v>
      </c>
      <c r="U58" s="876">
        <f>S58*O58*30*$D$11*(1+$D$24)/1000</f>
        <v>0</v>
      </c>
      <c r="V58" s="1135" t="s">
        <v>460</v>
      </c>
      <c r="W58" s="896">
        <f>IF(O58&lt;&gt;0,U58/O58,0)</f>
        <v>0</v>
      </c>
      <c r="X58" s="1135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135"/>
      <c r="B59" s="1135"/>
      <c r="C59" s="777"/>
      <c r="D59" s="1135"/>
      <c r="E59" s="1135"/>
      <c r="F59" s="1135"/>
      <c r="G59" s="1135"/>
      <c r="H59" s="777"/>
      <c r="I59" s="1135"/>
      <c r="J59" s="777"/>
      <c r="K59" s="777"/>
      <c r="L59" s="777"/>
      <c r="M59" s="777"/>
      <c r="N59" s="1135"/>
      <c r="O59" s="1135"/>
      <c r="P59" s="1135"/>
      <c r="Q59" s="1135"/>
      <c r="R59" s="1135"/>
      <c r="S59" s="1135"/>
      <c r="T59" s="1135"/>
      <c r="U59" s="1135"/>
      <c r="V59" s="1135"/>
      <c r="W59" s="777"/>
      <c r="X59" s="1135"/>
      <c r="Y59" s="777"/>
      <c r="Z59" s="1135"/>
      <c r="AA59" s="1135"/>
      <c r="AB59" s="773"/>
    </row>
    <row r="60" spans="1:28" s="774" customFormat="1" ht="34.950000000000003" customHeight="1" outlineLevel="1" x14ac:dyDescent="0.3">
      <c r="A60" s="1135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135"/>
      <c r="P60" s="842"/>
      <c r="Q60" s="1135"/>
      <c r="R60" s="842"/>
      <c r="S60" s="1135"/>
      <c r="T60" s="1135"/>
      <c r="U60" s="1135"/>
      <c r="V60" s="1135"/>
      <c r="W60" s="777"/>
      <c r="X60" s="1135"/>
      <c r="Y60" s="777"/>
      <c r="Z60" s="1135"/>
      <c r="AA60" s="1135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11.978749947946582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135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135"/>
      <c r="O62" s="802">
        <f>O65+O67+O68+O69+O70+O71</f>
        <v>42447</v>
      </c>
      <c r="P62" s="1135"/>
      <c r="Q62" s="849">
        <f>Q65+Q67+Q68+Q69+Q70+Q71</f>
        <v>508461.99904048856</v>
      </c>
      <c r="R62" s="1135"/>
      <c r="S62" s="1310">
        <f>IF(AND(Q62&lt;&gt;0,O62&lt;&gt;0),Q62*(1-D17-D18-D19)/(H15)/(($D$25*1000000/$D$8)),0)</f>
        <v>543.37924015206499</v>
      </c>
      <c r="T62" s="1335" t="s">
        <v>448</v>
      </c>
      <c r="U62" s="1310">
        <f>U65+U67+U68+U69+U70+U71</f>
        <v>97309.938452991744</v>
      </c>
      <c r="V62" s="1135" t="s">
        <v>449</v>
      </c>
      <c r="W62" s="1310">
        <f>W65*O65+W67*O67+W68*O68+W69*O69+W70*O70+W71*O71</f>
        <v>97309.938452991744</v>
      </c>
      <c r="X62" s="1135" t="s">
        <v>449</v>
      </c>
      <c r="Y62" s="850" t="s">
        <v>450</v>
      </c>
      <c r="Z62" s="1135"/>
      <c r="AA62" s="1135"/>
      <c r="AB62" s="773"/>
    </row>
    <row r="63" spans="1:28" s="774" customFormat="1" ht="24" customHeight="1" outlineLevel="1" x14ac:dyDescent="0.3">
      <c r="A63" s="1135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135"/>
      <c r="O63" s="891" t="s">
        <v>455</v>
      </c>
      <c r="P63" s="1135"/>
      <c r="Q63" s="856">
        <v>0.75</v>
      </c>
      <c r="R63" s="1135"/>
      <c r="S63" s="1334"/>
      <c r="T63" s="1336"/>
      <c r="U63" s="1334"/>
      <c r="V63" s="1135"/>
      <c r="W63" s="1311"/>
      <c r="X63" s="1135"/>
      <c r="Y63" s="857">
        <f>$Y$33</f>
        <v>0.1</v>
      </c>
      <c r="Z63" s="1135"/>
      <c r="AA63" s="1135"/>
      <c r="AB63" s="773"/>
    </row>
    <row r="64" spans="1:28" s="774" customFormat="1" ht="24" customHeight="1" outlineLevel="1" x14ac:dyDescent="0.3">
      <c r="A64" s="1135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135"/>
      <c r="O64" s="864"/>
      <c r="P64" s="1135"/>
      <c r="Q64" s="865"/>
      <c r="R64" s="1135"/>
      <c r="S64" s="866"/>
      <c r="T64" s="1135"/>
      <c r="U64" s="866"/>
      <c r="V64" s="1135"/>
      <c r="W64" s="867"/>
      <c r="X64" s="1135"/>
      <c r="Y64" s="892"/>
      <c r="Z64" s="1135"/>
      <c r="AA64" s="1135"/>
      <c r="AB64" s="773"/>
    </row>
    <row r="65" spans="1:28" s="774" customFormat="1" ht="24" customHeight="1" outlineLevel="1" x14ac:dyDescent="0.3">
      <c r="A65" s="1135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60.164511997363192</v>
      </c>
      <c r="K65" s="872">
        <f>$M$32*H65*$B$64*$C$64</f>
        <v>5.0137093331135993</v>
      </c>
      <c r="L65" s="871">
        <f>J65*$D$51</f>
        <v>75.205639996703994</v>
      </c>
      <c r="M65" s="872">
        <f>K65*$D$51</f>
        <v>6.2671366663919992</v>
      </c>
      <c r="N65" s="1135"/>
      <c r="O65" s="873">
        <v>25947</v>
      </c>
      <c r="P65" s="1135"/>
      <c r="Q65" s="874">
        <f>O65*$Q$63*M65+O65*(1-$Q$63)*K65</f>
        <v>154482.72532872955</v>
      </c>
      <c r="R65" s="1135"/>
      <c r="S65" s="875">
        <f>IF(AND(Q65&lt;&gt;0,O65&lt;&gt;0),Q65*(1-D17-D18-D19)/(H15)/O65/30/(($D$25*1000000/$D$8))*1000,0)</f>
        <v>0.21208798086730793</v>
      </c>
      <c r="T65" s="1135" t="s">
        <v>459</v>
      </c>
      <c r="U65" s="876">
        <f>S65*O65*30*$D$11*(1+$D$24)/1000</f>
        <v>29565.050135815673</v>
      </c>
      <c r="V65" s="1135" t="s">
        <v>460</v>
      </c>
      <c r="W65" s="876">
        <f>IF(O65&lt;&gt;0,U65/O65,0)</f>
        <v>1.1394400175671819</v>
      </c>
      <c r="X65" s="1135" t="s">
        <v>461</v>
      </c>
      <c r="Y65" s="877" t="str">
        <f>IF(O65=0,"-", IF(W65&lt;=(G65*(1+$Y$63)),"OK", "NOK"))</f>
        <v>OK</v>
      </c>
      <c r="Z65" s="893">
        <f>W65</f>
        <v>1.1394400175671819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135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135"/>
      <c r="O66" s="864"/>
      <c r="P66" s="1135"/>
      <c r="Q66" s="865"/>
      <c r="R66" s="1135"/>
      <c r="S66" s="881"/>
      <c r="T66" s="1135"/>
      <c r="U66" s="882"/>
      <c r="V66" s="1135"/>
      <c r="W66" s="882"/>
      <c r="X66" s="1135"/>
      <c r="Y66" s="892"/>
      <c r="Z66" s="903"/>
      <c r="AA66" s="777"/>
      <c r="AB66" s="777"/>
    </row>
    <row r="67" spans="1:28" s="774" customFormat="1" ht="24" customHeight="1" outlineLevel="1" x14ac:dyDescent="0.3">
      <c r="A67" s="1135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191.4325381734283</v>
      </c>
      <c r="K67" s="872">
        <f>$M$32*(H65+(G67-F67)*H67)*$B$64*$C$64</f>
        <v>15.952711514452361</v>
      </c>
      <c r="L67" s="871">
        <f t="shared" ref="L67:M71" si="3">J67*$D$51</f>
        <v>239.29067271678537</v>
      </c>
      <c r="M67" s="872">
        <f t="shared" si="3"/>
        <v>19.940889393065451</v>
      </c>
      <c r="N67" s="1135"/>
      <c r="O67" s="873">
        <v>15000</v>
      </c>
      <c r="P67" s="1135"/>
      <c r="Q67" s="874">
        <f>O67*$Q$63*M67+O67*(1-$Q$63)*K67</f>
        <v>284157.67385118268</v>
      </c>
      <c r="R67" s="1135"/>
      <c r="S67" s="875">
        <f>IF(AND(Q67&lt;&gt;0,O67&lt;&gt;0),Q67*(1-D17-D18-D19)/O67/30/(H15)/(($D$25*1000000/$D$8))*1000,0)</f>
        <v>0.67482539366870697</v>
      </c>
      <c r="T67" s="1135" t="s">
        <v>459</v>
      </c>
      <c r="U67" s="876">
        <f>S67*O67*30*$D$11*(1+$D$24)/1000</f>
        <v>54382.364474797309</v>
      </c>
      <c r="V67" s="1135" t="s">
        <v>460</v>
      </c>
      <c r="W67" s="876">
        <f>IF(O67&lt;&gt;0,U67/O67,0)</f>
        <v>3.6254909649864873</v>
      </c>
      <c r="X67" s="1135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135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328.17006544016289</v>
      </c>
      <c r="K68" s="872">
        <f>$M$32*(H65+(G67-F67)*H67+(G68-F68)*H68)*$B$64*$C$64</f>
        <v>27.347505453346905</v>
      </c>
      <c r="L68" s="871">
        <f t="shared" si="3"/>
        <v>410.21258180020362</v>
      </c>
      <c r="M68" s="872">
        <f t="shared" si="3"/>
        <v>34.184381816683633</v>
      </c>
      <c r="N68" s="1135"/>
      <c r="O68" s="873">
        <v>500</v>
      </c>
      <c r="P68" s="1135"/>
      <c r="Q68" s="874">
        <f>O68*$Q$63*M68+O68*(1-$Q$63)*K68</f>
        <v>16237.581362924726</v>
      </c>
      <c r="R68" s="1135"/>
      <c r="S68" s="875">
        <f>IF(AND(Q68&lt;&gt;0,O68&lt;&gt;0),Q68*(1-D17-D18-D19)/O68/30/(H15)/(($D$25*1000000/$D$8))*1000,0)</f>
        <v>1.156843532003498</v>
      </c>
      <c r="T68" s="1135" t="s">
        <v>459</v>
      </c>
      <c r="U68" s="876">
        <f>S68*O68*30*$D$11*(1+$D$24)/1000</f>
        <v>3107.5636842741328</v>
      </c>
      <c r="V68" s="1135" t="s">
        <v>460</v>
      </c>
      <c r="W68" s="876">
        <f>IF(O68&lt;&gt;0,U68/O68,0)</f>
        <v>6.2151273685482655</v>
      </c>
      <c r="X68" s="1135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12.430254737096531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135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541.48060797626874</v>
      </c>
      <c r="K69" s="872">
        <f>$M$32*(H65+(G67-F67)*H67+(G68-F68)*H68+(G69-F69)*H69)*$B$64*$C$64</f>
        <v>45.123383998022398</v>
      </c>
      <c r="L69" s="871">
        <f t="shared" si="3"/>
        <v>676.85075997033596</v>
      </c>
      <c r="M69" s="872">
        <f t="shared" si="3"/>
        <v>56.404229997527999</v>
      </c>
      <c r="N69" s="1135"/>
      <c r="O69" s="873">
        <v>1000</v>
      </c>
      <c r="P69" s="1135"/>
      <c r="Q69" s="874">
        <f>O69*$Q$63*M69+O69*(1-$Q$63)*K69</f>
        <v>53584.018497651603</v>
      </c>
      <c r="R69" s="1135"/>
      <c r="S69" s="875">
        <f>IF(AND(Q69&lt;&gt;0,O69&lt;&gt;0),Q69*(1-D17-D18-D19)/O69/30/(H15)/(($D$25*1000000/$D$8))*1000,0)</f>
        <v>1.9087918278057716</v>
      </c>
      <c r="T69" s="1135" t="s">
        <v>459</v>
      </c>
      <c r="U69" s="876">
        <f>S69*O69*30*$D$11*(1+$D$24)/1000</f>
        <v>10254.960158104637</v>
      </c>
      <c r="V69" s="1135" t="s">
        <v>460</v>
      </c>
      <c r="W69" s="876">
        <f>IF(O69&lt;&gt;0,U69/O69,0)</f>
        <v>10.254960158104637</v>
      </c>
      <c r="X69" s="1135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20.509920316209275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135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1115.7782224965536</v>
      </c>
      <c r="K70" s="872">
        <f>$M$32*(H65+(G67-F67)*H67+(G68-F68)*H68+(G69-F69)*H69+(G70-F70)*H70)*$B$64*$C$64</f>
        <v>92.981518541379458</v>
      </c>
      <c r="L70" s="871">
        <f t="shared" si="3"/>
        <v>1394.7227781206921</v>
      </c>
      <c r="M70" s="872">
        <f t="shared" si="3"/>
        <v>116.22689817672432</v>
      </c>
      <c r="N70" s="1135"/>
      <c r="O70" s="873">
        <v>0</v>
      </c>
      <c r="P70" s="1135"/>
      <c r="Q70" s="874">
        <f>O70*$Q$63*M70+O70*(1-$Q$63)*K70</f>
        <v>0</v>
      </c>
      <c r="R70" s="1135"/>
      <c r="S70" s="875">
        <f>IF(AND(Q70&lt;&gt;0,O70&lt;&gt;0),Q70*(1-D17-D18-D19)/O70/30/(H15)/(($D$25*1000000/$D$8))*1000,0)</f>
        <v>0</v>
      </c>
      <c r="T70" s="1135" t="s">
        <v>459</v>
      </c>
      <c r="U70" s="876">
        <f>S70*O70*30*$D$11*(1+$D$24)/1000</f>
        <v>0</v>
      </c>
      <c r="V70" s="1135" t="s">
        <v>460</v>
      </c>
      <c r="W70" s="876">
        <f>IF(O70&lt;&gt;0,U70/O70,0)</f>
        <v>0</v>
      </c>
      <c r="X70" s="1135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135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2346.4159678971641</v>
      </c>
      <c r="K71" s="872">
        <f>$M$32*(H65+(G67-F67)*H67+(G68-F68)*H68+(G69-F69)*H69+(G70-F70)*H70+(G71-F71)*H71)*$B$64*$C$64</f>
        <v>195.53466399143036</v>
      </c>
      <c r="L71" s="871">
        <f t="shared" si="3"/>
        <v>2933.0199598714553</v>
      </c>
      <c r="M71" s="872">
        <f t="shared" si="3"/>
        <v>244.41832998928794</v>
      </c>
      <c r="N71" s="1135"/>
      <c r="O71" s="873">
        <v>0</v>
      </c>
      <c r="P71" s="1135"/>
      <c r="Q71" s="874">
        <f>O71*$Q$63*M71+O71*(1-$Q$63)*K71</f>
        <v>0</v>
      </c>
      <c r="R71" s="1135"/>
      <c r="S71" s="875">
        <f>IF(AND(Q71&lt;&gt;0,O71&lt;&gt;0),Q71*(1-D17-D18-D19)/O71/30/(H15)/(($D$25*1000000/$D$8))*1000,0)</f>
        <v>0</v>
      </c>
      <c r="T71" s="1135" t="s">
        <v>459</v>
      </c>
      <c r="U71" s="876">
        <f>S71*O71*30*$D$11*(1+$D$24)/1000</f>
        <v>0</v>
      </c>
      <c r="V71" s="1135" t="s">
        <v>460</v>
      </c>
      <c r="W71" s="876">
        <f>IF(O71&lt;&gt;0,U71/O71,0)</f>
        <v>0</v>
      </c>
      <c r="X71" s="1135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135"/>
      <c r="B72" s="1135"/>
      <c r="C72" s="777"/>
      <c r="D72" s="1135"/>
      <c r="E72" s="1135"/>
      <c r="F72" s="1135"/>
      <c r="G72" s="1135"/>
      <c r="H72" s="777"/>
      <c r="I72" s="1135"/>
      <c r="J72" s="777"/>
      <c r="K72" s="777"/>
      <c r="L72" s="777"/>
      <c r="M72" s="777"/>
      <c r="N72" s="1135"/>
      <c r="O72" s="1135"/>
      <c r="P72" s="1135"/>
      <c r="Q72" s="1135"/>
      <c r="R72" s="1135"/>
      <c r="S72" s="1135"/>
      <c r="T72" s="1135"/>
      <c r="U72" s="1135"/>
      <c r="V72" s="1135"/>
      <c r="W72" s="777"/>
      <c r="X72" s="1135"/>
      <c r="Y72" s="777"/>
      <c r="Z72" s="1135"/>
      <c r="AA72" s="1135"/>
      <c r="AB72" s="773"/>
    </row>
    <row r="73" spans="1:28" s="774" customFormat="1" ht="34.950000000000003" customHeight="1" outlineLevel="1" x14ac:dyDescent="0.3">
      <c r="A73" s="1135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135"/>
      <c r="O73" s="1135"/>
      <c r="P73" s="1135"/>
      <c r="Q73" s="1135"/>
      <c r="R73" s="1135"/>
      <c r="S73" s="1135"/>
      <c r="T73" s="1135"/>
      <c r="U73" s="1135"/>
      <c r="V73" s="1135"/>
      <c r="W73" s="777"/>
      <c r="X73" s="1135"/>
      <c r="Y73" s="777"/>
      <c r="Z73" s="1135"/>
      <c r="AA73" s="1135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47.348319827883074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135"/>
      <c r="O75" s="802">
        <f>O78+O80+O81+O82+O83+O84</f>
        <v>1741</v>
      </c>
      <c r="P75" s="1135"/>
      <c r="Q75" s="849">
        <f>Q78+Q80+Q81+Q82+Q83+Q84</f>
        <v>82433.424820344429</v>
      </c>
      <c r="R75" s="1135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7888.0934178704319</v>
      </c>
      <c r="V75" s="1135" t="s">
        <v>449</v>
      </c>
      <c r="W75" s="1310">
        <f>W78*O78+W80*O80+W81*O81+W82*O82+W83*O83+W84*O84</f>
        <v>7888.0934178704319</v>
      </c>
      <c r="X75" s="1135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135"/>
      <c r="O76" s="891" t="s">
        <v>455</v>
      </c>
      <c r="P76" s="1135"/>
      <c r="Q76" s="856">
        <v>0.75</v>
      </c>
      <c r="R76" s="1135"/>
      <c r="S76" s="1334"/>
      <c r="T76" s="1336"/>
      <c r="U76" s="1334"/>
      <c r="V76" s="1135"/>
      <c r="W76" s="1311"/>
      <c r="X76" s="1135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135"/>
      <c r="O77" s="864"/>
      <c r="P77" s="1135"/>
      <c r="Q77" s="865"/>
      <c r="R77" s="1135"/>
      <c r="S77" s="866"/>
      <c r="T77" s="1135"/>
      <c r="U77" s="866"/>
      <c r="V77" s="1135"/>
      <c r="W77" s="867"/>
      <c r="X77" s="1135"/>
      <c r="Y77" s="867"/>
      <c r="Z77" s="878"/>
      <c r="AA77" s="878"/>
      <c r="AB77" s="773"/>
    </row>
    <row r="78" spans="1:28" s="774" customFormat="1" ht="24" customHeight="1" outlineLevel="1" x14ac:dyDescent="0.3">
      <c r="A78" s="1135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115.82472897888101</v>
      </c>
      <c r="K78" s="872">
        <f>$M$32*H78*$B$77*$C$77</f>
        <v>9.6520607482400855</v>
      </c>
      <c r="L78" s="871">
        <f>J78*$D$77</f>
        <v>144.78091122360127</v>
      </c>
      <c r="M78" s="872">
        <f>K78*$D$77</f>
        <v>12.065075935300108</v>
      </c>
      <c r="N78" s="1135"/>
      <c r="O78" s="873">
        <v>264</v>
      </c>
      <c r="P78" s="1135"/>
      <c r="Q78" s="874">
        <f>O78*$Q$76*M78+O78*(1-$Q$76)*K78</f>
        <v>3025.921044573267</v>
      </c>
      <c r="R78" s="1135"/>
      <c r="S78" s="875">
        <f>IF(AND(Q78&lt;&gt;0,O78&lt;&gt;0),Q78*(1-D17-D18-D19)/O78/30/(($D$25*1000000/$D$8))*1000,0)</f>
        <v>0.20414885858885257</v>
      </c>
      <c r="T78" s="1135" t="s">
        <v>459</v>
      </c>
      <c r="U78" s="876">
        <f>S78*O78*30*$D$11*(1+$D$24)/1000</f>
        <v>289.55181622883686</v>
      </c>
      <c r="V78" s="1135" t="s">
        <v>460</v>
      </c>
      <c r="W78" s="876">
        <f>IF(O78&lt;&gt;0,U78/O78,0)</f>
        <v>1.096787182684988</v>
      </c>
      <c r="X78" s="1135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135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135"/>
      <c r="O79" s="864"/>
      <c r="P79" s="1135"/>
      <c r="Q79" s="865"/>
      <c r="R79" s="1135"/>
      <c r="S79" s="881"/>
      <c r="T79" s="1135"/>
      <c r="U79" s="882"/>
      <c r="V79" s="1135"/>
      <c r="W79" s="882"/>
      <c r="X79" s="1135"/>
      <c r="Y79" s="867"/>
      <c r="Z79" s="878"/>
      <c r="AA79" s="846"/>
      <c r="AB79" s="773"/>
    </row>
    <row r="80" spans="1:28" s="774" customFormat="1" ht="24" customHeight="1" outlineLevel="1" x14ac:dyDescent="0.3">
      <c r="A80" s="1135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424.69067292256364</v>
      </c>
      <c r="K80" s="872">
        <f>$M$32*(H78+(G80-F80)*H80)*$B$77*$C$77</f>
        <v>35.390889410213646</v>
      </c>
      <c r="L80" s="871">
        <f t="shared" ref="L80:M84" si="4">J80*$D$77</f>
        <v>530.8633411532046</v>
      </c>
      <c r="M80" s="872">
        <f t="shared" si="4"/>
        <v>44.238611762767057</v>
      </c>
      <c r="N80" s="1135"/>
      <c r="O80" s="873">
        <v>994</v>
      </c>
      <c r="P80" s="1135"/>
      <c r="Q80" s="874">
        <f>O80*$Q$76*M80+O80*(1-$Q$76)*K80</f>
        <v>41774.521087580928</v>
      </c>
      <c r="R80" s="1135"/>
      <c r="S80" s="875">
        <f>IF(AND(Q80&lt;&gt;0,O80&lt;&gt;0),Q80*(1-D17-D18-D19)/O80/30/(($D$25*1000000/$D$8))*1000,0)</f>
        <v>0.74854581482579274</v>
      </c>
      <c r="T80" s="1135" t="s">
        <v>459</v>
      </c>
      <c r="U80" s="876">
        <f>S80*O80*30*$D$11*(1+$D$24)/1000</f>
        <v>3997.4236851592191</v>
      </c>
      <c r="V80" s="1135" t="s">
        <v>460</v>
      </c>
      <c r="W80" s="876">
        <f>IF(O80&lt;&gt;0,U80/O80,0)</f>
        <v>4.0215530031782887</v>
      </c>
      <c r="X80" s="1135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135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643.47071654933893</v>
      </c>
      <c r="K81" s="872">
        <f>$M$32*(H78+(G80-F80)*H80+(G81-F81)*H81)*$B$77*$C$77</f>
        <v>53.622559712444911</v>
      </c>
      <c r="L81" s="871">
        <f t="shared" si="4"/>
        <v>804.33839568667372</v>
      </c>
      <c r="M81" s="872">
        <f t="shared" si="4"/>
        <v>67.028199640556139</v>
      </c>
      <c r="N81" s="1135"/>
      <c r="O81" s="873">
        <v>183</v>
      </c>
      <c r="P81" s="1135"/>
      <c r="Q81" s="874">
        <f>O81*$Q$76*M81+O81*(1-$Q$76)*K81</f>
        <v>11652.852507510685</v>
      </c>
      <c r="R81" s="1135"/>
      <c r="S81" s="875">
        <f>IF(AND(Q81&lt;&gt;0,O81&lt;&gt;0),Q81*(1-D17-D18-D19)/O81/30/(($D$25*1000000/$D$8))*1000,0)</f>
        <v>1.134160325493625</v>
      </c>
      <c r="T81" s="1135" t="s">
        <v>459</v>
      </c>
      <c r="U81" s="876">
        <f>S81*O81*30*$D$11*(1+$D$24)/1000</f>
        <v>1115.0669690630707</v>
      </c>
      <c r="V81" s="1135" t="s">
        <v>460</v>
      </c>
      <c r="W81" s="876">
        <f>IF(O81&lt;&gt;0,U81/O81,0)</f>
        <v>6.0932621260277084</v>
      </c>
      <c r="X81" s="1135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135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875.12017450710096</v>
      </c>
      <c r="K82" s="872">
        <f>$M$32*(H78+(G80-F80)*H80+(G81-F81)*H81+(G82-F82)*H82)*$B$77*$C$77</f>
        <v>72.926681208925075</v>
      </c>
      <c r="L82" s="871">
        <f t="shared" si="4"/>
        <v>1093.9002181338763</v>
      </c>
      <c r="M82" s="872">
        <f t="shared" si="4"/>
        <v>91.15835151115634</v>
      </c>
      <c r="N82" s="1135"/>
      <c r="O82" s="873">
        <v>300</v>
      </c>
      <c r="P82" s="1135"/>
      <c r="Q82" s="874">
        <f>O82*$Q$76*M82+O82*(1-$Q$76)*K82</f>
        <v>25980.13018067956</v>
      </c>
      <c r="R82" s="1135"/>
      <c r="S82" s="875">
        <f>IF(AND(Q82&lt;&gt;0,O82&lt;&gt;0),Q82*(1-D17-D18-D19)/O82/30/(($D$25*1000000/$D$8))*1000,0)</f>
        <v>1.5424580426713304</v>
      </c>
      <c r="T82" s="1135" t="s">
        <v>459</v>
      </c>
      <c r="U82" s="876">
        <f>S82*O82*30*$D$11*(1+$D$24)/1000</f>
        <v>2486.0509474193059</v>
      </c>
      <c r="V82" s="1135" t="s">
        <v>460</v>
      </c>
      <c r="W82" s="876">
        <f>IF(O82&lt;&gt;0,U82/O82,0)</f>
        <v>8.2868364913976862</v>
      </c>
      <c r="X82" s="1135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135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1241.8984829402243</v>
      </c>
      <c r="K83" s="872">
        <f>$M$32*(H78+(G80-F80)*H80+(G81-F81)*H81+(G82-F82)*H82+(G83-F83)*H83)*$B$77*$C$77</f>
        <v>103.49154024501868</v>
      </c>
      <c r="L83" s="871">
        <f t="shared" si="4"/>
        <v>1552.3731036752804</v>
      </c>
      <c r="M83" s="872">
        <f t="shared" si="4"/>
        <v>129.36442530627335</v>
      </c>
      <c r="N83" s="1135"/>
      <c r="O83" s="873">
        <v>0</v>
      </c>
      <c r="P83" s="1135"/>
      <c r="Q83" s="874">
        <f>O83*$Q$76*M83+O83*(1-$Q$76)*K83</f>
        <v>0</v>
      </c>
      <c r="R83" s="1135"/>
      <c r="S83" s="875">
        <f>IF(AND(Q83&lt;&gt;0,O83&lt;&gt;0),Q83*(1-D17-D18-D19)/O83/30/(($D$25*1000000/$D$8))*1000,0)</f>
        <v>0</v>
      </c>
      <c r="T83" s="1135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135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135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2400.1457727290344</v>
      </c>
      <c r="K84" s="872">
        <f>$M$32*(H78+(G80-F80)*H80+(G81-F81)*H81+(G82-F82)*H82+(G83-F83)*H83+(G84-F84)*H84)*$B$77*$C$77</f>
        <v>200.01214772741952</v>
      </c>
      <c r="L84" s="871">
        <f t="shared" si="4"/>
        <v>3000.182215911293</v>
      </c>
      <c r="M84" s="872">
        <f t="shared" si="4"/>
        <v>250.01518465927438</v>
      </c>
      <c r="N84" s="1135"/>
      <c r="O84" s="873">
        <v>0</v>
      </c>
      <c r="P84" s="1135"/>
      <c r="Q84" s="874">
        <f>O84*$Q$76*M84+O84*(1-$Q$76)*K84</f>
        <v>0</v>
      </c>
      <c r="R84" s="1135"/>
      <c r="S84" s="875">
        <f>IF(AND(Q84&lt;&gt;0,O84&lt;&gt;0),Q84*(1-D17-D18-D19)/O84/30/(($D$25*1000000/$D$8))*1000,0)</f>
        <v>0</v>
      </c>
      <c r="T84" s="1135" t="s">
        <v>459</v>
      </c>
      <c r="U84" s="876">
        <f>S84*O84*30*$D$11*(1+$D$24)/1000</f>
        <v>0</v>
      </c>
      <c r="V84" s="1135" t="s">
        <v>460</v>
      </c>
      <c r="W84" s="876">
        <f>IF(O84&lt;&gt;0,U84/O84,0)</f>
        <v>0</v>
      </c>
      <c r="X84" s="1135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135"/>
      <c r="B85" s="1135"/>
      <c r="C85" s="777"/>
      <c r="D85" s="1135"/>
      <c r="E85" s="1135"/>
      <c r="F85" s="1135"/>
      <c r="G85" s="1135"/>
      <c r="H85" s="777"/>
      <c r="I85" s="1135"/>
      <c r="J85" s="777"/>
      <c r="K85" s="777"/>
      <c r="L85" s="777"/>
      <c r="M85" s="777"/>
      <c r="N85" s="1135"/>
      <c r="O85" s="1135"/>
      <c r="P85" s="1135"/>
      <c r="Q85" s="1135"/>
      <c r="R85" s="1135"/>
      <c r="S85" s="1135"/>
      <c r="T85" s="1135"/>
      <c r="U85" s="1135"/>
      <c r="V85" s="1135"/>
      <c r="W85" s="777"/>
      <c r="X85" s="1135"/>
      <c r="Y85" s="777"/>
      <c r="Z85" s="1135"/>
      <c r="AA85" s="1135"/>
      <c r="AB85" s="773"/>
    </row>
    <row r="86" spans="1:28" s="774" customFormat="1" ht="34.950000000000003" customHeight="1" outlineLevel="1" x14ac:dyDescent="0.3">
      <c r="A86" s="1135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135"/>
      <c r="O86" s="1135"/>
      <c r="P86" s="1135"/>
      <c r="Q86" s="1135"/>
      <c r="R86" s="1135"/>
      <c r="S86" s="1135"/>
      <c r="T86" s="1135"/>
      <c r="U86" s="1135"/>
      <c r="V86" s="1135"/>
      <c r="W86" s="777"/>
      <c r="X86" s="1135"/>
      <c r="Y86" s="777"/>
      <c r="Z86" s="1135"/>
      <c r="AA86" s="1135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102.83801529852326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135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135"/>
      <c r="O88" s="877">
        <f>O91+O93+O94+O95+O96</f>
        <v>20</v>
      </c>
      <c r="P88" s="1135"/>
      <c r="Q88" s="849">
        <f>Q91+Q93+Q94+Q95+Q96</f>
        <v>2056.7603059704652</v>
      </c>
      <c r="R88" s="1135"/>
      <c r="S88" s="1310">
        <f>IF(AND(Q88&lt;&gt;0,O88&lt;&gt;0),Q88*(1-D17-D18-D19)/(($D$25*1000000/$D$8)),0)</f>
        <v>1.0990013554033227</v>
      </c>
      <c r="T88" s="1335" t="s">
        <v>448</v>
      </c>
      <c r="U88" s="1310">
        <f>U91+U93+U94+U95+U96+Z97</f>
        <v>196.81236667069498</v>
      </c>
      <c r="V88" s="1135" t="s">
        <v>449</v>
      </c>
      <c r="W88" s="1310">
        <f>W91*O91+W93*O93+W94*O94+W95*O95+W96*O96</f>
        <v>196.81236667069504</v>
      </c>
      <c r="X88" s="1135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135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135"/>
      <c r="O89" s="891" t="s">
        <v>455</v>
      </c>
      <c r="P89" s="1135"/>
      <c r="Q89" s="856">
        <v>0.75</v>
      </c>
      <c r="R89" s="1135"/>
      <c r="S89" s="1334"/>
      <c r="T89" s="1336"/>
      <c r="U89" s="1334"/>
      <c r="V89" s="1135"/>
      <c r="W89" s="1311"/>
      <c r="X89" s="1135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135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135"/>
      <c r="O90" s="864"/>
      <c r="P90" s="1135"/>
      <c r="Q90" s="865"/>
      <c r="R90" s="1135"/>
      <c r="S90" s="866"/>
      <c r="T90" s="1135"/>
      <c r="U90" s="866"/>
      <c r="V90" s="1135"/>
      <c r="W90" s="867"/>
      <c r="X90" s="1135"/>
      <c r="Y90" s="777"/>
      <c r="Z90" s="1135"/>
      <c r="AA90" s="1135"/>
      <c r="AB90" s="773"/>
    </row>
    <row r="91" spans="1:28" s="774" customFormat="1" ht="24" customHeight="1" outlineLevel="1" x14ac:dyDescent="0.3">
      <c r="A91" s="1135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90.085900316907441</v>
      </c>
      <c r="K91" s="872">
        <f>$M$32*H91*$B$90*$C$90</f>
        <v>7.507158359742288</v>
      </c>
      <c r="L91" s="871">
        <f>J91*$D$90</f>
        <v>112.6073753961343</v>
      </c>
      <c r="M91" s="872">
        <f>K91*$D$90</f>
        <v>9.3839479496778608</v>
      </c>
      <c r="N91" s="1135"/>
      <c r="O91" s="873">
        <v>1</v>
      </c>
      <c r="P91" s="1135"/>
      <c r="Q91" s="874">
        <f>O91*$Q$76*M91+O91*(1-$Q$76)*K91</f>
        <v>8.9147505521939685</v>
      </c>
      <c r="R91" s="1135"/>
      <c r="S91" s="875">
        <f>IF(AND(Q91&lt;&gt;0,O91&lt;&gt;0),Q91*(1-D17-D18-D19)/O91/30/(($D$25*1000000/$D$8))*1000,0)</f>
        <v>0.15878244556910756</v>
      </c>
      <c r="T91" s="1135" t="s">
        <v>459</v>
      </c>
      <c r="U91" s="876">
        <f>S91*O91*30*$D$11*(1+$D$24)/1000</f>
        <v>0.85305669764387959</v>
      </c>
      <c r="V91" s="1135" t="s">
        <v>460</v>
      </c>
      <c r="W91" s="876">
        <f>IF(O91&lt;&gt;0,U91/O91,0)</f>
        <v>0.85305669764387959</v>
      </c>
      <c r="X91" s="1135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135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135"/>
      <c r="O92" s="864"/>
      <c r="P92" s="1135"/>
      <c r="Q92" s="865"/>
      <c r="R92" s="1135"/>
      <c r="S92" s="881"/>
      <c r="T92" s="1135"/>
      <c r="U92" s="882"/>
      <c r="V92" s="1135"/>
      <c r="W92" s="882"/>
      <c r="X92" s="1135"/>
      <c r="Y92" s="1134"/>
      <c r="Z92" s="878"/>
      <c r="AA92" s="846"/>
      <c r="AB92" s="773"/>
    </row>
    <row r="93" spans="1:28" s="774" customFormat="1" ht="24" customHeight="1" outlineLevel="1" x14ac:dyDescent="0.3">
      <c r="A93" s="1135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283.12711528170917</v>
      </c>
      <c r="K93" s="872">
        <f>$M$32*(H91+(G93-F93)*H93)*$B$90*$C$90</f>
        <v>23.593926273475766</v>
      </c>
      <c r="L93" s="871">
        <f t="shared" ref="L93:M96" si="5">J93*$D$90</f>
        <v>353.90889410213646</v>
      </c>
      <c r="M93" s="872">
        <f t="shared" si="5"/>
        <v>29.49240784184471</v>
      </c>
      <c r="N93" s="1135"/>
      <c r="O93" s="873">
        <v>2</v>
      </c>
      <c r="P93" s="1135"/>
      <c r="Q93" s="874">
        <f>O93*$Q$76*M93+O93*(1-$Q$76)*K93</f>
        <v>56.035574899504951</v>
      </c>
      <c r="R93" s="1135"/>
      <c r="S93" s="875">
        <f>IF(AND(Q93&lt;&gt;0,O93&lt;&gt;0),Q93*(1-D17-D18-D19)/O93/30/(($D$25*1000000/$D$8))*1000,0)</f>
        <v>0.4990305432171952</v>
      </c>
      <c r="T93" s="1135" t="s">
        <v>459</v>
      </c>
      <c r="U93" s="876">
        <f>S93*O93*30*$D$11*(1+$D$24)/1000</f>
        <v>5.3620706709043864</v>
      </c>
      <c r="V93" s="1135" t="s">
        <v>460</v>
      </c>
      <c r="W93" s="876">
        <f>IF(O93&lt;&gt;0,U93/O93,0)</f>
        <v>2.6810353354521932</v>
      </c>
      <c r="X93" s="1135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135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1183.9861184507836</v>
      </c>
      <c r="K94" s="872">
        <f>$M$32*(H91+(G93-F93)*H93+(G94-F94)*H94)*$B$90*$C$90</f>
        <v>98.665509870898632</v>
      </c>
      <c r="L94" s="871">
        <f t="shared" si="5"/>
        <v>1479.9826480634795</v>
      </c>
      <c r="M94" s="872">
        <f t="shared" si="5"/>
        <v>123.33188733862329</v>
      </c>
      <c r="N94" s="1135"/>
      <c r="O94" s="873">
        <v>17</v>
      </c>
      <c r="P94" s="1135"/>
      <c r="Q94" s="874">
        <f>O94*$Q$76*M94+O94*(1-$Q$76)*K94</f>
        <v>1991.8099805187662</v>
      </c>
      <c r="R94" s="1135"/>
      <c r="S94" s="875">
        <f>IF(AND(Q94&lt;&gt;0,O94&lt;&gt;0),Q94*(1-D17-D18-D19)/O94/30/(($D$25*1000000/$D$8))*1000,0)</f>
        <v>2.0868549989082701</v>
      </c>
      <c r="T94" s="1135" t="s">
        <v>459</v>
      </c>
      <c r="U94" s="876">
        <f>S94*O94*30*$D$11*(1+$D$24)/1000</f>
        <v>190.59723930214673</v>
      </c>
      <c r="V94" s="1135" t="s">
        <v>460</v>
      </c>
      <c r="W94" s="876">
        <f>IF(O94&lt;&gt;0,U94/O94,0)</f>
        <v>11.211602311890985</v>
      </c>
      <c r="X94" s="1135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135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6846.5284240849669</v>
      </c>
      <c r="K95" s="872">
        <f>$M$32*(H91+(G93-F93)*H93+(G94-F94)*H94+(G95-F95)*H95)*$B$90*$C$90</f>
        <v>570.54403534041398</v>
      </c>
      <c r="L95" s="871">
        <f t="shared" si="5"/>
        <v>8558.1605301062082</v>
      </c>
      <c r="M95" s="872">
        <f t="shared" si="5"/>
        <v>713.18004417551742</v>
      </c>
      <c r="N95" s="1135"/>
      <c r="O95" s="873">
        <v>0</v>
      </c>
      <c r="P95" s="1135"/>
      <c r="Q95" s="874">
        <f>O95*$Q$76*M95+O95*(1-$Q$76)*K95</f>
        <v>0</v>
      </c>
      <c r="R95" s="1135"/>
      <c r="S95" s="875">
        <f>IF(AND(Q95&lt;&gt;0,O95&lt;&gt;0),Q95*(1-D17-D18-D19)/O95/30/(($D$25*1000000/$D$8))*1000,0)</f>
        <v>0</v>
      </c>
      <c r="T95" s="1135" t="s">
        <v>459</v>
      </c>
      <c r="U95" s="876">
        <f>S95*O95*30*$D$11*(1+$D$24)/1000</f>
        <v>0</v>
      </c>
      <c r="V95" s="1135" t="s">
        <v>460</v>
      </c>
      <c r="W95" s="876">
        <f>IF(O95&lt;&gt;0,U95/O95,0)</f>
        <v>0</v>
      </c>
      <c r="X95" s="1135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135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14568.177022677035</v>
      </c>
      <c r="K96" s="872">
        <f>$M$32*(H91+(G93-F93)*H93+(G94-F94)*H94+(G95-F95)*H95+(G96-F96)*H96)*$B$90*$C$90</f>
        <v>1214.0147518897529</v>
      </c>
      <c r="L96" s="871">
        <f t="shared" si="5"/>
        <v>18210.221278346293</v>
      </c>
      <c r="M96" s="872">
        <f t="shared" si="5"/>
        <v>1517.5184398621911</v>
      </c>
      <c r="N96" s="1135"/>
      <c r="O96" s="873">
        <v>0</v>
      </c>
      <c r="P96" s="1135"/>
      <c r="Q96" s="874">
        <f>O96*$Q$76*M96+O96*(1-$Q$76)*K96</f>
        <v>0</v>
      </c>
      <c r="R96" s="1135"/>
      <c r="S96" s="875">
        <f>IF(AND(Q96&lt;&gt;0,O96&lt;&gt;0),Q96*(1-D17-D18-D19)/O96/30/(($D$25*1000000/$D$8))*1000,0)</f>
        <v>0</v>
      </c>
      <c r="T96" s="1135" t="s">
        <v>459</v>
      </c>
      <c r="U96" s="876">
        <f>S96*O96*30*$D$11*(1+$D$24)/1000</f>
        <v>0</v>
      </c>
      <c r="V96" s="1135" t="s">
        <v>460</v>
      </c>
      <c r="W96" s="876">
        <f>IF(O96&lt;&gt;0,U96/O96,0)</f>
        <v>0</v>
      </c>
      <c r="X96" s="1135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135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135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81" priority="13">
      <formula>OR(O36&lt;O35*99.75%,O36&gt;O35*100.25%)</formula>
    </cfRule>
  </conditionalFormatting>
  <conditionalFormatting sqref="O36">
    <cfRule type="expression" dxfId="80" priority="14">
      <formula>OR(O36&lt;O35*100.25%,O36&gt;O35*99.75%)</formula>
    </cfRule>
  </conditionalFormatting>
  <conditionalFormatting sqref="Y39">
    <cfRule type="expression" dxfId="79" priority="15">
      <formula>Y39="NOK"</formula>
    </cfRule>
  </conditionalFormatting>
  <conditionalFormatting sqref="Y39">
    <cfRule type="expression" dxfId="78" priority="16">
      <formula>Y39="OK"</formula>
    </cfRule>
  </conditionalFormatting>
  <conditionalFormatting sqref="Y41:Y45">
    <cfRule type="expression" dxfId="77" priority="17">
      <formula>Y41="NOK"</formula>
    </cfRule>
  </conditionalFormatting>
  <conditionalFormatting sqref="Y41:Y45">
    <cfRule type="expression" dxfId="76" priority="18">
      <formula>Y41="OK"</formula>
    </cfRule>
  </conditionalFormatting>
  <conditionalFormatting sqref="Y52">
    <cfRule type="expression" dxfId="75" priority="19">
      <formula>Y52="NOK"</formula>
    </cfRule>
  </conditionalFormatting>
  <conditionalFormatting sqref="Y52">
    <cfRule type="expression" dxfId="74" priority="20">
      <formula>Y52="OK"</formula>
    </cfRule>
  </conditionalFormatting>
  <conditionalFormatting sqref="Y54:Y58">
    <cfRule type="expression" dxfId="73" priority="21">
      <formula>Y54="NOK"</formula>
    </cfRule>
  </conditionalFormatting>
  <conditionalFormatting sqref="Y54:Y58">
    <cfRule type="expression" dxfId="72" priority="22">
      <formula>Y54="OK"</formula>
    </cfRule>
  </conditionalFormatting>
  <conditionalFormatting sqref="Y65">
    <cfRule type="expression" dxfId="71" priority="23">
      <formula>Y65="NOK"</formula>
    </cfRule>
  </conditionalFormatting>
  <conditionalFormatting sqref="Y65">
    <cfRule type="expression" dxfId="70" priority="24">
      <formula>Y65="OK"</formula>
    </cfRule>
  </conditionalFormatting>
  <conditionalFormatting sqref="Y67:Y71">
    <cfRule type="expression" dxfId="69" priority="25">
      <formula>Y67="NOK"</formula>
    </cfRule>
  </conditionalFormatting>
  <conditionalFormatting sqref="Y67:Y71">
    <cfRule type="expression" dxfId="68" priority="26">
      <formula>Y67="OK"</formula>
    </cfRule>
  </conditionalFormatting>
  <conditionalFormatting sqref="Y78">
    <cfRule type="expression" dxfId="67" priority="27">
      <formula>Y78="NOK"</formula>
    </cfRule>
  </conditionalFormatting>
  <conditionalFormatting sqref="Y78">
    <cfRule type="expression" dxfId="66" priority="28">
      <formula>Y78="OK"</formula>
    </cfRule>
  </conditionalFormatting>
  <conditionalFormatting sqref="Y80:Y84">
    <cfRule type="expression" dxfId="65" priority="29">
      <formula>Y80="NOK"</formula>
    </cfRule>
  </conditionalFormatting>
  <conditionalFormatting sqref="Y80:Y84">
    <cfRule type="expression" dxfId="64" priority="30">
      <formula>Y80="OK"</formula>
    </cfRule>
  </conditionalFormatting>
  <conditionalFormatting sqref="Y91">
    <cfRule type="expression" dxfId="63" priority="31">
      <formula>Y91="NOK"</formula>
    </cfRule>
  </conditionalFormatting>
  <conditionalFormatting sqref="Y91">
    <cfRule type="expression" dxfId="62" priority="32">
      <formula>Y91="OK"</formula>
    </cfRule>
  </conditionalFormatting>
  <conditionalFormatting sqref="Y93:Y96">
    <cfRule type="expression" dxfId="61" priority="33">
      <formula>Y93="NOK"</formula>
    </cfRule>
  </conditionalFormatting>
  <conditionalFormatting sqref="Y93:Y96">
    <cfRule type="expression" dxfId="60" priority="34">
      <formula>Y93="OK"</formula>
    </cfRule>
  </conditionalFormatting>
  <conditionalFormatting sqref="Y12">
    <cfRule type="expression" dxfId="59" priority="35">
      <formula>Y12&gt;20%</formula>
    </cfRule>
  </conditionalFormatting>
  <conditionalFormatting sqref="Y12">
    <cfRule type="expression" dxfId="58" priority="36">
      <formula>Y12&lt;=20%</formula>
    </cfRule>
  </conditionalFormatting>
  <conditionalFormatting sqref="O5">
    <cfRule type="expression" dxfId="57" priority="37">
      <formula>ABS(O8)&gt;=O7</formula>
    </cfRule>
    <cfRule type="expression" dxfId="56" priority="38">
      <formula>ABS(O8)&lt;O7</formula>
    </cfRule>
  </conditionalFormatting>
  <conditionalFormatting sqref="Q5">
    <cfRule type="expression" dxfId="55" priority="11">
      <formula>ABS(Q8)&gt;=Q7</formula>
    </cfRule>
    <cfRule type="expression" dxfId="54" priority="12">
      <formula>ABS(Q8)&lt;Q7</formula>
    </cfRule>
  </conditionalFormatting>
  <conditionalFormatting sqref="S5">
    <cfRule type="expression" dxfId="53" priority="9">
      <formula>ABS(S8)&gt;=S7</formula>
    </cfRule>
    <cfRule type="expression" dxfId="52" priority="10">
      <formula>ABS(S8)&lt;S7</formula>
    </cfRule>
  </conditionalFormatting>
  <conditionalFormatting sqref="U5">
    <cfRule type="expression" dxfId="51" priority="7">
      <formula>ABS(U8)&gt;=U7</formula>
    </cfRule>
    <cfRule type="expression" dxfId="50" priority="8">
      <formula>ABS(U8)&lt;U7</formula>
    </cfRule>
  </conditionalFormatting>
  <conditionalFormatting sqref="W5">
    <cfRule type="expression" dxfId="49" priority="5">
      <formula>ABS(W8)&gt;=W7</formula>
    </cfRule>
    <cfRule type="expression" dxfId="48" priority="6">
      <formula>ABS(W8)&lt;W7</formula>
    </cfRule>
  </conditionalFormatting>
  <conditionalFormatting sqref="Y5">
    <cfRule type="expression" dxfId="47" priority="3">
      <formula>ABS(Y12)&gt;=Y10</formula>
    </cfRule>
    <cfRule type="expression" dxfId="46" priority="4">
      <formula>ABS(Y12)&lt;Y10</formula>
    </cfRule>
  </conditionalFormatting>
  <conditionalFormatting sqref="O49 O62 O75 O88">
    <cfRule type="expression" dxfId="45" priority="1">
      <formula>OR(O49&lt;O48*99.75%,O49&gt;O48*100.25%)</formula>
    </cfRule>
  </conditionalFormatting>
  <conditionalFormatting sqref="O49 O62 O75 O88">
    <cfRule type="expression" dxfId="4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2D0-C345-4B3F-833F-0665B0CAC303}">
  <sheetPr codeName="Planilha45">
    <tabColor theme="9" tint="0.59999389629810485"/>
    <outlinePr summaryBelow="0" summaryRight="0"/>
  </sheetPr>
  <dimension ref="A1:AB103"/>
  <sheetViews>
    <sheetView zoomScale="60" zoomScaleNormal="60" workbookViewId="0">
      <selection activeCell="B4" sqref="B4"/>
    </sheetView>
  </sheetViews>
  <sheetFormatPr defaultColWidth="14.44140625" defaultRowHeight="15" customHeight="1" outlineLevelRow="1" outlineLevelCol="1" x14ac:dyDescent="0.3"/>
  <cols>
    <col min="1" max="1" width="1" style="769" customWidth="1"/>
    <col min="2" max="2" width="65.6640625" style="770" customWidth="1"/>
    <col min="3" max="3" width="20.6640625" style="771" customWidth="1"/>
    <col min="4" max="4" width="18.33203125" style="770" customWidth="1"/>
    <col min="5" max="5" width="3.33203125" style="770" customWidth="1"/>
    <col min="6" max="7" width="30.6640625" style="770" customWidth="1"/>
    <col min="8" max="8" width="18.33203125" style="770" customWidth="1"/>
    <col min="9" max="9" width="3.44140625" style="770" customWidth="1"/>
    <col min="10" max="13" width="18.33203125" style="770" customWidth="1"/>
    <col min="14" max="14" width="5" style="770" customWidth="1" collapsed="1"/>
    <col min="15" max="15" width="18.33203125" style="770" hidden="1" customWidth="1" outlineLevel="1"/>
    <col min="16" max="16" width="3.44140625" style="770" hidden="1" customWidth="1" outlineLevel="1"/>
    <col min="17" max="17" width="18.33203125" style="770" hidden="1" customWidth="1" outlineLevel="1"/>
    <col min="18" max="18" width="3.44140625" style="770" hidden="1" customWidth="1" outlineLevel="1"/>
    <col min="19" max="19" width="18.33203125" style="770" hidden="1" customWidth="1" outlineLevel="1"/>
    <col min="20" max="21" width="23.33203125" style="770" hidden="1" customWidth="1" outlineLevel="1"/>
    <col min="22" max="22" width="28.44140625" style="770" hidden="1" customWidth="1" outlineLevel="1"/>
    <col min="23" max="23" width="23.33203125" style="771" hidden="1" customWidth="1" outlineLevel="1"/>
    <col min="24" max="24" width="28.44140625" style="770" hidden="1" customWidth="1" outlineLevel="1"/>
    <col min="25" max="25" width="21.88671875" style="771" hidden="1" customWidth="1" outlineLevel="1"/>
    <col min="26" max="26" width="11.33203125" style="770" hidden="1" customWidth="1" outlineLevel="1"/>
    <col min="27" max="27" width="8.6640625" style="770" hidden="1" customWidth="1" outlineLevel="1"/>
    <col min="28" max="16384" width="14.44140625" style="769"/>
  </cols>
  <sheetData>
    <row r="1" spans="1:28" ht="4.95" customHeight="1" x14ac:dyDescent="0.3"/>
    <row r="2" spans="1:28" s="774" customFormat="1" ht="17.7" customHeight="1" x14ac:dyDescent="0.3">
      <c r="A2" s="1135"/>
      <c r="B2" s="1288" t="s">
        <v>616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135"/>
      <c r="O2" s="1289" t="s">
        <v>369</v>
      </c>
      <c r="P2" s="1289"/>
      <c r="Q2" s="1289"/>
      <c r="R2" s="1289"/>
      <c r="S2" s="1289"/>
      <c r="T2" s="1289"/>
      <c r="U2" s="1289"/>
      <c r="V2" s="1289"/>
      <c r="W2" s="1289"/>
      <c r="X2" s="1289"/>
      <c r="Y2" s="1289"/>
      <c r="Z2" s="1289"/>
      <c r="AA2" s="1289"/>
      <c r="AB2" s="773"/>
    </row>
    <row r="3" spans="1:28" s="776" customFormat="1" ht="17.7" customHeight="1" x14ac:dyDescent="0.3">
      <c r="A3" s="775"/>
      <c r="B3" s="1288"/>
      <c r="C3" s="1288"/>
      <c r="D3" s="1288"/>
      <c r="E3" s="1288"/>
      <c r="F3" s="1288"/>
      <c r="G3" s="1288"/>
      <c r="H3" s="1288"/>
      <c r="I3" s="1288"/>
      <c r="J3" s="1288"/>
      <c r="K3" s="1288"/>
      <c r="L3" s="1288"/>
      <c r="M3" s="1288"/>
      <c r="N3" s="775"/>
      <c r="O3" s="1289"/>
      <c r="P3" s="1289"/>
      <c r="Q3" s="1289"/>
      <c r="R3" s="1289"/>
      <c r="S3" s="1289"/>
      <c r="T3" s="1289"/>
      <c r="U3" s="1289"/>
      <c r="V3" s="1289"/>
      <c r="W3" s="1289"/>
      <c r="X3" s="1289"/>
      <c r="Y3" s="1289"/>
      <c r="Z3" s="1289"/>
      <c r="AA3" s="1289"/>
      <c r="AB3" s="773"/>
    </row>
    <row r="4" spans="1:28" s="774" customFormat="1" ht="7.5" customHeight="1" thickBot="1" x14ac:dyDescent="0.35">
      <c r="A4" s="1135"/>
      <c r="B4" s="1135"/>
      <c r="C4" s="777"/>
      <c r="D4" s="1135"/>
      <c r="E4" s="1135"/>
      <c r="F4" s="1135"/>
      <c r="G4" s="1135"/>
      <c r="H4" s="777"/>
      <c r="I4" s="1135"/>
      <c r="J4" s="777"/>
      <c r="K4" s="777"/>
      <c r="L4" s="777"/>
      <c r="M4" s="777"/>
      <c r="N4" s="1135"/>
      <c r="O4" s="1135"/>
      <c r="P4" s="1135"/>
      <c r="Q4" s="1135"/>
      <c r="R4" s="1135"/>
      <c r="S4" s="1135"/>
      <c r="T4" s="1135"/>
      <c r="U4" s="1135"/>
      <c r="V4" s="1135"/>
      <c r="W4" s="777"/>
      <c r="X4" s="1135"/>
      <c r="Y4" s="777"/>
      <c r="Z4" s="1135"/>
      <c r="AA4" s="1135"/>
      <c r="AB4" s="773"/>
    </row>
    <row r="5" spans="1:28" s="774" customFormat="1" ht="19.95" customHeight="1" thickTop="1" x14ac:dyDescent="0.3">
      <c r="A5" s="1135"/>
      <c r="B5" s="778" t="s">
        <v>370</v>
      </c>
      <c r="C5" s="779" t="s">
        <v>371</v>
      </c>
      <c r="D5" s="780" t="s">
        <v>372</v>
      </c>
      <c r="E5" s="1135"/>
      <c r="F5" s="781" t="s">
        <v>373</v>
      </c>
      <c r="G5" s="779" t="s">
        <v>374</v>
      </c>
      <c r="H5" s="780" t="s">
        <v>375</v>
      </c>
      <c r="I5" s="1135"/>
      <c r="J5" s="1290" t="s">
        <v>376</v>
      </c>
      <c r="K5" s="1292" t="s">
        <v>377</v>
      </c>
      <c r="L5" s="1135"/>
      <c r="M5" s="777"/>
      <c r="N5" s="1135"/>
      <c r="O5" s="1294" t="s">
        <v>378</v>
      </c>
      <c r="P5" s="1135"/>
      <c r="Q5" s="1294" t="s">
        <v>379</v>
      </c>
      <c r="R5" s="1135"/>
      <c r="S5" s="1294" t="s">
        <v>380</v>
      </c>
      <c r="T5" s="1135"/>
      <c r="U5" s="1294" t="s">
        <v>381</v>
      </c>
      <c r="V5" s="1135"/>
      <c r="W5" s="1294" t="s">
        <v>382</v>
      </c>
      <c r="X5" s="1135"/>
      <c r="Y5" s="1294" t="s">
        <v>383</v>
      </c>
      <c r="Z5" s="1135"/>
      <c r="AA5" s="1135"/>
      <c r="AB5" s="773"/>
    </row>
    <row r="6" spans="1:28" s="774" customFormat="1" ht="19.95" customHeight="1" outlineLevel="1" x14ac:dyDescent="0.3">
      <c r="A6" s="1135"/>
      <c r="B6" s="782" t="s">
        <v>384</v>
      </c>
      <c r="C6" s="783" t="s">
        <v>385</v>
      </c>
      <c r="D6" s="784">
        <f>D7*D8/1000000</f>
        <v>39.27284550523953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135"/>
      <c r="J6" s="1291"/>
      <c r="K6" s="1293"/>
      <c r="L6" s="1135"/>
      <c r="M6" s="789"/>
      <c r="N6" s="790"/>
      <c r="O6" s="1295"/>
      <c r="P6" s="1135"/>
      <c r="Q6" s="1295"/>
      <c r="R6" s="1135"/>
      <c r="S6" s="1295"/>
      <c r="T6" s="1135"/>
      <c r="U6" s="1295"/>
      <c r="V6" s="1135"/>
      <c r="W6" s="1295"/>
      <c r="X6" s="1135"/>
      <c r="Y6" s="1295"/>
      <c r="Z6" s="1135"/>
      <c r="AA6" s="1135"/>
      <c r="AB6" s="773"/>
    </row>
    <row r="7" spans="1:28" s="774" customFormat="1" ht="19.95" customHeight="1" outlineLevel="1" x14ac:dyDescent="0.3">
      <c r="A7" s="1135"/>
      <c r="B7" s="786" t="s">
        <v>387</v>
      </c>
      <c r="C7" s="791" t="s">
        <v>8</v>
      </c>
      <c r="D7" s="792">
        <f>'5)Incineração - E Elétrica'!M22-'5)Incineração - E Elétrica'!M8-'5)Incineração - E Elétrica'!M9</f>
        <v>1142.0416913880165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135"/>
      <c r="J7" s="1275">
        <f>126090+43698</f>
        <v>169788</v>
      </c>
      <c r="K7" s="1277">
        <v>0.25</v>
      </c>
      <c r="L7" s="1135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135"/>
      <c r="AB7" s="773"/>
    </row>
    <row r="8" spans="1:28" s="774" customFormat="1" ht="19.95" customHeight="1" outlineLevel="1" thickBot="1" x14ac:dyDescent="0.35">
      <c r="A8" s="1135"/>
      <c r="B8" s="786" t="s">
        <v>391</v>
      </c>
      <c r="C8" s="791" t="s">
        <v>5</v>
      </c>
      <c r="D8" s="792">
        <f>'C-Dados RT5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135"/>
      <c r="J8" s="1276"/>
      <c r="K8" s="1278"/>
      <c r="L8" s="1135"/>
      <c r="M8" s="789"/>
      <c r="N8" s="790"/>
      <c r="O8" s="796">
        <f>(O12-O10)/O10</f>
        <v>0</v>
      </c>
      <c r="P8" s="790"/>
      <c r="Q8" s="796">
        <f>(Q12-Q10)/Q10</f>
        <v>5.9292925928744935E-3</v>
      </c>
      <c r="R8" s="790"/>
      <c r="S8" s="796">
        <f>(S12-S10)/S10</f>
        <v>1.5233061901367379E-2</v>
      </c>
      <c r="T8" s="1135"/>
      <c r="U8" s="796">
        <f>(U12-U10)/U10</f>
        <v>1.5233061901367233E-2</v>
      </c>
      <c r="V8" s="1135"/>
      <c r="W8" s="796">
        <f>(W12-W10)/W10</f>
        <v>1.5233061901367233E-2</v>
      </c>
      <c r="X8" s="1135"/>
      <c r="Y8" s="797" t="s">
        <v>393</v>
      </c>
      <c r="Z8" s="1135"/>
      <c r="AA8" s="1135"/>
      <c r="AB8" s="773"/>
    </row>
    <row r="9" spans="1:28" s="774" customFormat="1" ht="19.95" customHeight="1" outlineLevel="1" thickTop="1" x14ac:dyDescent="0.3">
      <c r="A9" s="1135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135"/>
      <c r="J9" s="1135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135"/>
      <c r="W9" s="799" t="s">
        <v>397</v>
      </c>
      <c r="X9" s="1135"/>
      <c r="Y9" s="799" t="s">
        <v>397</v>
      </c>
      <c r="Z9" s="1135"/>
      <c r="AA9" s="1135"/>
      <c r="AB9" s="773"/>
    </row>
    <row r="10" spans="1:28" s="774" customFormat="1" ht="19.95" customHeight="1" outlineLevel="1" x14ac:dyDescent="0.3">
      <c r="A10" s="1135"/>
      <c r="B10" s="801" t="s">
        <v>398</v>
      </c>
      <c r="C10" s="791" t="s">
        <v>399</v>
      </c>
      <c r="D10" s="792">
        <f>D9*30*12*'C-Dados RT5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135"/>
      <c r="J10" s="1135"/>
      <c r="K10" s="789"/>
      <c r="L10" s="789"/>
      <c r="M10" s="789"/>
      <c r="N10" s="790"/>
      <c r="O10" s="802">
        <f>G11</f>
        <v>171589</v>
      </c>
      <c r="P10" s="790"/>
      <c r="Q10" s="803">
        <f>D25</f>
        <v>42.690073974764182</v>
      </c>
      <c r="R10" s="790"/>
      <c r="S10" s="802">
        <f>D8</f>
        <v>34388.276541382686</v>
      </c>
      <c r="T10" s="1135"/>
      <c r="U10" s="802">
        <f>D10*(1+D24)</f>
        <v>6158352.8159999996</v>
      </c>
      <c r="V10" s="1135"/>
      <c r="W10" s="802">
        <f>D10*(1+D24)</f>
        <v>6158352.8159999996</v>
      </c>
      <c r="X10" s="1135"/>
      <c r="Y10" s="804">
        <f>Y7</f>
        <v>0.05</v>
      </c>
      <c r="Z10" s="1135"/>
      <c r="AA10" s="1135"/>
      <c r="AB10" s="773"/>
    </row>
    <row r="11" spans="1:28" s="774" customFormat="1" ht="19.95" customHeight="1" outlineLevel="1" thickBot="1" x14ac:dyDescent="0.35">
      <c r="A11" s="1135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135"/>
      <c r="J11" s="1135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135"/>
      <c r="U11" s="810" t="s">
        <v>405</v>
      </c>
      <c r="V11" s="1135"/>
      <c r="W11" s="810" t="s">
        <v>405</v>
      </c>
      <c r="X11" s="1135"/>
      <c r="Y11" s="810" t="s">
        <v>405</v>
      </c>
      <c r="Z11" s="1135"/>
      <c r="AA11" s="1135"/>
      <c r="AB11" s="773"/>
    </row>
    <row r="12" spans="1:28" s="774" customFormat="1" ht="19.95" customHeight="1" outlineLevel="1" thickTop="1" thickBot="1" x14ac:dyDescent="0.35">
      <c r="A12" s="1135"/>
      <c r="B12" s="811" t="s">
        <v>406</v>
      </c>
      <c r="C12" s="812" t="s">
        <v>407</v>
      </c>
      <c r="D12" s="813">
        <f>D7/D11</f>
        <v>6.3771671871746065</v>
      </c>
      <c r="E12" s="1135"/>
      <c r="F12" s="1135"/>
      <c r="G12" s="1135"/>
      <c r="H12" s="777"/>
      <c r="I12" s="1135"/>
      <c r="J12" s="777"/>
      <c r="K12" s="777"/>
      <c r="L12" s="777"/>
      <c r="M12" s="777"/>
      <c r="N12" s="1135"/>
      <c r="O12" s="802">
        <f>O33</f>
        <v>171589</v>
      </c>
      <c r="P12" s="790"/>
      <c r="Q12" s="803">
        <f>Q33</f>
        <v>42.943195914172016</v>
      </c>
      <c r="R12" s="790"/>
      <c r="S12" s="802">
        <f>S33</f>
        <v>34912.115286618908</v>
      </c>
      <c r="T12" s="1135"/>
      <c r="U12" s="802">
        <f>U33</f>
        <v>6252163.3856565868</v>
      </c>
      <c r="V12" s="1135"/>
      <c r="W12" s="802">
        <f>W33</f>
        <v>6252163.3856565868</v>
      </c>
      <c r="X12" s="1135"/>
      <c r="Y12" s="814">
        <f>1-((AA39+AA41+AA42+AA43+AA44+AA45+AA52+AA54+AA55+AA56+AA57+AA58+AA65+AA67+AA68+AA69+AA70+AA71+AA78+AA80+AA81+AA82+AA83+AA84+AA91+AA93+AA94+AA95+AA96)/29)</f>
        <v>0.48275862068965514</v>
      </c>
      <c r="Z12" s="1135"/>
      <c r="AA12" s="1135"/>
      <c r="AB12" s="773"/>
    </row>
    <row r="13" spans="1:28" s="774" customFormat="1" ht="10.199999999999999" customHeight="1" outlineLevel="1" thickTop="1" thickBot="1" x14ac:dyDescent="0.35">
      <c r="A13" s="1135"/>
      <c r="B13" s="1135"/>
      <c r="C13" s="777"/>
      <c r="D13" s="1135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135"/>
      <c r="AB13" s="773"/>
    </row>
    <row r="14" spans="1:28" s="774" customFormat="1" ht="19.95" customHeight="1" outlineLevel="1" thickTop="1" x14ac:dyDescent="0.3">
      <c r="A14" s="1135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135"/>
      <c r="J14" s="1135"/>
      <c r="K14" s="789"/>
      <c r="L14" s="789"/>
      <c r="M14" s="789"/>
      <c r="N14" s="790"/>
      <c r="O14" s="816"/>
      <c r="P14" s="790"/>
      <c r="Q14" s="823"/>
      <c r="R14" s="790"/>
      <c r="S14" s="816"/>
      <c r="T14" s="1135"/>
      <c r="U14" s="816"/>
      <c r="V14" s="1135"/>
      <c r="W14" s="777"/>
      <c r="X14" s="1135"/>
      <c r="Y14" s="777"/>
      <c r="Z14" s="1135"/>
      <c r="AA14" s="1135"/>
      <c r="AB14" s="773"/>
    </row>
    <row r="15" spans="1:28" s="774" customFormat="1" ht="19.95" customHeight="1" outlineLevel="1" x14ac:dyDescent="0.3">
      <c r="A15" s="1135"/>
      <c r="B15" s="824" t="s">
        <v>410</v>
      </c>
      <c r="C15" s="783" t="s">
        <v>1</v>
      </c>
      <c r="D15" s="825">
        <v>1</v>
      </c>
      <c r="E15" s="1135"/>
      <c r="F15" s="1279" t="s">
        <v>411</v>
      </c>
      <c r="G15" s="1281" t="s">
        <v>1</v>
      </c>
      <c r="H15" s="1283">
        <v>0.5</v>
      </c>
      <c r="I15" s="1135"/>
      <c r="J15" s="826"/>
      <c r="K15" s="789"/>
      <c r="L15" s="789"/>
      <c r="M15" s="789"/>
      <c r="N15" s="790"/>
      <c r="O15" s="790"/>
      <c r="P15" s="790"/>
      <c r="R15" s="790"/>
      <c r="S15" s="1135"/>
      <c r="T15" s="1135"/>
      <c r="U15" s="789"/>
      <c r="V15" s="1135"/>
      <c r="W15" s="777"/>
      <c r="X15" s="1135"/>
      <c r="Y15" s="777"/>
      <c r="Z15" s="1135"/>
      <c r="AA15" s="1135"/>
      <c r="AB15" s="773"/>
    </row>
    <row r="16" spans="1:28" s="774" customFormat="1" ht="19.95" customHeight="1" outlineLevel="1" thickBot="1" x14ac:dyDescent="0.35">
      <c r="A16" s="1135"/>
      <c r="B16" s="827" t="s">
        <v>412</v>
      </c>
      <c r="C16" s="791" t="s">
        <v>385</v>
      </c>
      <c r="D16" s="828">
        <f>D10*D12*(1-D15)/1000000</f>
        <v>0</v>
      </c>
      <c r="E16" s="1135"/>
      <c r="F16" s="1280"/>
      <c r="G16" s="1282"/>
      <c r="H16" s="1284"/>
      <c r="I16" s="1135"/>
      <c r="J16" s="829"/>
      <c r="K16" s="777"/>
      <c r="L16" s="777"/>
      <c r="M16" s="777"/>
      <c r="N16" s="1135"/>
      <c r="O16" s="1135"/>
      <c r="P16" s="1135"/>
      <c r="Q16" s="1135"/>
      <c r="R16" s="1135"/>
      <c r="S16" s="1135"/>
      <c r="T16" s="1135"/>
      <c r="U16" s="789"/>
      <c r="V16" s="1135"/>
      <c r="W16" s="777"/>
      <c r="X16" s="1135"/>
      <c r="Y16" s="777"/>
      <c r="Z16" s="1135"/>
      <c r="AA16" s="1135"/>
      <c r="AB16" s="773"/>
    </row>
    <row r="17" spans="1:28" s="774" customFormat="1" ht="19.95" customHeight="1" outlineLevel="1" thickTop="1" x14ac:dyDescent="0.3">
      <c r="A17" s="1135"/>
      <c r="B17" s="782" t="s">
        <v>413</v>
      </c>
      <c r="C17" s="783" t="s">
        <v>1</v>
      </c>
      <c r="D17" s="1133">
        <v>0.01</v>
      </c>
      <c r="E17" s="1135"/>
      <c r="F17" s="1135"/>
      <c r="G17" s="1135"/>
      <c r="H17" s="777"/>
      <c r="I17" s="1135"/>
      <c r="J17" s="1135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789"/>
      <c r="V17" s="1135"/>
      <c r="W17" s="777"/>
      <c r="X17" s="1135"/>
      <c r="Y17" s="777"/>
      <c r="Z17" s="1135"/>
      <c r="AA17" s="1135"/>
      <c r="AB17" s="773"/>
    </row>
    <row r="18" spans="1:28" s="774" customFormat="1" ht="19.95" customHeight="1" outlineLevel="1" x14ac:dyDescent="0.3">
      <c r="A18" s="1135"/>
      <c r="B18" s="782" t="s">
        <v>414</v>
      </c>
      <c r="C18" s="783" t="s">
        <v>1</v>
      </c>
      <c r="D18" s="1133">
        <v>0.05</v>
      </c>
      <c r="E18" s="1135"/>
      <c r="F18" s="1135"/>
      <c r="G18" s="1135"/>
      <c r="H18" s="777"/>
      <c r="I18" s="1135"/>
      <c r="J18" s="1135"/>
      <c r="K18" s="1135"/>
      <c r="L18" s="1135"/>
      <c r="M18" s="1135"/>
      <c r="N18" s="1135"/>
      <c r="O18" s="1135"/>
      <c r="P18" s="1135"/>
      <c r="Q18" s="1135"/>
      <c r="R18" s="1135"/>
      <c r="S18" s="1135"/>
      <c r="T18" s="1135"/>
      <c r="U18" s="789"/>
      <c r="V18" s="1135"/>
      <c r="W18" s="777"/>
      <c r="X18" s="1135"/>
      <c r="Y18" s="777"/>
      <c r="Z18" s="1135"/>
      <c r="AA18" s="1135"/>
      <c r="AB18" s="773"/>
    </row>
    <row r="19" spans="1:28" s="774" customFormat="1" ht="19.95" customHeight="1" outlineLevel="1" x14ac:dyDescent="0.3">
      <c r="A19" s="1135"/>
      <c r="B19" s="782" t="s">
        <v>415</v>
      </c>
      <c r="C19" s="831" t="s">
        <v>1</v>
      </c>
      <c r="D19" s="832">
        <v>2.5000000000000001E-2</v>
      </c>
      <c r="E19" s="1135"/>
      <c r="F19" s="1135"/>
      <c r="G19" s="1135"/>
      <c r="H19" s="777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35"/>
      <c r="U19" s="789"/>
      <c r="V19" s="1135"/>
      <c r="W19" s="777"/>
      <c r="X19" s="1135"/>
      <c r="Y19" s="777"/>
      <c r="Z19" s="1135"/>
      <c r="AA19" s="1135"/>
      <c r="AB19" s="773"/>
    </row>
    <row r="20" spans="1:28" s="774" customFormat="1" ht="34.950000000000003" customHeight="1" outlineLevel="1" x14ac:dyDescent="0.3">
      <c r="A20" s="1135"/>
      <c r="B20" s="833" t="s">
        <v>416</v>
      </c>
      <c r="C20" s="783" t="s">
        <v>385</v>
      </c>
      <c r="D20" s="834">
        <f>D10*D12*(1+D17)*(1+D18)*(1+D19)*D15/1000000</f>
        <v>42.690073974764182</v>
      </c>
      <c r="E20" s="1135"/>
      <c r="F20" s="1135"/>
      <c r="G20" s="1135"/>
      <c r="H20" s="777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35"/>
      <c r="U20" s="789"/>
      <c r="V20" s="1135"/>
      <c r="W20" s="777"/>
      <c r="X20" s="1135"/>
      <c r="Y20" s="777"/>
      <c r="Z20" s="1135"/>
      <c r="AA20" s="1135"/>
      <c r="AB20" s="773"/>
    </row>
    <row r="21" spans="1:28" s="774" customFormat="1" ht="34.950000000000003" customHeight="1" outlineLevel="1" thickBot="1" x14ac:dyDescent="0.35">
      <c r="A21" s="1135"/>
      <c r="B21" s="835" t="s">
        <v>417</v>
      </c>
      <c r="C21" s="812" t="s">
        <v>407</v>
      </c>
      <c r="D21" s="813">
        <f>D20*1000000/D10</f>
        <v>6.9320604470486362</v>
      </c>
      <c r="E21" s="1135"/>
      <c r="F21" s="1135"/>
      <c r="G21" s="1135"/>
      <c r="H21" s="777"/>
      <c r="I21" s="1135"/>
      <c r="J21" s="777"/>
      <c r="K21" s="777"/>
      <c r="L21" s="777"/>
      <c r="M21" s="777"/>
      <c r="N21" s="1135"/>
      <c r="O21" s="816"/>
      <c r="P21" s="1135"/>
      <c r="Q21" s="823"/>
      <c r="R21" s="1135"/>
      <c r="S21" s="816"/>
      <c r="T21" s="1135"/>
      <c r="U21" s="816"/>
      <c r="V21" s="1135"/>
      <c r="W21" s="777"/>
      <c r="X21" s="1135"/>
      <c r="Y21" s="777"/>
      <c r="Z21" s="1135"/>
      <c r="AA21" s="1135"/>
      <c r="AB21" s="773"/>
    </row>
    <row r="22" spans="1:28" s="774" customFormat="1" ht="7.5" customHeight="1" outlineLevel="1" thickTop="1" thickBot="1" x14ac:dyDescent="0.35">
      <c r="A22" s="1135"/>
      <c r="B22" s="1135"/>
      <c r="C22" s="777"/>
      <c r="D22" s="1135"/>
      <c r="E22" s="785"/>
      <c r="F22" s="1135"/>
      <c r="G22" s="1135"/>
      <c r="H22" s="777"/>
      <c r="I22" s="1135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135"/>
      <c r="U22" s="816"/>
      <c r="V22" s="1135"/>
      <c r="W22" s="777"/>
      <c r="X22" s="1135"/>
      <c r="Y22" s="777"/>
      <c r="Z22" s="1135"/>
      <c r="AA22" s="1135"/>
      <c r="AB22" s="773"/>
    </row>
    <row r="23" spans="1:28" s="774" customFormat="1" ht="19.95" customHeight="1" outlineLevel="1" thickTop="1" x14ac:dyDescent="0.3">
      <c r="A23" s="1135"/>
      <c r="B23" s="818" t="s">
        <v>418</v>
      </c>
      <c r="C23" s="819" t="s">
        <v>371</v>
      </c>
      <c r="D23" s="820" t="s">
        <v>372</v>
      </c>
      <c r="E23" s="1135"/>
      <c r="F23" s="1285" t="s">
        <v>419</v>
      </c>
      <c r="G23" s="1286"/>
      <c r="H23" s="1287"/>
      <c r="I23" s="1135"/>
      <c r="J23" s="1135"/>
      <c r="K23" s="777"/>
      <c r="L23" s="777"/>
      <c r="M23" s="777"/>
      <c r="N23" s="1135"/>
      <c r="O23" s="1135"/>
      <c r="P23" s="1135"/>
      <c r="Q23" s="1135"/>
      <c r="R23" s="1135"/>
      <c r="S23" s="1135"/>
      <c r="T23" s="1135"/>
      <c r="U23" s="789"/>
      <c r="V23" s="1135"/>
      <c r="W23" s="777"/>
      <c r="X23" s="1135"/>
      <c r="Y23" s="777"/>
      <c r="Z23" s="1135"/>
      <c r="AA23" s="1135"/>
      <c r="AB23" s="773"/>
    </row>
    <row r="24" spans="1:28" s="774" customFormat="1" ht="19.95" customHeight="1" outlineLevel="1" x14ac:dyDescent="0.3">
      <c r="A24" s="1135"/>
      <c r="B24" s="833" t="s">
        <v>420</v>
      </c>
      <c r="C24" s="783" t="s">
        <v>1</v>
      </c>
      <c r="D24" s="836">
        <v>0</v>
      </c>
      <c r="E24" s="1135"/>
      <c r="F24" s="801" t="s">
        <v>421</v>
      </c>
      <c r="G24" s="791" t="s">
        <v>422</v>
      </c>
      <c r="H24" s="837">
        <f>D26*(D10)/G11</f>
        <v>248.79260310838214</v>
      </c>
      <c r="I24" s="1135"/>
      <c r="J24" s="1135"/>
      <c r="K24" s="777"/>
      <c r="L24" s="777"/>
      <c r="M24" s="777"/>
      <c r="N24" s="790"/>
      <c r="O24" s="790"/>
      <c r="P24" s="790"/>
      <c r="Q24" s="790"/>
      <c r="R24" s="790"/>
      <c r="S24" s="1135"/>
      <c r="T24" s="1135"/>
      <c r="U24" s="789"/>
      <c r="V24" s="1135"/>
      <c r="W24" s="777"/>
      <c r="X24" s="1135"/>
      <c r="Y24" s="777"/>
      <c r="Z24" s="1135"/>
      <c r="AA24" s="1135"/>
      <c r="AB24" s="773"/>
    </row>
    <row r="25" spans="1:28" s="774" customFormat="1" ht="34.950000000000003" customHeight="1" outlineLevel="1" thickBot="1" x14ac:dyDescent="0.35">
      <c r="A25" s="1135"/>
      <c r="B25" s="801" t="s">
        <v>423</v>
      </c>
      <c r="C25" s="791" t="s">
        <v>385</v>
      </c>
      <c r="D25" s="828">
        <f>D20</f>
        <v>42.690073974764182</v>
      </c>
      <c r="E25" s="1135"/>
      <c r="F25" s="835" t="s">
        <v>424</v>
      </c>
      <c r="G25" s="812" t="s">
        <v>425</v>
      </c>
      <c r="H25" s="838">
        <f>H24/12</f>
        <v>20.732716925698512</v>
      </c>
      <c r="I25" s="1135"/>
      <c r="J25" s="1135"/>
      <c r="K25" s="789"/>
      <c r="L25" s="789"/>
      <c r="M25" s="789"/>
      <c r="N25" s="790"/>
      <c r="O25" s="790"/>
      <c r="P25" s="790"/>
      <c r="Q25" s="790"/>
      <c r="R25" s="790"/>
      <c r="S25" s="1135"/>
      <c r="T25" s="1135"/>
      <c r="U25" s="789"/>
      <c r="V25" s="1135"/>
      <c r="W25" s="777"/>
      <c r="X25" s="1135"/>
      <c r="Y25" s="777"/>
      <c r="Z25" s="1135"/>
      <c r="AA25" s="1135"/>
      <c r="AB25" s="773"/>
    </row>
    <row r="26" spans="1:28" s="774" customFormat="1" ht="34.950000000000003" customHeight="1" outlineLevel="1" thickTop="1" thickBot="1" x14ac:dyDescent="0.35">
      <c r="A26" s="1135"/>
      <c r="B26" s="835" t="s">
        <v>426</v>
      </c>
      <c r="C26" s="812" t="s">
        <v>407</v>
      </c>
      <c r="D26" s="813">
        <f>(D25*1000000/(D8*D11))*(1-D24)</f>
        <v>6.9320604470486362</v>
      </c>
      <c r="E26" s="1135"/>
      <c r="F26" s="1135"/>
      <c r="G26" s="1135"/>
      <c r="H26" s="777"/>
      <c r="I26" s="1135"/>
      <c r="J26" s="777"/>
      <c r="K26" s="789"/>
      <c r="L26" s="789"/>
      <c r="M26" s="789"/>
      <c r="N26" s="790"/>
      <c r="O26" s="790"/>
      <c r="P26" s="790"/>
      <c r="Q26" s="790"/>
      <c r="R26" s="790"/>
      <c r="S26" s="1135"/>
      <c r="T26" s="1135"/>
      <c r="U26" s="789"/>
      <c r="V26" s="1135"/>
      <c r="W26" s="777"/>
      <c r="X26" s="1135"/>
      <c r="Y26" s="777"/>
      <c r="Z26" s="1135"/>
      <c r="AA26" s="1135"/>
      <c r="AB26" s="773"/>
    </row>
    <row r="27" spans="1:28" s="774" customFormat="1" ht="7.2" customHeight="1" thickTop="1" x14ac:dyDescent="0.3">
      <c r="A27" s="1135"/>
      <c r="B27" s="1135"/>
      <c r="C27" s="777"/>
      <c r="D27" s="1135"/>
      <c r="E27" s="1135"/>
      <c r="F27" s="1135"/>
      <c r="G27" s="1135"/>
      <c r="H27" s="777"/>
      <c r="I27" s="777"/>
      <c r="J27" s="777"/>
      <c r="K27" s="777"/>
      <c r="L27" s="777"/>
      <c r="M27" s="777"/>
      <c r="N27" s="1135"/>
      <c r="O27" s="1135"/>
      <c r="P27" s="1135"/>
      <c r="Q27" s="1135"/>
      <c r="R27" s="1135"/>
      <c r="S27" s="1135"/>
      <c r="T27" s="1135"/>
      <c r="U27" s="789"/>
      <c r="V27" s="1135"/>
      <c r="W27" s="777"/>
      <c r="X27" s="1135"/>
      <c r="Y27" s="777"/>
      <c r="Z27" s="1135"/>
      <c r="AA27" s="1135"/>
      <c r="AB27" s="773"/>
    </row>
    <row r="28" spans="1:28" s="774" customFormat="1" ht="7.2" customHeight="1" x14ac:dyDescent="0.3">
      <c r="A28" s="1135"/>
      <c r="B28" s="1135"/>
      <c r="C28" s="777"/>
      <c r="D28" s="1135"/>
      <c r="E28" s="1135"/>
      <c r="F28" s="1135"/>
      <c r="G28" s="1135"/>
      <c r="H28" s="777"/>
      <c r="I28" s="1135"/>
      <c r="J28" s="777"/>
      <c r="K28" s="777"/>
      <c r="L28" s="777"/>
      <c r="M28" s="777"/>
      <c r="N28" s="1135"/>
      <c r="O28" s="1135"/>
      <c r="P28" s="1135"/>
      <c r="Q28" s="1135"/>
      <c r="R28" s="1135"/>
      <c r="S28" s="1135"/>
      <c r="T28" s="1135"/>
      <c r="U28" s="789"/>
      <c r="V28" s="1135"/>
      <c r="W28" s="777"/>
      <c r="X28" s="1135"/>
      <c r="Y28" s="777"/>
      <c r="Z28" s="1135"/>
      <c r="AA28" s="1135"/>
      <c r="AB28" s="773"/>
    </row>
    <row r="29" spans="1:28" s="774" customFormat="1" ht="61.2" customHeight="1" x14ac:dyDescent="0.3">
      <c r="A29" s="1135"/>
      <c r="B29" s="1296" t="s">
        <v>427</v>
      </c>
      <c r="C29" s="1297"/>
      <c r="D29" s="1297"/>
      <c r="E29" s="1298"/>
      <c r="F29" s="1135"/>
      <c r="G29" s="1135"/>
      <c r="H29" s="777"/>
      <c r="I29" s="1135"/>
      <c r="J29" s="777"/>
      <c r="K29" s="1299" t="s">
        <v>428</v>
      </c>
      <c r="L29" s="1300"/>
      <c r="M29" s="1301"/>
      <c r="N29" s="1135"/>
      <c r="O29" s="1302" t="s">
        <v>429</v>
      </c>
      <c r="P29" s="1303"/>
      <c r="Q29" s="1303"/>
      <c r="R29" s="1303"/>
      <c r="S29" s="1303"/>
      <c r="T29" s="1303"/>
      <c r="U29" s="1303"/>
      <c r="V29" s="1303"/>
      <c r="W29" s="1303"/>
      <c r="X29" s="1303"/>
      <c r="Y29" s="1303"/>
      <c r="Z29" s="1303"/>
      <c r="AA29" s="1135"/>
      <c r="AB29" s="773"/>
    </row>
    <row r="30" spans="1:28" s="774" customFormat="1" ht="4.95" customHeight="1" x14ac:dyDescent="0.3">
      <c r="A30" s="1135"/>
      <c r="B30" s="1135"/>
      <c r="C30" s="777"/>
      <c r="D30" s="1135"/>
      <c r="E30" s="1135"/>
      <c r="F30" s="1135"/>
      <c r="G30" s="1135"/>
      <c r="H30" s="777"/>
      <c r="I30" s="1135"/>
      <c r="J30" s="777"/>
      <c r="K30" s="777"/>
      <c r="L30" s="777"/>
      <c r="M30" s="777"/>
      <c r="N30" s="1135"/>
      <c r="O30" s="1135"/>
      <c r="P30" s="1135"/>
      <c r="Q30" s="1135"/>
      <c r="R30" s="1135"/>
      <c r="S30" s="1135"/>
      <c r="T30" s="1135"/>
      <c r="U30" s="789"/>
      <c r="V30" s="1135"/>
      <c r="W30" s="777"/>
      <c r="X30" s="1135"/>
      <c r="Y30" s="777"/>
      <c r="Z30" s="1135"/>
      <c r="AA30" s="1135"/>
      <c r="AB30" s="773"/>
    </row>
    <row r="31" spans="1:28" s="774" customFormat="1" ht="19.95" customHeight="1" x14ac:dyDescent="0.3">
      <c r="A31" s="1135"/>
      <c r="B31" s="1304" t="s">
        <v>430</v>
      </c>
      <c r="C31" s="1305"/>
      <c r="D31" s="1305"/>
      <c r="E31" s="1305"/>
      <c r="F31" s="1305"/>
      <c r="G31" s="1305"/>
      <c r="H31" s="1305"/>
      <c r="I31" s="1305"/>
      <c r="J31" s="1305"/>
      <c r="K31" s="1305"/>
      <c r="L31" s="839" t="s">
        <v>431</v>
      </c>
      <c r="M31" s="839" t="s">
        <v>432</v>
      </c>
      <c r="N31" s="1135"/>
      <c r="O31" s="1307" t="s">
        <v>433</v>
      </c>
      <c r="P31" s="1135"/>
      <c r="Q31" s="1307" t="s">
        <v>434</v>
      </c>
      <c r="R31" s="1135"/>
      <c r="S31" s="1307" t="s">
        <v>435</v>
      </c>
      <c r="T31" s="1135"/>
      <c r="U31" s="1307" t="s">
        <v>436</v>
      </c>
      <c r="V31" s="1135"/>
      <c r="W31" s="1307" t="s">
        <v>436</v>
      </c>
      <c r="X31" s="1135"/>
      <c r="Y31" s="1307" t="s">
        <v>437</v>
      </c>
      <c r="Z31" s="1135"/>
      <c r="AA31" s="1135"/>
      <c r="AB31" s="773"/>
    </row>
    <row r="32" spans="1:28" s="774" customFormat="1" ht="19.95" customHeight="1" x14ac:dyDescent="0.3">
      <c r="A32" s="1135"/>
      <c r="B32" s="1306"/>
      <c r="C32" s="1305"/>
      <c r="D32" s="1305"/>
      <c r="E32" s="1305"/>
      <c r="F32" s="1305"/>
      <c r="G32" s="1305"/>
      <c r="H32" s="1305"/>
      <c r="I32" s="1305"/>
      <c r="J32" s="1305"/>
      <c r="K32" s="1305"/>
      <c r="L32" s="840">
        <f>H24</f>
        <v>248.79260310838214</v>
      </c>
      <c r="M32" s="841">
        <f>H25</f>
        <v>20.732716925698512</v>
      </c>
      <c r="N32" s="842"/>
      <c r="O32" s="1308"/>
      <c r="P32" s="842"/>
      <c r="Q32" s="1308"/>
      <c r="R32" s="842"/>
      <c r="S32" s="1308"/>
      <c r="T32" s="1135"/>
      <c r="U32" s="1308"/>
      <c r="V32" s="1135"/>
      <c r="W32" s="1308"/>
      <c r="X32" s="1135"/>
      <c r="Y32" s="1309"/>
      <c r="Z32" s="1135"/>
      <c r="AA32" s="1135"/>
      <c r="AB32" s="773"/>
    </row>
    <row r="33" spans="1:28" s="774" customFormat="1" ht="15" customHeight="1" x14ac:dyDescent="0.3">
      <c r="A33" s="1135"/>
      <c r="B33" s="1135"/>
      <c r="C33" s="777"/>
      <c r="D33" s="1135"/>
      <c r="E33" s="1135"/>
      <c r="F33" s="1135"/>
      <c r="G33" s="1135"/>
      <c r="H33" s="777"/>
      <c r="I33" s="1135"/>
      <c r="J33" s="777"/>
      <c r="K33" s="777"/>
      <c r="L33" s="777"/>
      <c r="M33" s="777"/>
      <c r="N33" s="1135"/>
      <c r="O33" s="802">
        <f>O36+O49+O62+O75+O88</f>
        <v>171589</v>
      </c>
      <c r="P33" s="1135"/>
      <c r="Q33" s="802">
        <f>(Q36+Q49+Q62+Q75+Q88)*12/1000000</f>
        <v>42.943195914172016</v>
      </c>
      <c r="R33" s="1135"/>
      <c r="S33" s="802">
        <f>12*S34</f>
        <v>34912.115286618908</v>
      </c>
      <c r="T33" s="1135" t="s">
        <v>438</v>
      </c>
      <c r="U33" s="802">
        <f>12*U34</f>
        <v>6252163.3856565868</v>
      </c>
      <c r="V33" s="1135" t="s">
        <v>439</v>
      </c>
      <c r="W33" s="802">
        <f>12*W34</f>
        <v>6252163.3856565868</v>
      </c>
      <c r="X33" s="1135" t="s">
        <v>439</v>
      </c>
      <c r="Y33" s="1320">
        <v>0.1</v>
      </c>
      <c r="Z33" s="1135"/>
      <c r="AA33" s="1135"/>
      <c r="AB33" s="773"/>
    </row>
    <row r="34" spans="1:28" s="774" customFormat="1" ht="34.950000000000003" customHeight="1" outlineLevel="1" x14ac:dyDescent="0.3">
      <c r="A34" s="1135"/>
      <c r="B34" s="1322" t="s">
        <v>440</v>
      </c>
      <c r="C34" s="1323"/>
      <c r="D34" s="1323"/>
      <c r="E34" s="1323"/>
      <c r="F34" s="1323"/>
      <c r="G34" s="1323"/>
      <c r="H34" s="1323"/>
      <c r="I34" s="1323"/>
      <c r="J34" s="1323"/>
      <c r="K34" s="1323"/>
      <c r="L34" s="1323"/>
      <c r="M34" s="1323"/>
      <c r="N34" s="842"/>
      <c r="O34" s="843"/>
      <c r="P34" s="842"/>
      <c r="Q34" s="843"/>
      <c r="R34" s="842"/>
      <c r="S34" s="802">
        <f>S36+S49+S62+S75+S88</f>
        <v>2909.3429405515758</v>
      </c>
      <c r="T34" s="1135" t="s">
        <v>441</v>
      </c>
      <c r="U34" s="802">
        <f>U36+U49+U62+U75+U88</f>
        <v>521013.61547138222</v>
      </c>
      <c r="V34" s="1135" t="s">
        <v>442</v>
      </c>
      <c r="W34" s="802">
        <f>W36+W49+W62+W75+W88</f>
        <v>521013.61547138222</v>
      </c>
      <c r="X34" s="1135" t="s">
        <v>442</v>
      </c>
      <c r="Y34" s="1321"/>
      <c r="Z34" s="1135"/>
      <c r="AA34" s="1135"/>
      <c r="AB34" s="773"/>
    </row>
    <row r="35" spans="1:28" s="774" customFormat="1" ht="25.2" customHeight="1" outlineLevel="1" x14ac:dyDescent="0.3">
      <c r="A35" s="1135"/>
      <c r="B35" s="1324" t="s">
        <v>443</v>
      </c>
      <c r="C35" s="1325"/>
      <c r="D35" s="1325"/>
      <c r="E35" s="1326"/>
      <c r="F35" s="1325"/>
      <c r="G35" s="1325"/>
      <c r="H35" s="1325"/>
      <c r="I35" s="1326"/>
      <c r="J35" s="1325"/>
      <c r="K35" s="1325"/>
      <c r="L35" s="1325"/>
      <c r="M35" s="1325"/>
      <c r="N35" s="842"/>
      <c r="O35" s="844">
        <f>G9</f>
        <v>40</v>
      </c>
      <c r="P35" s="842"/>
      <c r="Q35" s="1036">
        <f>Q36/O35</f>
        <v>30.92900232001665</v>
      </c>
      <c r="R35" s="842"/>
      <c r="S35" s="843"/>
      <c r="T35" s="1135"/>
      <c r="U35" s="845"/>
      <c r="V35" s="1135"/>
      <c r="W35" s="845"/>
      <c r="X35" s="1135"/>
      <c r="Y35" s="846"/>
      <c r="Z35" s="1135"/>
      <c r="AA35" s="1135"/>
      <c r="AB35" s="773"/>
    </row>
    <row r="36" spans="1:28" s="774" customFormat="1" ht="36" customHeight="1" outlineLevel="1" x14ac:dyDescent="0.3">
      <c r="A36" s="1135"/>
      <c r="B36" s="1324" t="s">
        <v>444</v>
      </c>
      <c r="C36" s="1324" t="s">
        <v>445</v>
      </c>
      <c r="D36" s="1328"/>
      <c r="E36" s="847"/>
      <c r="F36" s="1329" t="s">
        <v>446</v>
      </c>
      <c r="G36" s="1325"/>
      <c r="H36" s="1330"/>
      <c r="I36" s="848"/>
      <c r="J36" s="1332" t="s">
        <v>447</v>
      </c>
      <c r="K36" s="1333"/>
      <c r="L36" s="1333"/>
      <c r="M36" s="1333"/>
      <c r="N36" s="1135"/>
      <c r="O36" s="802">
        <f>O39+O41+O42+O43+O44+O45</f>
        <v>40</v>
      </c>
      <c r="P36" s="1135"/>
      <c r="Q36" s="849">
        <f>Q39+Q41+Q42+Q43+Q44+Q45</f>
        <v>1237.160092800666</v>
      </c>
      <c r="R36" s="1135"/>
      <c r="S36" s="1310">
        <f>IF(AND(Q36&lt;&gt;0,O36&lt;&gt;0),Q36*(1-D17-D18-D19)/(($D$25*1000000/$D$8)),0)</f>
        <v>0.91186490169687462</v>
      </c>
      <c r="T36" s="1335" t="s">
        <v>448</v>
      </c>
      <c r="U36" s="1310">
        <f>U39+U41+U42+U43+U44+U45</f>
        <v>163.2994249775426</v>
      </c>
      <c r="V36" s="1135" t="s">
        <v>449</v>
      </c>
      <c r="W36" s="1310">
        <f>W39*O39+W41*O41+W42*O42+W43*O43+W44*O44+W45*O45</f>
        <v>163.2994249775426</v>
      </c>
      <c r="X36" s="1135" t="s">
        <v>449</v>
      </c>
      <c r="Y36" s="850" t="s">
        <v>450</v>
      </c>
      <c r="Z36" s="1135"/>
      <c r="AA36" s="1135"/>
      <c r="AB36" s="773"/>
    </row>
    <row r="37" spans="1:28" s="774" customFormat="1" ht="24" customHeight="1" outlineLevel="1" x14ac:dyDescent="0.3">
      <c r="A37" s="1135"/>
      <c r="B37" s="1327"/>
      <c r="C37" s="851" t="s">
        <v>451</v>
      </c>
      <c r="D37" s="852" t="s">
        <v>452</v>
      </c>
      <c r="E37" s="853"/>
      <c r="F37" s="1331"/>
      <c r="G37" s="1325"/>
      <c r="H37" s="1330"/>
      <c r="I37" s="854"/>
      <c r="J37" s="1312" t="s">
        <v>453</v>
      </c>
      <c r="K37" s="1313"/>
      <c r="L37" s="1314" t="s">
        <v>454</v>
      </c>
      <c r="M37" s="1313"/>
      <c r="N37" s="1135"/>
      <c r="O37" s="855" t="s">
        <v>455</v>
      </c>
      <c r="P37" s="1135"/>
      <c r="Q37" s="856">
        <v>0.75</v>
      </c>
      <c r="R37" s="1135"/>
      <c r="S37" s="1334"/>
      <c r="T37" s="1336"/>
      <c r="U37" s="1334"/>
      <c r="V37" s="1135"/>
      <c r="W37" s="1311"/>
      <c r="X37" s="1135"/>
      <c r="Y37" s="857">
        <f>$Y$33</f>
        <v>0.1</v>
      </c>
      <c r="Z37" s="1135"/>
      <c r="AA37" s="1135"/>
      <c r="AB37" s="773"/>
    </row>
    <row r="38" spans="1:28" s="774" customFormat="1" ht="24" customHeight="1" outlineLevel="1" x14ac:dyDescent="0.3">
      <c r="A38" s="1135"/>
      <c r="B38" s="1315">
        <v>1</v>
      </c>
      <c r="C38" s="1315">
        <v>1</v>
      </c>
      <c r="D38" s="131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135"/>
      <c r="O38" s="864"/>
      <c r="P38" s="1135"/>
      <c r="Q38" s="865"/>
      <c r="R38" s="1135"/>
      <c r="S38" s="866"/>
      <c r="T38" s="1135"/>
      <c r="U38" s="866"/>
      <c r="V38" s="1135"/>
      <c r="W38" s="867"/>
      <c r="X38" s="1135"/>
      <c r="Y38" s="867"/>
      <c r="Z38" s="1135"/>
      <c r="AA38" s="1135"/>
      <c r="AB38" s="773"/>
    </row>
    <row r="39" spans="1:28" s="774" customFormat="1" ht="24" customHeight="1" outlineLevel="1" x14ac:dyDescent="0.3">
      <c r="A39" s="1135"/>
      <c r="B39" s="1316"/>
      <c r="C39" s="1317"/>
      <c r="D39" s="131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62.198150777095535</v>
      </c>
      <c r="K39" s="872">
        <f>$M$32*H39*$B$38*$C$38</f>
        <v>5.1831792314246279</v>
      </c>
      <c r="L39" s="871">
        <f>J39*$D$38</f>
        <v>77.747688471369415</v>
      </c>
      <c r="M39" s="872">
        <f>K39*$D$38</f>
        <v>6.4789740392807849</v>
      </c>
      <c r="N39" s="1135"/>
      <c r="O39" s="873">
        <v>2</v>
      </c>
      <c r="P39" s="1135"/>
      <c r="Q39" s="874">
        <f>O39*$Q$37*M39+O39*(1-$Q$37)*K39</f>
        <v>12.310050674633491</v>
      </c>
      <c r="R39" s="1135"/>
      <c r="S39" s="875">
        <f>IF(AND(Q39&lt;&gt;0,O39&lt;&gt;0),Q39*(1-D17-D18-D19)/O39/30/(($D$25*1000000/$D$8))*1000,0)</f>
        <v>0.15122137673248334</v>
      </c>
      <c r="T39" s="1135" t="s">
        <v>459</v>
      </c>
      <c r="U39" s="876">
        <f>S39*O39*30*$D$11*(1+$D$24)/1000</f>
        <v>1.6248699002740556</v>
      </c>
      <c r="V39" s="1135" t="s">
        <v>460</v>
      </c>
      <c r="W39" s="876">
        <f>IF(O39&lt;&gt;0,U39/O39,0)</f>
        <v>0.81243495013702782</v>
      </c>
      <c r="X39" s="1135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3">
      <c r="A40" s="1135"/>
      <c r="B40" s="1316"/>
      <c r="C40" s="1317"/>
      <c r="D40" s="131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135"/>
      <c r="O40" s="864"/>
      <c r="P40" s="1135"/>
      <c r="Q40" s="865"/>
      <c r="R40" s="1135"/>
      <c r="S40" s="881"/>
      <c r="T40" s="1135"/>
      <c r="U40" s="882"/>
      <c r="V40" s="1135"/>
      <c r="W40" s="882"/>
      <c r="X40" s="1135"/>
      <c r="Y40" s="867"/>
      <c r="Z40" s="1135"/>
      <c r="AA40" s="777"/>
      <c r="AB40" s="773"/>
    </row>
    <row r="41" spans="1:28" s="774" customFormat="1" ht="24" customHeight="1" outlineLevel="1" x14ac:dyDescent="0.3">
      <c r="A41" s="1135"/>
      <c r="B41" s="1316"/>
      <c r="C41" s="1317"/>
      <c r="D41" s="131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180.37463725357705</v>
      </c>
      <c r="K41" s="872">
        <f>$M$32*(H39+(G41-F41)*H41)*$B$38*$C$38</f>
        <v>15.03121977113142</v>
      </c>
      <c r="L41" s="871">
        <f t="shared" ref="L41:M45" si="0">J41*$D$38</f>
        <v>225.4682965669713</v>
      </c>
      <c r="M41" s="872">
        <f t="shared" si="0"/>
        <v>18.789024713914277</v>
      </c>
      <c r="N41" s="1135"/>
      <c r="O41" s="873">
        <v>2</v>
      </c>
      <c r="P41" s="1135"/>
      <c r="Q41" s="874">
        <f>O41*$Q$37*M41+O41*(1-$Q$37)*K41</f>
        <v>35.699146956437126</v>
      </c>
      <c r="R41" s="1135"/>
      <c r="S41" s="875">
        <f>IF(AND(Q41&lt;&gt;0,O41&lt;&gt;0),Q41*(1-D17-D18-D19)/O41/30/(($D$25*1000000/$D$8))*1000,0)</f>
        <v>0.43854199252420162</v>
      </c>
      <c r="T41" s="1135" t="s">
        <v>459</v>
      </c>
      <c r="U41" s="876">
        <f>S41*O41*30*$D$11*(1+$D$24)/1000</f>
        <v>4.7121227107947616</v>
      </c>
      <c r="V41" s="1135" t="s">
        <v>460</v>
      </c>
      <c r="W41" s="876">
        <f>IF(O41&lt;&gt;0,U41/O41,0)</f>
        <v>2.3560613553973808</v>
      </c>
      <c r="X41" s="1135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3">
      <c r="A42" s="1135"/>
      <c r="B42" s="1316"/>
      <c r="C42" s="1317"/>
      <c r="D42" s="131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304.77093880776812</v>
      </c>
      <c r="K42" s="872">
        <f>$M$32*(H39+(G41-F41)*H41+(G42-F42)*H42)*$B$38*$C$38</f>
        <v>25.397578233980678</v>
      </c>
      <c r="L42" s="871">
        <f t="shared" si="0"/>
        <v>380.96367350971013</v>
      </c>
      <c r="M42" s="872">
        <f t="shared" si="0"/>
        <v>31.746972792475848</v>
      </c>
      <c r="N42" s="1135"/>
      <c r="O42" s="873">
        <v>28</v>
      </c>
      <c r="P42" s="1135"/>
      <c r="Q42" s="874">
        <f>O42*$Q$37*M42+O42*(1-$Q$37)*K42</f>
        <v>844.46947627985764</v>
      </c>
      <c r="R42" s="1135"/>
      <c r="S42" s="875">
        <f>IF(AND(Q42&lt;&gt;0,O42&lt;&gt;0),Q42*(1-D17-D18-D19)/O42/30/(($D$25*1000000/$D$8))*1000,0)</f>
        <v>0.74098474598916841</v>
      </c>
      <c r="T42" s="1135" t="s">
        <v>459</v>
      </c>
      <c r="U42" s="876">
        <f>S42*O42*30*$D$11*(1+$D$24)/1000</f>
        <v>111.46607515880024</v>
      </c>
      <c r="V42" s="1135" t="s">
        <v>460</v>
      </c>
      <c r="W42" s="876">
        <f>IF(O42&lt;&gt;0,U42/O42,0)</f>
        <v>3.9809312556714369</v>
      </c>
      <c r="X42" s="1135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3">
      <c r="A43" s="1135"/>
      <c r="B43" s="1316"/>
      <c r="C43" s="1317"/>
      <c r="D43" s="131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435.38705543966876</v>
      </c>
      <c r="K43" s="872">
        <f>$M$32*(H39+(G41-F41)*H41+(G42-F42)*H42+(G43-F43)*H43)*$B$38*$C$38</f>
        <v>36.282254619972392</v>
      </c>
      <c r="L43" s="871">
        <f t="shared" si="0"/>
        <v>544.233819299586</v>
      </c>
      <c r="M43" s="872">
        <f t="shared" si="0"/>
        <v>45.352818274965486</v>
      </c>
      <c r="N43" s="1135"/>
      <c r="O43" s="873">
        <v>8</v>
      </c>
      <c r="P43" s="1135"/>
      <c r="Q43" s="874">
        <f>O43*$Q$37*M43+O43*(1-$Q$37)*K43</f>
        <v>344.68141888973764</v>
      </c>
      <c r="R43" s="1135"/>
      <c r="S43" s="875">
        <f>IF(AND(Q43&lt;&gt;0,O43&lt;&gt;0),Q43*(1-D17-D18-D19)/O43/30/(($D$25*1000000/$D$8))*1000,0)</f>
        <v>1.058549637127383</v>
      </c>
      <c r="T43" s="1135" t="s">
        <v>459</v>
      </c>
      <c r="U43" s="876">
        <f>S43*O43*30*$D$11*(1+$D$24)/1000</f>
        <v>45.49635720767354</v>
      </c>
      <c r="V43" s="1135" t="s">
        <v>460</v>
      </c>
      <c r="W43" s="876">
        <f>IF(O43&lt;&gt;0,U43/O43,0)</f>
        <v>5.6870446509591925</v>
      </c>
      <c r="X43" s="1135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3">
      <c r="A44" s="1135"/>
      <c r="B44" s="1316"/>
      <c r="C44" s="1317"/>
      <c r="D44" s="131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640.64095300408405</v>
      </c>
      <c r="K44" s="872">
        <f>$M$32*(H39+(G41-F41)*H41+(G42-F42)*H42+(G43-F43)*H43+(G44-F44)*H44)*$B$38*$C$38</f>
        <v>53.386746083673671</v>
      </c>
      <c r="L44" s="871">
        <f t="shared" si="0"/>
        <v>800.8011912551051</v>
      </c>
      <c r="M44" s="872">
        <f t="shared" si="0"/>
        <v>66.733432604592082</v>
      </c>
      <c r="N44" s="1135"/>
      <c r="O44" s="873">
        <v>0</v>
      </c>
      <c r="P44" s="1135"/>
      <c r="Q44" s="874">
        <f>O44*$Q$37*M44+O44*(1-$Q$37)*K44</f>
        <v>0</v>
      </c>
      <c r="R44" s="1135"/>
      <c r="S44" s="875">
        <f>IF(AND(Q44&lt;&gt;0,O44&lt;&gt;0),Q44*(1-D17-D18-D19)/O44/30/(($D$25*1000000/$D$8))*1000,0)</f>
        <v>0</v>
      </c>
      <c r="T44" s="1135" t="s">
        <v>459</v>
      </c>
      <c r="U44" s="876">
        <f>S44*O44*30*$D$11*(1+$D$24)/1000</f>
        <v>0</v>
      </c>
      <c r="V44" s="1135" t="s">
        <v>460</v>
      </c>
      <c r="W44" s="876">
        <f>IF(O44&lt;&gt;0,U44/O44,0)</f>
        <v>0</v>
      </c>
      <c r="X44" s="1135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3">
      <c r="A45" s="1135"/>
      <c r="B45" s="1316"/>
      <c r="C45" s="1317"/>
      <c r="D45" s="131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1355.9196869406826</v>
      </c>
      <c r="K45" s="872">
        <f>$M$32*(H39+(G41-F41)*H41+(G42-F42)*H42+(G43-F43)*H43+(G44-F44)*H44+(G45-F45)*H45)*$B$38*$C$38</f>
        <v>112.9933072450569</v>
      </c>
      <c r="L45" s="871">
        <f t="shared" si="0"/>
        <v>1694.8996086758532</v>
      </c>
      <c r="M45" s="872">
        <f t="shared" si="0"/>
        <v>141.24163405632112</v>
      </c>
      <c r="N45" s="1135"/>
      <c r="O45" s="873">
        <v>0</v>
      </c>
      <c r="P45" s="1135"/>
      <c r="Q45" s="874">
        <f>O45*$Q$37*M45+O45*(1-$Q$37)*K45</f>
        <v>0</v>
      </c>
      <c r="R45" s="1135"/>
      <c r="S45" s="875">
        <f>IF(AND(Q45&lt;&gt;0,O45&lt;&gt;0),Q45*(1-D17-D18-D19)/O45/30/(($D$25*1000000/$D$8))*1000,0)</f>
        <v>0</v>
      </c>
      <c r="T45" s="1135" t="s">
        <v>459</v>
      </c>
      <c r="U45" s="876">
        <f>S45*O45*30*$D$11*(1+$D$24)/1000</f>
        <v>0</v>
      </c>
      <c r="V45" s="1135" t="s">
        <v>460</v>
      </c>
      <c r="W45" s="876">
        <f>IF(O45&lt;&gt;0,U45/O45,0)</f>
        <v>0</v>
      </c>
      <c r="X45" s="1135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99999999999999" customHeight="1" outlineLevel="1" x14ac:dyDescent="0.3">
      <c r="A46" s="1135"/>
      <c r="B46" s="1135"/>
      <c r="C46" s="777"/>
      <c r="D46" s="1135"/>
      <c r="E46" s="1135"/>
      <c r="F46" s="777"/>
      <c r="G46" s="777"/>
      <c r="H46" s="777"/>
      <c r="I46" s="1135"/>
      <c r="J46" s="777"/>
      <c r="K46" s="777"/>
      <c r="L46" s="777"/>
      <c r="M46" s="777"/>
      <c r="N46" s="1135"/>
      <c r="O46" s="1135"/>
      <c r="P46" s="1135"/>
      <c r="Q46" s="1135"/>
      <c r="R46" s="1135"/>
      <c r="S46" s="1135"/>
      <c r="T46" s="1135"/>
      <c r="U46" s="1135"/>
      <c r="V46" s="1135"/>
      <c r="W46" s="777"/>
      <c r="X46" s="1135"/>
      <c r="Y46" s="777"/>
      <c r="Z46" s="1135"/>
      <c r="AA46" s="1135"/>
      <c r="AB46" s="773"/>
    </row>
    <row r="47" spans="1:28" s="774" customFormat="1" ht="34.950000000000003" customHeight="1" outlineLevel="1" x14ac:dyDescent="0.3">
      <c r="A47" s="1135"/>
      <c r="B47" s="1322" t="s">
        <v>464</v>
      </c>
      <c r="C47" s="1323"/>
      <c r="D47" s="1323"/>
      <c r="E47" s="1323"/>
      <c r="F47" s="1323"/>
      <c r="G47" s="1323"/>
      <c r="H47" s="1323"/>
      <c r="I47" s="1323"/>
      <c r="J47" s="1323"/>
      <c r="K47" s="1323"/>
      <c r="L47" s="1323"/>
      <c r="M47" s="1323"/>
      <c r="N47" s="842"/>
      <c r="O47" s="1135"/>
      <c r="P47" s="842"/>
      <c r="Q47" s="1135"/>
      <c r="R47" s="842"/>
      <c r="S47" s="1135"/>
      <c r="T47" s="1135"/>
      <c r="U47" s="1135"/>
      <c r="V47" s="1135"/>
      <c r="W47" s="777"/>
      <c r="X47" s="1135"/>
      <c r="Y47" s="777"/>
      <c r="Z47" s="1135"/>
      <c r="AA47" s="1135"/>
      <c r="AB47" s="773"/>
    </row>
    <row r="48" spans="1:28" s="889" customFormat="1" ht="25.2" customHeight="1" outlineLevel="1" x14ac:dyDescent="0.55000000000000004">
      <c r="A48" s="883"/>
      <c r="B48" s="1324" t="s">
        <v>443</v>
      </c>
      <c r="C48" s="1325"/>
      <c r="D48" s="1325"/>
      <c r="E48" s="1326"/>
      <c r="F48" s="1325"/>
      <c r="G48" s="1325"/>
      <c r="H48" s="1325"/>
      <c r="I48" s="1326"/>
      <c r="J48" s="1325"/>
      <c r="K48" s="1325"/>
      <c r="L48" s="1325"/>
      <c r="M48" s="1325"/>
      <c r="N48" s="884"/>
      <c r="O48" s="885">
        <f>G6</f>
        <v>127341</v>
      </c>
      <c r="P48" s="884"/>
      <c r="Q48" s="1036">
        <f>Q49/O48</f>
        <v>24.717097701449106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5" customHeight="1" outlineLevel="1" x14ac:dyDescent="0.3">
      <c r="A49" s="1135"/>
      <c r="B49" s="1324" t="s">
        <v>444</v>
      </c>
      <c r="C49" s="1324" t="s">
        <v>445</v>
      </c>
      <c r="D49" s="1328"/>
      <c r="E49" s="847"/>
      <c r="F49" s="1329" t="s">
        <v>446</v>
      </c>
      <c r="G49" s="1325"/>
      <c r="H49" s="1330"/>
      <c r="I49" s="848"/>
      <c r="J49" s="1332" t="s">
        <v>447</v>
      </c>
      <c r="K49" s="1333"/>
      <c r="L49" s="1333"/>
      <c r="M49" s="1333"/>
      <c r="N49" s="1135"/>
      <c r="O49" s="802">
        <f>O52+O54+O55+O56+O57+O58</f>
        <v>127341</v>
      </c>
      <c r="P49" s="1135"/>
      <c r="Q49" s="890">
        <f>Q52+Q54+Q55+Q56+Q57+Q58</f>
        <v>3147499.9384002304</v>
      </c>
      <c r="R49" s="1135"/>
      <c r="S49" s="1337">
        <f>IF(AND(Q49&lt;&gt;0,O49&lt;&gt;0),Q49*(1-D17-D18-D19)/(($D$25*1000000/$D$8)),0)</f>
        <v>2319.9056764132797</v>
      </c>
      <c r="T49" s="1335" t="s">
        <v>448</v>
      </c>
      <c r="U49" s="1310">
        <f>U52+U54+U55+U56+U57+U58</f>
        <v>415455.47180887184</v>
      </c>
      <c r="V49" s="1135" t="s">
        <v>449</v>
      </c>
      <c r="W49" s="1338">
        <f>W52*O52+W54*O54+W55*O55+W56*O56+W57*O57+W58*O58</f>
        <v>415455.47180887184</v>
      </c>
      <c r="X49" s="1135" t="s">
        <v>449</v>
      </c>
      <c r="Y49" s="850" t="s">
        <v>450</v>
      </c>
      <c r="Z49" s="1135"/>
      <c r="AA49" s="1135"/>
      <c r="AB49" s="773"/>
    </row>
    <row r="50" spans="1:28" s="774" customFormat="1" ht="24" customHeight="1" outlineLevel="1" x14ac:dyDescent="0.3">
      <c r="A50" s="1135"/>
      <c r="B50" s="1327"/>
      <c r="C50" s="851" t="s">
        <v>451</v>
      </c>
      <c r="D50" s="852" t="s">
        <v>452</v>
      </c>
      <c r="E50" s="853"/>
      <c r="F50" s="1331"/>
      <c r="G50" s="1325"/>
      <c r="H50" s="1330"/>
      <c r="I50" s="854"/>
      <c r="J50" s="1312" t="s">
        <v>453</v>
      </c>
      <c r="K50" s="1313"/>
      <c r="L50" s="1314" t="s">
        <v>454</v>
      </c>
      <c r="M50" s="1313"/>
      <c r="N50" s="1135"/>
      <c r="O50" s="891" t="s">
        <v>455</v>
      </c>
      <c r="P50" s="1135"/>
      <c r="Q50" s="856">
        <v>0.75</v>
      </c>
      <c r="R50" s="1135"/>
      <c r="S50" s="1334"/>
      <c r="T50" s="1336"/>
      <c r="U50" s="1334"/>
      <c r="V50" s="1135"/>
      <c r="W50" s="1339"/>
      <c r="X50" s="1135"/>
      <c r="Y50" s="857">
        <f>$Y$33</f>
        <v>0.1</v>
      </c>
      <c r="Z50" s="1135"/>
      <c r="AA50" s="1135"/>
      <c r="AB50" s="773"/>
    </row>
    <row r="51" spans="1:28" s="774" customFormat="1" ht="24" customHeight="1" outlineLevel="1" x14ac:dyDescent="0.3">
      <c r="A51" s="1135"/>
      <c r="B51" s="1340">
        <v>1.2749999999999999</v>
      </c>
      <c r="C51" s="1315">
        <v>1</v>
      </c>
      <c r="D51" s="131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135"/>
      <c r="O51" s="864"/>
      <c r="P51" s="1135"/>
      <c r="Q51" s="865"/>
      <c r="R51" s="1135"/>
      <c r="S51" s="866"/>
      <c r="T51" s="1135"/>
      <c r="U51" s="866"/>
      <c r="V51" s="1135"/>
      <c r="W51" s="846"/>
      <c r="X51" s="1135"/>
      <c r="Y51" s="892"/>
      <c r="Z51" s="1135"/>
      <c r="AA51" s="1135"/>
      <c r="AB51" s="773"/>
    </row>
    <row r="52" spans="1:28" s="774" customFormat="1" ht="24" customHeight="1" outlineLevel="1" x14ac:dyDescent="0.3">
      <c r="A52" s="1135"/>
      <c r="B52" s="1341"/>
      <c r="C52" s="1317"/>
      <c r="D52" s="131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87.232906464876478</v>
      </c>
      <c r="K52" s="872">
        <f>$M$32*H52*$B$51*$C$51</f>
        <v>7.2694088720730408</v>
      </c>
      <c r="L52" s="871">
        <f>J52*$D$51</f>
        <v>109.04113308109559</v>
      </c>
      <c r="M52" s="872">
        <f>K52*$D$51</f>
        <v>9.0867610900913007</v>
      </c>
      <c r="N52" s="1135"/>
      <c r="O52" s="873">
        <v>62341</v>
      </c>
      <c r="P52" s="1135"/>
      <c r="Q52" s="874">
        <f>O52*$Q$50*M52+O52*(1-$Q$50)*K52</f>
        <v>538153.88446151267</v>
      </c>
      <c r="R52" s="1135"/>
      <c r="S52" s="875">
        <f>IF(AND(Q52&lt;&gt;0,O52&lt;&gt;0),Q52*(1-D17-D18-D19)/O52/30/(($D$25*1000000/$D$8))*1000,0)</f>
        <v>0.21208798086730785</v>
      </c>
      <c r="T52" s="1135" t="s">
        <v>459</v>
      </c>
      <c r="U52" s="876">
        <f>S52*O52*30*$D$11*(1+$D$24)/1000</f>
        <v>71033.830135155658</v>
      </c>
      <c r="V52" s="1135" t="s">
        <v>460</v>
      </c>
      <c r="W52" s="876">
        <f>IF(O52&lt;&gt;0,U52/O52,0)</f>
        <v>1.1394400175671815</v>
      </c>
      <c r="X52" s="1135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3">
      <c r="A53" s="1135"/>
      <c r="B53" s="1341"/>
      <c r="C53" s="1317"/>
      <c r="D53" s="131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135"/>
      <c r="O53" s="864"/>
      <c r="P53" s="1135"/>
      <c r="Q53" s="865"/>
      <c r="R53" s="1135"/>
      <c r="S53" s="881"/>
      <c r="T53" s="1135"/>
      <c r="U53" s="882"/>
      <c r="V53" s="1135"/>
      <c r="W53" s="893"/>
      <c r="X53" s="1135"/>
      <c r="Y53" s="892"/>
      <c r="Z53" s="1135"/>
      <c r="AA53" s="777"/>
      <c r="AB53" s="773"/>
    </row>
    <row r="54" spans="1:28" s="774" customFormat="1" ht="24" customHeight="1" outlineLevel="1" x14ac:dyDescent="0.3">
      <c r="A54" s="1135"/>
      <c r="B54" s="1341"/>
      <c r="C54" s="1317"/>
      <c r="D54" s="131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277.55924784278881</v>
      </c>
      <c r="K54" s="872">
        <f>$M$32*(H52+(G54-F54)*H54)*$B$51*$C$51</f>
        <v>23.129937320232397</v>
      </c>
      <c r="L54" s="871">
        <f t="shared" ref="L54:M58" si="1">J54*$D$51</f>
        <v>346.94905980348602</v>
      </c>
      <c r="M54" s="872">
        <f t="shared" si="1"/>
        <v>28.912421650290497</v>
      </c>
      <c r="N54" s="1135"/>
      <c r="O54" s="873">
        <v>42500</v>
      </c>
      <c r="P54" s="1135"/>
      <c r="Q54" s="874">
        <f>O54*$Q$50*M54+O54*(1-$Q$50)*K54</f>
        <v>1167339.0241304787</v>
      </c>
      <c r="R54" s="1135"/>
      <c r="S54" s="875">
        <f>IF(AND(Q54&lt;&gt;0,O54&lt;&gt;0),Q54*(1-D17-D18-D19)/O54/30/(($D$25*1000000/$D$8))*1000,0)</f>
        <v>0.67482539366870664</v>
      </c>
      <c r="T54" s="1135" t="s">
        <v>459</v>
      </c>
      <c r="U54" s="876">
        <f>S54*O54*30*$D$11*(1+$D$24)/1000</f>
        <v>154083.36601192562</v>
      </c>
      <c r="V54" s="1135" t="s">
        <v>460</v>
      </c>
      <c r="W54" s="894">
        <f>IF(O54&lt;&gt;0,U54/O54,0)</f>
        <v>3.625490964986485</v>
      </c>
      <c r="X54" s="1135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3">
      <c r="A55" s="1135"/>
      <c r="B55" s="1341"/>
      <c r="C55" s="1317"/>
      <c r="D55" s="131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475.81585344478083</v>
      </c>
      <c r="K55" s="872">
        <f>$M$32*(H52+(G54-F54)*H54+(G55-F55)*H55)*$B$51*$C$51</f>
        <v>39.6513211203984</v>
      </c>
      <c r="L55" s="871">
        <f t="shared" si="1"/>
        <v>594.76981680597601</v>
      </c>
      <c r="M55" s="872">
        <f t="shared" si="1"/>
        <v>49.564151400497998</v>
      </c>
      <c r="N55" s="1135"/>
      <c r="O55" s="873">
        <v>10000</v>
      </c>
      <c r="P55" s="1135"/>
      <c r="Q55" s="874">
        <f>O55*$Q$50*M55+O55*(1-$Q$50)*K55</f>
        <v>470859.43830473098</v>
      </c>
      <c r="R55" s="1135"/>
      <c r="S55" s="875">
        <f>IF(AND(Q55&lt;&gt;0,O55&lt;&gt;0),Q55*(1-D17-D18-D19)/O55/30/(($D$25*1000000/$D$8))*1000,0)</f>
        <v>1.1568435320034975</v>
      </c>
      <c r="T55" s="1135" t="s">
        <v>459</v>
      </c>
      <c r="U55" s="876">
        <f>S55*O55*30*$D$11*(1+$D$24)/1000</f>
        <v>62151.273685482636</v>
      </c>
      <c r="V55" s="1135" t="s">
        <v>460</v>
      </c>
      <c r="W55" s="895">
        <f>IF(O55&lt;&gt;0,U55/O55,0)</f>
        <v>6.2151273685482638</v>
      </c>
      <c r="X55" s="1135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3">
      <c r="A56" s="1135"/>
      <c r="B56" s="1341"/>
      <c r="C56" s="1317"/>
      <c r="D56" s="131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785.09615818388829</v>
      </c>
      <c r="K56" s="872">
        <f>$M$32*(H52+(G54-F54)*H54+(G55-F55)*H55+(G56-F56)*H56)*$B$51*$C$51</f>
        <v>65.424679848657362</v>
      </c>
      <c r="L56" s="871">
        <f t="shared" si="1"/>
        <v>981.37019772986037</v>
      </c>
      <c r="M56" s="872">
        <f t="shared" si="1"/>
        <v>81.780849810821707</v>
      </c>
      <c r="N56" s="1135"/>
      <c r="O56" s="873">
        <v>12500</v>
      </c>
      <c r="P56" s="1135"/>
      <c r="Q56" s="874">
        <f>O56*$Q$50*M56+O56*(1-$Q$50)*K56</f>
        <v>971147.59150350781</v>
      </c>
      <c r="R56" s="1135"/>
      <c r="S56" s="875">
        <f>IF(AND(Q56&lt;&gt;0,O56&lt;&gt;0),Q56*(1-D17-D18-D19)/O56/30/(($D$25*1000000/$D$8))*1000,0)</f>
        <v>1.9087918278057712</v>
      </c>
      <c r="T56" s="1135" t="s">
        <v>459</v>
      </c>
      <c r="U56" s="876">
        <f>S56*O56*30*$D$11*(1+$D$24)/1000</f>
        <v>128187.00197630795</v>
      </c>
      <c r="V56" s="1135" t="s">
        <v>460</v>
      </c>
      <c r="W56" s="895">
        <f>IF(O56&lt;&gt;0,U56/O56,0)</f>
        <v>10.254960158104636</v>
      </c>
      <c r="X56" s="1135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3">
      <c r="A57" s="1135"/>
      <c r="B57" s="1341"/>
      <c r="C57" s="1317"/>
      <c r="D57" s="131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1617.7739017122547</v>
      </c>
      <c r="K57" s="872">
        <f>$M$32*(H52+(G54-F54)*H54+(G55-F55)*H55+(G56-F56)*H56+(G57-F57)*H57)*$B$51*$C$51</f>
        <v>134.81449180935456</v>
      </c>
      <c r="L57" s="871">
        <f t="shared" si="1"/>
        <v>2022.2173771403184</v>
      </c>
      <c r="M57" s="872">
        <f t="shared" si="1"/>
        <v>168.5181147616932</v>
      </c>
      <c r="N57" s="1135"/>
      <c r="O57" s="873">
        <v>0</v>
      </c>
      <c r="P57" s="1135"/>
      <c r="Q57" s="874">
        <f>O57*$Q$50*M57+O57*(1-$Q$50)*K57</f>
        <v>0</v>
      </c>
      <c r="R57" s="1135"/>
      <c r="S57" s="875">
        <f>IF(AND(Q57&lt;&gt;0,O57&lt;&gt;0),Q57*(1-D17-D18-D19)/O57/30/(($D$25*1000000/$D$8))*1000,0)</f>
        <v>0</v>
      </c>
      <c r="T57" s="1135" t="s">
        <v>459</v>
      </c>
      <c r="U57" s="876">
        <f>S57*O57*30*$D$11*(1+$D$24)/1000</f>
        <v>0</v>
      </c>
      <c r="V57" s="1135" t="s">
        <v>460</v>
      </c>
      <c r="W57" s="895">
        <f>IF(O57&lt;&gt;0,U57/O57,0)</f>
        <v>0</v>
      </c>
      <c r="X57" s="1135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3">
      <c r="A58" s="1135"/>
      <c r="B58" s="1341"/>
      <c r="C58" s="1317"/>
      <c r="D58" s="131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3402.0833521301824</v>
      </c>
      <c r="K58" s="872">
        <f>$M$32*(H52+(G54-F54)*H54+(G55-F55)*H55+(G56-F56)*H56+(G57-F57)*H57+(G58-F58)*H58)*$B$51*$C$51</f>
        <v>283.50694601084854</v>
      </c>
      <c r="L58" s="871">
        <f t="shared" si="1"/>
        <v>4252.6041901627277</v>
      </c>
      <c r="M58" s="872">
        <f t="shared" si="1"/>
        <v>354.38368251356064</v>
      </c>
      <c r="N58" s="1135"/>
      <c r="O58" s="873">
        <v>0</v>
      </c>
      <c r="P58" s="1135"/>
      <c r="Q58" s="874">
        <f>O58*$Q$50*M58+O58*(1-$Q$50)*K58</f>
        <v>0</v>
      </c>
      <c r="R58" s="1135"/>
      <c r="S58" s="875">
        <f>IF(AND(Q58&lt;&gt;0,O58&lt;&gt;0),Q58*(1-D17-D18-D19)/O58/30/(($D$25*1000000/$D$8))*1000,0)</f>
        <v>0</v>
      </c>
      <c r="T58" s="1135" t="s">
        <v>459</v>
      </c>
      <c r="U58" s="876">
        <f>S58*O58*30*$D$11*(1+$D$24)/1000</f>
        <v>0</v>
      </c>
      <c r="V58" s="1135" t="s">
        <v>460</v>
      </c>
      <c r="W58" s="896">
        <f>IF(O58&lt;&gt;0,U58/O58,0)</f>
        <v>0</v>
      </c>
      <c r="X58" s="1135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99999999999999" customHeight="1" outlineLevel="1" x14ac:dyDescent="0.3">
      <c r="A59" s="1135"/>
      <c r="B59" s="1135"/>
      <c r="C59" s="777"/>
      <c r="D59" s="1135"/>
      <c r="E59" s="1135"/>
      <c r="F59" s="1135"/>
      <c r="G59" s="1135"/>
      <c r="H59" s="777"/>
      <c r="I59" s="1135"/>
      <c r="J59" s="777"/>
      <c r="K59" s="777"/>
      <c r="L59" s="777"/>
      <c r="M59" s="777"/>
      <c r="N59" s="1135"/>
      <c r="O59" s="1135"/>
      <c r="P59" s="1135"/>
      <c r="Q59" s="1135"/>
      <c r="R59" s="1135"/>
      <c r="S59" s="1135"/>
      <c r="T59" s="1135"/>
      <c r="U59" s="1135"/>
      <c r="V59" s="1135"/>
      <c r="W59" s="777"/>
      <c r="X59" s="1135"/>
      <c r="Y59" s="777"/>
      <c r="Z59" s="1135"/>
      <c r="AA59" s="1135"/>
      <c r="AB59" s="773"/>
    </row>
    <row r="60" spans="1:28" s="774" customFormat="1" ht="34.950000000000003" customHeight="1" outlineLevel="1" x14ac:dyDescent="0.3">
      <c r="A60" s="1135"/>
      <c r="B60" s="1322" t="s">
        <v>469</v>
      </c>
      <c r="C60" s="1323"/>
      <c r="D60" s="1323"/>
      <c r="E60" s="1323"/>
      <c r="F60" s="1323"/>
      <c r="G60" s="1323"/>
      <c r="H60" s="1323"/>
      <c r="I60" s="1323"/>
      <c r="J60" s="1323"/>
      <c r="K60" s="1323"/>
      <c r="L60" s="1323"/>
      <c r="M60" s="1323"/>
      <c r="N60" s="842"/>
      <c r="O60" s="1135"/>
      <c r="P60" s="842"/>
      <c r="Q60" s="1135"/>
      <c r="R60" s="842"/>
      <c r="S60" s="1135"/>
      <c r="T60" s="1135"/>
      <c r="U60" s="1135"/>
      <c r="V60" s="1135"/>
      <c r="W60" s="777"/>
      <c r="X60" s="1135"/>
      <c r="Y60" s="777"/>
      <c r="Z60" s="1135"/>
      <c r="AA60" s="1135"/>
      <c r="AB60" s="773"/>
    </row>
    <row r="61" spans="1:28" s="889" customFormat="1" ht="25.2" customHeight="1" outlineLevel="1" x14ac:dyDescent="0.55000000000000004">
      <c r="A61" s="883"/>
      <c r="B61" s="1324" t="s">
        <v>443</v>
      </c>
      <c r="C61" s="1325"/>
      <c r="D61" s="1325"/>
      <c r="E61" s="1326"/>
      <c r="F61" s="1325"/>
      <c r="G61" s="1325"/>
      <c r="H61" s="1325"/>
      <c r="I61" s="1326"/>
      <c r="J61" s="1325"/>
      <c r="K61" s="1325"/>
      <c r="L61" s="1325"/>
      <c r="M61" s="1325"/>
      <c r="N61" s="884"/>
      <c r="O61" s="885">
        <f>G7</f>
        <v>42447</v>
      </c>
      <c r="P61" s="884"/>
      <c r="Q61" s="1036">
        <f>Q62/O61</f>
        <v>8.6840326555059928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5" customHeight="1" outlineLevel="1" x14ac:dyDescent="0.3">
      <c r="A62" s="1135"/>
      <c r="B62" s="1324" t="s">
        <v>444</v>
      </c>
      <c r="C62" s="1324" t="s">
        <v>445</v>
      </c>
      <c r="D62" s="1328"/>
      <c r="E62" s="847"/>
      <c r="F62" s="1329" t="s">
        <v>446</v>
      </c>
      <c r="G62" s="1325"/>
      <c r="H62" s="1330"/>
      <c r="I62" s="848"/>
      <c r="J62" s="1332" t="s">
        <v>447</v>
      </c>
      <c r="K62" s="1333"/>
      <c r="L62" s="1333"/>
      <c r="M62" s="1333"/>
      <c r="N62" s="1135"/>
      <c r="O62" s="802">
        <f>O65+O67+O68+O69+O70+O71</f>
        <v>42447</v>
      </c>
      <c r="P62" s="1135"/>
      <c r="Q62" s="849">
        <f>Q65+Q67+Q68+Q69+Q70+Q71</f>
        <v>368611.13412826287</v>
      </c>
      <c r="R62" s="1135"/>
      <c r="S62" s="1310">
        <f>IF(AND(Q62&lt;&gt;0,O62&lt;&gt;0),Q62*(1-D17-D18-D19)/(H15)/(($D$25*1000000/$D$8)),0)</f>
        <v>543.37924015206477</v>
      </c>
      <c r="T62" s="1335" t="s">
        <v>448</v>
      </c>
      <c r="U62" s="1310">
        <f>U65+U67+U68+U69+U70+U71</f>
        <v>97309.938452991701</v>
      </c>
      <c r="V62" s="1135" t="s">
        <v>449</v>
      </c>
      <c r="W62" s="1310">
        <f>W65*O65+W67*O67+W68*O68+W69*O69+W70*O70+W71*O71</f>
        <v>97309.938452991701</v>
      </c>
      <c r="X62" s="1135" t="s">
        <v>449</v>
      </c>
      <c r="Y62" s="850" t="s">
        <v>450</v>
      </c>
      <c r="Z62" s="1135"/>
      <c r="AA62" s="1135"/>
      <c r="AB62" s="773"/>
    </row>
    <row r="63" spans="1:28" s="774" customFormat="1" ht="24" customHeight="1" outlineLevel="1" x14ac:dyDescent="0.3">
      <c r="A63" s="1135"/>
      <c r="B63" s="1327"/>
      <c r="C63" s="851" t="s">
        <v>451</v>
      </c>
      <c r="D63" s="852" t="s">
        <v>452</v>
      </c>
      <c r="E63" s="853"/>
      <c r="F63" s="1331"/>
      <c r="G63" s="1325"/>
      <c r="H63" s="1330"/>
      <c r="I63" s="854"/>
      <c r="J63" s="1312" t="s">
        <v>453</v>
      </c>
      <c r="K63" s="1313"/>
      <c r="L63" s="1314" t="s">
        <v>454</v>
      </c>
      <c r="M63" s="1313"/>
      <c r="N63" s="1135"/>
      <c r="O63" s="891" t="s">
        <v>455</v>
      </c>
      <c r="P63" s="1135"/>
      <c r="Q63" s="856">
        <v>0.75</v>
      </c>
      <c r="R63" s="1135"/>
      <c r="S63" s="1334"/>
      <c r="T63" s="1336"/>
      <c r="U63" s="1334"/>
      <c r="V63" s="1135"/>
      <c r="W63" s="1311"/>
      <c r="X63" s="1135"/>
      <c r="Y63" s="857">
        <f>$Y$33</f>
        <v>0.1</v>
      </c>
      <c r="Z63" s="1135"/>
      <c r="AA63" s="1135"/>
      <c r="AB63" s="773"/>
    </row>
    <row r="64" spans="1:28" s="774" customFormat="1" ht="24" customHeight="1" outlineLevel="1" x14ac:dyDescent="0.3">
      <c r="A64" s="1135"/>
      <c r="B64" s="1342">
        <f>B51*$H$15</f>
        <v>0.63749999999999996</v>
      </c>
      <c r="C64" s="1342">
        <f>C51</f>
        <v>1</v>
      </c>
      <c r="D64" s="1342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135"/>
      <c r="O64" s="864"/>
      <c r="P64" s="1135"/>
      <c r="Q64" s="865"/>
      <c r="R64" s="1135"/>
      <c r="S64" s="866"/>
      <c r="T64" s="1135"/>
      <c r="U64" s="866"/>
      <c r="V64" s="1135"/>
      <c r="W64" s="867"/>
      <c r="X64" s="1135"/>
      <c r="Y64" s="892"/>
      <c r="Z64" s="1135"/>
      <c r="AA64" s="1135"/>
      <c r="AB64" s="773"/>
    </row>
    <row r="65" spans="1:28" s="774" customFormat="1" ht="24" customHeight="1" outlineLevel="1" x14ac:dyDescent="0.3">
      <c r="A65" s="1135"/>
      <c r="B65" s="1343"/>
      <c r="C65" s="1343"/>
      <c r="D65" s="1343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43.616453232438239</v>
      </c>
      <c r="K65" s="872">
        <f>$M$32*H65*$B$64*$C$64</f>
        <v>3.6347044360365204</v>
      </c>
      <c r="L65" s="871">
        <f>J65*$D$51</f>
        <v>54.520566540547797</v>
      </c>
      <c r="M65" s="872">
        <f>K65*$D$51</f>
        <v>4.5433805450456504</v>
      </c>
      <c r="N65" s="1135"/>
      <c r="O65" s="873">
        <v>25947</v>
      </c>
      <c r="P65" s="1135"/>
      <c r="Q65" s="874">
        <f>O65*$Q$63*M65+O65*(1-$Q$63)*K65</f>
        <v>111992.74025218451</v>
      </c>
      <c r="R65" s="1135"/>
      <c r="S65" s="875">
        <f>IF(AND(Q65&lt;&gt;0,O65&lt;&gt;0),Q65*(1-D17-D18-D19)/(H15)/O65/30/(($D$25*1000000/$D$8))*1000,0)</f>
        <v>0.21208798086730785</v>
      </c>
      <c r="T65" s="1135" t="s">
        <v>459</v>
      </c>
      <c r="U65" s="876">
        <f>S65*O65*30*$D$11*(1+$D$24)/1000</f>
        <v>29565.050135815654</v>
      </c>
      <c r="V65" s="1135" t="s">
        <v>460</v>
      </c>
      <c r="W65" s="876">
        <f>IF(O65&lt;&gt;0,U65/O65,0)</f>
        <v>1.1394400175671813</v>
      </c>
      <c r="X65" s="1135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3">
      <c r="A66" s="1135"/>
      <c r="B66" s="1343"/>
      <c r="C66" s="1343"/>
      <c r="D66" s="1343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135"/>
      <c r="O66" s="864"/>
      <c r="P66" s="1135"/>
      <c r="Q66" s="865"/>
      <c r="R66" s="1135"/>
      <c r="S66" s="881"/>
      <c r="T66" s="1135"/>
      <c r="U66" s="882"/>
      <c r="V66" s="1135"/>
      <c r="W66" s="882"/>
      <c r="X66" s="1135"/>
      <c r="Y66" s="892"/>
      <c r="Z66" s="903"/>
      <c r="AA66" s="777"/>
      <c r="AB66" s="777"/>
    </row>
    <row r="67" spans="1:28" s="774" customFormat="1" ht="24" customHeight="1" outlineLevel="1" x14ac:dyDescent="0.3">
      <c r="A67" s="1135"/>
      <c r="B67" s="1343"/>
      <c r="C67" s="1343"/>
      <c r="D67" s="1343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138.7796239213944</v>
      </c>
      <c r="K67" s="872">
        <f>$M$32*(H65+(G67-F67)*H67)*$B$64*$C$64</f>
        <v>11.564968660116199</v>
      </c>
      <c r="L67" s="871">
        <f t="shared" ref="L67:M71" si="3">J67*$D$51</f>
        <v>173.47452990174301</v>
      </c>
      <c r="M67" s="872">
        <f t="shared" si="3"/>
        <v>14.456210825145249</v>
      </c>
      <c r="N67" s="1135"/>
      <c r="O67" s="873">
        <v>15000</v>
      </c>
      <c r="P67" s="1135"/>
      <c r="Q67" s="874">
        <f>O67*$Q$63*M67+O67*(1-$Q$63)*K67</f>
        <v>206001.00425831979</v>
      </c>
      <c r="R67" s="1135"/>
      <c r="S67" s="875">
        <f>IF(AND(Q67&lt;&gt;0,O67&lt;&gt;0),Q67*(1-D17-D18-D19)/O67/30/(H15)/(($D$25*1000000/$D$8))*1000,0)</f>
        <v>0.67482539366870664</v>
      </c>
      <c r="T67" s="1135" t="s">
        <v>459</v>
      </c>
      <c r="U67" s="876">
        <f>S67*O67*30*$D$11*(1+$D$24)/1000</f>
        <v>54382.364474797287</v>
      </c>
      <c r="V67" s="1135" t="s">
        <v>460</v>
      </c>
      <c r="W67" s="876">
        <f>IF(O67&lt;&gt;0,U67/O67,0)</f>
        <v>3.6254909649864859</v>
      </c>
      <c r="X67" s="1135" t="s">
        <v>461</v>
      </c>
      <c r="Y67" s="877" t="str">
        <f>IF(O67=0,"-",IF(AND(((F67*(1-$Y$63))&lt;W67),(W67&lt;(G67*(1+$Y$63)))),"OK", "NOK"))</f>
        <v>NOK</v>
      </c>
      <c r="Z67" s="893">
        <f>W67</f>
        <v>3.6254909649864859</v>
      </c>
      <c r="AA67" s="846">
        <f>IF(OR(Y67="OK",Y67="-"),1,0)</f>
        <v>0</v>
      </c>
      <c r="AB67" s="777"/>
    </row>
    <row r="68" spans="1:28" s="774" customFormat="1" ht="24" customHeight="1" outlineLevel="1" x14ac:dyDescent="0.3">
      <c r="A68" s="1135"/>
      <c r="B68" s="1343"/>
      <c r="C68" s="1343"/>
      <c r="D68" s="1343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237.90792672239041</v>
      </c>
      <c r="K68" s="872">
        <f>$M$32*(H65+(G67-F67)*H67+(G68-F68)*H68)*$B$64*$C$64</f>
        <v>19.8256605601992</v>
      </c>
      <c r="L68" s="871">
        <f t="shared" si="3"/>
        <v>297.384908402988</v>
      </c>
      <c r="M68" s="872">
        <f t="shared" si="3"/>
        <v>24.782075700248999</v>
      </c>
      <c r="N68" s="1135"/>
      <c r="O68" s="873">
        <v>500</v>
      </c>
      <c r="P68" s="1135"/>
      <c r="Q68" s="874">
        <f>O68*$Q$63*M68+O68*(1-$Q$63)*K68</f>
        <v>11771.485957618275</v>
      </c>
      <c r="R68" s="1135"/>
      <c r="S68" s="875">
        <f>IF(AND(Q68&lt;&gt;0,O68&lt;&gt;0),Q68*(1-D17-D18-D19)/O68/30/(H15)/(($D$25*1000000/$D$8))*1000,0)</f>
        <v>1.1568435320034975</v>
      </c>
      <c r="T68" s="1135" t="s">
        <v>459</v>
      </c>
      <c r="U68" s="876">
        <f>S68*O68*30*$D$11*(1+$D$24)/1000</f>
        <v>3107.5636842741314</v>
      </c>
      <c r="V68" s="1135" t="s">
        <v>460</v>
      </c>
      <c r="W68" s="876">
        <f>IF(O68&lt;&gt;0,U68/O68,0)</f>
        <v>6.2151273685482629</v>
      </c>
      <c r="X68" s="1135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3">
      <c r="A69" s="1135"/>
      <c r="B69" s="1343"/>
      <c r="C69" s="1343"/>
      <c r="D69" s="1343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392.54807909194415</v>
      </c>
      <c r="K69" s="872">
        <f>$M$32*(H65+(G67-F67)*H67+(G68-F68)*H68+(G69-F69)*H69)*$B$64*$C$64</f>
        <v>32.712339924328681</v>
      </c>
      <c r="L69" s="871">
        <f t="shared" si="3"/>
        <v>490.68509886493018</v>
      </c>
      <c r="M69" s="872">
        <f t="shared" si="3"/>
        <v>40.890424905410853</v>
      </c>
      <c r="N69" s="1135"/>
      <c r="O69" s="873">
        <v>1000</v>
      </c>
      <c r="P69" s="1135"/>
      <c r="Q69" s="874">
        <f>O69*$Q$63*M69+O69*(1-$Q$63)*K69</f>
        <v>38845.903660140306</v>
      </c>
      <c r="R69" s="1135"/>
      <c r="S69" s="875">
        <f>IF(AND(Q69&lt;&gt;0,O69&lt;&gt;0),Q69*(1-D17-D18-D19)/O69/30/(H15)/(($D$25*1000000/$D$8))*1000,0)</f>
        <v>1.9087918278057707</v>
      </c>
      <c r="T69" s="1135" t="s">
        <v>459</v>
      </c>
      <c r="U69" s="876">
        <f>S69*O69*30*$D$11*(1+$D$24)/1000</f>
        <v>10254.960158104634</v>
      </c>
      <c r="V69" s="1135" t="s">
        <v>460</v>
      </c>
      <c r="W69" s="876">
        <f>IF(O69&lt;&gt;0,U69/O69,0)</f>
        <v>10.254960158104634</v>
      </c>
      <c r="X69" s="1135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3">
      <c r="A70" s="1135"/>
      <c r="B70" s="1343"/>
      <c r="C70" s="1343"/>
      <c r="D70" s="1343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808.88695085612733</v>
      </c>
      <c r="K70" s="872">
        <f>$M$32*(H65+(G67-F67)*H67+(G68-F68)*H68+(G69-F69)*H69+(G70-F70)*H70)*$B$64*$C$64</f>
        <v>67.407245904677282</v>
      </c>
      <c r="L70" s="871">
        <f t="shared" si="3"/>
        <v>1011.1086885701592</v>
      </c>
      <c r="M70" s="872">
        <f t="shared" si="3"/>
        <v>84.259057380846599</v>
      </c>
      <c r="N70" s="1135"/>
      <c r="O70" s="873">
        <v>0</v>
      </c>
      <c r="P70" s="1135"/>
      <c r="Q70" s="874">
        <f>O70*$Q$63*M70+O70*(1-$Q$63)*K70</f>
        <v>0</v>
      </c>
      <c r="R70" s="1135"/>
      <c r="S70" s="875">
        <f>IF(AND(Q70&lt;&gt;0,O70&lt;&gt;0),Q70*(1-D17-D18-D19)/O70/30/(H15)/(($D$25*1000000/$D$8))*1000,0)</f>
        <v>0</v>
      </c>
      <c r="T70" s="1135" t="s">
        <v>459</v>
      </c>
      <c r="U70" s="876">
        <f>S70*O70*30*$D$11*(1+$D$24)/1000</f>
        <v>0</v>
      </c>
      <c r="V70" s="1135" t="s">
        <v>460</v>
      </c>
      <c r="W70" s="876">
        <f>IF(O70&lt;&gt;0,U70/O70,0)</f>
        <v>0</v>
      </c>
      <c r="X70" s="1135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3">
      <c r="A71" s="1135"/>
      <c r="B71" s="1344"/>
      <c r="C71" s="1344"/>
      <c r="D71" s="1344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1701.0416760650912</v>
      </c>
      <c r="K71" s="872">
        <f>$M$32*(H65+(G67-F67)*H67+(G68-F68)*H68+(G69-F69)*H69+(G70-F70)*H70+(G71-F71)*H71)*$B$64*$C$64</f>
        <v>141.75347300542427</v>
      </c>
      <c r="L71" s="871">
        <f t="shared" si="3"/>
        <v>2126.3020950813639</v>
      </c>
      <c r="M71" s="872">
        <f t="shared" si="3"/>
        <v>177.19184125678032</v>
      </c>
      <c r="N71" s="1135"/>
      <c r="O71" s="873">
        <v>0</v>
      </c>
      <c r="P71" s="1135"/>
      <c r="Q71" s="874">
        <f>O71*$Q$63*M71+O71*(1-$Q$63)*K71</f>
        <v>0</v>
      </c>
      <c r="R71" s="1135"/>
      <c r="S71" s="875">
        <f>IF(AND(Q71&lt;&gt;0,O71&lt;&gt;0),Q71*(1-D17-D18-D19)/O71/30/(H15)/(($D$25*1000000/$D$8))*1000,0)</f>
        <v>0</v>
      </c>
      <c r="T71" s="1135" t="s">
        <v>459</v>
      </c>
      <c r="U71" s="876">
        <f>S71*O71*30*$D$11*(1+$D$24)/1000</f>
        <v>0</v>
      </c>
      <c r="V71" s="1135" t="s">
        <v>460</v>
      </c>
      <c r="W71" s="876">
        <f>IF(O71&lt;&gt;0,U71/O71,0)</f>
        <v>0</v>
      </c>
      <c r="X71" s="1135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99999999999999" customHeight="1" outlineLevel="1" x14ac:dyDescent="0.3">
      <c r="A72" s="1135"/>
      <c r="B72" s="1135"/>
      <c r="C72" s="777"/>
      <c r="D72" s="1135"/>
      <c r="E72" s="1135"/>
      <c r="F72" s="1135"/>
      <c r="G72" s="1135"/>
      <c r="H72" s="777"/>
      <c r="I72" s="1135"/>
      <c r="J72" s="777"/>
      <c r="K72" s="777"/>
      <c r="L72" s="777"/>
      <c r="M72" s="777"/>
      <c r="N72" s="1135"/>
      <c r="O72" s="1135"/>
      <c r="P72" s="1135"/>
      <c r="Q72" s="1135"/>
      <c r="R72" s="1135"/>
      <c r="S72" s="1135"/>
      <c r="T72" s="1135"/>
      <c r="U72" s="1135"/>
      <c r="V72" s="1135"/>
      <c r="W72" s="777"/>
      <c r="X72" s="1135"/>
      <c r="Y72" s="777"/>
      <c r="Z72" s="1135"/>
      <c r="AA72" s="1135"/>
      <c r="AB72" s="773"/>
    </row>
    <row r="73" spans="1:28" s="774" customFormat="1" ht="34.950000000000003" customHeight="1" outlineLevel="1" x14ac:dyDescent="0.3">
      <c r="A73" s="1135"/>
      <c r="B73" s="1322" t="s">
        <v>470</v>
      </c>
      <c r="C73" s="1323"/>
      <c r="D73" s="1323"/>
      <c r="E73" s="1323"/>
      <c r="F73" s="1323"/>
      <c r="G73" s="1323"/>
      <c r="H73" s="1323"/>
      <c r="I73" s="1323"/>
      <c r="J73" s="1323"/>
      <c r="K73" s="1323"/>
      <c r="L73" s="1323"/>
      <c r="M73" s="1323"/>
      <c r="N73" s="1135"/>
      <c r="O73" s="1135"/>
      <c r="P73" s="1135"/>
      <c r="Q73" s="1135"/>
      <c r="R73" s="1135"/>
      <c r="S73" s="1135"/>
      <c r="T73" s="1135"/>
      <c r="U73" s="1135"/>
      <c r="V73" s="1135"/>
      <c r="W73" s="777"/>
      <c r="X73" s="1135"/>
      <c r="Y73" s="777"/>
      <c r="Z73" s="1135"/>
      <c r="AA73" s="1135"/>
      <c r="AB73" s="773"/>
    </row>
    <row r="74" spans="1:28" s="889" customFormat="1" ht="25.2" customHeight="1" outlineLevel="1" x14ac:dyDescent="0.55000000000000004">
      <c r="A74" s="883"/>
      <c r="B74" s="1324" t="s">
        <v>443</v>
      </c>
      <c r="C74" s="1325"/>
      <c r="D74" s="1325"/>
      <c r="E74" s="1326"/>
      <c r="F74" s="1325"/>
      <c r="G74" s="1325"/>
      <c r="H74" s="1325"/>
      <c r="I74" s="1326"/>
      <c r="J74" s="1325"/>
      <c r="K74" s="1325"/>
      <c r="L74" s="1325"/>
      <c r="M74" s="1325"/>
      <c r="N74" s="883"/>
      <c r="O74" s="885">
        <f>G8</f>
        <v>1741</v>
      </c>
      <c r="P74" s="883"/>
      <c r="Q74" s="1036">
        <f>Q75/O74</f>
        <v>34.325314190164129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50000000000003" customHeight="1" outlineLevel="1" x14ac:dyDescent="0.3">
      <c r="A75" s="777"/>
      <c r="B75" s="1324" t="s">
        <v>444</v>
      </c>
      <c r="C75" s="1324" t="s">
        <v>445</v>
      </c>
      <c r="D75" s="1328"/>
      <c r="E75" s="847"/>
      <c r="F75" s="1329" t="s">
        <v>446</v>
      </c>
      <c r="G75" s="1325"/>
      <c r="H75" s="1330"/>
      <c r="I75" s="848"/>
      <c r="J75" s="1332" t="s">
        <v>447</v>
      </c>
      <c r="K75" s="1333"/>
      <c r="L75" s="1333"/>
      <c r="M75" s="1333"/>
      <c r="N75" s="1135"/>
      <c r="O75" s="802">
        <f>O78+O80+O81+O82+O83+O84</f>
        <v>1741</v>
      </c>
      <c r="P75" s="1135"/>
      <c r="Q75" s="849">
        <f>Q78+Q80+Q81+Q82+Q83+Q84</f>
        <v>59760.372005075747</v>
      </c>
      <c r="R75" s="1135"/>
      <c r="S75" s="1310">
        <f>IF(AND(Q75&lt;&gt;0,O75&lt;&gt;0),Q75*(1-D17-D18-D19)/(($D$25*1000000/$D$8)),0)</f>
        <v>44.047157729130817</v>
      </c>
      <c r="T75" s="1335" t="s">
        <v>448</v>
      </c>
      <c r="U75" s="1310">
        <f>U78+U80+U81+U82+U83+U84</f>
        <v>7888.0934178704319</v>
      </c>
      <c r="V75" s="1135" t="s">
        <v>449</v>
      </c>
      <c r="W75" s="1310">
        <f>W78*O78+W80*O80+W81*O81+W82*O82+W83*O83+W84*O84</f>
        <v>7888.0934178704319</v>
      </c>
      <c r="X75" s="1135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3">
      <c r="A76" s="777"/>
      <c r="B76" s="1327"/>
      <c r="C76" s="851" t="s">
        <v>451</v>
      </c>
      <c r="D76" s="852" t="s">
        <v>452</v>
      </c>
      <c r="E76" s="853"/>
      <c r="F76" s="1331"/>
      <c r="G76" s="1325"/>
      <c r="H76" s="1330"/>
      <c r="I76" s="854"/>
      <c r="J76" s="1312" t="s">
        <v>453</v>
      </c>
      <c r="K76" s="1313"/>
      <c r="L76" s="1314" t="s">
        <v>454</v>
      </c>
      <c r="M76" s="1313"/>
      <c r="N76" s="1135"/>
      <c r="O76" s="891" t="s">
        <v>455</v>
      </c>
      <c r="P76" s="1135"/>
      <c r="Q76" s="856">
        <v>0.75</v>
      </c>
      <c r="R76" s="1135"/>
      <c r="S76" s="1334"/>
      <c r="T76" s="1336"/>
      <c r="U76" s="1334"/>
      <c r="V76" s="1135"/>
      <c r="W76" s="1311"/>
      <c r="X76" s="1135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3">
      <c r="A77" s="777"/>
      <c r="B77" s="1315">
        <v>1.5</v>
      </c>
      <c r="C77" s="1315">
        <v>1</v>
      </c>
      <c r="D77" s="131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135"/>
      <c r="O77" s="864"/>
      <c r="P77" s="1135"/>
      <c r="Q77" s="865"/>
      <c r="R77" s="1135"/>
      <c r="S77" s="866"/>
      <c r="T77" s="1135"/>
      <c r="U77" s="866"/>
      <c r="V77" s="1135"/>
      <c r="W77" s="867"/>
      <c r="X77" s="1135"/>
      <c r="Y77" s="867"/>
      <c r="Z77" s="878"/>
      <c r="AA77" s="878"/>
      <c r="AB77" s="773"/>
    </row>
    <row r="78" spans="1:28" s="774" customFormat="1" ht="24" customHeight="1" outlineLevel="1" x14ac:dyDescent="0.3">
      <c r="A78" s="1135"/>
      <c r="B78" s="1316"/>
      <c r="C78" s="1317"/>
      <c r="D78" s="131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83.96750354907897</v>
      </c>
      <c r="K78" s="872">
        <f>$M$32*H78*$B$77*$C$77</f>
        <v>6.9972919624232475</v>
      </c>
      <c r="L78" s="871">
        <f>J78*$D$77</f>
        <v>104.95937943634871</v>
      </c>
      <c r="M78" s="872">
        <f>K78*$D$77</f>
        <v>8.7466149530290593</v>
      </c>
      <c r="N78" s="1135"/>
      <c r="O78" s="873">
        <v>264</v>
      </c>
      <c r="P78" s="1135"/>
      <c r="Q78" s="874">
        <f>O78*$Q$76*M78+O78*(1-$Q$76)*K78</f>
        <v>2193.651030219688</v>
      </c>
      <c r="R78" s="1135"/>
      <c r="S78" s="875">
        <f>IF(AND(Q78&lt;&gt;0,O78&lt;&gt;0),Q78*(1-D17-D18-D19)/O78/30/(($D$25*1000000/$D$8))*1000,0)</f>
        <v>0.20414885858885248</v>
      </c>
      <c r="T78" s="1135" t="s">
        <v>459</v>
      </c>
      <c r="U78" s="876">
        <f>S78*O78*30*$D$11*(1+$D$24)/1000</f>
        <v>289.55181622883674</v>
      </c>
      <c r="V78" s="1135" t="s">
        <v>460</v>
      </c>
      <c r="W78" s="876">
        <f>IF(O78&lt;&gt;0,U78/O78,0)</f>
        <v>1.0967871826849878</v>
      </c>
      <c r="X78" s="1135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3">
      <c r="A79" s="1135"/>
      <c r="B79" s="1316"/>
      <c r="C79" s="1317"/>
      <c r="D79" s="131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135"/>
      <c r="O79" s="864"/>
      <c r="P79" s="1135"/>
      <c r="Q79" s="865"/>
      <c r="R79" s="1135"/>
      <c r="S79" s="881"/>
      <c r="T79" s="1135"/>
      <c r="U79" s="882"/>
      <c r="V79" s="1135"/>
      <c r="W79" s="882"/>
      <c r="X79" s="1135"/>
      <c r="Y79" s="867"/>
      <c r="Z79" s="878"/>
      <c r="AA79" s="846"/>
      <c r="AB79" s="773"/>
    </row>
    <row r="80" spans="1:28" s="774" customFormat="1" ht="24" customHeight="1" outlineLevel="1" x14ac:dyDescent="0.3">
      <c r="A80" s="1135"/>
      <c r="B80" s="1316"/>
      <c r="C80" s="1317"/>
      <c r="D80" s="131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307.88084634662289</v>
      </c>
      <c r="K80" s="872">
        <f>$M$32*(H78+(G80-F80)*H80)*$B$77*$C$77</f>
        <v>25.656737195551909</v>
      </c>
      <c r="L80" s="871">
        <f t="shared" ref="L80:M84" si="4">J80*$D$77</f>
        <v>384.85105793327864</v>
      </c>
      <c r="M80" s="872">
        <f t="shared" si="4"/>
        <v>32.070921494439887</v>
      </c>
      <c r="N80" s="1135"/>
      <c r="O80" s="873">
        <v>994</v>
      </c>
      <c r="P80" s="1135"/>
      <c r="Q80" s="874">
        <f>O80*$Q$76*M80+O80*(1-$Q$76)*K80</f>
        <v>30284.571167199585</v>
      </c>
      <c r="R80" s="1135"/>
      <c r="S80" s="875">
        <f>IF(AND(Q80&lt;&gt;0,O80&lt;&gt;0),Q80*(1-D17-D18-D19)/O80/30/(($D$25*1000000/$D$8))*1000,0)</f>
        <v>0.74854581482579252</v>
      </c>
      <c r="T80" s="1135" t="s">
        <v>459</v>
      </c>
      <c r="U80" s="876">
        <f>S80*O80*30*$D$11*(1+$D$24)/1000</f>
        <v>3997.4236851592182</v>
      </c>
      <c r="V80" s="1135" t="s">
        <v>460</v>
      </c>
      <c r="W80" s="876">
        <f>IF(O80&lt;&gt;0,U80/O80,0)</f>
        <v>4.0215530031782878</v>
      </c>
      <c r="X80" s="1135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3">
      <c r="A81" s="1135"/>
      <c r="B81" s="1316"/>
      <c r="C81" s="1317"/>
      <c r="D81" s="131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466.48613082821646</v>
      </c>
      <c r="K81" s="872">
        <f>$M$32*(H78+(G80-F80)*H80+(G81-F81)*H81)*$B$77*$C$77</f>
        <v>38.873844235684707</v>
      </c>
      <c r="L81" s="871">
        <f t="shared" si="4"/>
        <v>583.1076635352706</v>
      </c>
      <c r="M81" s="872">
        <f t="shared" si="4"/>
        <v>48.592305294605886</v>
      </c>
      <c r="N81" s="1135"/>
      <c r="O81" s="873">
        <v>183</v>
      </c>
      <c r="P81" s="1135"/>
      <c r="Q81" s="874">
        <f>O81*$Q$76*M81+O81*(1-$Q$76)*K81</f>
        <v>8447.7722754672322</v>
      </c>
      <c r="R81" s="1135"/>
      <c r="S81" s="875">
        <f>IF(AND(Q81&lt;&gt;0,O81&lt;&gt;0),Q81*(1-D17-D18-D19)/O81/30/(($D$25*1000000/$D$8))*1000,0)</f>
        <v>1.1341603254936248</v>
      </c>
      <c r="T81" s="1135" t="s">
        <v>459</v>
      </c>
      <c r="U81" s="876">
        <f>S81*O81*30*$D$11*(1+$D$24)/1000</f>
        <v>1115.0669690630707</v>
      </c>
      <c r="V81" s="1135" t="s">
        <v>460</v>
      </c>
      <c r="W81" s="876">
        <f>IF(O81&lt;&gt;0,U81/O81,0)</f>
        <v>6.0932621260277084</v>
      </c>
      <c r="X81" s="1135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3">
      <c r="A82" s="1135"/>
      <c r="B82" s="1316"/>
      <c r="C82" s="1317"/>
      <c r="D82" s="131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634.4211379263744</v>
      </c>
      <c r="K82" s="872">
        <f>$M$32*(H78+(G80-F80)*H80+(G81-F81)*H81+(G82-F82)*H82)*$B$77*$C$77</f>
        <v>52.868428160531202</v>
      </c>
      <c r="L82" s="871">
        <f t="shared" si="4"/>
        <v>793.02642240796797</v>
      </c>
      <c r="M82" s="872">
        <f t="shared" si="4"/>
        <v>66.085535200663998</v>
      </c>
      <c r="N82" s="1135"/>
      <c r="O82" s="873">
        <v>300</v>
      </c>
      <c r="P82" s="1135"/>
      <c r="Q82" s="874">
        <f>O82*$Q$76*M82+O82*(1-$Q$76)*K82</f>
        <v>18834.377532189239</v>
      </c>
      <c r="R82" s="1135"/>
      <c r="S82" s="875">
        <f>IF(AND(Q82&lt;&gt;0,O82&lt;&gt;0),Q82*(1-D17-D18-D19)/O82/30/(($D$25*1000000/$D$8))*1000,0)</f>
        <v>1.5424580426713299</v>
      </c>
      <c r="T82" s="1135" t="s">
        <v>459</v>
      </c>
      <c r="U82" s="876">
        <f>S82*O82*30*$D$11*(1+$D$24)/1000</f>
        <v>2486.0509474193054</v>
      </c>
      <c r="V82" s="1135" t="s">
        <v>460</v>
      </c>
      <c r="W82" s="876">
        <f>IF(O82&lt;&gt;0,U82/O82,0)</f>
        <v>8.2868364913976844</v>
      </c>
      <c r="X82" s="1135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3">
      <c r="A83" s="1135"/>
      <c r="B83" s="1316"/>
      <c r="C83" s="1317"/>
      <c r="D83" s="131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900.31823249845797</v>
      </c>
      <c r="K83" s="872">
        <f>$M$32*(H78+(G80-F80)*H80+(G81-F81)*H81+(G82-F82)*H82+(G83-F83)*H83)*$B$77*$C$77</f>
        <v>75.026519374871498</v>
      </c>
      <c r="L83" s="871">
        <f t="shared" si="4"/>
        <v>1125.3977906230725</v>
      </c>
      <c r="M83" s="872">
        <f t="shared" si="4"/>
        <v>93.783149218589372</v>
      </c>
      <c r="N83" s="1135"/>
      <c r="O83" s="873">
        <v>0</v>
      </c>
      <c r="P83" s="1135"/>
      <c r="Q83" s="874">
        <f>O83*$Q$76*M83+O83*(1-$Q$76)*K83</f>
        <v>0</v>
      </c>
      <c r="R83" s="1135"/>
      <c r="S83" s="875">
        <f>IF(AND(Q83&lt;&gt;0,O83&lt;&gt;0),Q83*(1-D17-D18-D19)/O83/30/(($D$25*1000000/$D$8))*1000,0)</f>
        <v>0</v>
      </c>
      <c r="T83" s="1135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135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3">
      <c r="A84" s="1135"/>
      <c r="B84" s="1316"/>
      <c r="C84" s="1317"/>
      <c r="D84" s="131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1739.9932679892472</v>
      </c>
      <c r="K84" s="872">
        <f>$M$32*(H78+(G80-F80)*H80+(G81-F81)*H81+(G82-F82)*H82+(G83-F83)*H83+(G84-F84)*H84)*$B$77*$C$77</f>
        <v>144.99943899910394</v>
      </c>
      <c r="L84" s="871">
        <f t="shared" si="4"/>
        <v>2174.9915849865592</v>
      </c>
      <c r="M84" s="872">
        <f t="shared" si="4"/>
        <v>181.24929874887994</v>
      </c>
      <c r="N84" s="1135"/>
      <c r="O84" s="873">
        <v>0</v>
      </c>
      <c r="P84" s="1135"/>
      <c r="Q84" s="874">
        <f>O84*$Q$76*M84+O84*(1-$Q$76)*K84</f>
        <v>0</v>
      </c>
      <c r="R84" s="1135"/>
      <c r="S84" s="875">
        <f>IF(AND(Q84&lt;&gt;0,O84&lt;&gt;0),Q84*(1-D17-D18-D19)/O84/30/(($D$25*1000000/$D$8))*1000,0)</f>
        <v>0</v>
      </c>
      <c r="T84" s="1135" t="s">
        <v>459</v>
      </c>
      <c r="U84" s="876">
        <f>S84*O84*30*$D$11*(1+$D$24)/1000</f>
        <v>0</v>
      </c>
      <c r="V84" s="1135" t="s">
        <v>460</v>
      </c>
      <c r="W84" s="876">
        <f>IF(O84&lt;&gt;0,U84/O84,0)</f>
        <v>0</v>
      </c>
      <c r="X84" s="1135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99999999999999" customHeight="1" outlineLevel="1" x14ac:dyDescent="0.3">
      <c r="A85" s="1135"/>
      <c r="B85" s="1135"/>
      <c r="C85" s="777"/>
      <c r="D85" s="1135"/>
      <c r="E85" s="1135"/>
      <c r="F85" s="1135"/>
      <c r="G85" s="1135"/>
      <c r="H85" s="777"/>
      <c r="I85" s="1135"/>
      <c r="J85" s="777"/>
      <c r="K85" s="777"/>
      <c r="L85" s="777"/>
      <c r="M85" s="777"/>
      <c r="N85" s="1135"/>
      <c r="O85" s="1135"/>
      <c r="P85" s="1135"/>
      <c r="Q85" s="1135"/>
      <c r="R85" s="1135"/>
      <c r="S85" s="1135"/>
      <c r="T85" s="1135"/>
      <c r="U85" s="1135"/>
      <c r="V85" s="1135"/>
      <c r="W85" s="777"/>
      <c r="X85" s="1135"/>
      <c r="Y85" s="777"/>
      <c r="Z85" s="1135"/>
      <c r="AA85" s="1135"/>
      <c r="AB85" s="773"/>
    </row>
    <row r="86" spans="1:28" s="774" customFormat="1" ht="34.950000000000003" customHeight="1" outlineLevel="1" x14ac:dyDescent="0.3">
      <c r="A86" s="1135"/>
      <c r="B86" s="1322" t="s">
        <v>471</v>
      </c>
      <c r="C86" s="1323"/>
      <c r="D86" s="1323"/>
      <c r="E86" s="1323"/>
      <c r="F86" s="1323"/>
      <c r="G86" s="1323"/>
      <c r="H86" s="1323"/>
      <c r="I86" s="1323"/>
      <c r="J86" s="1323"/>
      <c r="K86" s="1323"/>
      <c r="L86" s="1323"/>
      <c r="M86" s="1323"/>
      <c r="N86" s="1135"/>
      <c r="O86" s="1135"/>
      <c r="P86" s="1135"/>
      <c r="Q86" s="1135"/>
      <c r="R86" s="1135"/>
      <c r="S86" s="1135"/>
      <c r="T86" s="1135"/>
      <c r="U86" s="1135"/>
      <c r="V86" s="1135"/>
      <c r="W86" s="777"/>
      <c r="X86" s="1135"/>
      <c r="Y86" s="777"/>
      <c r="Z86" s="1135"/>
      <c r="AA86" s="1135"/>
      <c r="AB86" s="773"/>
    </row>
    <row r="87" spans="1:28" s="889" customFormat="1" ht="25.2" customHeight="1" outlineLevel="1" x14ac:dyDescent="0.55000000000000004">
      <c r="A87" s="883"/>
      <c r="B87" s="1324" t="s">
        <v>443</v>
      </c>
      <c r="C87" s="1325"/>
      <c r="D87" s="1325"/>
      <c r="E87" s="1326"/>
      <c r="F87" s="1325"/>
      <c r="G87" s="1325"/>
      <c r="H87" s="1325"/>
      <c r="I87" s="1326"/>
      <c r="J87" s="1325"/>
      <c r="K87" s="1325"/>
      <c r="L87" s="1325"/>
      <c r="M87" s="1325"/>
      <c r="N87" s="883"/>
      <c r="O87" s="885">
        <f>G10</f>
        <v>20</v>
      </c>
      <c r="P87" s="883"/>
      <c r="Q87" s="1036">
        <f>Q88/O87</f>
        <v>74.552744398249075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5" customHeight="1" outlineLevel="1" x14ac:dyDescent="0.3">
      <c r="A88" s="1135"/>
      <c r="B88" s="1324" t="s">
        <v>444</v>
      </c>
      <c r="C88" s="1324" t="s">
        <v>445</v>
      </c>
      <c r="D88" s="1328"/>
      <c r="E88" s="847"/>
      <c r="F88" s="1329" t="s">
        <v>446</v>
      </c>
      <c r="G88" s="1325"/>
      <c r="H88" s="1330"/>
      <c r="I88" s="848"/>
      <c r="J88" s="1332" t="s">
        <v>447</v>
      </c>
      <c r="K88" s="1333"/>
      <c r="L88" s="1333"/>
      <c r="M88" s="1333"/>
      <c r="N88" s="1135"/>
      <c r="O88" s="877">
        <f>O91+O93+O94+O95+O96</f>
        <v>20</v>
      </c>
      <c r="P88" s="1135"/>
      <c r="Q88" s="849">
        <f>Q91+Q93+Q94+Q95+Q96</f>
        <v>1491.0548879649816</v>
      </c>
      <c r="R88" s="1135"/>
      <c r="S88" s="1310">
        <f>IF(AND(Q88&lt;&gt;0,O88&lt;&gt;0),Q88*(1-D17-D18-D19)/(($D$25*1000000/$D$8)),0)</f>
        <v>1.0990013554033227</v>
      </c>
      <c r="T88" s="1335" t="s">
        <v>448</v>
      </c>
      <c r="U88" s="1310">
        <f>U91+U93+U94+U95+U96+Z97</f>
        <v>196.81236667069498</v>
      </c>
      <c r="V88" s="1135" t="s">
        <v>449</v>
      </c>
      <c r="W88" s="1310">
        <f>W91*O91+W93*O93+W94*O94+W95*O95+W96*O96</f>
        <v>196.81236667069501</v>
      </c>
      <c r="X88" s="1135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3">
      <c r="A89" s="1135"/>
      <c r="B89" s="1327"/>
      <c r="C89" s="851" t="s">
        <v>451</v>
      </c>
      <c r="D89" s="852" t="s">
        <v>452</v>
      </c>
      <c r="E89" s="853"/>
      <c r="F89" s="1331"/>
      <c r="G89" s="1325"/>
      <c r="H89" s="1330"/>
      <c r="I89" s="854"/>
      <c r="J89" s="1312" t="s">
        <v>453</v>
      </c>
      <c r="K89" s="1313"/>
      <c r="L89" s="1314" t="s">
        <v>454</v>
      </c>
      <c r="M89" s="1313"/>
      <c r="N89" s="1135"/>
      <c r="O89" s="891" t="s">
        <v>455</v>
      </c>
      <c r="P89" s="1135"/>
      <c r="Q89" s="856">
        <v>0.75</v>
      </c>
      <c r="R89" s="1135"/>
      <c r="S89" s="1334"/>
      <c r="T89" s="1336"/>
      <c r="U89" s="1334"/>
      <c r="V89" s="1135"/>
      <c r="W89" s="1311"/>
      <c r="X89" s="1135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3">
      <c r="A90" s="1135"/>
      <c r="B90" s="1315">
        <v>1.5</v>
      </c>
      <c r="C90" s="1315">
        <v>1</v>
      </c>
      <c r="D90" s="131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135"/>
      <c r="O90" s="864"/>
      <c r="P90" s="1135"/>
      <c r="Q90" s="865"/>
      <c r="R90" s="1135"/>
      <c r="S90" s="866"/>
      <c r="T90" s="1135"/>
      <c r="U90" s="866"/>
      <c r="V90" s="1135"/>
      <c r="W90" s="867"/>
      <c r="X90" s="1135"/>
      <c r="Y90" s="777"/>
      <c r="Z90" s="1135"/>
      <c r="AA90" s="1135"/>
      <c r="AB90" s="773"/>
    </row>
    <row r="91" spans="1:28" s="774" customFormat="1" ht="24" customHeight="1" outlineLevel="1" x14ac:dyDescent="0.3">
      <c r="A91" s="1135"/>
      <c r="B91" s="1316"/>
      <c r="C91" s="1317"/>
      <c r="D91" s="131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65.308058315950305</v>
      </c>
      <c r="K91" s="872">
        <f>$M$32*H91*$B$90*$C$90</f>
        <v>5.4423381929958587</v>
      </c>
      <c r="L91" s="871">
        <f>J91*$D$90</f>
        <v>81.635072894937878</v>
      </c>
      <c r="M91" s="872">
        <f>K91*$D$90</f>
        <v>6.8029227412448234</v>
      </c>
      <c r="N91" s="1135"/>
      <c r="O91" s="873">
        <v>1</v>
      </c>
      <c r="P91" s="1135"/>
      <c r="Q91" s="874">
        <f>O91*$Q$76*M91+O91*(1-$Q$76)*K91</f>
        <v>6.462776604182582</v>
      </c>
      <c r="R91" s="1135"/>
      <c r="S91" s="875">
        <f>IF(AND(Q91&lt;&gt;0,O91&lt;&gt;0),Q91*(1-D17-D18-D19)/O91/30/(($D$25*1000000/$D$8))*1000,0)</f>
        <v>0.15878244556910745</v>
      </c>
      <c r="T91" s="1135" t="s">
        <v>459</v>
      </c>
      <c r="U91" s="876">
        <f>S91*O91*30*$D$11*(1+$D$24)/1000</f>
        <v>0.85305669764387904</v>
      </c>
      <c r="V91" s="1135" t="s">
        <v>460</v>
      </c>
      <c r="W91" s="876">
        <f>IF(O91&lt;&gt;0,U91/O91,0)</f>
        <v>0.85305669764387904</v>
      </c>
      <c r="X91" s="1135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3">
      <c r="A92" s="1135"/>
      <c r="B92" s="1316"/>
      <c r="C92" s="1317"/>
      <c r="D92" s="131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135"/>
      <c r="O92" s="864"/>
      <c r="P92" s="1135"/>
      <c r="Q92" s="865"/>
      <c r="R92" s="1135"/>
      <c r="S92" s="881"/>
      <c r="T92" s="1135"/>
      <c r="U92" s="882"/>
      <c r="V92" s="1135"/>
      <c r="W92" s="882"/>
      <c r="X92" s="1135"/>
      <c r="Y92" s="1134"/>
      <c r="Z92" s="878"/>
      <c r="AA92" s="846"/>
      <c r="AB92" s="773"/>
    </row>
    <row r="93" spans="1:28" s="774" customFormat="1" ht="24" customHeight="1" outlineLevel="1" x14ac:dyDescent="0.3">
      <c r="A93" s="1135"/>
      <c r="B93" s="1316"/>
      <c r="C93" s="1317"/>
      <c r="D93" s="131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205.25389756441527</v>
      </c>
      <c r="K93" s="872">
        <f>$M$32*(H91+(G93-F93)*H93)*$B$90*$C$90</f>
        <v>17.104491463701272</v>
      </c>
      <c r="L93" s="871">
        <f t="shared" ref="L93:M96" si="5">J93*$D$90</f>
        <v>256.56737195551909</v>
      </c>
      <c r="M93" s="872">
        <f t="shared" si="5"/>
        <v>21.380614329626589</v>
      </c>
      <c r="N93" s="1135"/>
      <c r="O93" s="873">
        <v>2</v>
      </c>
      <c r="P93" s="1135"/>
      <c r="Q93" s="874">
        <f>O93*$Q$76*M93+O93*(1-$Q$76)*K93</f>
        <v>40.623167226290519</v>
      </c>
      <c r="R93" s="1135"/>
      <c r="S93" s="875">
        <f>IF(AND(Q93&lt;&gt;0,O93&lt;&gt;0),Q93*(1-D17-D18-D19)/O93/30/(($D$25*1000000/$D$8))*1000,0)</f>
        <v>0.49903054321719498</v>
      </c>
      <c r="T93" s="1135" t="s">
        <v>459</v>
      </c>
      <c r="U93" s="876">
        <f>S93*O93*30*$D$11*(1+$D$24)/1000</f>
        <v>5.3620706709043837</v>
      </c>
      <c r="V93" s="1135" t="s">
        <v>460</v>
      </c>
      <c r="W93" s="876">
        <f>IF(O93&lt;&gt;0,U93/O93,0)</f>
        <v>2.6810353354521919</v>
      </c>
      <c r="X93" s="1135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3">
      <c r="A94" s="1135"/>
      <c r="B94" s="1316"/>
      <c r="C94" s="1317"/>
      <c r="D94" s="131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858.33448072391832</v>
      </c>
      <c r="K94" s="872">
        <f>$M$32*(H91+(G93-F93)*H93+(G94-F94)*H94)*$B$90*$C$90</f>
        <v>71.52787339365986</v>
      </c>
      <c r="L94" s="871">
        <f t="shared" si="5"/>
        <v>1072.918100904898</v>
      </c>
      <c r="M94" s="872">
        <f t="shared" si="5"/>
        <v>89.409841742074832</v>
      </c>
      <c r="N94" s="1135"/>
      <c r="O94" s="873">
        <v>17</v>
      </c>
      <c r="P94" s="1135"/>
      <c r="Q94" s="874">
        <f>O94*$Q$76*M94+O94*(1-$Q$76)*K94</f>
        <v>1443.9689441345085</v>
      </c>
      <c r="R94" s="1135"/>
      <c r="S94" s="875">
        <f>IF(AND(Q94&lt;&gt;0,O94&lt;&gt;0),Q94*(1-D17-D18-D19)/O94/30/(($D$25*1000000/$D$8))*1000,0)</f>
        <v>2.0868549989082701</v>
      </c>
      <c r="T94" s="1135" t="s">
        <v>459</v>
      </c>
      <c r="U94" s="876">
        <f>S94*O94*30*$D$11*(1+$D$24)/1000</f>
        <v>190.59723930214673</v>
      </c>
      <c r="V94" s="1135" t="s">
        <v>460</v>
      </c>
      <c r="W94" s="876">
        <f>IF(O94&lt;&gt;0,U94/O94,0)</f>
        <v>11.211602311890985</v>
      </c>
      <c r="X94" s="1135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3">
      <c r="A95" s="1135"/>
      <c r="B95" s="1316"/>
      <c r="C95" s="1317"/>
      <c r="D95" s="131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4963.4124320122237</v>
      </c>
      <c r="K95" s="872">
        <f>$M$32*(H91+(G93-F93)*H93+(G94-F94)*H94+(G95-F95)*H95)*$B$90*$C$90</f>
        <v>413.61770266768531</v>
      </c>
      <c r="L95" s="871">
        <f t="shared" si="5"/>
        <v>6204.2655400152798</v>
      </c>
      <c r="M95" s="872">
        <f t="shared" si="5"/>
        <v>517.02212833460658</v>
      </c>
      <c r="N95" s="1135"/>
      <c r="O95" s="873">
        <v>0</v>
      </c>
      <c r="P95" s="1135"/>
      <c r="Q95" s="874">
        <f>O95*$Q$76*M95+O95*(1-$Q$76)*K95</f>
        <v>0</v>
      </c>
      <c r="R95" s="1135"/>
      <c r="S95" s="875">
        <f>IF(AND(Q95&lt;&gt;0,O95&lt;&gt;0),Q95*(1-D17-D18-D19)/O95/30/(($D$25*1000000/$D$8))*1000,0)</f>
        <v>0</v>
      </c>
      <c r="T95" s="1135" t="s">
        <v>459</v>
      </c>
      <c r="U95" s="876">
        <f>S95*O95*30*$D$11*(1+$D$24)/1000</f>
        <v>0</v>
      </c>
      <c r="V95" s="1135" t="s">
        <v>460</v>
      </c>
      <c r="W95" s="876">
        <f>IF(O95&lt;&gt;0,U95/O95,0)</f>
        <v>0</v>
      </c>
      <c r="X95" s="1135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3">
      <c r="A96" s="1135"/>
      <c r="B96" s="1316"/>
      <c r="C96" s="1317"/>
      <c r="D96" s="131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10561.246001950822</v>
      </c>
      <c r="K96" s="872">
        <f>$M$32*(H91+(G93-F93)*H93+(G94-F94)*H94+(G95-F95)*H95+(G96-F96)*H96)*$B$90*$C$90</f>
        <v>880.10383349590188</v>
      </c>
      <c r="L96" s="871">
        <f t="shared" si="5"/>
        <v>13201.557502438527</v>
      </c>
      <c r="M96" s="872">
        <f t="shared" si="5"/>
        <v>1100.1297918698774</v>
      </c>
      <c r="N96" s="1135"/>
      <c r="O96" s="873">
        <v>0</v>
      </c>
      <c r="P96" s="1135"/>
      <c r="Q96" s="874">
        <f>O96*$Q$76*M96+O96*(1-$Q$76)*K96</f>
        <v>0</v>
      </c>
      <c r="R96" s="1135"/>
      <c r="S96" s="875">
        <f>IF(AND(Q96&lt;&gt;0,O96&lt;&gt;0),Q96*(1-D17-D18-D19)/O96/30/(($D$25*1000000/$D$8))*1000,0)</f>
        <v>0</v>
      </c>
      <c r="T96" s="1135" t="s">
        <v>459</v>
      </c>
      <c r="U96" s="876">
        <f>S96*O96*30*$D$11*(1+$D$24)/1000</f>
        <v>0</v>
      </c>
      <c r="V96" s="1135" t="s">
        <v>460</v>
      </c>
      <c r="W96" s="876">
        <f>IF(O96&lt;&gt;0,U96/O96,0)</f>
        <v>0</v>
      </c>
      <c r="X96" s="1135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3">
      <c r="A97" s="1135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3">
      <c r="A98" s="1135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3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3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3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3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3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3" priority="13">
      <formula>OR(O36&lt;O35*99.75%,O36&gt;O35*100.25%)</formula>
    </cfRule>
  </conditionalFormatting>
  <conditionalFormatting sqref="O36">
    <cfRule type="expression" dxfId="42" priority="14">
      <formula>OR(O36&lt;O35*100.25%,O36&gt;O35*99.75%)</formula>
    </cfRule>
  </conditionalFormatting>
  <conditionalFormatting sqref="Y39">
    <cfRule type="expression" dxfId="41" priority="15">
      <formula>Y39="NOK"</formula>
    </cfRule>
  </conditionalFormatting>
  <conditionalFormatting sqref="Y39">
    <cfRule type="expression" dxfId="40" priority="16">
      <formula>Y39="OK"</formula>
    </cfRule>
  </conditionalFormatting>
  <conditionalFormatting sqref="Y41:Y45">
    <cfRule type="expression" dxfId="39" priority="17">
      <formula>Y41="NOK"</formula>
    </cfRule>
  </conditionalFormatting>
  <conditionalFormatting sqref="Y41:Y45">
    <cfRule type="expression" dxfId="38" priority="18">
      <formula>Y41="OK"</formula>
    </cfRule>
  </conditionalFormatting>
  <conditionalFormatting sqref="Y52">
    <cfRule type="expression" dxfId="37" priority="19">
      <formula>Y52="NOK"</formula>
    </cfRule>
  </conditionalFormatting>
  <conditionalFormatting sqref="Y52">
    <cfRule type="expression" dxfId="36" priority="20">
      <formula>Y52="OK"</formula>
    </cfRule>
  </conditionalFormatting>
  <conditionalFormatting sqref="Y54:Y58">
    <cfRule type="expression" dxfId="35" priority="21">
      <formula>Y54="NOK"</formula>
    </cfRule>
  </conditionalFormatting>
  <conditionalFormatting sqref="Y54:Y58">
    <cfRule type="expression" dxfId="34" priority="22">
      <formula>Y54="OK"</formula>
    </cfRule>
  </conditionalFormatting>
  <conditionalFormatting sqref="Y65">
    <cfRule type="expression" dxfId="33" priority="23">
      <formula>Y65="NOK"</formula>
    </cfRule>
  </conditionalFormatting>
  <conditionalFormatting sqref="Y65">
    <cfRule type="expression" dxfId="32" priority="24">
      <formula>Y65="OK"</formula>
    </cfRule>
  </conditionalFormatting>
  <conditionalFormatting sqref="Y67:Y71">
    <cfRule type="expression" dxfId="31" priority="25">
      <formula>Y67="NOK"</formula>
    </cfRule>
  </conditionalFormatting>
  <conditionalFormatting sqref="Y67:Y71">
    <cfRule type="expression" dxfId="30" priority="26">
      <formula>Y67="OK"</formula>
    </cfRule>
  </conditionalFormatting>
  <conditionalFormatting sqref="Y78">
    <cfRule type="expression" dxfId="29" priority="27">
      <formula>Y78="NOK"</formula>
    </cfRule>
  </conditionalFormatting>
  <conditionalFormatting sqref="Y78">
    <cfRule type="expression" dxfId="28" priority="28">
      <formula>Y78="OK"</formula>
    </cfRule>
  </conditionalFormatting>
  <conditionalFormatting sqref="Y80:Y84">
    <cfRule type="expression" dxfId="27" priority="29">
      <formula>Y80="NOK"</formula>
    </cfRule>
  </conditionalFormatting>
  <conditionalFormatting sqref="Y80:Y84">
    <cfRule type="expression" dxfId="26" priority="30">
      <formula>Y80="OK"</formula>
    </cfRule>
  </conditionalFormatting>
  <conditionalFormatting sqref="Y91">
    <cfRule type="expression" dxfId="25" priority="31">
      <formula>Y91="NOK"</formula>
    </cfRule>
  </conditionalFormatting>
  <conditionalFormatting sqref="Y91">
    <cfRule type="expression" dxfId="24" priority="32">
      <formula>Y91="OK"</formula>
    </cfRule>
  </conditionalFormatting>
  <conditionalFormatting sqref="Y93:Y96">
    <cfRule type="expression" dxfId="23" priority="33">
      <formula>Y93="NOK"</formula>
    </cfRule>
  </conditionalFormatting>
  <conditionalFormatting sqref="Y93:Y96">
    <cfRule type="expression" dxfId="22" priority="34">
      <formula>Y93="OK"</formula>
    </cfRule>
  </conditionalFormatting>
  <conditionalFormatting sqref="Y12">
    <cfRule type="expression" dxfId="21" priority="35">
      <formula>Y12&gt;20%</formula>
    </cfRule>
  </conditionalFormatting>
  <conditionalFormatting sqref="Y12">
    <cfRule type="expression" dxfId="20" priority="36">
      <formula>Y12&lt;=20%</formula>
    </cfRule>
  </conditionalFormatting>
  <conditionalFormatting sqref="O5">
    <cfRule type="expression" dxfId="19" priority="37">
      <formula>ABS(O8)&gt;=O7</formula>
    </cfRule>
    <cfRule type="expression" dxfId="18" priority="38">
      <formula>ABS(O8)&lt;O7</formula>
    </cfRule>
  </conditionalFormatting>
  <conditionalFormatting sqref="Q5">
    <cfRule type="expression" dxfId="17" priority="11">
      <formula>ABS(Q8)&gt;=Q7</formula>
    </cfRule>
    <cfRule type="expression" dxfId="16" priority="12">
      <formula>ABS(Q8)&lt;Q7</formula>
    </cfRule>
  </conditionalFormatting>
  <conditionalFormatting sqref="S5">
    <cfRule type="expression" dxfId="15" priority="9">
      <formula>ABS(S8)&gt;=S7</formula>
    </cfRule>
    <cfRule type="expression" dxfId="14" priority="10">
      <formula>ABS(S8)&lt;S7</formula>
    </cfRule>
  </conditionalFormatting>
  <conditionalFormatting sqref="U5">
    <cfRule type="expression" dxfId="13" priority="7">
      <formula>ABS(U8)&gt;=U7</formula>
    </cfRule>
    <cfRule type="expression" dxfId="12" priority="8">
      <formula>ABS(U8)&lt;U7</formula>
    </cfRule>
  </conditionalFormatting>
  <conditionalFormatting sqref="W5">
    <cfRule type="expression" dxfId="11" priority="5">
      <formula>ABS(W8)&gt;=W7</formula>
    </cfRule>
    <cfRule type="expression" dxfId="10" priority="6">
      <formula>ABS(W8)&lt;W7</formula>
    </cfRule>
  </conditionalFormatting>
  <conditionalFormatting sqref="Y5">
    <cfRule type="expression" dxfId="9" priority="3">
      <formula>ABS(Y12)&gt;=Y10</formula>
    </cfRule>
    <cfRule type="expression" dxfId="8" priority="4">
      <formula>ABS(Y12)&lt;Y10</formula>
    </cfRule>
  </conditionalFormatting>
  <conditionalFormatting sqref="O49 O62 O75 O88">
    <cfRule type="expression" dxfId="7" priority="1">
      <formula>OR(O49&lt;O48*99.75%,O49&gt;O48*100.25%)</formula>
    </cfRule>
  </conditionalFormatting>
  <conditionalFormatting sqref="O49 O62 O75 O88">
    <cfRule type="expression" dxfId="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8671875" defaultRowHeight="14.4" outlineLevelRow="1" x14ac:dyDescent="0.3"/>
  <cols>
    <col min="1" max="1" width="3.109375" style="1" customWidth="1"/>
    <col min="2" max="2" width="65.6640625" style="1" customWidth="1"/>
    <col min="3" max="3" width="10.6640625" style="21" customWidth="1"/>
    <col min="4" max="4" width="16.6640625" style="258" customWidth="1"/>
    <col min="5" max="5" width="3.33203125" style="1" customWidth="1"/>
    <col min="6" max="16384" width="8.88671875" style="1"/>
  </cols>
  <sheetData>
    <row r="1" spans="2:17" ht="4.95" customHeight="1" thickBot="1" x14ac:dyDescent="0.35">
      <c r="C1" s="1"/>
      <c r="D1" s="1"/>
    </row>
    <row r="2" spans="2:17" s="261" customFormat="1" ht="19.95" customHeight="1" thickTop="1" thickBot="1" x14ac:dyDescent="0.35">
      <c r="B2" s="507" t="s">
        <v>535</v>
      </c>
      <c r="C2" s="505"/>
      <c r="D2" s="506"/>
    </row>
    <row r="3" spans="2:17" ht="4.95" customHeight="1" outlineLevel="1" thickTop="1" thickBot="1" x14ac:dyDescent="0.35"/>
    <row r="4" spans="2:17" ht="15" customHeight="1" outlineLevel="1" thickTop="1" x14ac:dyDescent="0.3">
      <c r="B4" s="1348" t="s">
        <v>120</v>
      </c>
      <c r="C4" s="516">
        <f>'C-Dados RT5 Simplif.'!C106</f>
        <v>110.21883506853425</v>
      </c>
      <c r="D4" s="510" t="s">
        <v>44</v>
      </c>
    </row>
    <row r="5" spans="2:17" ht="15" customHeight="1" outlineLevel="1" x14ac:dyDescent="0.3">
      <c r="B5" s="1349"/>
      <c r="C5" s="517">
        <f>'C-Dados RT5 Simplif.'!C105</f>
        <v>34388.276541382686</v>
      </c>
      <c r="D5" s="511" t="s">
        <v>5</v>
      </c>
    </row>
    <row r="6" spans="2:17" ht="15" customHeight="1" outlineLevel="1" x14ac:dyDescent="0.3">
      <c r="B6" s="501" t="s">
        <v>152</v>
      </c>
      <c r="C6" s="518">
        <f>'C-Dados RT5 Simplif.'!C107</f>
        <v>0.48399999999999999</v>
      </c>
      <c r="D6" s="499" t="s">
        <v>1</v>
      </c>
    </row>
    <row r="7" spans="2:17" ht="15" customHeight="1" outlineLevel="1" thickBot="1" x14ac:dyDescent="0.35">
      <c r="B7" s="502" t="s">
        <v>31</v>
      </c>
      <c r="C7" s="519">
        <f>'C-Dados RT5 Simplif.'!C7</f>
        <v>35</v>
      </c>
      <c r="D7" s="512" t="s">
        <v>121</v>
      </c>
    </row>
    <row r="8" spans="2:17" ht="4.95" customHeight="1" outlineLevel="1" thickTop="1" thickBot="1" x14ac:dyDescent="0.35"/>
    <row r="9" spans="2:17" ht="15" customHeight="1" outlineLevel="1" thickTop="1" x14ac:dyDescent="0.3">
      <c r="B9" s="508" t="s">
        <v>122</v>
      </c>
      <c r="C9" s="1045">
        <v>0.2</v>
      </c>
      <c r="D9" s="513"/>
    </row>
    <row r="10" spans="2:17" ht="15" customHeight="1" outlineLevel="1" x14ac:dyDescent="0.3">
      <c r="B10" s="1136" t="s">
        <v>123</v>
      </c>
      <c r="C10" s="1044">
        <f>'C-Dados RT5 Simplif.'!C18*1000000/(C5)*C9</f>
        <v>643.79715513175211</v>
      </c>
      <c r="D10" s="514" t="s">
        <v>530</v>
      </c>
    </row>
    <row r="11" spans="2:17" ht="15" customHeight="1" outlineLevel="1" x14ac:dyDescent="0.3">
      <c r="B11" s="504" t="s">
        <v>125</v>
      </c>
      <c r="C11" s="1046">
        <v>0.2</v>
      </c>
      <c r="D11" s="514"/>
    </row>
    <row r="12" spans="2:17" ht="15" customHeight="1" outlineLevel="1" x14ac:dyDescent="0.3">
      <c r="B12" s="1136" t="s">
        <v>123</v>
      </c>
      <c r="C12" s="1044">
        <f>'C-Dados RT5 Simplif.'!C21*1000000/(C7*C5)*C11</f>
        <v>148.53221730788687</v>
      </c>
      <c r="D12" s="514" t="s">
        <v>531</v>
      </c>
    </row>
    <row r="13" spans="2:17" ht="15" customHeight="1" outlineLevel="1" x14ac:dyDescent="0.3">
      <c r="B13" s="504" t="s">
        <v>126</v>
      </c>
      <c r="C13" s="522"/>
      <c r="D13" s="514"/>
    </row>
    <row r="14" spans="2:17" ht="15" customHeight="1" outlineLevel="1" thickBot="1" x14ac:dyDescent="0.35">
      <c r="B14" s="502" t="s">
        <v>127</v>
      </c>
      <c r="C14" s="768">
        <f>'C-Dados RT5 Simplif.'!C130</f>
        <v>634.06891385819074</v>
      </c>
      <c r="D14" s="512" t="s">
        <v>155</v>
      </c>
    </row>
    <row r="15" spans="2:17" s="2" customFormat="1" ht="15" customHeight="1" thickTop="1" x14ac:dyDescent="0.3">
      <c r="B15" s="600" t="s">
        <v>134</v>
      </c>
      <c r="C15" s="601">
        <f>(C10*C5+C12*C5*C7)*1000/(C14*C5*C7)</f>
        <v>263.26227022313174</v>
      </c>
      <c r="D15" s="60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5" customHeight="1" x14ac:dyDescent="0.3"/>
    <row r="17" spans="2:17" s="2" customFormat="1" ht="15" customHeight="1" thickBot="1" x14ac:dyDescent="0.35">
      <c r="B17" s="509" t="s">
        <v>319</v>
      </c>
      <c r="C17" s="523">
        <f>'Demanda Preço &amp; Quantidade'!C42</f>
        <v>500</v>
      </c>
      <c r="D17" s="51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" thickTop="1" x14ac:dyDescent="0.3">
      <c r="B18" s="1345" t="s">
        <v>358</v>
      </c>
      <c r="C18" s="558">
        <f>'5)Incineração - E Elétrica'!F9*(C17-C15)/1000000</f>
        <v>0.86946816116923742</v>
      </c>
      <c r="D18" s="449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3">
      <c r="B19" s="1346"/>
      <c r="C19" s="558">
        <f>C18*C7</f>
        <v>30.43138564092331</v>
      </c>
      <c r="D19" s="449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" thickBot="1" x14ac:dyDescent="0.35">
      <c r="B20" s="1347"/>
      <c r="C20" s="598">
        <f>C18*1000000/C5</f>
        <v>25.283853935597026</v>
      </c>
      <c r="D20" s="593" t="s">
        <v>8</v>
      </c>
      <c r="E20" s="393"/>
    </row>
    <row r="21" spans="2:17" ht="4.95" customHeight="1" thickTop="1" x14ac:dyDescent="0.3"/>
    <row r="22" spans="2:17" s="2" customFormat="1" ht="15" customHeight="1" thickBot="1" x14ac:dyDescent="0.35">
      <c r="B22" s="509" t="s">
        <v>354</v>
      </c>
      <c r="C22" s="523">
        <f>'RT1A)BIODIG Energia Elétrica'!H12</f>
        <v>520</v>
      </c>
      <c r="D22" s="515" t="s">
        <v>0</v>
      </c>
    </row>
    <row r="23" spans="2:17" s="2" customFormat="1" ht="15" thickTop="1" x14ac:dyDescent="0.3">
      <c r="B23" s="1345" t="s">
        <v>318</v>
      </c>
      <c r="C23" s="558">
        <f>'5)Incineração - E Elétrica'!F12*(C22-C15)/1000000</f>
        <v>7.7935305251066129</v>
      </c>
      <c r="D23" s="449" t="s">
        <v>289</v>
      </c>
    </row>
    <row r="24" spans="2:17" s="2" customFormat="1" x14ac:dyDescent="0.3">
      <c r="B24" s="1346"/>
      <c r="C24" s="558">
        <f>C23*C7</f>
        <v>272.77356837873145</v>
      </c>
      <c r="D24" s="449" t="s">
        <v>353</v>
      </c>
    </row>
    <row r="25" spans="2:17" s="2" customFormat="1" ht="15" thickBot="1" x14ac:dyDescent="0.35">
      <c r="B25" s="1347"/>
      <c r="C25" s="598">
        <f>C23*1000000/C5</f>
        <v>226.63335615926886</v>
      </c>
      <c r="D25" s="593" t="s">
        <v>8</v>
      </c>
      <c r="E25" s="393"/>
    </row>
    <row r="26" spans="2:17" ht="4.95" customHeight="1" thickTop="1" x14ac:dyDescent="0.3"/>
    <row r="27" spans="2:17" s="2" customFormat="1" ht="15" customHeight="1" thickBot="1" x14ac:dyDescent="0.35">
      <c r="B27" s="509" t="s">
        <v>356</v>
      </c>
      <c r="C27" s="523">
        <f>'5)Incineração - E Elétrica'!H15</f>
        <v>549.4</v>
      </c>
      <c r="D27" s="515" t="s">
        <v>0</v>
      </c>
    </row>
    <row r="28" spans="2:17" s="2" customFormat="1" ht="15" thickTop="1" x14ac:dyDescent="0.3">
      <c r="B28" s="1345" t="s">
        <v>355</v>
      </c>
      <c r="C28" s="558">
        <f>'5)Incineração - E Elétrica'!F15*(C27-C15)/1000000</f>
        <v>0</v>
      </c>
      <c r="D28" s="449" t="s">
        <v>289</v>
      </c>
    </row>
    <row r="29" spans="2:17" s="2" customFormat="1" x14ac:dyDescent="0.3">
      <c r="B29" s="1346"/>
      <c r="C29" s="558">
        <f>C28*C7</f>
        <v>0</v>
      </c>
      <c r="D29" s="449" t="s">
        <v>353</v>
      </c>
    </row>
    <row r="30" spans="2:17" s="2" customFormat="1" ht="15" thickBot="1" x14ac:dyDescent="0.35">
      <c r="B30" s="1347"/>
      <c r="C30" s="598">
        <f>C28*1000000/C5</f>
        <v>0</v>
      </c>
      <c r="D30" s="593" t="s">
        <v>8</v>
      </c>
      <c r="E30" s="393"/>
    </row>
    <row r="31" spans="2:17" ht="15" customHeight="1" thickTop="1" x14ac:dyDescent="0.3"/>
    <row r="32" spans="2:17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zoomScale="80" zoomScaleNormal="80" workbookViewId="0">
      <selection activeCell="Q16" sqref="Q16"/>
    </sheetView>
  </sheetViews>
  <sheetFormatPr defaultRowHeight="14.4" x14ac:dyDescent="0.3"/>
  <cols>
    <col min="1" max="1" width="10.6640625" customWidth="1"/>
    <col min="2" max="2" width="44.44140625" style="1026" bestFit="1" customWidth="1"/>
    <col min="3" max="8" width="10.6640625" customWidth="1"/>
    <col min="9" max="9" width="40.6640625" customWidth="1"/>
    <col min="10" max="10" width="35.6640625" customWidth="1"/>
    <col min="11" max="16" width="10.6640625" customWidth="1"/>
  </cols>
  <sheetData>
    <row r="2" spans="2:16" x14ac:dyDescent="0.3">
      <c r="B2" s="1364" t="s">
        <v>545</v>
      </c>
      <c r="C2" s="1364"/>
      <c r="D2" s="1364"/>
      <c r="E2" s="1364"/>
      <c r="F2" s="1364"/>
      <c r="G2" s="1364"/>
      <c r="H2" s="1364"/>
      <c r="J2" s="1364" t="s">
        <v>546</v>
      </c>
      <c r="K2" s="1364"/>
      <c r="L2" s="1364"/>
      <c r="M2" s="1364"/>
      <c r="N2" s="1364"/>
      <c r="O2" s="1364"/>
      <c r="P2" s="1364"/>
    </row>
    <row r="3" spans="2:16" x14ac:dyDescent="0.3">
      <c r="B3" s="1364"/>
      <c r="C3" s="1364"/>
      <c r="D3" s="1364"/>
      <c r="E3" s="1364"/>
      <c r="F3" s="1364"/>
      <c r="G3" s="1364"/>
      <c r="H3" s="1364"/>
      <c r="J3" s="1364"/>
      <c r="K3" s="1364"/>
      <c r="L3" s="1364"/>
      <c r="M3" s="1364"/>
      <c r="N3" s="1364"/>
      <c r="O3" s="1364"/>
      <c r="P3" s="1364"/>
    </row>
    <row r="4" spans="2:16" x14ac:dyDescent="0.3">
      <c r="B4" s="14" t="s">
        <v>359</v>
      </c>
      <c r="C4" s="3">
        <f>'RESUMO GERAL Valoriz. RT´s'!C32</f>
        <v>300.05849807869942</v>
      </c>
      <c r="D4" s="3">
        <f>'RESUMO GERAL Valoriz. RT´s'!D32</f>
        <v>300.05849807869942</v>
      </c>
      <c r="E4" s="3">
        <f>'RESUMO GERAL Valoriz. RT´s'!E32</f>
        <v>300.05849807869942</v>
      </c>
      <c r="F4" s="3">
        <f>'RESUMO GERAL Valoriz. RT´s'!F32</f>
        <v>267.44890097890908</v>
      </c>
      <c r="G4" s="3">
        <f>'RESUMO GERAL Valoriz. RT´s'!G32</f>
        <v>330.90986027933826</v>
      </c>
      <c r="H4" s="3">
        <f>'RESUMO GERAL Valoriz. RT´s'!H32</f>
        <v>617.3653331946125</v>
      </c>
      <c r="J4" s="1026" t="s">
        <v>360</v>
      </c>
      <c r="K4" s="1047">
        <f>'RESUMO GERAL Valoriz. RT´s'!C33</f>
        <v>161.41822931768741</v>
      </c>
      <c r="L4" s="1047">
        <f>'RESUMO GERAL Valoriz. RT´s'!D33</f>
        <v>205.67281994750977</v>
      </c>
      <c r="M4" s="1047">
        <f>'RESUMO GERAL Valoriz. RT´s'!E33</f>
        <v>188.22058283894557</v>
      </c>
      <c r="N4" s="1047">
        <f>'RESUMO GERAL Valoriz. RT´s'!F33</f>
        <v>107.97781525149082</v>
      </c>
      <c r="O4" s="1047">
        <f>'RESUMO GERAL Valoriz. RT´s'!G33</f>
        <v>126.74298890677517</v>
      </c>
      <c r="P4" s="1047">
        <f>'RESUMO GERAL Valoriz. RT´s'!H33</f>
        <v>438.13294708280978</v>
      </c>
    </row>
    <row r="5" spans="2:16" x14ac:dyDescent="0.3">
      <c r="B5" s="14" t="s">
        <v>514</v>
      </c>
      <c r="C5" s="3">
        <f>'RESUMO GERAL Valoriz. RT´s'!C28</f>
        <v>733.34849807869932</v>
      </c>
      <c r="D5" s="3">
        <f>'RESUMO GERAL Valoriz. RT´s'!D28</f>
        <v>733.34849807869932</v>
      </c>
      <c r="E5" s="3">
        <f>'RESUMO GERAL Valoriz. RT´s'!E28</f>
        <v>733.34849807869932</v>
      </c>
      <c r="F5" s="3">
        <f>'RESUMO GERAL Valoriz. RT´s'!F28</f>
        <v>700.73890097890899</v>
      </c>
      <c r="G5" s="3">
        <f>'RESUMO GERAL Valoriz. RT´s'!G28</f>
        <v>764.19986027933828</v>
      </c>
      <c r="H5" s="3">
        <f>'RESUMO GERAL Valoriz. RT´s'!H28</f>
        <v>1050.6553331946125</v>
      </c>
      <c r="J5" s="14" t="s">
        <v>525</v>
      </c>
      <c r="K5" s="3">
        <f>'RESUMO GERAL Valoriz. RT´s'!C46+'RESUMO GERAL Valoriz. RT´s'!C47</f>
        <v>10.485505219974332</v>
      </c>
      <c r="L5" s="3">
        <f>'RESUMO GERAL Valoriz. RT´s'!D46+'RESUMO GERAL Valoriz. RT´s'!D47</f>
        <v>0</v>
      </c>
      <c r="M5" s="3">
        <f>'RESUMO GERAL Valoriz. RT´s'!E46+'RESUMO GERAL Valoriz. RT´s'!E47</f>
        <v>0</v>
      </c>
      <c r="N5" s="3">
        <f>'RESUMO GERAL Valoriz. RT´s'!F46+'RESUMO GERAL Valoriz. RT´s'!F47</f>
        <v>0</v>
      </c>
      <c r="O5" s="3">
        <f>'RESUMO GERAL Valoriz. RT´s'!G46+'RESUMO GERAL Valoriz. RT´s'!G47</f>
        <v>0</v>
      </c>
      <c r="P5" s="3">
        <f>'RESUMO GERAL Valoriz. RT´s'!H46+'RESUMO GERAL Valoriz. RT´s'!H47</f>
        <v>10.116334425957875</v>
      </c>
    </row>
    <row r="6" spans="2:16" x14ac:dyDescent="0.3">
      <c r="B6" s="14" t="s">
        <v>360</v>
      </c>
      <c r="C6" s="3">
        <f>'RESUMO GERAL Valoriz. RT´s'!C33</f>
        <v>161.41822931768741</v>
      </c>
      <c r="D6" s="3">
        <f>'RESUMO GERAL Valoriz. RT´s'!D33</f>
        <v>205.67281994750977</v>
      </c>
      <c r="E6" s="3">
        <f>'RESUMO GERAL Valoriz. RT´s'!E33</f>
        <v>188.22058283894557</v>
      </c>
      <c r="F6" s="3">
        <f>'RESUMO GERAL Valoriz. RT´s'!F33</f>
        <v>107.97781525149082</v>
      </c>
      <c r="G6" s="3">
        <f>'RESUMO GERAL Valoriz. RT´s'!G33</f>
        <v>126.74298890677517</v>
      </c>
      <c r="H6" s="3">
        <f>'RESUMO GERAL Valoriz. RT´s'!H33</f>
        <v>438.13294708280978</v>
      </c>
      <c r="J6" s="14" t="s">
        <v>526</v>
      </c>
      <c r="K6" s="3">
        <f>'RESUMO GERAL Valoriz. RT´s'!C48+'RESUMO GERAL Valoriz. RT´s'!C49</f>
        <v>30.11449029771325</v>
      </c>
      <c r="L6" s="3">
        <f>'RESUMO GERAL Valoriz. RT´s'!D48+'RESUMO GERAL Valoriz. RT´s'!D49</f>
        <v>0</v>
      </c>
      <c r="M6" s="3">
        <f>'RESUMO GERAL Valoriz. RT´s'!E48+'RESUMO GERAL Valoriz. RT´s'!E49</f>
        <v>0</v>
      </c>
      <c r="N6" s="3">
        <f>'RESUMO GERAL Valoriz. RT´s'!F48+'RESUMO GERAL Valoriz. RT´s'!F49</f>
        <v>0</v>
      </c>
      <c r="O6" s="3">
        <f>'RESUMO GERAL Valoriz. RT´s'!G48+'RESUMO GERAL Valoriz. RT´s'!G49</f>
        <v>0</v>
      </c>
      <c r="P6" s="3">
        <f>'RESUMO GERAL Valoriz. RT´s'!H48+'RESUMO GERAL Valoriz. RT´s'!H49</f>
        <v>305.01625442740948</v>
      </c>
    </row>
    <row r="7" spans="2:16" x14ac:dyDescent="0.3">
      <c r="B7" s="14" t="s">
        <v>550</v>
      </c>
      <c r="C7" s="3">
        <f>C8-(C5-C4)</f>
        <v>138.64026876101201</v>
      </c>
      <c r="D7" s="3">
        <f t="shared" ref="D7:H7" si="0">D8-(D5-D4)</f>
        <v>94.38567813118965</v>
      </c>
      <c r="E7" s="3">
        <f t="shared" si="0"/>
        <v>111.83791523975384</v>
      </c>
      <c r="F7" s="3">
        <f t="shared" si="0"/>
        <v>159.47108572741826</v>
      </c>
      <c r="G7" s="3">
        <f t="shared" si="0"/>
        <v>204.16687137256309</v>
      </c>
      <c r="H7" s="3">
        <f t="shared" si="0"/>
        <v>179.23238611180273</v>
      </c>
      <c r="J7" s="14" t="s">
        <v>527</v>
      </c>
      <c r="K7" s="3">
        <f>'RESUMO GERAL Valoriz. RT´s'!C51</f>
        <v>100.11218185342608</v>
      </c>
      <c r="L7" s="3">
        <f>'RESUMO GERAL Valoriz. RT´s'!D51</f>
        <v>100.11218185342608</v>
      </c>
      <c r="M7" s="3">
        <f>'RESUMO GERAL Valoriz. RT´s'!E51</f>
        <v>100.11218185342608</v>
      </c>
      <c r="N7" s="3">
        <f>'RESUMO GERAL Valoriz. RT´s'!F51</f>
        <v>96.644778295140455</v>
      </c>
      <c r="O7" s="3">
        <f>'RESUMO GERAL Valoriz. RT´s'!G51</f>
        <v>108.30876620887024</v>
      </c>
      <c r="P7" s="3">
        <f>'RESUMO GERAL Valoriz. RT´s'!H51</f>
        <v>151.0391659491757</v>
      </c>
    </row>
    <row r="8" spans="2:16" x14ac:dyDescent="0.3">
      <c r="B8" s="14" t="s">
        <v>551</v>
      </c>
      <c r="C8" s="3">
        <f>'RESUMO GERAL Valoriz. RT´s'!C44</f>
        <v>571.93026876101192</v>
      </c>
      <c r="D8" s="3">
        <f>'RESUMO GERAL Valoriz. RT´s'!D44</f>
        <v>527.67567813118956</v>
      </c>
      <c r="E8" s="3">
        <f>'RESUMO GERAL Valoriz. RT´s'!E44</f>
        <v>545.12791523975375</v>
      </c>
      <c r="F8" s="3">
        <f>'RESUMO GERAL Valoriz. RT´s'!F44</f>
        <v>592.76108572741816</v>
      </c>
      <c r="G8" s="3">
        <f>'RESUMO GERAL Valoriz. RT´s'!G44</f>
        <v>637.45687137256311</v>
      </c>
      <c r="H8" s="3">
        <f>'RESUMO GERAL Valoriz. RT´s'!H44</f>
        <v>612.52238611180269</v>
      </c>
      <c r="J8" s="14" t="s">
        <v>528</v>
      </c>
      <c r="K8" s="3">
        <f>'RESUMO GERAL Valoriz. RT´s'!C55</f>
        <v>236.23150880860379</v>
      </c>
      <c r="L8" s="3">
        <f>'RESUMO GERAL Valoriz. RT´s'!D55</f>
        <v>236.23150880860379</v>
      </c>
      <c r="M8" s="3">
        <f>'RESUMO GERAL Valoriz. RT´s'!E55</f>
        <v>236.23150880860379</v>
      </c>
      <c r="N8" s="3">
        <f>'RESUMO GERAL Valoriz. RT´s'!F55</f>
        <v>237.33287694768146</v>
      </c>
      <c r="O8" s="3">
        <f>'RESUMO GERAL Valoriz. RT´s'!G55</f>
        <v>227.75105459221021</v>
      </c>
      <c r="P8" s="3">
        <f>'RESUMO GERAL Valoriz. RT´s'!H55</f>
        <v>232.16052361139015</v>
      </c>
    </row>
    <row r="9" spans="2:16" x14ac:dyDescent="0.3">
      <c r="B9" s="14" t="s">
        <v>517</v>
      </c>
      <c r="C9" s="1040">
        <f>'RESUMO GERAL Valoriz. RT´s'!C65</f>
        <v>487.90725212708833</v>
      </c>
      <c r="D9" s="1040">
        <f>'RESUMO GERAL Valoriz. RT´s'!D65</f>
        <v>446.32487454902406</v>
      </c>
      <c r="E9" s="1040">
        <f>'RESUMO GERAL Valoriz. RT´s'!E65</f>
        <v>454.7721643452283</v>
      </c>
      <c r="F9" s="1040">
        <f>'RESUMO GERAL Valoriz. RT´s'!F65</f>
        <v>447.82180122857483</v>
      </c>
      <c r="G9" s="1040">
        <f>'RESUMO GERAL Valoriz. RT´s'!G65</f>
        <v>459.13623403460957</v>
      </c>
      <c r="H9" s="1040">
        <f>'RESUMO GERAL Valoriz. RT´s'!H65</f>
        <v>816.94312676217658</v>
      </c>
      <c r="J9" s="14" t="s">
        <v>529</v>
      </c>
      <c r="K9" s="3">
        <f>'RESUMO GERAL Valoriz. RT´s'!C60</f>
        <v>110.96356594737087</v>
      </c>
      <c r="L9" s="3">
        <f>'RESUMO GERAL Valoriz. RT´s'!D60</f>
        <v>109.98118388699419</v>
      </c>
      <c r="M9" s="3">
        <f>'RESUMO GERAL Valoriz. RT´s'!E60</f>
        <v>118.42847368319842</v>
      </c>
      <c r="N9" s="3">
        <f>'RESUMO GERAL Valoriz. RT´s'!F60</f>
        <v>113.84414598575293</v>
      </c>
      <c r="O9" s="3">
        <f>'RESUMO GERAL Valoriz. RT´s'!G60</f>
        <v>123.07641323352914</v>
      </c>
      <c r="P9" s="3">
        <f>'RESUMO GERAL Valoriz. RT´s'!H60</f>
        <v>118.61084834824341</v>
      </c>
    </row>
    <row r="10" spans="2:16" x14ac:dyDescent="0.3">
      <c r="B10" s="14" t="s">
        <v>556</v>
      </c>
      <c r="C10" s="703">
        <f>'RESUMO GERAL Valoriz. RT´s'!C68</f>
        <v>0.899177769486037</v>
      </c>
      <c r="D10" s="703">
        <f>'RESUMO GERAL Valoriz. RT´s'!D68</f>
        <v>0.97965325642565271</v>
      </c>
      <c r="E10" s="703">
        <f>'RESUMO GERAL Valoriz. RT´s'!E68</f>
        <v>0.9317707549100267</v>
      </c>
      <c r="F10" s="703">
        <f>'RESUMO GERAL Valoriz. RT´s'!F68</f>
        <v>0.76481187179286325</v>
      </c>
      <c r="G10" s="703">
        <f>'RESUMO GERAL Valoriz. RT´s'!G68</f>
        <v>0.65882004182929965</v>
      </c>
      <c r="H10" s="703">
        <f>'RESUMO GERAL Valoriz. RT´s'!H68</f>
        <v>1.3105002508493726</v>
      </c>
      <c r="J10" s="14" t="s">
        <v>556</v>
      </c>
      <c r="K10" s="703">
        <f>'RESUMO GERAL Valoriz. RT´s'!C68</f>
        <v>0.899177769486037</v>
      </c>
      <c r="L10" s="703">
        <f>'RESUMO GERAL Valoriz. RT´s'!D68</f>
        <v>0.97965325642565271</v>
      </c>
      <c r="M10" s="703">
        <f>'RESUMO GERAL Valoriz. RT´s'!E68</f>
        <v>0.9317707549100267</v>
      </c>
      <c r="N10" s="703">
        <f>'RESUMO GERAL Valoriz. RT´s'!F68</f>
        <v>0.76481187179286325</v>
      </c>
      <c r="O10" s="703">
        <f>'RESUMO GERAL Valoriz. RT´s'!G68</f>
        <v>0.65882004182929965</v>
      </c>
      <c r="P10" s="703">
        <f>'RESUMO GERAL Valoriz. RT´s'!H68</f>
        <v>1.3105002508493726</v>
      </c>
    </row>
    <row r="11" spans="2:16" x14ac:dyDescent="0.3">
      <c r="B11" s="14" t="s">
        <v>557</v>
      </c>
      <c r="C11" s="703">
        <f>'RESUMO GERAL Valoriz. RT´s'!C67</f>
        <v>1.7138890804925455</v>
      </c>
      <c r="D11" s="703">
        <f>'RESUMO GERAL Valoriz. RT´s'!D67</f>
        <v>1.7227947207889158</v>
      </c>
      <c r="E11" s="703">
        <f>'RESUMO GERAL Valoriz. RT´s'!E67</f>
        <v>1.6927840816301536</v>
      </c>
      <c r="F11" s="703">
        <f>'RESUMO GERAL Valoriz. RT´s'!F67</f>
        <v>1.6950928339649736</v>
      </c>
      <c r="G11" s="703">
        <f>'RESUMO GERAL Valoriz. RT´s'!G67</f>
        <v>1.26913523310405</v>
      </c>
      <c r="H11" s="703">
        <f>'RESUMO GERAL Valoriz. RT´s'!H67</f>
        <v>1.3002199791437505</v>
      </c>
      <c r="J11" s="14" t="s">
        <v>557</v>
      </c>
      <c r="K11" s="703">
        <f>'RESUMO GERAL Valoriz. RT´s'!C67</f>
        <v>1.7138890804925455</v>
      </c>
      <c r="L11" s="703">
        <f>'RESUMO GERAL Valoriz. RT´s'!D67</f>
        <v>1.7227947207889158</v>
      </c>
      <c r="M11" s="703">
        <f>'RESUMO GERAL Valoriz. RT´s'!E67</f>
        <v>1.6927840816301536</v>
      </c>
      <c r="N11" s="703">
        <f>'RESUMO GERAL Valoriz. RT´s'!F67</f>
        <v>1.6950928339649736</v>
      </c>
      <c r="O11" s="703">
        <f>'RESUMO GERAL Valoriz. RT´s'!G67</f>
        <v>1.26913523310405</v>
      </c>
      <c r="P11" s="703">
        <f>'RESUMO GERAL Valoriz. RT´s'!H67</f>
        <v>1.3002199791437505</v>
      </c>
    </row>
    <row r="12" spans="2:16" x14ac:dyDescent="0.3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3">
      <c r="B13" s="14" t="s">
        <v>585</v>
      </c>
      <c r="C13" s="1047">
        <f>C8*'C-Dados RT1 Simplif.'!$C$105/'RT1A)Calc Tarifa incl Mov'!$G$11/12</f>
        <v>9.5517468313533112</v>
      </c>
      <c r="D13" s="1047">
        <f>D8*'C-Dados RT1 Simplif.'!$C$105/'RT1A)Calc Tarifa incl Mov'!$G$11/12</f>
        <v>8.8126556013385589</v>
      </c>
      <c r="E13" s="1047">
        <f>E8*'C-Dados RT1 Simplif.'!$C$105/'RT1A)Calc Tarifa incl Mov'!$G$11/12</f>
        <v>9.1041235644923191</v>
      </c>
      <c r="F13" s="1047">
        <f>F8*'C-Dados RT1 Simplif.'!$C$105/'RT1A)Calc Tarifa incl Mov'!$G$11/12</f>
        <v>9.8996400988042677</v>
      </c>
      <c r="G13" s="1047">
        <f>G8*'C-Dados RT1 Simplif.'!$C$105/'RT1A)Calc Tarifa incl Mov'!$G$11/12</f>
        <v>10.646099680032089</v>
      </c>
      <c r="H13" s="1047">
        <f>H8*'C-Dados RT1 Simplif.'!$C$105/'RT1A)Calc Tarifa incl Mov'!$G$11/12</f>
        <v>10.229671483117729</v>
      </c>
    </row>
    <row r="14" spans="2:16" x14ac:dyDescent="0.3">
      <c r="B14" s="1364" t="s">
        <v>547</v>
      </c>
      <c r="C14" s="1364"/>
      <c r="D14" s="1364"/>
      <c r="E14" s="1364"/>
      <c r="F14" s="1364"/>
      <c r="G14" s="1364"/>
      <c r="H14" s="1364"/>
    </row>
    <row r="15" spans="2:16" x14ac:dyDescent="0.3">
      <c r="B15" s="1364"/>
      <c r="C15" s="1364"/>
      <c r="D15" s="1364"/>
      <c r="E15" s="1364"/>
      <c r="F15" s="1364"/>
      <c r="G15" s="1364"/>
      <c r="H15" s="1364"/>
    </row>
    <row r="16" spans="2:16" x14ac:dyDescent="0.3">
      <c r="B16" s="1026" t="s">
        <v>536</v>
      </c>
      <c r="C16" s="1049">
        <f>'C-Dados RT1 Simplif.'!$C$18+'RT1A) Custos Valoriz E.Elétrica'!C10*'RT1A) Custos Valoriz E.Elétrica'!C5*'RT1A) Custos Valoriz E.Elétrica'!C6/1000000</f>
        <v>104.78458210162638</v>
      </c>
      <c r="D16" s="1049">
        <f>'C-Dados RT1 Simplif.'!$C$18+('RT1B) Descarb AutoCons'!C4*'RT1B) Descarb AutoCons'!C5*'RT1B) Descarb AutoCons'!C8+'RT1B) Comercializ Gás Biome'!C22)/1000000+'RT1B) Descarb Util Públ'!C38+'RT1B) Descarb AutoCons'!C38</f>
        <v>152.06889329024713</v>
      </c>
      <c r="E16" s="1049">
        <f>'C-Dados RT1 Simplif.'!$C$18+('RT1C) Comercializ Gás Biomet'!C4*'RT1C) Comercializ Gás Biomet'!C5*'RT1C) Comercializ Gás Biomet'!C8+'RT1C) Comercializ Gás Biomet'!C22)/1000000</f>
        <v>116.56889329024713</v>
      </c>
      <c r="F16" s="1049">
        <f>'C-Dados RT2 Simplif.'!$C$18</f>
        <v>102.86153302407891</v>
      </c>
      <c r="G16" s="1049">
        <f>'C-Dados RT3 Simplif.'!$C$18</f>
        <v>95.384274238632713</v>
      </c>
      <c r="H16" s="1049">
        <f>'C-Dados RT4 Simplif.'!$C$18</f>
        <v>92.660608102209721</v>
      </c>
    </row>
    <row r="17" spans="2:16" s="1042" customFormat="1" ht="15.6" x14ac:dyDescent="0.3">
      <c r="B17" s="1026" t="s">
        <v>537</v>
      </c>
      <c r="C17" s="1048">
        <f>C16*1000000/'C-Dados RT1 Simplif.'!$C$105</f>
        <v>3047.1018800703523</v>
      </c>
      <c r="D17" s="1048">
        <f>D16*1000000/'C-Dados RT1 Simplif.'!$C$105</f>
        <v>4422.1144117893837</v>
      </c>
      <c r="E17" s="1048">
        <f>E16*1000000/'C-Dados RT1 Simplif.'!$C$105</f>
        <v>3389.7858518721832</v>
      </c>
      <c r="F17" s="1048">
        <f>F16*1000000/'C-Dados RT1 Simplif.'!$C$105</f>
        <v>2991.1802326090938</v>
      </c>
      <c r="G17" s="1048">
        <f>G16*1000000/'C-Dados RT1 Simplif.'!$C$105</f>
        <v>2773.7439567187303</v>
      </c>
      <c r="H17" s="1048">
        <f>H16*1000000/'C-Dados RT1 Simplif.'!$C$105</f>
        <v>2694.5406231889056</v>
      </c>
    </row>
    <row r="18" spans="2:16" x14ac:dyDescent="0.3">
      <c r="B18" s="1026" t="s">
        <v>538</v>
      </c>
      <c r="C18" s="1049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16.784486900483252</v>
      </c>
      <c r="D18" s="1049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16.942442751887093</v>
      </c>
      <c r="E18" s="1049">
        <f>'C-Dados RT1 Simplif.'!$C$21/'C-Dados RT1 Simplif.'!$C$7-'RT1C) Comercializ Gás Biomet'!C24/1000000</f>
        <v>14.791766212248021</v>
      </c>
      <c r="F18" s="1049">
        <f>'C-Dados RT2 Simplif.'!$C$21/'C-Dados RT2 Simplif.'!$C$7</f>
        <v>17.622808465194492</v>
      </c>
      <c r="G18" s="1049">
        <f>'C-Dados RT3 Simplif.'!$C$21/'C-Dados RT3 Simplif.'!$C$7</f>
        <v>16.782712143519269</v>
      </c>
      <c r="H18" s="1049">
        <f>'C-Dados RT4 Simplif.'!$C$21/'C-Dados RT4 Simplif.'!$C$7</f>
        <v>16.373474022095028</v>
      </c>
    </row>
    <row r="19" spans="2:16" x14ac:dyDescent="0.3">
      <c r="B19" s="1026" t="s">
        <v>539</v>
      </c>
      <c r="C19" s="1048">
        <f>C18*1000000/'C-Dados RT1 Simplif.'!$C$105</f>
        <v>488.08747016690063</v>
      </c>
      <c r="D19" s="1048">
        <f>D18*1000000/'C-Dados RT1 Simplif.'!$C$105</f>
        <v>492.68077542352671</v>
      </c>
      <c r="E19" s="1048">
        <f>E18*1000000/'C-Dados RT1 Simplif.'!$C$105</f>
        <v>430.13979471892645</v>
      </c>
      <c r="F19" s="1048">
        <f>F18*1000000/'C-Dados RT2 Simplif.'!$C$105</f>
        <v>512.46559111467218</v>
      </c>
      <c r="G19" s="1048">
        <f>G18*1000000/'C-Dados RT3 Simplif.'!$C$105</f>
        <v>488.03586080631396</v>
      </c>
      <c r="H19" s="1048">
        <f>H18*1000000/'C-Dados RT4 Simplif.'!$C$105</f>
        <v>476.13534811467707</v>
      </c>
    </row>
    <row r="20" spans="2:16" x14ac:dyDescent="0.3">
      <c r="B20" s="1026" t="s">
        <v>559</v>
      </c>
      <c r="C20" s="1048">
        <f>'C-Dados RT1 Simplif.'!$C$6*'C-Dados RT1 Simplif.'!$C$105/'C-Dados RT1 Simplif.'!$C$102</f>
        <v>102.33949684076066</v>
      </c>
      <c r="D20" s="1048">
        <f>'C-Dados RT1 Simplif.'!$C$6*'C-Dados RT1 Simplif.'!$C$105/'C-Dados RT1 Simplif.'!$C$102</f>
        <v>102.33949684076066</v>
      </c>
      <c r="E20" s="1048">
        <f>'C-Dados RT1 Simplif.'!$C$6*'C-Dados RT1 Simplif.'!$C$105/'C-Dados RT1 Simplif.'!$C$102</f>
        <v>102.33949684076066</v>
      </c>
      <c r="F20" s="1048">
        <f>'C-Dados RT2 Simplif.'!$C$6*'C-Dados RT2 Simplif.'!$C$105/'C-Dados RT2 Simplif.'!$C$102</f>
        <v>90.388236363619555</v>
      </c>
      <c r="G20" s="1048">
        <f>'C-Dados RT3 Simplif.'!$C$6*'C-Dados RT3 Simplif.'!$C$105/'C-Dados RT3 Simplif.'!$C$102</f>
        <v>113.19582424256106</v>
      </c>
      <c r="H20" s="1048">
        <f>'C-Dados RT4 Simplif.'!$C$6*'C-Dados RT4 Simplif.'!$C$105/'C-Dados RT4 Simplif.'!$C$102</f>
        <v>215.57870149623446</v>
      </c>
    </row>
    <row r="21" spans="2:16" x14ac:dyDescent="0.3">
      <c r="B21" s="1026" t="s">
        <v>544</v>
      </c>
      <c r="C21" s="1050">
        <f>'C-Dados RT1 Simplif.'!$C$116</f>
        <v>13.314839779403641</v>
      </c>
      <c r="D21" s="1050">
        <f>'C-Dados RT1 Simplif.'!$C$116</f>
        <v>13.314839779403641</v>
      </c>
      <c r="E21" s="1050">
        <f>'C-Dados RT1 Simplif.'!$C$116</f>
        <v>13.314839779403641</v>
      </c>
      <c r="F21" s="1050">
        <f>'C-Dados RT2 Simplif.'!$C$116</f>
        <v>13.878248705188518</v>
      </c>
      <c r="G21" s="1050">
        <f>'C-Dados RT3 Simplif.'!$C$116</f>
        <v>12.029706899706493</v>
      </c>
      <c r="H21" s="1050">
        <f>'C-Dados RT4 Simplif.'!$C$116</f>
        <v>6.3291622974414841</v>
      </c>
    </row>
    <row r="22" spans="2:16" x14ac:dyDescent="0.3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3">
      <c r="B25" s="1364" t="s">
        <v>552</v>
      </c>
      <c r="C25" s="1364"/>
      <c r="D25" s="1364"/>
      <c r="E25" s="1364"/>
      <c r="F25" s="1364"/>
      <c r="G25" s="1364"/>
      <c r="H25" s="1364"/>
      <c r="J25" s="1364" t="s">
        <v>553</v>
      </c>
      <c r="K25" s="1364"/>
      <c r="L25" s="1364"/>
      <c r="M25" s="1364"/>
      <c r="N25" s="1364"/>
      <c r="O25" s="1364"/>
      <c r="P25" s="1364"/>
    </row>
    <row r="26" spans="2:16" x14ac:dyDescent="0.3">
      <c r="B26" s="1364"/>
      <c r="C26" s="1364"/>
      <c r="D26" s="1364"/>
      <c r="E26" s="1364"/>
      <c r="F26" s="1364"/>
      <c r="G26" s="1364"/>
      <c r="H26" s="1364"/>
      <c r="J26" s="1364"/>
      <c r="K26" s="1364"/>
      <c r="L26" s="1364"/>
      <c r="M26" s="1364"/>
      <c r="N26" s="1364"/>
      <c r="O26" s="1364"/>
      <c r="P26" s="1364"/>
    </row>
    <row r="27" spans="2:16" ht="15.6" x14ac:dyDescent="0.3">
      <c r="B27" s="1041" t="s">
        <v>507</v>
      </c>
      <c r="C27" s="1041" t="s">
        <v>506</v>
      </c>
      <c r="D27" s="1041" t="s">
        <v>505</v>
      </c>
      <c r="E27" s="1041" t="s">
        <v>518</v>
      </c>
      <c r="F27" s="1041" t="s">
        <v>504</v>
      </c>
      <c r="J27" s="1041" t="s">
        <v>507</v>
      </c>
      <c r="K27" s="1041" t="s">
        <v>506</v>
      </c>
      <c r="L27" s="1041" t="s">
        <v>505</v>
      </c>
      <c r="M27" s="1041" t="s">
        <v>518</v>
      </c>
      <c r="N27" s="1041" t="s">
        <v>504</v>
      </c>
    </row>
    <row r="28" spans="2:16" x14ac:dyDescent="0.3">
      <c r="B28" s="1037" t="s">
        <v>508</v>
      </c>
      <c r="C28" s="1038"/>
      <c r="D28" s="1039"/>
      <c r="F28" s="1039"/>
      <c r="J28" s="1037" t="s">
        <v>508</v>
      </c>
      <c r="K28" s="1038"/>
      <c r="L28" s="1039"/>
      <c r="N28" s="1039"/>
    </row>
    <row r="29" spans="2:16" x14ac:dyDescent="0.3">
      <c r="B29" s="1037"/>
      <c r="C29" s="1038" t="s">
        <v>499</v>
      </c>
      <c r="D29" s="1039">
        <f>'RT1A)Calc Tarifa incl Mov'!K39</f>
        <v>2.5957170506291103</v>
      </c>
      <c r="E29" s="1039">
        <f>'RT1A)Calc Tarifa incl Mov'!Q36/'RT1A)Calc Tarifa incl Mov'!O36</f>
        <v>15.489130338050893</v>
      </c>
      <c r="F29" s="1039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22.712524193004711</v>
      </c>
      <c r="J29" s="1037"/>
      <c r="K29" s="1038" t="s">
        <v>499</v>
      </c>
      <c r="L29" s="1039">
        <f>'RT1A)Calc Tarifa sem Mov'!K39</f>
        <v>0.62922165372775107</v>
      </c>
      <c r="M29" s="1039">
        <f>'RT1A)Calc Tarifa sem Mov'!Q36/'RT1A)Calc Tarifa sem Mov'!O36</f>
        <v>3.7546835868535653</v>
      </c>
      <c r="N29" s="1039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5.5056894701178214</v>
      </c>
    </row>
    <row r="30" spans="2:16" x14ac:dyDescent="0.3">
      <c r="B30" s="1037"/>
      <c r="C30" s="1038" t="s">
        <v>500</v>
      </c>
      <c r="D30" s="1039">
        <f>'RT1A)Calc Tarifa incl Mov'!K52</f>
        <v>3.6404931635073274</v>
      </c>
      <c r="E30" s="1039">
        <f>'RT1A)Calc Tarifa incl Mov'!Q49/'RT1A)Calc Tarifa incl Mov'!O49</f>
        <v>12.378231406071336</v>
      </c>
      <c r="F30" s="1039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40.95554808945743</v>
      </c>
      <c r="J30" s="1037"/>
      <c r="K30" s="1038" t="s">
        <v>500</v>
      </c>
      <c r="L30" s="1039">
        <f>'RT1A)Calc Tarifa sem Mov'!K52</f>
        <v>0.88248336935317095</v>
      </c>
      <c r="M30" s="1039">
        <f>'RT1A)Calc Tarifa sem Mov'!Q49/'RT1A)Calc Tarifa sem Mov'!O49</f>
        <v>3.0005779072358054</v>
      </c>
      <c r="N30" s="1039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9.9279379052231711</v>
      </c>
    </row>
    <row r="31" spans="2:16" x14ac:dyDescent="0.3">
      <c r="B31" s="1037"/>
      <c r="C31" s="1038" t="s">
        <v>501</v>
      </c>
      <c r="D31" s="1039">
        <f>'RT1A)Calc Tarifa incl Mov'!K65</f>
        <v>1.8202465817536637</v>
      </c>
      <c r="E31" s="1039">
        <f>'RT1A)Calc Tarifa incl Mov'!Q62/'RT1A)Calc Tarifa incl Mov'!O62</f>
        <v>4.3489315390548997</v>
      </c>
      <c r="F31" s="1039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20.477774044728715</v>
      </c>
      <c r="J31" s="1037"/>
      <c r="K31" s="1038" t="s">
        <v>501</v>
      </c>
      <c r="L31" s="1039">
        <f>'RT1A)Calc Tarifa sem Mov'!K65</f>
        <v>0.44124168467658548</v>
      </c>
      <c r="M31" s="1039">
        <f>'RT1A)Calc Tarifa sem Mov'!Q62/'RT1A)Calc Tarifa sem Mov'!O62</f>
        <v>1.0542142466143145</v>
      </c>
      <c r="N31" s="1039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4.9639689526115856</v>
      </c>
    </row>
    <row r="32" spans="2:16" x14ac:dyDescent="0.3">
      <c r="B32" s="1037"/>
      <c r="C32" s="1038" t="s">
        <v>502</v>
      </c>
      <c r="D32" s="1039">
        <f>'RT1A)Calc Tarifa incl Mov'!K78</f>
        <v>3.5042180183492988</v>
      </c>
      <c r="E32" s="1039">
        <f>'RT1A)Calc Tarifa incl Mov'!Q75/'RT1A)Calc Tarifa incl Mov'!O75</f>
        <v>17.189990801672707</v>
      </c>
      <c r="F32" s="1039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33.095392395521152</v>
      </c>
      <c r="J32" s="1037"/>
      <c r="K32" s="1038" t="s">
        <v>502</v>
      </c>
      <c r="L32" s="1039">
        <f>'RT1A)Calc Tarifa sem Mov'!K78</f>
        <v>0.83057258292063141</v>
      </c>
      <c r="M32" s="1039">
        <f>'RT1A)Calc Tarifa sem Mov'!Q75/'RT1A)Calc Tarifa sem Mov'!O75</f>
        <v>4.1445691425397158</v>
      </c>
      <c r="N32" s="1039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7.9989802730140358</v>
      </c>
    </row>
    <row r="33" spans="2:14" x14ac:dyDescent="0.3">
      <c r="B33" s="1037"/>
      <c r="C33" s="1038" t="s">
        <v>503</v>
      </c>
      <c r="D33" s="1039">
        <f>'RT1A)Calc Tarifa incl Mov'!K91</f>
        <v>2.7255029031605655</v>
      </c>
      <c r="E33" s="1039">
        <f>'RT1A)Calc Tarifa incl Mov'!Q88/'RT1A)Calc Tarifa incl Mov'!O88</f>
        <v>37.335739546197303</v>
      </c>
      <c r="F33" s="1039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44.776119123352146</v>
      </c>
      <c r="J33" s="1037"/>
      <c r="K33" s="1038" t="s">
        <v>503</v>
      </c>
      <c r="L33" s="1039">
        <f>'RT1A)Calc Tarifa sem Mov'!K91</f>
        <v>0.66068273641413855</v>
      </c>
      <c r="M33" s="1039">
        <f>'RT1A)Calc Tarifa sem Mov'!Q88/'RT1A)Calc Tarifa sem Mov'!O88</f>
        <v>9.0504686459231429</v>
      </c>
      <c r="N33" s="1039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10.854073526803706</v>
      </c>
    </row>
    <row r="34" spans="2:14" x14ac:dyDescent="0.3">
      <c r="B34" s="1037" t="s">
        <v>509</v>
      </c>
      <c r="C34" s="1038"/>
      <c r="D34" s="1039"/>
      <c r="E34" s="1039"/>
      <c r="F34" s="1039"/>
      <c r="J34" s="1037" t="s">
        <v>509</v>
      </c>
      <c r="K34" s="1038"/>
      <c r="L34" s="1039"/>
      <c r="M34" s="1039"/>
      <c r="N34" s="1039"/>
    </row>
    <row r="35" spans="2:14" x14ac:dyDescent="0.3">
      <c r="B35" s="1037"/>
      <c r="C35" s="1038" t="s">
        <v>499</v>
      </c>
      <c r="D35" s="1039">
        <f>'RT1B)Calc Tarifa incl Mov'!K39</f>
        <v>2.3948666992125083</v>
      </c>
      <c r="E35" s="1039">
        <f>'RT1B)Calc Tarifa incl Mov'!Q36/'RT1B)Calc Tarifa incl Mov'!O36</f>
        <v>14.290618631707138</v>
      </c>
      <c r="F35" s="1039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20.955083618109448</v>
      </c>
      <c r="J35" s="1037"/>
      <c r="K35" s="1038" t="s">
        <v>499</v>
      </c>
      <c r="L35" s="1039">
        <f>'RT1B)Calc Tarifa sem Mov'!K39</f>
        <v>0.42837130231114862</v>
      </c>
      <c r="M35" s="1039">
        <f>'RT1B)Calc Tarifa sem Mov'!Q36/'RT1B)Calc Tarifa sem Mov'!O36</f>
        <v>2.5561718805098073</v>
      </c>
      <c r="N35" s="1039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3.7482488952225501</v>
      </c>
    </row>
    <row r="36" spans="2:14" x14ac:dyDescent="0.3">
      <c r="B36" s="1037"/>
      <c r="C36" s="1038" t="s">
        <v>500</v>
      </c>
      <c r="D36" s="1039">
        <f>'RT1B)Calc Tarifa incl Mov'!K52</f>
        <v>3.358800545645543</v>
      </c>
      <c r="E36" s="1039">
        <f>'RT1B)Calc Tarifa incl Mov'!Q49/'RT1B)Calc Tarifa incl Mov'!O49</f>
        <v>11.420433587845007</v>
      </c>
      <c r="F36" s="1039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37.786506138512351</v>
      </c>
      <c r="J36" s="1037"/>
      <c r="K36" s="1038" t="s">
        <v>500</v>
      </c>
      <c r="L36" s="1039">
        <f>'RT1B)Calc Tarifa sem Mov'!K52</f>
        <v>0.60079075149138594</v>
      </c>
      <c r="M36" s="1039">
        <f>'RT1B)Calc Tarifa sem Mov'!Q49/'RT1B)Calc Tarifa sem Mov'!O49</f>
        <v>2.0427800890094727</v>
      </c>
      <c r="N36" s="1039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6.7588959542780911</v>
      </c>
    </row>
    <row r="37" spans="2:14" x14ac:dyDescent="0.3">
      <c r="B37" s="1037"/>
      <c r="C37" s="1038" t="s">
        <v>501</v>
      </c>
      <c r="D37" s="1039">
        <f>'RT1B)Calc Tarifa incl Mov'!K65</f>
        <v>1.6794002728227715</v>
      </c>
      <c r="E37" s="1039">
        <f>'RT1B)Calc Tarifa incl Mov'!Q62/'RT1B)Calc Tarifa incl Mov'!O62</f>
        <v>4.0124216611025947</v>
      </c>
      <c r="F37" s="1039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18.893253069256176</v>
      </c>
      <c r="J37" s="1037"/>
      <c r="K37" s="1038" t="s">
        <v>501</v>
      </c>
      <c r="L37" s="1039">
        <f>'RT1B)Calc Tarifa sem Mov'!K65</f>
        <v>0.30039537574569297</v>
      </c>
      <c r="M37" s="1039">
        <f>'RT1B)Calc Tarifa sem Mov'!Q62/'RT1B)Calc Tarifa sem Mov'!O62</f>
        <v>0.71770436866200815</v>
      </c>
      <c r="N37" s="1039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3.3794479771390455</v>
      </c>
    </row>
    <row r="38" spans="2:14" x14ac:dyDescent="0.3">
      <c r="B38" s="1037"/>
      <c r="C38" s="1038" t="s">
        <v>502</v>
      </c>
      <c r="D38" s="1039">
        <f>'RT1B)Calc Tarifa incl Mov'!K78</f>
        <v>3.2330700439368862</v>
      </c>
      <c r="E38" s="1039">
        <f>'RT1B)Calc Tarifa incl Mov'!Q75/'RT1B)Calc Tarifa incl Mov'!O75</f>
        <v>15.8598705974974</v>
      </c>
      <c r="F38" s="1039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30.534550414959476</v>
      </c>
      <c r="J38" s="1037"/>
      <c r="K38" s="1038" t="s">
        <v>502</v>
      </c>
      <c r="L38" s="1039">
        <f>'RT1B)Calc Tarifa sem Mov'!K78</f>
        <v>0.57830125812005062</v>
      </c>
      <c r="M38" s="1039">
        <f>'RT1B)Calc Tarifa sem Mov'!Q75/'RT1B)Calc Tarifa sem Mov'!O75</f>
        <v>2.8368649597784561</v>
      </c>
      <c r="N38" s="1039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5.4617341044671441</v>
      </c>
    </row>
    <row r="39" spans="2:14" x14ac:dyDescent="0.3">
      <c r="B39" s="1037"/>
      <c r="C39" s="1038" t="s">
        <v>503</v>
      </c>
      <c r="D39" s="1039">
        <f>'RT1B)Calc Tarifa incl Mov'!K91</f>
        <v>2.5146100341731334</v>
      </c>
      <c r="E39" s="1039">
        <f>'RT1B)Calc Tarifa incl Mov'!Q88/'RT1B)Calc Tarifa incl Mov'!O88</f>
        <v>34.446789686876166</v>
      </c>
      <c r="F39" s="1039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41.311450561415768</v>
      </c>
      <c r="J39" s="1037"/>
      <c r="K39" s="1038" t="s">
        <v>503</v>
      </c>
      <c r="L39" s="1039">
        <f>'RT1B)Calc Tarifa sem Mov'!K91</f>
        <v>0.44978986742670601</v>
      </c>
      <c r="M39" s="1039">
        <f>'RT1B)Calc Tarifa sem Mov'!Q88/'RT1B)Calc Tarifa sem Mov'!O88</f>
        <v>6.1615187866019969</v>
      </c>
      <c r="N39" s="1039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7.389404964867313</v>
      </c>
    </row>
    <row r="40" spans="2:14" x14ac:dyDescent="0.3">
      <c r="B40" s="1037" t="s">
        <v>510</v>
      </c>
      <c r="C40" s="1038"/>
      <c r="D40" s="1039"/>
      <c r="E40" s="1039"/>
      <c r="F40" s="1039"/>
      <c r="J40" s="1037" t="s">
        <v>510</v>
      </c>
      <c r="K40" s="1038"/>
      <c r="L40" s="1039"/>
      <c r="M40" s="1039"/>
      <c r="N40" s="1039"/>
    </row>
    <row r="41" spans="2:14" x14ac:dyDescent="0.3">
      <c r="B41" s="1037"/>
      <c r="C41" s="1038" t="s">
        <v>499</v>
      </c>
      <c r="D41" s="1039">
        <f>'RT1C)Calc Tarifa incl Mov'!K39</f>
        <v>2.4740740290369274</v>
      </c>
      <c r="E41" s="1039">
        <f>'RT1C)Calc Tarifa incl Mov'!Q36/'RT1C)Calc Tarifa incl Mov'!O36</f>
        <v>14.763263620143793</v>
      </c>
      <c r="F41" s="1039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21.648147754073115</v>
      </c>
      <c r="J41" s="1037"/>
      <c r="K41" s="1038" t="s">
        <v>499</v>
      </c>
      <c r="L41" s="1039">
        <f>'RT1C)Calc Tarifa sem Mov'!K39</f>
        <v>0.50757863213556764</v>
      </c>
      <c r="M41" s="1039">
        <f>'RT1C)Calc Tarifa sem Mov'!Q36/'RT1C)Calc Tarifa sem Mov'!O36</f>
        <v>3.0288168689464579</v>
      </c>
      <c r="N41" s="1039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4.4413130311862172</v>
      </c>
    </row>
    <row r="42" spans="2:14" x14ac:dyDescent="0.3">
      <c r="B42" s="1037"/>
      <c r="C42" s="1038" t="s">
        <v>500</v>
      </c>
      <c r="D42" s="1039">
        <f>'RT1C)Calc Tarifa incl Mov'!K52</f>
        <v>3.4698888257242908</v>
      </c>
      <c r="E42" s="1039">
        <f>'RT1C)Calc Tarifa incl Mov'!Q49/'RT1C)Calc Tarifa incl Mov'!O49</f>
        <v>11.798150665053422</v>
      </c>
      <c r="F42" s="1039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39.036249289398263</v>
      </c>
      <c r="J42" s="1037"/>
      <c r="K42" s="1038" t="s">
        <v>500</v>
      </c>
      <c r="L42" s="1039">
        <f>'RT1C)Calc Tarifa sem Mov'!K52</f>
        <v>0.71187903157013366</v>
      </c>
      <c r="M42" s="1039">
        <f>'RT1C)Calc Tarifa sem Mov'!Q49/'RT1C)Calc Tarifa sem Mov'!O49</f>
        <v>2.4204971662178876</v>
      </c>
      <c r="N42" s="1039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8.0086391051640025</v>
      </c>
    </row>
    <row r="43" spans="2:14" x14ac:dyDescent="0.3">
      <c r="B43" s="1037"/>
      <c r="C43" s="1038" t="s">
        <v>501</v>
      </c>
      <c r="D43" s="1039">
        <f>'RT1C)Calc Tarifa incl Mov'!K65</f>
        <v>1.7349444128621454</v>
      </c>
      <c r="E43" s="1039">
        <f>'RT1C)Calc Tarifa incl Mov'!Q62/'RT1C)Calc Tarifa incl Mov'!O62</f>
        <v>4.1451276718421903</v>
      </c>
      <c r="F43" s="1039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19.518124644699132</v>
      </c>
      <c r="J43" s="1037"/>
      <c r="K43" s="1038" t="s">
        <v>501</v>
      </c>
      <c r="L43" s="1039">
        <f>'RT1C)Calc Tarifa sem Mov'!K65</f>
        <v>0.35593951578506683</v>
      </c>
      <c r="M43" s="1039">
        <f>'RT1C)Calc Tarifa sem Mov'!Q62/'RT1C)Calc Tarifa sem Mov'!O62</f>
        <v>0.85041037940160435</v>
      </c>
      <c r="N43" s="1039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4.0043195525820012</v>
      </c>
    </row>
    <row r="44" spans="2:14" x14ac:dyDescent="0.3">
      <c r="B44" s="1037"/>
      <c r="C44" s="1038" t="s">
        <v>502</v>
      </c>
      <c r="D44" s="1039">
        <f>'RT1C)Calc Tarifa incl Mov'!K78</f>
        <v>3.3399999391998523</v>
      </c>
      <c r="E44" s="1039">
        <f>'RT1C)Calc Tarifa incl Mov'!Q75/'RT1C)Calc Tarifa incl Mov'!O75</f>
        <v>16.384416703467167</v>
      </c>
      <c r="F44" s="1039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31.544443870220821</v>
      </c>
      <c r="J44" s="1037"/>
      <c r="K44" s="1038" t="s">
        <v>502</v>
      </c>
      <c r="L44" s="1039">
        <f>'RT1C)Calc Tarifa sem Mov'!K78</f>
        <v>0.68523115338301632</v>
      </c>
      <c r="M44" s="1039">
        <f>'RT1C)Calc Tarifa sem Mov'!Q75/'RT1C)Calc Tarifa sem Mov'!O75</f>
        <v>3.3614110657482201</v>
      </c>
      <c r="N44" s="1039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6.4716275597284874</v>
      </c>
    </row>
    <row r="45" spans="2:14" x14ac:dyDescent="0.3">
      <c r="B45" s="1037"/>
      <c r="C45" s="1038" t="s">
        <v>503</v>
      </c>
      <c r="D45" s="1039">
        <f>'RT1C)Calc Tarifa incl Mov'!K91</f>
        <v>2.5977777304887737</v>
      </c>
      <c r="E45" s="1039">
        <f>'RT1C)Calc Tarifa incl Mov'!Q88/'RT1C)Calc Tarifa incl Mov'!O88</f>
        <v>35.58607574109287</v>
      </c>
      <c r="F45" s="1039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42.677777000886998</v>
      </c>
      <c r="J45" s="1037"/>
      <c r="K45" s="1038" t="s">
        <v>503</v>
      </c>
      <c r="L45" s="1039">
        <f>'RT1C)Calc Tarifa sem Mov'!K91</f>
        <v>0.53295756374234593</v>
      </c>
      <c r="M45" s="1039">
        <f>'RT1C)Calc Tarifa sem Mov'!Q88/'RT1C)Calc Tarifa sem Mov'!O88</f>
        <v>7.3008048408186994</v>
      </c>
      <c r="N45" s="1039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8.7557314043385404</v>
      </c>
    </row>
    <row r="46" spans="2:14" x14ac:dyDescent="0.3">
      <c r="B46" s="1037" t="s">
        <v>511</v>
      </c>
      <c r="C46" s="1038"/>
      <c r="D46" s="1039"/>
      <c r="E46" s="1039"/>
      <c r="F46" s="1039"/>
      <c r="J46" s="1037" t="s">
        <v>511</v>
      </c>
      <c r="K46" s="1038"/>
      <c r="L46" s="1039"/>
      <c r="M46" s="1039"/>
      <c r="N46" s="1039"/>
    </row>
    <row r="47" spans="2:14" x14ac:dyDescent="0.3">
      <c r="B47" s="1037"/>
      <c r="C47" s="1038" t="s">
        <v>499</v>
      </c>
      <c r="D47" s="1039">
        <f>'RT2)Calc Tarifa incl Mov'!K39</f>
        <v>2.6902581332253681</v>
      </c>
      <c r="E47" s="1039">
        <f>'RT2)Calc Tarifa incl Mov'!Q36/'RT2)Calc Tarifa incl Mov'!O36</f>
        <v>15.749107394167959</v>
      </c>
      <c r="F47" s="1039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23.539758665721973</v>
      </c>
      <c r="J47" s="1037"/>
      <c r="K47" s="1038" t="s">
        <v>499</v>
      </c>
      <c r="L47" s="1039">
        <f>'RT2)Calc Tarifa sem Mov'!K39</f>
        <v>0.72376273632400911</v>
      </c>
      <c r="M47" s="1039">
        <f>'RT2)Calc Tarifa sem Mov'!Q36/'RT2)Calc Tarifa sem Mov'!O36</f>
        <v>4.3188279531584239</v>
      </c>
      <c r="N47" s="1039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6.3329239428350803</v>
      </c>
    </row>
    <row r="48" spans="2:14" x14ac:dyDescent="0.3">
      <c r="B48" s="1037"/>
      <c r="C48" s="1038" t="s">
        <v>500</v>
      </c>
      <c r="D48" s="1039">
        <f>'RT2)Calc Tarifa incl Mov'!K52</f>
        <v>3.7730870318485787</v>
      </c>
      <c r="E48" s="1039">
        <f>'RT2)Calc Tarifa incl Mov'!Q49/'RT2)Calc Tarifa incl Mov'!O49</f>
        <v>12.829070759872769</v>
      </c>
      <c r="F48" s="1039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42.447229108296511</v>
      </c>
      <c r="J48" s="1037"/>
      <c r="K48" s="1038" t="s">
        <v>500</v>
      </c>
      <c r="L48" s="1039">
        <f>'RT2)Calc Tarifa sem Mov'!K52</f>
        <v>1.0150772376944228</v>
      </c>
      <c r="M48" s="1039">
        <f>'RT2)Calc Tarifa sem Mov'!Q49/'RT2)Calc Tarifa sem Mov'!O49</f>
        <v>3.4514172610372373</v>
      </c>
      <c r="N48" s="1039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11.419618924062256</v>
      </c>
    </row>
    <row r="49" spans="2:14" x14ac:dyDescent="0.3">
      <c r="B49" s="1037"/>
      <c r="C49" s="1038" t="s">
        <v>501</v>
      </c>
      <c r="D49" s="1039">
        <f>'RT2)Calc Tarifa incl Mov'!K65</f>
        <v>1.8865435159242894</v>
      </c>
      <c r="E49" s="1039">
        <f>'RT2)Calc Tarifa incl Mov'!Q62/'RT2)Calc Tarifa incl Mov'!O62</f>
        <v>4.4219261097055602</v>
      </c>
      <c r="F49" s="1039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21.223614554148256</v>
      </c>
      <c r="J49" s="1037"/>
      <c r="K49" s="1038" t="s">
        <v>501</v>
      </c>
      <c r="L49" s="1039">
        <f>'RT2)Calc Tarifa sem Mov'!K65</f>
        <v>0.50753861884721141</v>
      </c>
      <c r="M49" s="1039">
        <f>'RT2)Calc Tarifa sem Mov'!Q62/'RT2)Calc Tarifa sem Mov'!O62</f>
        <v>1.2126108236755977</v>
      </c>
      <c r="N49" s="1039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5.7098094620311279</v>
      </c>
    </row>
    <row r="50" spans="2:14" x14ac:dyDescent="0.3">
      <c r="B50" s="1037"/>
      <c r="C50" s="1038" t="s">
        <v>502</v>
      </c>
      <c r="D50" s="1039">
        <f>'RT2)Calc Tarifa incl Mov'!K78</f>
        <v>3.6318484798542467</v>
      </c>
      <c r="E50" s="1039">
        <f>'RT2)Calc Tarifa incl Mov'!Q75/'RT2)Calc Tarifa incl Mov'!O75</f>
        <v>17.478515922564721</v>
      </c>
      <c r="F50" s="1039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34.300791198623443</v>
      </c>
      <c r="J50" s="1037"/>
      <c r="K50" s="1038" t="s">
        <v>502</v>
      </c>
      <c r="L50" s="1039">
        <f>'RT2)Calc Tarifa sem Mov'!K78</f>
        <v>0.97707969403741246</v>
      </c>
      <c r="M50" s="1039">
        <f>'RT2)Calc Tarifa sem Mov'!Q75/'RT2)Calc Tarifa sem Mov'!O75</f>
        <v>4.7930781889296492</v>
      </c>
      <c r="N50" s="1039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9.227974888131115</v>
      </c>
    </row>
    <row r="51" spans="2:14" x14ac:dyDescent="0.3">
      <c r="B51" s="1037"/>
      <c r="C51" s="1038" t="s">
        <v>503</v>
      </c>
      <c r="D51" s="1039">
        <f>'RT2)Calc Tarifa incl Mov'!K91</f>
        <v>2.8247710398866364</v>
      </c>
      <c r="E51" s="1039">
        <f>'RT2)Calc Tarifa incl Mov'!Q88/'RT2)Calc Tarifa incl Mov'!O88</f>
        <v>37.962400659076494</v>
      </c>
      <c r="F51" s="1039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46.406952798137596</v>
      </c>
      <c r="J51" s="1037"/>
      <c r="K51" s="1038" t="s">
        <v>503</v>
      </c>
      <c r="L51" s="1039">
        <f>'RT2)Calc Tarifa sem Mov'!K91</f>
        <v>0.75995087314020959</v>
      </c>
      <c r="M51" s="1039">
        <f>'RT2)Calc Tarifa sem Mov'!Q88/'RT2)Calc Tarifa sem Mov'!O88</f>
        <v>10.410309170672916</v>
      </c>
      <c r="N51" s="1039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12.484907201589158</v>
      </c>
    </row>
    <row r="52" spans="2:14" x14ac:dyDescent="0.3">
      <c r="B52" s="1037" t="s">
        <v>512</v>
      </c>
      <c r="C52" s="1038"/>
      <c r="D52" s="1039"/>
      <c r="E52" s="1039"/>
      <c r="F52" s="1039"/>
      <c r="J52" s="1037" t="s">
        <v>512</v>
      </c>
      <c r="K52" s="1038"/>
      <c r="L52" s="1039"/>
      <c r="M52" s="1039"/>
      <c r="N52" s="1039"/>
    </row>
    <row r="53" spans="2:14" x14ac:dyDescent="0.3">
      <c r="B53" s="1037"/>
      <c r="C53" s="1038" t="s">
        <v>499</v>
      </c>
      <c r="D53" s="1039">
        <f>'RT3)Calc Tarifa incl Mov'!K39</f>
        <v>2.8931108571102198</v>
      </c>
      <c r="E53" s="1039">
        <f>'RT3)Calc Tarifa incl Mov'!Q36/'RT3)Calc Tarifa incl Mov'!O36</f>
        <v>17.263734942662392</v>
      </c>
      <c r="F53" s="1039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25.314719999714423</v>
      </c>
      <c r="J53" s="1037"/>
      <c r="K53" s="1038" t="s">
        <v>499</v>
      </c>
      <c r="L53" s="1039">
        <f>'RT3)Calc Tarifa sem Mov'!K39</f>
        <v>0.92661546020886087</v>
      </c>
      <c r="M53" s="1039">
        <f>'RT3)Calc Tarifa sem Mov'!Q36/'RT3)Calc Tarifa sem Mov'!O36</f>
        <v>5.5292881914650618</v>
      </c>
      <c r="N53" s="1039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8.1078852768275329</v>
      </c>
    </row>
    <row r="54" spans="2:14" x14ac:dyDescent="0.3">
      <c r="B54" s="1037"/>
      <c r="C54" s="1038" t="s">
        <v>500</v>
      </c>
      <c r="D54" s="1039">
        <f>'RT3)Calc Tarifa incl Mov'!K52</f>
        <v>4.0575879770970831</v>
      </c>
      <c r="E54" s="1039">
        <f>'RT3)Calc Tarifa incl Mov'!Q49/'RT3)Calc Tarifa incl Mov'!O49</f>
        <v>13.796417319078836</v>
      </c>
      <c r="F54" s="1039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45.647864742342186</v>
      </c>
      <c r="J54" s="1037"/>
      <c r="K54" s="1038" t="s">
        <v>500</v>
      </c>
      <c r="L54" s="1039">
        <f>'RT3)Calc Tarifa sem Mov'!K52</f>
        <v>1.2995781829429276</v>
      </c>
      <c r="M54" s="1039">
        <f>'RT3)Calc Tarifa sem Mov'!Q49/'RT3)Calc Tarifa sem Mov'!O49</f>
        <v>4.4187638202433037</v>
      </c>
      <c r="N54" s="1039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14.620254558107932</v>
      </c>
    </row>
    <row r="55" spans="2:14" x14ac:dyDescent="0.3">
      <c r="B55" s="1037"/>
      <c r="C55" s="1038" t="s">
        <v>501</v>
      </c>
      <c r="D55" s="1039">
        <f>'RT3)Calc Tarifa incl Mov'!K65</f>
        <v>2.0287939885485415</v>
      </c>
      <c r="E55" s="1039">
        <f>'RT3)Calc Tarifa incl Mov'!Q62/'RT3)Calc Tarifa incl Mov'!O62</f>
        <v>4.8471928207349748</v>
      </c>
      <c r="F55" s="1039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22.823932371171093</v>
      </c>
      <c r="J55" s="1037"/>
      <c r="K55" s="1038" t="s">
        <v>501</v>
      </c>
      <c r="L55" s="1039">
        <f>'RT3)Calc Tarifa sem Mov'!K65</f>
        <v>0.6497890914714638</v>
      </c>
      <c r="M55" s="1039">
        <f>'RT3)Calc Tarifa sem Mov'!Q62/'RT3)Calc Tarifa sem Mov'!O62</f>
        <v>1.5524755282943905</v>
      </c>
      <c r="N55" s="1039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7.3101272790539662</v>
      </c>
    </row>
    <row r="56" spans="2:14" x14ac:dyDescent="0.3">
      <c r="B56" s="1037"/>
      <c r="C56" s="1038" t="s">
        <v>502</v>
      </c>
      <c r="D56" s="1039">
        <f>'RT3)Calc Tarifa incl Mov'!K78</f>
        <v>3.905699657098797</v>
      </c>
      <c r="E56" s="1039">
        <f>'RT3)Calc Tarifa incl Mov'!Q75/'RT3)Calc Tarifa incl Mov'!O75</f>
        <v>19.159464630357423</v>
      </c>
      <c r="F56" s="1039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36.887163428155304</v>
      </c>
      <c r="J56" s="1037"/>
      <c r="K56" s="1038" t="s">
        <v>502</v>
      </c>
      <c r="L56" s="1039">
        <f>'RT3)Calc Tarifa sem Mov'!K78</f>
        <v>1.2509308712819622</v>
      </c>
      <c r="M56" s="1039">
        <f>'RT3)Calc Tarifa sem Mov'!Q75/'RT3)Calc Tarifa sem Mov'!O75</f>
        <v>6.1364589926384827</v>
      </c>
      <c r="N56" s="1039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11.814347117662976</v>
      </c>
    </row>
    <row r="57" spans="2:14" x14ac:dyDescent="0.3">
      <c r="B57" s="1037"/>
      <c r="C57" s="1038" t="s">
        <v>503</v>
      </c>
      <c r="D57" s="1039">
        <f>'RT3)Calc Tarifa incl Mov'!K91</f>
        <v>3.0377663999657303</v>
      </c>
      <c r="E57" s="1039">
        <f>'RT3)Calc Tarifa incl Mov'!Q88/'RT3)Calc Tarifa incl Mov'!O88</f>
        <v>41.613331242387694</v>
      </c>
      <c r="F57" s="1039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49.906162285151289</v>
      </c>
      <c r="J57" s="1037"/>
      <c r="K57" s="1038" t="s">
        <v>503</v>
      </c>
      <c r="L57" s="1039">
        <f>'RT3)Calc Tarifa sem Mov'!K91</f>
        <v>0.97294623321930396</v>
      </c>
      <c r="M57" s="1039">
        <f>'RT3)Calc Tarifa sem Mov'!Q88/'RT3)Calc Tarifa sem Mov'!O88</f>
        <v>13.328060342113542</v>
      </c>
      <c r="N57" s="1039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15.98411668860285</v>
      </c>
    </row>
    <row r="58" spans="2:14" x14ac:dyDescent="0.3">
      <c r="B58" s="1037" t="s">
        <v>513</v>
      </c>
      <c r="C58" s="1038"/>
      <c r="D58" s="1039"/>
      <c r="E58" s="1039"/>
      <c r="F58" s="1039"/>
      <c r="J58" s="1037" t="s">
        <v>513</v>
      </c>
      <c r="K58" s="1038"/>
      <c r="L58" s="1039"/>
      <c r="M58" s="1039"/>
      <c r="N58" s="1039"/>
    </row>
    <row r="59" spans="2:14" x14ac:dyDescent="0.3">
      <c r="B59" s="1037"/>
      <c r="C59" s="1038" t="s">
        <v>499</v>
      </c>
      <c r="D59" s="1039">
        <f>'RT4)Calc Tarifa incl Mov'!K39</f>
        <v>2.7799451932606272</v>
      </c>
      <c r="E59" s="1039">
        <f>'RT4)Calc Tarifa incl Mov'!Q36/'RT4)Calc Tarifa incl Mov'!O36</f>
        <v>16.588454207909898</v>
      </c>
      <c r="F59" s="1039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24.324520441030486</v>
      </c>
      <c r="J59" s="1037"/>
      <c r="K59" s="1038" t="s">
        <v>499</v>
      </c>
      <c r="L59" s="1039">
        <f>'RT4)Calc Tarifa sem Mov'!K39</f>
        <v>0.81344979635926762</v>
      </c>
      <c r="M59" s="1039">
        <f>'RT4)Calc Tarifa sem Mov'!Q36/'RT4)Calc Tarifa sem Mov'!O36</f>
        <v>4.8540074567125675</v>
      </c>
      <c r="N59" s="1039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7.1176857181435915</v>
      </c>
    </row>
    <row r="60" spans="2:14" x14ac:dyDescent="0.3">
      <c r="B60" s="1037"/>
      <c r="C60" s="1038" t="s">
        <v>500</v>
      </c>
      <c r="D60" s="1039">
        <f>'RT4)Calc Tarifa incl Mov'!K52</f>
        <v>3.89887313354803</v>
      </c>
      <c r="E60" s="1039">
        <f>'RT4)Calc Tarifa incl Mov'!Q49/'RT4)Calc Tarifa incl Mov'!O49</f>
        <v>13.256762669889534</v>
      </c>
      <c r="F60" s="1039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43.862322752415331</v>
      </c>
      <c r="J60" s="1037"/>
      <c r="K60" s="1038" t="s">
        <v>500</v>
      </c>
      <c r="L60" s="1039">
        <f>'RT4)Calc Tarifa sem Mov'!K52</f>
        <v>1.1408633393938727</v>
      </c>
      <c r="M60" s="1039">
        <f>'RT4)Calc Tarifa sem Mov'!Q49/'RT4)Calc Tarifa sem Mov'!O49</f>
        <v>3.8791091710539995</v>
      </c>
      <c r="N60" s="1039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12.834712568181068</v>
      </c>
    </row>
    <row r="61" spans="2:14" x14ac:dyDescent="0.3">
      <c r="B61" s="1037"/>
      <c r="C61" s="1038" t="s">
        <v>501</v>
      </c>
      <c r="D61" s="1039">
        <f>'RT4)Calc Tarifa incl Mov'!K65</f>
        <v>1.949436566774015</v>
      </c>
      <c r="E61" s="1039">
        <f>'RT4)Calc Tarifa incl Mov'!Q62/'RT4)Calc Tarifa incl Mov'!O62</f>
        <v>4.6575921381281029</v>
      </c>
      <c r="F61" s="1039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21.931161376207665</v>
      </c>
      <c r="J61" s="1037"/>
      <c r="K61" s="1038" t="s">
        <v>501</v>
      </c>
      <c r="L61" s="1039">
        <f>'RT4)Calc Tarifa sem Mov'!K65</f>
        <v>0.57043166969693637</v>
      </c>
      <c r="M61" s="1039">
        <f>'RT4)Calc Tarifa sem Mov'!Q62/'RT4)Calc Tarifa sem Mov'!O62</f>
        <v>1.3628748456875164</v>
      </c>
      <c r="N61" s="1039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6.417356284090534</v>
      </c>
    </row>
    <row r="62" spans="2:14" x14ac:dyDescent="0.3">
      <c r="B62" s="1037"/>
      <c r="C62" s="1038" t="s">
        <v>502</v>
      </c>
      <c r="D62" s="1039">
        <f>'RT4)Calc Tarifa incl Mov'!K78</f>
        <v>3.752926010901847</v>
      </c>
      <c r="E62" s="1039">
        <f>'RT4)Calc Tarifa incl Mov'!Q75/'RT4)Calc Tarifa incl Mov'!O75</f>
        <v>18.410031359050674</v>
      </c>
      <c r="F62" s="1039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35.444301214072993</v>
      </c>
      <c r="J62" s="1037"/>
      <c r="K62" s="1038" t="s">
        <v>502</v>
      </c>
      <c r="L62" s="1039">
        <f>'RT4)Calc Tarifa sem Mov'!K78</f>
        <v>1.0981572250850111</v>
      </c>
      <c r="M62" s="1039">
        <f>'RT4)Calc Tarifa sem Mov'!Q75/'RT4)Calc Tarifa sem Mov'!O75</f>
        <v>5.3870257213317272</v>
      </c>
      <c r="N62" s="1039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10.371484903580663</v>
      </c>
    </row>
    <row r="63" spans="2:14" x14ac:dyDescent="0.3">
      <c r="B63" s="1037"/>
      <c r="C63" s="1038" t="s">
        <v>503</v>
      </c>
      <c r="D63" s="1039">
        <f>'RT4)Calc Tarifa incl Mov'!K91</f>
        <v>2.9189424529236585</v>
      </c>
      <c r="E63" s="1039">
        <f>'RT4)Calc Tarifa incl Mov'!Q88/'RT4)Calc Tarifa incl Mov'!O88</f>
        <v>39.985602307126094</v>
      </c>
      <c r="F63" s="1039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47.954054583745815</v>
      </c>
      <c r="J63" s="1037"/>
      <c r="K63" s="1038" t="s">
        <v>503</v>
      </c>
      <c r="L63" s="1039">
        <f>'RT4)Calc Tarifa sem Mov'!K91</f>
        <v>0.85412228617723107</v>
      </c>
      <c r="M63" s="1039">
        <f>'RT4)Calc Tarifa sem Mov'!Q88/'RT4)Calc Tarifa sem Mov'!O88</f>
        <v>11.700331406851934</v>
      </c>
      <c r="N63" s="1039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14.032008987197365</v>
      </c>
    </row>
    <row r="64" spans="2:14" x14ac:dyDescent="0.3">
      <c r="J64" s="1026"/>
    </row>
    <row r="67" spans="1:29" x14ac:dyDescent="0.3">
      <c r="B67" s="1076" t="s">
        <v>560</v>
      </c>
      <c r="C67" s="1047">
        <f>'Draft para Graf RESUMO'!C8</f>
        <v>571.93026876101192</v>
      </c>
      <c r="D67" s="1047">
        <f>'Draft para Graf RESUMO'!D8</f>
        <v>527.67567813118956</v>
      </c>
      <c r="E67" s="1047">
        <f>'Draft para Graf RESUMO'!E8</f>
        <v>545.12791523975375</v>
      </c>
      <c r="F67" s="1047">
        <f>'Draft para Graf RESUMO'!F8</f>
        <v>592.76108572741816</v>
      </c>
      <c r="G67" s="1047">
        <f>'Draft para Graf RESUMO'!G8</f>
        <v>637.45687137256311</v>
      </c>
      <c r="H67" s="1047">
        <f>'Draft para Graf RESUMO'!H8</f>
        <v>612.52238611180269</v>
      </c>
      <c r="J67" s="1047">
        <v>411.59221806413029</v>
      </c>
      <c r="K67" s="1047">
        <v>380.22229158278765</v>
      </c>
      <c r="L67" s="1047">
        <v>389.70932341276273</v>
      </c>
      <c r="M67" s="1047">
        <v>405.43364465316859</v>
      </c>
      <c r="N67" s="1047">
        <v>447.56211838317608</v>
      </c>
      <c r="O67" s="1047">
        <v>543.87176680790435</v>
      </c>
      <c r="Q67" s="1047">
        <v>431.36599649327616</v>
      </c>
      <c r="R67" s="1047">
        <v>443.56632171866363</v>
      </c>
      <c r="S67" s="1047">
        <v>454.88910221055301</v>
      </c>
      <c r="T67" s="1047">
        <v>427.67447016017263</v>
      </c>
      <c r="U67" s="1047">
        <v>484.5925505026612</v>
      </c>
      <c r="V67" s="1047">
        <v>532.91378751711363</v>
      </c>
      <c r="X67" s="1047">
        <v>481.84261460737883</v>
      </c>
      <c r="Y67" s="1047">
        <v>484.54033364732044</v>
      </c>
      <c r="Z67" s="1047">
        <v>489.35742879002038</v>
      </c>
      <c r="AA67" s="1047">
        <v>479.96645350591137</v>
      </c>
      <c r="AB67" s="1047">
        <v>521.00427317865137</v>
      </c>
      <c r="AC67" s="1047">
        <v>637.94402257723743</v>
      </c>
    </row>
    <row r="68" spans="1:29" x14ac:dyDescent="0.3">
      <c r="B68" s="1076" t="s">
        <v>586</v>
      </c>
      <c r="C68" s="1047">
        <f>'Draft para Graf RESUMO'!C13</f>
        <v>9.5517468313533112</v>
      </c>
      <c r="D68" s="1047">
        <f>'Draft para Graf RESUMO'!D13</f>
        <v>8.8126556013385589</v>
      </c>
      <c r="E68" s="1047">
        <f>'Draft para Graf RESUMO'!E13</f>
        <v>9.1041235644923191</v>
      </c>
      <c r="F68" s="1047">
        <f>'Draft para Graf RESUMO'!F13</f>
        <v>9.8996400988042677</v>
      </c>
      <c r="G68" s="1047">
        <f>'Draft para Graf RESUMO'!G13</f>
        <v>10.646099680032089</v>
      </c>
      <c r="H68" s="1047">
        <f>'Draft para Graf RESUMO'!H13</f>
        <v>10.229671483117729</v>
      </c>
      <c r="J68" s="1047">
        <v>31.641352039306764</v>
      </c>
      <c r="K68" s="1047">
        <v>29.229773676839571</v>
      </c>
      <c r="L68" s="1047">
        <v>29.959093865039964</v>
      </c>
      <c r="M68" s="1047">
        <v>31.167908711654267</v>
      </c>
      <c r="N68" s="1047">
        <v>34.406555628837133</v>
      </c>
      <c r="O68" s="1047">
        <v>41.810406714558781</v>
      </c>
      <c r="Q68" s="1047">
        <v>33.161470877720681</v>
      </c>
      <c r="R68" s="1047">
        <v>34.099376815948048</v>
      </c>
      <c r="S68" s="1047">
        <v>34.969821075785454</v>
      </c>
      <c r="T68" s="1047">
        <v>32.877682994612798</v>
      </c>
      <c r="U68" s="1047">
        <v>37.253288116567788</v>
      </c>
      <c r="V68" s="1047">
        <v>40.968006724563544</v>
      </c>
      <c r="X68" s="1047">
        <v>36.82845447663113</v>
      </c>
      <c r="Y68" s="1047">
        <v>37.034647992607688</v>
      </c>
      <c r="Z68" s="1047">
        <v>37.402830805406602</v>
      </c>
      <c r="AA68" s="1047">
        <v>36.685054719902432</v>
      </c>
      <c r="AB68" s="1047">
        <v>39.821679476243688</v>
      </c>
      <c r="AC68" s="1047">
        <v>48.759681443429031</v>
      </c>
    </row>
    <row r="69" spans="1:29" x14ac:dyDescent="0.3">
      <c r="B69" s="1076" t="s">
        <v>588</v>
      </c>
      <c r="C69" s="1075">
        <f>'Draft para Graf RESUMO'!C10</f>
        <v>0.899177769486037</v>
      </c>
      <c r="D69" s="1075">
        <f>'Draft para Graf RESUMO'!D10</f>
        <v>0.97965325642565271</v>
      </c>
      <c r="E69" s="1075">
        <f>'Draft para Graf RESUMO'!E10</f>
        <v>0.9317707549100267</v>
      </c>
      <c r="F69" s="1075">
        <f>'Draft para Graf RESUMO'!F10</f>
        <v>0.76481187179286325</v>
      </c>
      <c r="G69" s="1075">
        <f>'Draft para Graf RESUMO'!G10</f>
        <v>0.65882004182929965</v>
      </c>
      <c r="H69" s="1075">
        <f>'Draft para Graf RESUMO'!H10</f>
        <v>1.3105002508493726</v>
      </c>
      <c r="J69" s="1075">
        <v>0.82251536283111992</v>
      </c>
      <c r="K69" s="1075">
        <v>0.87255594156317906</v>
      </c>
      <c r="L69" s="1075">
        <v>0.82528534208893423</v>
      </c>
      <c r="M69" s="1075">
        <v>0.65952450453791456</v>
      </c>
      <c r="N69" s="1075">
        <v>0.55850842338180084</v>
      </c>
      <c r="O69" s="1075">
        <v>0.66396830922751759</v>
      </c>
      <c r="Q69" s="1075">
        <v>0.89752607690702446</v>
      </c>
      <c r="R69" s="1075">
        <v>0.75516224698351453</v>
      </c>
      <c r="S69" s="1075">
        <v>0.70985860795229616</v>
      </c>
      <c r="T69" s="1075">
        <v>0.73844878565070737</v>
      </c>
      <c r="U69" s="1075">
        <v>0.59040241207234334</v>
      </c>
      <c r="V69" s="1075">
        <v>0.84349643416564923</v>
      </c>
      <c r="X69" s="1075">
        <v>0.66894013917393258</v>
      </c>
      <c r="Y69" s="1075">
        <v>0.57750308921345872</v>
      </c>
      <c r="Z69" s="1075">
        <v>0.56123380593253369</v>
      </c>
      <c r="AA69" s="1075">
        <v>0.52196266541503356</v>
      </c>
      <c r="AB69" s="1075">
        <v>0.45342401473491378</v>
      </c>
      <c r="AC69" s="1075">
        <v>0.49127015434740784</v>
      </c>
    </row>
    <row r="70" spans="1:29" x14ac:dyDescent="0.3">
      <c r="B70" s="1076" t="s">
        <v>587</v>
      </c>
      <c r="C70" s="1075">
        <f>'Draft para Graf RESUMO'!C11</f>
        <v>1.7138890804925455</v>
      </c>
      <c r="D70" s="1075">
        <f>'Draft para Graf RESUMO'!D11</f>
        <v>1.7227947207889158</v>
      </c>
      <c r="E70" s="1075">
        <f>'Draft para Graf RESUMO'!E11</f>
        <v>1.6927840816301536</v>
      </c>
      <c r="F70" s="1075">
        <f>'Draft para Graf RESUMO'!F11</f>
        <v>1.6950928339649736</v>
      </c>
      <c r="G70" s="1075">
        <f>'Draft para Graf RESUMO'!G11</f>
        <v>1.26913523310405</v>
      </c>
      <c r="H70" s="1075">
        <f>'Draft para Graf RESUMO'!H11</f>
        <v>1.3002199791437505</v>
      </c>
      <c r="J70" s="1075">
        <v>0.44026524711642084</v>
      </c>
      <c r="K70" s="1075">
        <v>0.41999293585406289</v>
      </c>
      <c r="L70" s="1075">
        <v>0.38964349062711334</v>
      </c>
      <c r="M70" s="1075">
        <v>0.28110814170350329</v>
      </c>
      <c r="N70" s="1075">
        <v>0.17413224911292713</v>
      </c>
      <c r="O70" s="1075">
        <v>0.26092104449113429</v>
      </c>
      <c r="Q70" s="1075">
        <v>0.48708882574772094</v>
      </c>
      <c r="R70" s="1075">
        <v>0.33111217672156512</v>
      </c>
      <c r="S70" s="1075">
        <v>0.29508178338554714</v>
      </c>
      <c r="T70" s="1075">
        <v>0.33527406372160085</v>
      </c>
      <c r="U70" s="1075">
        <v>0.18439892854919857</v>
      </c>
      <c r="V70" s="1075">
        <v>0.35212621823046403</v>
      </c>
      <c r="X70" s="1075">
        <v>0.53041912500572641</v>
      </c>
      <c r="Y70" s="1075">
        <v>0.38568864808760001</v>
      </c>
      <c r="Z70" s="1075">
        <v>0.36805002965760064</v>
      </c>
      <c r="AA70" s="1075">
        <v>0.35760618260735039</v>
      </c>
      <c r="AB70" s="1075">
        <v>0.23303445933099157</v>
      </c>
      <c r="AC70" s="1075">
        <v>0.22402828079364168</v>
      </c>
    </row>
    <row r="71" spans="1:29" x14ac:dyDescent="0.3">
      <c r="B71" s="1076"/>
      <c r="C71" s="1074" t="s">
        <v>561</v>
      </c>
      <c r="D71" s="1074" t="s">
        <v>562</v>
      </c>
      <c r="E71" s="1074" t="s">
        <v>563</v>
      </c>
      <c r="F71" s="1074" t="s">
        <v>564</v>
      </c>
      <c r="G71" s="1074" t="s">
        <v>565</v>
      </c>
      <c r="H71" s="1074" t="s">
        <v>566</v>
      </c>
      <c r="J71" s="1073" t="s">
        <v>567</v>
      </c>
      <c r="K71" s="1073" t="s">
        <v>568</v>
      </c>
      <c r="L71" s="1073" t="s">
        <v>569</v>
      </c>
      <c r="M71" s="1073" t="s">
        <v>570</v>
      </c>
      <c r="N71" s="1073" t="s">
        <v>571</v>
      </c>
      <c r="O71" s="1073" t="s">
        <v>572</v>
      </c>
      <c r="Q71" s="1072" t="s">
        <v>573</v>
      </c>
      <c r="R71" s="1072" t="s">
        <v>574</v>
      </c>
      <c r="S71" s="1072" t="s">
        <v>575</v>
      </c>
      <c r="T71" s="1072" t="s">
        <v>576</v>
      </c>
      <c r="U71" s="1072" t="s">
        <v>577</v>
      </c>
      <c r="V71" s="1072" t="s">
        <v>578</v>
      </c>
      <c r="X71" s="1071" t="s">
        <v>579</v>
      </c>
      <c r="Y71" s="1071" t="s">
        <v>580</v>
      </c>
      <c r="Z71" s="1071" t="s">
        <v>581</v>
      </c>
      <c r="AA71" s="1071" t="s">
        <v>582</v>
      </c>
      <c r="AB71" s="1071" t="s">
        <v>583</v>
      </c>
      <c r="AC71" s="1071" t="s">
        <v>584</v>
      </c>
    </row>
    <row r="72" spans="1:29" x14ac:dyDescent="0.3">
      <c r="B72" s="1076"/>
    </row>
    <row r="73" spans="1:29" x14ac:dyDescent="0.3">
      <c r="A73">
        <v>1</v>
      </c>
      <c r="B73" s="1076" t="str">
        <f>B67</f>
        <v>Valor Tarifa (R$/t RSU)</v>
      </c>
      <c r="C73" s="1047">
        <f t="shared" ref="C73:H76" si="1">C67*$A73</f>
        <v>571.93026876101192</v>
      </c>
      <c r="D73" s="1047">
        <f t="shared" si="1"/>
        <v>527.67567813118956</v>
      </c>
      <c r="E73" s="1047">
        <f t="shared" si="1"/>
        <v>545.12791523975375</v>
      </c>
      <c r="F73" s="1047">
        <f t="shared" si="1"/>
        <v>592.76108572741816</v>
      </c>
      <c r="G73" s="1047">
        <f t="shared" si="1"/>
        <v>637.45687137256311</v>
      </c>
      <c r="H73" s="1047">
        <f t="shared" si="1"/>
        <v>612.52238611180269</v>
      </c>
      <c r="I73" s="1047"/>
      <c r="J73" s="1047">
        <f t="shared" ref="J73:O76" si="2">J67*$A73</f>
        <v>411.59221806413029</v>
      </c>
      <c r="K73" s="1047">
        <f t="shared" si="2"/>
        <v>380.22229158278765</v>
      </c>
      <c r="L73" s="1047">
        <f t="shared" si="2"/>
        <v>389.70932341276273</v>
      </c>
      <c r="M73" s="1047">
        <f t="shared" si="2"/>
        <v>405.43364465316859</v>
      </c>
      <c r="N73" s="1047">
        <f t="shared" si="2"/>
        <v>447.56211838317608</v>
      </c>
      <c r="O73" s="1047">
        <f t="shared" si="2"/>
        <v>543.87176680790435</v>
      </c>
      <c r="P73" s="1047"/>
      <c r="Q73" s="1047">
        <f t="shared" ref="Q73:V76" si="3">Q67*$A73</f>
        <v>431.36599649327616</v>
      </c>
      <c r="R73" s="1047">
        <f t="shared" si="3"/>
        <v>443.56632171866363</v>
      </c>
      <c r="S73" s="1047">
        <f t="shared" si="3"/>
        <v>454.88910221055301</v>
      </c>
      <c r="T73" s="1047">
        <f t="shared" si="3"/>
        <v>427.67447016017263</v>
      </c>
      <c r="U73" s="1047">
        <f t="shared" si="3"/>
        <v>484.5925505026612</v>
      </c>
      <c r="V73" s="1047">
        <f t="shared" si="3"/>
        <v>532.91378751711363</v>
      </c>
      <c r="W73" s="1047"/>
      <c r="X73" s="1047">
        <f t="shared" ref="X73:AC76" si="4">X67*$A73</f>
        <v>481.84261460737883</v>
      </c>
      <c r="Y73" s="1047">
        <f t="shared" si="4"/>
        <v>484.54033364732044</v>
      </c>
      <c r="Z73" s="1047">
        <f t="shared" si="4"/>
        <v>489.35742879002038</v>
      </c>
      <c r="AA73" s="1047">
        <f t="shared" si="4"/>
        <v>479.96645350591137</v>
      </c>
      <c r="AB73" s="1047">
        <f t="shared" si="4"/>
        <v>521.00427317865137</v>
      </c>
      <c r="AC73" s="1047">
        <f t="shared" si="4"/>
        <v>637.94402257723743</v>
      </c>
    </row>
    <row r="74" spans="1:29" x14ac:dyDescent="0.3">
      <c r="A74">
        <v>1</v>
      </c>
      <c r="B74" s="1076" t="str">
        <f>B68</f>
        <v>Valor Tarifa Mensal (R$/t Economias)</v>
      </c>
      <c r="C74" s="1047">
        <f t="shared" si="1"/>
        <v>9.5517468313533112</v>
      </c>
      <c r="D74" s="1047">
        <f t="shared" si="1"/>
        <v>8.8126556013385589</v>
      </c>
      <c r="E74" s="1047">
        <f t="shared" si="1"/>
        <v>9.1041235644923191</v>
      </c>
      <c r="F74" s="1047">
        <f t="shared" si="1"/>
        <v>9.8996400988042677</v>
      </c>
      <c r="G74" s="1047">
        <f t="shared" si="1"/>
        <v>10.646099680032089</v>
      </c>
      <c r="H74" s="1047">
        <f t="shared" si="1"/>
        <v>10.229671483117729</v>
      </c>
      <c r="I74" s="1047"/>
      <c r="J74" s="1047">
        <f t="shared" si="2"/>
        <v>31.641352039306764</v>
      </c>
      <c r="K74" s="1047">
        <f t="shared" si="2"/>
        <v>29.229773676839571</v>
      </c>
      <c r="L74" s="1047">
        <f t="shared" si="2"/>
        <v>29.959093865039964</v>
      </c>
      <c r="M74" s="1047">
        <f t="shared" si="2"/>
        <v>31.167908711654267</v>
      </c>
      <c r="N74" s="1047">
        <f t="shared" si="2"/>
        <v>34.406555628837133</v>
      </c>
      <c r="O74" s="1047">
        <f t="shared" si="2"/>
        <v>41.810406714558781</v>
      </c>
      <c r="P74" s="1047"/>
      <c r="Q74" s="1047">
        <f t="shared" si="3"/>
        <v>33.161470877720681</v>
      </c>
      <c r="R74" s="1047">
        <f t="shared" si="3"/>
        <v>34.099376815948048</v>
      </c>
      <c r="S74" s="1047">
        <f t="shared" si="3"/>
        <v>34.969821075785454</v>
      </c>
      <c r="T74" s="1047">
        <f t="shared" si="3"/>
        <v>32.877682994612798</v>
      </c>
      <c r="U74" s="1047">
        <f t="shared" si="3"/>
        <v>37.253288116567788</v>
      </c>
      <c r="V74" s="1047">
        <f t="shared" si="3"/>
        <v>40.968006724563544</v>
      </c>
      <c r="W74" s="1047"/>
      <c r="X74" s="1047">
        <f t="shared" si="4"/>
        <v>36.82845447663113</v>
      </c>
      <c r="Y74" s="1047">
        <f t="shared" si="4"/>
        <v>37.034647992607688</v>
      </c>
      <c r="Z74" s="1047">
        <f t="shared" si="4"/>
        <v>37.402830805406602</v>
      </c>
      <c r="AA74" s="1047">
        <f t="shared" si="4"/>
        <v>36.685054719902432</v>
      </c>
      <c r="AB74" s="1047">
        <f t="shared" si="4"/>
        <v>39.821679476243688</v>
      </c>
      <c r="AC74" s="1047">
        <f t="shared" si="4"/>
        <v>48.759681443429031</v>
      </c>
    </row>
    <row r="75" spans="1:29" x14ac:dyDescent="0.3">
      <c r="A75">
        <v>100</v>
      </c>
      <c r="B75" s="1076" t="str">
        <f>B69</f>
        <v>% Efic. Valoriz. Rot. Tecnol. com Custos Mov.</v>
      </c>
      <c r="C75" s="1047">
        <f t="shared" si="1"/>
        <v>89.917776948603702</v>
      </c>
      <c r="D75" s="1047">
        <f t="shared" si="1"/>
        <v>97.965325642565276</v>
      </c>
      <c r="E75" s="1047">
        <f t="shared" si="1"/>
        <v>93.177075491002668</v>
      </c>
      <c r="F75" s="1047">
        <f t="shared" si="1"/>
        <v>76.481187179286323</v>
      </c>
      <c r="G75" s="1047">
        <f t="shared" si="1"/>
        <v>65.882004182929961</v>
      </c>
      <c r="H75" s="1047">
        <f t="shared" si="1"/>
        <v>131.05002508493726</v>
      </c>
      <c r="I75" s="1047"/>
      <c r="J75" s="1047">
        <f t="shared" si="2"/>
        <v>82.251536283111989</v>
      </c>
      <c r="K75" s="1047">
        <f t="shared" si="2"/>
        <v>87.255594156317912</v>
      </c>
      <c r="L75" s="1047">
        <f t="shared" si="2"/>
        <v>82.528534208893419</v>
      </c>
      <c r="M75" s="1047">
        <f t="shared" si="2"/>
        <v>65.952450453791457</v>
      </c>
      <c r="N75" s="1047">
        <f t="shared" si="2"/>
        <v>55.850842338180087</v>
      </c>
      <c r="O75" s="1047">
        <f t="shared" si="2"/>
        <v>66.396830922751761</v>
      </c>
      <c r="P75" s="1047"/>
      <c r="Q75" s="1047">
        <f t="shared" si="3"/>
        <v>89.752607690702447</v>
      </c>
      <c r="R75" s="1047">
        <f t="shared" si="3"/>
        <v>75.516224698351451</v>
      </c>
      <c r="S75" s="1047">
        <f t="shared" si="3"/>
        <v>70.985860795229613</v>
      </c>
      <c r="T75" s="1047">
        <f t="shared" si="3"/>
        <v>73.844878565070744</v>
      </c>
      <c r="U75" s="1047">
        <f t="shared" si="3"/>
        <v>59.040241207234331</v>
      </c>
      <c r="V75" s="1047">
        <f t="shared" si="3"/>
        <v>84.34964341656493</v>
      </c>
      <c r="W75" s="1047"/>
      <c r="X75" s="1047">
        <f t="shared" si="4"/>
        <v>66.894013917393252</v>
      </c>
      <c r="Y75" s="1047">
        <f t="shared" si="4"/>
        <v>57.750308921345869</v>
      </c>
      <c r="Z75" s="1047">
        <f t="shared" si="4"/>
        <v>56.123380593253373</v>
      </c>
      <c r="AA75" s="1047">
        <f t="shared" si="4"/>
        <v>52.196266541503356</v>
      </c>
      <c r="AB75" s="1047">
        <f t="shared" si="4"/>
        <v>45.342401473491378</v>
      </c>
      <c r="AC75" s="1047">
        <f t="shared" si="4"/>
        <v>49.127015434740784</v>
      </c>
    </row>
    <row r="76" spans="1:29" x14ac:dyDescent="0.3">
      <c r="A76">
        <v>100</v>
      </c>
      <c r="B76" s="1076" t="str">
        <f>B70</f>
        <v>% Efic. Valoriz. Rot. Tecnológica</v>
      </c>
      <c r="C76" s="1047">
        <f t="shared" si="1"/>
        <v>171.38890804925455</v>
      </c>
      <c r="D76" s="1047">
        <f t="shared" si="1"/>
        <v>172.27947207889159</v>
      </c>
      <c r="E76" s="1047">
        <f t="shared" si="1"/>
        <v>169.27840816301537</v>
      </c>
      <c r="F76" s="1047">
        <f t="shared" si="1"/>
        <v>169.50928339649735</v>
      </c>
      <c r="G76" s="1047">
        <f t="shared" si="1"/>
        <v>126.913523310405</v>
      </c>
      <c r="H76" s="1047">
        <f t="shared" si="1"/>
        <v>130.02199791437505</v>
      </c>
      <c r="I76" s="1047"/>
      <c r="J76" s="1047">
        <f t="shared" si="2"/>
        <v>44.026524711642082</v>
      </c>
      <c r="K76" s="1047">
        <f t="shared" si="2"/>
        <v>41.999293585406292</v>
      </c>
      <c r="L76" s="1047">
        <f t="shared" si="2"/>
        <v>38.964349062711335</v>
      </c>
      <c r="M76" s="1047">
        <f t="shared" si="2"/>
        <v>28.110814170350331</v>
      </c>
      <c r="N76" s="1047">
        <f t="shared" si="2"/>
        <v>17.413224911292712</v>
      </c>
      <c r="O76" s="1047">
        <f t="shared" si="2"/>
        <v>26.092104449113428</v>
      </c>
      <c r="P76" s="1047"/>
      <c r="Q76" s="1047">
        <f t="shared" si="3"/>
        <v>48.708882574772097</v>
      </c>
      <c r="R76" s="1047">
        <f t="shared" si="3"/>
        <v>33.111217672156513</v>
      </c>
      <c r="S76" s="1047">
        <f t="shared" si="3"/>
        <v>29.508178338554714</v>
      </c>
      <c r="T76" s="1047">
        <f t="shared" si="3"/>
        <v>33.527406372160087</v>
      </c>
      <c r="U76" s="1047">
        <f t="shared" si="3"/>
        <v>18.439892854919858</v>
      </c>
      <c r="V76" s="1047">
        <f t="shared" si="3"/>
        <v>35.212621823046405</v>
      </c>
      <c r="W76" s="1047"/>
      <c r="X76" s="1047">
        <f t="shared" si="4"/>
        <v>53.041912500572643</v>
      </c>
      <c r="Y76" s="1047">
        <f t="shared" si="4"/>
        <v>38.568864808759997</v>
      </c>
      <c r="Z76" s="1047">
        <f t="shared" si="4"/>
        <v>36.805002965760067</v>
      </c>
      <c r="AA76" s="1047">
        <f t="shared" si="4"/>
        <v>35.760618260735036</v>
      </c>
      <c r="AB76" s="1047">
        <f t="shared" si="4"/>
        <v>23.303445933099155</v>
      </c>
      <c r="AC76" s="1047">
        <f t="shared" si="4"/>
        <v>22.402828079364166</v>
      </c>
    </row>
    <row r="77" spans="1:29" s="1077" customFormat="1" x14ac:dyDescent="0.3">
      <c r="B77" s="1078"/>
      <c r="C77" s="1079" t="s">
        <v>561</v>
      </c>
      <c r="D77" s="1079" t="s">
        <v>562</v>
      </c>
      <c r="E77" s="1079" t="s">
        <v>563</v>
      </c>
      <c r="F77" s="1079" t="s">
        <v>564</v>
      </c>
      <c r="G77" s="1079" t="s">
        <v>565</v>
      </c>
      <c r="H77" s="1079" t="s">
        <v>566</v>
      </c>
      <c r="J77" s="1080" t="s">
        <v>567</v>
      </c>
      <c r="K77" s="1080" t="s">
        <v>568</v>
      </c>
      <c r="L77" s="1080" t="s">
        <v>569</v>
      </c>
      <c r="M77" s="1080" t="s">
        <v>570</v>
      </c>
      <c r="N77" s="1080" t="s">
        <v>571</v>
      </c>
      <c r="O77" s="1080" t="s">
        <v>572</v>
      </c>
      <c r="Q77" s="1081" t="s">
        <v>573</v>
      </c>
      <c r="R77" s="1081" t="s">
        <v>574</v>
      </c>
      <c r="S77" s="1081" t="s">
        <v>575</v>
      </c>
      <c r="T77" s="1081" t="s">
        <v>589</v>
      </c>
      <c r="U77" s="1081" t="s">
        <v>590</v>
      </c>
      <c r="V77" s="1081" t="s">
        <v>591</v>
      </c>
      <c r="X77" s="1082" t="s">
        <v>579</v>
      </c>
      <c r="Y77" s="1082" t="s">
        <v>580</v>
      </c>
      <c r="Z77" s="1082" t="s">
        <v>581</v>
      </c>
      <c r="AA77" s="1082" t="s">
        <v>582</v>
      </c>
      <c r="AB77" s="1082" t="s">
        <v>583</v>
      </c>
      <c r="AC77" s="1082" t="s">
        <v>584</v>
      </c>
    </row>
    <row r="78" spans="1:29" x14ac:dyDescent="0.3">
      <c r="B78" s="1076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8671875" defaultRowHeight="14.4" x14ac:dyDescent="0.3"/>
  <cols>
    <col min="1" max="1" width="3.44140625" style="1" customWidth="1"/>
    <col min="2" max="2" width="5.33203125" style="1" customWidth="1"/>
    <col min="3" max="3" width="8.88671875" style="1"/>
    <col min="4" max="4" width="10.44140625" style="1" customWidth="1"/>
    <col min="5" max="5" width="12.109375" style="1" customWidth="1"/>
    <col min="6" max="6" width="10.33203125" style="1" customWidth="1"/>
    <col min="7" max="7" width="9.6640625" style="1" customWidth="1"/>
    <col min="8" max="10" width="8.88671875" style="1"/>
    <col min="11" max="11" width="12.6640625" style="1" bestFit="1" customWidth="1"/>
    <col min="12" max="12" width="9.5546875" style="21" customWidth="1"/>
    <col min="13" max="16384" width="8.88671875" style="1"/>
  </cols>
  <sheetData>
    <row r="1" spans="2:31" s="649" customFormat="1" ht="15.6" x14ac:dyDescent="0.3">
      <c r="B1" s="1368" t="s">
        <v>332</v>
      </c>
      <c r="C1" s="1368"/>
      <c r="D1" s="1368"/>
      <c r="E1" s="1368"/>
      <c r="F1" s="1368"/>
      <c r="G1" s="1368"/>
      <c r="H1" s="1368"/>
      <c r="I1" s="1368"/>
      <c r="J1" s="1368"/>
      <c r="K1" s="1368"/>
      <c r="L1" s="653"/>
      <c r="O1" s="1370" t="s">
        <v>331</v>
      </c>
      <c r="P1" s="1370"/>
      <c r="Q1" s="1370"/>
      <c r="R1" s="1370"/>
      <c r="S1" s="1370"/>
      <c r="T1" s="1370"/>
      <c r="U1" s="1370"/>
      <c r="V1" s="1370"/>
      <c r="W1" s="1370"/>
      <c r="X1" s="1370"/>
    </row>
    <row r="2" spans="2:31" ht="4.95" customHeight="1" x14ac:dyDescent="0.3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" customHeight="1" x14ac:dyDescent="0.3">
      <c r="B3" s="1" t="s">
        <v>333</v>
      </c>
      <c r="W3" s="1367" t="s">
        <v>335</v>
      </c>
      <c r="X3" s="1367"/>
      <c r="Y3" s="648"/>
      <c r="Z3" s="648"/>
      <c r="AA3" s="648"/>
      <c r="AB3" s="648"/>
      <c r="AC3" s="648"/>
      <c r="AD3" s="648"/>
      <c r="AE3" s="648"/>
    </row>
    <row r="4" spans="2:31" x14ac:dyDescent="0.3">
      <c r="B4" s="1" t="s">
        <v>323</v>
      </c>
      <c r="W4" s="1367"/>
      <c r="X4" s="1367"/>
      <c r="Y4" s="648"/>
      <c r="Z4" s="648"/>
      <c r="AA4" s="648"/>
      <c r="AB4" s="648"/>
      <c r="AC4" s="648"/>
      <c r="AD4" s="648"/>
      <c r="AE4" s="648"/>
    </row>
    <row r="5" spans="2:31" x14ac:dyDescent="0.3">
      <c r="B5" s="1365" t="s">
        <v>334</v>
      </c>
      <c r="C5" s="1365"/>
      <c r="D5" s="1365"/>
      <c r="E5" s="1365"/>
      <c r="F5" s="1365"/>
      <c r="G5" s="1365"/>
      <c r="H5" s="1365"/>
      <c r="I5" s="1365"/>
      <c r="J5" s="1365"/>
      <c r="K5" s="1365"/>
      <c r="L5" s="1365"/>
      <c r="M5" s="1365"/>
      <c r="W5" s="1367"/>
      <c r="X5" s="1367"/>
    </row>
    <row r="6" spans="2:31" x14ac:dyDescent="0.3">
      <c r="B6" s="1365"/>
      <c r="C6" s="1365"/>
      <c r="D6" s="1365"/>
      <c r="E6" s="1365"/>
      <c r="F6" s="1365"/>
      <c r="G6" s="1365"/>
      <c r="H6" s="1365"/>
      <c r="I6" s="1365"/>
      <c r="J6" s="1365"/>
      <c r="K6" s="1365"/>
      <c r="L6" s="1365"/>
      <c r="M6" s="1365"/>
      <c r="W6" s="1367"/>
      <c r="X6" s="1367"/>
    </row>
    <row r="7" spans="2:31" x14ac:dyDescent="0.3">
      <c r="B7" s="1" t="s">
        <v>324</v>
      </c>
      <c r="W7" s="1367"/>
      <c r="X7" s="1367"/>
    </row>
    <row r="8" spans="2:31" ht="15" customHeight="1" x14ac:dyDescent="0.3">
      <c r="C8" s="1" t="s">
        <v>325</v>
      </c>
      <c r="W8" s="1367"/>
      <c r="X8" s="1367"/>
    </row>
    <row r="9" spans="2:31" x14ac:dyDescent="0.3">
      <c r="C9" s="1365" t="s">
        <v>326</v>
      </c>
      <c r="D9" s="1365"/>
      <c r="E9" s="1365"/>
      <c r="F9" s="1365"/>
      <c r="G9" s="1365"/>
      <c r="H9" s="1365"/>
      <c r="I9" s="1365"/>
      <c r="J9" s="1365"/>
      <c r="K9" s="1365"/>
      <c r="L9" s="1365"/>
      <c r="M9" s="1365"/>
      <c r="N9" s="1365"/>
      <c r="W9" s="1367"/>
      <c r="X9" s="1367"/>
    </row>
    <row r="10" spans="2:31" x14ac:dyDescent="0.3">
      <c r="C10" s="1365"/>
      <c r="D10" s="1365"/>
      <c r="E10" s="1365"/>
      <c r="F10" s="1365"/>
      <c r="G10" s="1365"/>
      <c r="H10" s="1365"/>
      <c r="I10" s="1365"/>
      <c r="J10" s="1365"/>
      <c r="K10" s="1365"/>
      <c r="L10" s="1365"/>
      <c r="M10" s="1365"/>
      <c r="N10" s="1365"/>
      <c r="W10" s="1367"/>
      <c r="X10" s="1367"/>
    </row>
    <row r="11" spans="2:31" x14ac:dyDescent="0.3">
      <c r="C11" s="1365" t="s">
        <v>327</v>
      </c>
      <c r="D11" s="1365"/>
      <c r="E11" s="1365"/>
      <c r="F11" s="1365"/>
      <c r="G11" s="1365"/>
      <c r="H11" s="1365"/>
      <c r="I11" s="1365"/>
      <c r="J11" s="1365"/>
      <c r="K11" s="1365"/>
      <c r="L11" s="1365"/>
      <c r="M11" s="1365"/>
      <c r="W11" s="1367"/>
      <c r="X11" s="1367"/>
    </row>
    <row r="12" spans="2:31" x14ac:dyDescent="0.3">
      <c r="C12" s="1365"/>
      <c r="D12" s="1365"/>
      <c r="E12" s="1365"/>
      <c r="F12" s="1365"/>
      <c r="G12" s="1365"/>
      <c r="H12" s="1365"/>
      <c r="I12" s="1365"/>
      <c r="J12" s="1365"/>
      <c r="K12" s="1365"/>
      <c r="L12" s="1365"/>
      <c r="M12" s="1365"/>
      <c r="W12" s="1367"/>
      <c r="X12" s="1367"/>
    </row>
    <row r="13" spans="2:31" x14ac:dyDescent="0.3">
      <c r="C13" s="1365"/>
      <c r="D13" s="1365"/>
      <c r="E13" s="1365"/>
      <c r="F13" s="1365"/>
      <c r="G13" s="1365"/>
      <c r="H13" s="1365"/>
      <c r="I13" s="1365"/>
      <c r="J13" s="1365"/>
      <c r="K13" s="1365"/>
      <c r="L13" s="1365"/>
      <c r="M13" s="1365"/>
      <c r="W13" s="1367"/>
      <c r="X13" s="1367"/>
    </row>
    <row r="14" spans="2:31" x14ac:dyDescent="0.3">
      <c r="C14" s="1" t="s">
        <v>328</v>
      </c>
      <c r="W14" s="1367"/>
      <c r="X14" s="1367"/>
    </row>
    <row r="15" spans="2:31" ht="14.4" customHeight="1" x14ac:dyDescent="0.3">
      <c r="B15" s="1365" t="s">
        <v>329</v>
      </c>
      <c r="C15" s="1365"/>
      <c r="D15" s="1365"/>
      <c r="E15" s="1365"/>
      <c r="F15" s="1365"/>
      <c r="G15" s="1365"/>
      <c r="H15" s="1365"/>
      <c r="I15" s="1365"/>
      <c r="J15" s="1365"/>
      <c r="K15" s="1365"/>
      <c r="L15" s="1365"/>
      <c r="M15" s="1365"/>
      <c r="N15" s="1365"/>
      <c r="O15" s="1369"/>
      <c r="P15" s="1369"/>
      <c r="Q15" s="1369"/>
      <c r="R15" s="1369"/>
      <c r="S15" s="1369"/>
      <c r="T15" s="1369"/>
      <c r="U15" s="1369"/>
      <c r="V15" s="1369"/>
      <c r="W15" s="1369"/>
    </row>
    <row r="16" spans="2:31" ht="14.4" customHeight="1" x14ac:dyDescent="0.3">
      <c r="B16" s="1365"/>
      <c r="C16" s="1365"/>
      <c r="D16" s="1365"/>
      <c r="E16" s="1365"/>
      <c r="F16" s="1365"/>
      <c r="G16" s="1365"/>
      <c r="H16" s="1365"/>
      <c r="I16" s="1365"/>
      <c r="J16" s="1365"/>
      <c r="K16" s="1365"/>
      <c r="L16" s="1365"/>
      <c r="M16" s="1365"/>
      <c r="N16" s="1365"/>
      <c r="O16" s="1369"/>
      <c r="P16" s="1369"/>
      <c r="Q16" s="1369"/>
      <c r="R16" s="1369"/>
      <c r="S16" s="1369"/>
      <c r="T16" s="1369"/>
      <c r="U16" s="1369"/>
      <c r="V16" s="1369"/>
      <c r="W16" s="1369"/>
    </row>
    <row r="17" spans="2:15" x14ac:dyDescent="0.3">
      <c r="B17" s="1365"/>
      <c r="C17" s="1365"/>
      <c r="D17" s="1365"/>
      <c r="E17" s="1365"/>
      <c r="F17" s="1365"/>
      <c r="G17" s="1365"/>
      <c r="H17" s="1365"/>
      <c r="I17" s="1365"/>
      <c r="J17" s="1365"/>
      <c r="K17" s="1365"/>
      <c r="L17" s="1365"/>
      <c r="M17" s="1365"/>
      <c r="N17" s="1365"/>
      <c r="O17" s="647"/>
    </row>
    <row r="18" spans="2:15" x14ac:dyDescent="0.3">
      <c r="B18" s="1365"/>
      <c r="C18" s="1365"/>
      <c r="D18" s="1365"/>
      <c r="E18" s="1365"/>
      <c r="F18" s="1365"/>
      <c r="G18" s="1365"/>
      <c r="H18" s="1365"/>
      <c r="I18" s="1365"/>
      <c r="J18" s="1365"/>
      <c r="K18" s="1365"/>
      <c r="L18" s="1365"/>
      <c r="M18" s="1365"/>
      <c r="N18" s="1365"/>
      <c r="O18" s="647"/>
    </row>
    <row r="19" spans="2:15" x14ac:dyDescent="0.3">
      <c r="B19" s="1365"/>
      <c r="C19" s="1365"/>
      <c r="D19" s="1365"/>
      <c r="E19" s="1365"/>
      <c r="F19" s="1365"/>
      <c r="G19" s="1365"/>
      <c r="H19" s="1365"/>
      <c r="I19" s="1365"/>
      <c r="J19" s="1365"/>
      <c r="K19" s="1365"/>
      <c r="L19" s="1365"/>
      <c r="M19" s="1365"/>
      <c r="N19" s="1365"/>
      <c r="O19" s="647"/>
    </row>
    <row r="20" spans="2:15" x14ac:dyDescent="0.3">
      <c r="B20" s="1365"/>
      <c r="C20" s="1365"/>
      <c r="D20" s="1365"/>
      <c r="E20" s="1365"/>
      <c r="F20" s="1365"/>
      <c r="G20" s="1365"/>
      <c r="H20" s="1365"/>
      <c r="I20" s="1365"/>
      <c r="J20" s="1365"/>
      <c r="K20" s="1365"/>
      <c r="L20" s="1365"/>
      <c r="M20" s="1365"/>
      <c r="N20" s="1365"/>
    </row>
    <row r="21" spans="2:15" x14ac:dyDescent="0.3">
      <c r="B21" s="1365" t="s">
        <v>330</v>
      </c>
      <c r="C21" s="1365"/>
      <c r="D21" s="1365"/>
      <c r="E21" s="1365"/>
      <c r="F21" s="1365"/>
      <c r="G21" s="1365"/>
      <c r="H21" s="1365"/>
      <c r="I21" s="1365"/>
      <c r="J21" s="1365"/>
      <c r="K21" s="1365"/>
      <c r="L21" s="1365"/>
      <c r="M21" s="1365"/>
      <c r="N21" s="1365"/>
    </row>
    <row r="22" spans="2:15" ht="14.4" customHeight="1" x14ac:dyDescent="0.3">
      <c r="B22" s="1365"/>
      <c r="C22" s="1365"/>
      <c r="D22" s="1365"/>
      <c r="E22" s="1365"/>
      <c r="F22" s="1365"/>
      <c r="G22" s="1365"/>
      <c r="H22" s="1365"/>
      <c r="I22" s="1365"/>
      <c r="J22" s="1365"/>
      <c r="K22" s="1365"/>
      <c r="L22" s="1365"/>
      <c r="M22" s="1365"/>
      <c r="N22" s="1365"/>
    </row>
    <row r="23" spans="2:15" ht="64.95" customHeight="1" x14ac:dyDescent="0.3">
      <c r="C23" s="1366" t="s">
        <v>322</v>
      </c>
      <c r="D23" s="1366"/>
      <c r="E23" s="1366"/>
      <c r="F23" s="1366"/>
      <c r="G23" s="1366"/>
      <c r="H23" s="1366"/>
      <c r="I23" s="1366"/>
      <c r="J23" s="1366"/>
      <c r="K23" s="1366"/>
      <c r="L23" s="1366"/>
      <c r="M23" s="1366"/>
      <c r="N23" s="1366"/>
    </row>
    <row r="24" spans="2:15" x14ac:dyDescent="0.3">
      <c r="C24" s="647"/>
      <c r="D24" s="647"/>
      <c r="E24" s="647"/>
      <c r="F24" s="647"/>
      <c r="G24" s="647"/>
      <c r="H24" s="647"/>
      <c r="I24" s="647"/>
      <c r="J24" s="647"/>
      <c r="K24" s="647"/>
      <c r="L24" s="650"/>
      <c r="M24" s="647"/>
    </row>
    <row r="25" spans="2:15" x14ac:dyDescent="0.3">
      <c r="C25" s="647"/>
      <c r="D25" s="647"/>
      <c r="E25" s="647"/>
      <c r="F25" s="647"/>
      <c r="G25" s="647"/>
      <c r="H25" s="647"/>
      <c r="I25" s="647"/>
      <c r="J25" s="647"/>
      <c r="K25" s="647"/>
      <c r="L25" s="650"/>
      <c r="M25" s="647"/>
    </row>
    <row r="26" spans="2:15" s="2" customFormat="1" ht="30" customHeight="1" x14ac:dyDescent="0.3">
      <c r="C26" s="651"/>
      <c r="D26" s="652"/>
      <c r="E26" s="652"/>
      <c r="F26" s="749"/>
      <c r="G26" s="652"/>
      <c r="H26" s="652"/>
      <c r="I26" s="652"/>
      <c r="J26" s="652"/>
      <c r="K26" s="652"/>
      <c r="L26" s="652"/>
      <c r="M26" s="750"/>
      <c r="N26" s="393"/>
      <c r="O26" s="393"/>
    </row>
    <row r="27" spans="2:15" x14ac:dyDescent="0.3">
      <c r="D27" s="751"/>
      <c r="E27" s="752"/>
      <c r="F27" s="752"/>
      <c r="G27" s="752"/>
      <c r="H27" s="753"/>
      <c r="I27" s="753"/>
      <c r="J27" s="753"/>
      <c r="K27" s="368"/>
      <c r="L27" s="754"/>
      <c r="M27" s="755"/>
      <c r="N27" s="23"/>
      <c r="O27" s="23"/>
    </row>
    <row r="28" spans="2:15" x14ac:dyDescent="0.3">
      <c r="D28" s="751"/>
      <c r="E28" s="752"/>
      <c r="F28" s="752"/>
      <c r="G28" s="752"/>
      <c r="H28" s="753"/>
      <c r="I28" s="753"/>
      <c r="J28" s="753"/>
      <c r="K28" s="368"/>
      <c r="L28" s="752"/>
      <c r="M28" s="23"/>
      <c r="N28" s="23"/>
      <c r="O28" s="23"/>
    </row>
    <row r="29" spans="2:15" x14ac:dyDescent="0.3">
      <c r="D29" s="23"/>
      <c r="E29" s="23"/>
      <c r="F29" s="23"/>
      <c r="G29" s="23"/>
      <c r="H29" s="23"/>
      <c r="I29" s="23"/>
      <c r="J29" s="23"/>
      <c r="K29" s="23"/>
      <c r="L29" s="752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Gráficos</vt:lpstr>
      </vt:variant>
      <vt:variant>
        <vt:i4>13</vt:i4>
      </vt:variant>
    </vt:vector>
  </HeadingPairs>
  <TitlesOfParts>
    <vt:vector size="51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C-Dados RT5 Simplif.</vt:lpstr>
      <vt:lpstr>5)Incineração - E Elétrica</vt:lpstr>
      <vt:lpstr>RT5)Calc Tarifa incl Mov</vt:lpstr>
      <vt:lpstr>RT5)Calc Tarifa sem Mov</vt:lpstr>
      <vt:lpstr>RT5)Custos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De Paula</cp:lastModifiedBy>
  <dcterms:created xsi:type="dcterms:W3CDTF">2021-07-27T11:42:28Z</dcterms:created>
  <dcterms:modified xsi:type="dcterms:W3CDTF">2022-08-16T21:48:27Z</dcterms:modified>
</cp:coreProperties>
</file>